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EstaPasta_de_trabalho"/>
  <mc:AlternateContent xmlns:mc="http://schemas.openxmlformats.org/markup-compatibility/2006">
    <mc:Choice Requires="x15">
      <x15ac:absPath xmlns:x15ac="http://schemas.microsoft.com/office/spreadsheetml/2010/11/ac" url="Z:\01 - CONVÊNIOS\01 - EM EXECUÇÃO\043.2026 - PAVIMENTAÇÃO DE VIAS NO MUNICIPIO DE URUARÁ - 6 MILHÕES\FORMALIZAÇÃO DE CONVÊNIO\PLANILHA ORÇAMENTÁRIA\"/>
    </mc:Choice>
  </mc:AlternateContent>
  <xr:revisionPtr revIDLastSave="0" documentId="13_ncr:1_{1C4E54C2-1CAD-45FB-902C-F160D9EA744B}" xr6:coauthVersionLast="47" xr6:coauthVersionMax="47" xr10:uidLastSave="{00000000-0000-0000-0000-000000000000}"/>
  <workbookProtection workbookAlgorithmName="SHA-512" workbookHashValue="zUFLMRTIgi89CMVlg/CKb+He7k/eQpnh2QRLXu5e0G+Gf/+2lm7ZEX6ZKGZ05EQHQ7ZasqZxFsBi3+uoXblbZA==" workbookSaltValue="0VBqEqbQwAFr/cxH2mG4Kw==" workbookSpinCount="100000" lockStructure="1"/>
  <bookViews>
    <workbookView xWindow="-108" yWindow="-108" windowWidth="23256" windowHeight="12456"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externalReferences>
    <externalReference r:id="rId19"/>
  </externalReferences>
  <definedNames>
    <definedName name="_xlnm._FilterDatabase" localSheetId="3" hidden="1">BDI!$I$11:$I$132</definedName>
    <definedName name="_xlnm._FilterDatabase" localSheetId="11" hidden="1">BM!$C$15:$C$36</definedName>
    <definedName name="_xlnm._FilterDatabase" localSheetId="6" hidden="1">CÁLCULO!$C$15:$C$36</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ORÇAMENTO!$L$15:$L$36</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IF(VALUE(MENU!$O$4)=2,"BM","PLE")</definedName>
    <definedName name="AdmLocal" hidden="1">IF(AND(Import.TipoArredondamento="Tradicional",AUTOEVENTO="Manual"),"Automática",IF(CRONOPLE!$B$8="","Sem Adm","Manual"))</definedName>
    <definedName name="_xlnm.Print_Area" localSheetId="3">BDI!$J$1:$S$132</definedName>
    <definedName name="_xlnm.Print_Area" localSheetId="11">BM!$D$1:$O$51</definedName>
    <definedName name="_xlnm.Print_Area" localSheetId="6">CÁLCULO!$E$6:$AA$44</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ORÇAMENTO!$O$1:$Y$53</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BM!$C$15:$C$36</definedName>
    <definedName name="BM.firstrow" hidden="1">BM!$15:$15</definedName>
    <definedName name="BM.FormulaMed" hidden="1">BM!$AO$7</definedName>
    <definedName name="BM.lastrow" hidden="1">BM!$36:$36</definedName>
    <definedName name="BM.LinhaPadrão" hidden="1">BM!$14:$14</definedName>
    <definedName name="BM.MaxMed" hidden="1">IF(RegimeExecucao="Global",1,BM!$G1)</definedName>
    <definedName name="BM.MCAIXA.Filter" hidden="1">BM!$C$15:$Z$36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CÁLCULO!$C$15:$C$36</definedName>
    <definedName name="CÁLCULO.firstcol" hidden="1">CÁLCULO!$P:$P</definedName>
    <definedName name="CÁLCULO.firstrow" hidden="1">CÁLCULO!$15:$15</definedName>
    <definedName name="CÁLCULO.Frenterow" hidden="1">CÁLCULO!$12:$12</definedName>
    <definedName name="CÁLCULO.FrentesPreenchidas" hidden="1">SUM(OFFSET(CÁLCULO!$P$1,0,1):OFFSET(CÁLCULO!$AA$1,0,-1))</definedName>
    <definedName name="CÁLCULO.lastcol" hidden="1">CÁLCULO!$AA:$AA</definedName>
    <definedName name="CÁLCULO.lastrow" hidden="1">CÁLCULO!$36:$36</definedName>
    <definedName name="CÁLCULO.LinhaPadrão" hidden="1">CÁLCULO!$14:$14</definedName>
    <definedName name="CÁLCULO.margemrow" hidden="1">CÁLCULO!$44:$44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CÁLCULO!$36:$36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CÁLCULO!$36:$36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CÁLCULO!$36:$36</definedName>
    <definedName name="CÁLCULO.nEvento" hidden="1">CÁLCULO!$M$12</definedName>
    <definedName name="CÁLCULO.NúmeroDeEventos" hidden="1">IF(AUTOEVENTO&lt;&gt;"manual",MAX(CÁLCULO!$M$15:$M$36),MAX(OFFSET(EVENTOS!$C$1:$C$65,1,0)))</definedName>
    <definedName name="CÁLCULO.NúmeroDeFrentes" hidden="1">COLUMN(CÁLCULO!$AA$15)-COLUMN(CÁLCULO!$Q$15)</definedName>
    <definedName name="CÁLCULO.Título" hidden="1">CÁLCULO!$F$6</definedName>
    <definedName name="CÁLCULO.TotalAdmLocal" hidden="1">IF(AUTOEVENTO="manual",SUMIF(CÁLCULO!$M$15:$M$36,1,ORÇAMENTO!$X$15:$X$36),0)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margemrow" hidden="1">CRONOPLE!$81:$81</definedName>
    <definedName name="CRONOPLE.Título" hidden="1">CRONOPLE!$G$2</definedName>
    <definedName name="CRONOPLE.ValorDoEvento" hidden="1">SUMIF(CÁLCULO!$M$15:$M$36,CRONOPLE!$B1,OFFSET(CÁLCULO!$AA$15:$AA$36,0,CRONOPLE!A$12))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BM!$D$39</definedName>
    <definedName name="Import.BMAFAcumulado" hidden="1">OFFSET(BM!$R$15,1,0):OFFSET(BM!$R$36,-1,0)</definedName>
    <definedName name="Import.BMArred" hidden="1">BM!$A$9</definedName>
    <definedName name="Import.CNPJ" hidden="1">DADOS!$C$39</definedName>
    <definedName name="Import.Código" hidden="1">OFFSET(ORÇAMENTO!$Q$15,1,0):OFFSET(ORÇAMENTO!$Q$36,-1,0)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OFFSET(ORÇAMENTO!$U$15,1,0):OFFSET(ORÇAMENTO!$U$36,-1,0)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OFFSET(ORÇAMENTO!$R$15,1,0):OFFSET(ORÇAMENTO!$R$36,-1,0)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OFFSET(ORÇAMENTO!$P$15,1,0):OFFSET(ORÇAMENTO!$P$36,-1,0)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OFFSET(ORÇAMENTO!$M$15,1,0):OFFSET(ORÇAMENTO!$M$36,-1,0)</definedName>
    <definedName name="Import.Ofício.Dest" hidden="1">OFÍCIO!$B$11</definedName>
    <definedName name="Import.Ofício.GIGOV" hidden="1">OFÍCIO!$C$11</definedName>
    <definedName name="Import.Ofício.Num" hidden="1">OFÍCIO!$C$6</definedName>
    <definedName name="Import.OpcaoBDI" hidden="1">OFFSET(ORÇAMENTO!$V$15,1,0):OFFSET(ORÇAMENTO!$V$36,-1,0)</definedName>
    <definedName name="Import.ORÇAMENTO.DivRecurso" hidden="1">OFFSET(ORÇAMENTO!$Y$15,1,0):OFFSET(ORÇAMENTO!$Y$36,-1,0)</definedName>
    <definedName name="Import.ORÇAMENTO.Obs" hidden="1">ORÇAMENTO!$O$42</definedName>
    <definedName name="Import.PLE" hidden="1">OFFSET(PLE!$G$15,1,1):OFFSET(PLE!$AG$65,-1,-1)</definedName>
    <definedName name="Import.PLE.Datas" hidden="1">PLE!$I$68:$AF$68</definedName>
    <definedName name="Import.PLQ" hidden="1">OFFSET(CÁLCULO!$P$15,1,1):OFFSET(CÁLCULO!$AA$36,-1,-1)</definedName>
    <definedName name="Import.PLQ.MemCalc" hidden="1">OFFSET(CÁLCULO!$I$15,1,0):OFFSET(CÁLCULO!$I$36,-1,0)</definedName>
    <definedName name="Import.PLQ.nAgrupEvent" hidden="1">OFFSET(CÁLCULO!$K$15,1,0):OFFSET(CÁLCULO!$K$36,-1,0)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OFFSET(ORÇAMENTO!$AJ$15,1,0):OFFSET(ORÇAMENTO!$AJ$36,-1,0)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OFFSET(ORÇAMENTO!$S$15,1,0):OFFSET(ORÇAMENTO!$S$36,-1,0)</definedName>
    <definedName name="Import.UnitarioLicitado" hidden="1">OFFSET(ORÇAMENTO!$AL$15,1,0):OFFSET(ORÇAMENTO!$AL$36,-1,0)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ORÇAMENTO!$R$12</definedName>
    <definedName name="ORÇAMENTO.Filtro" hidden="1">ORÇAMENTO!$L$15:$L$36</definedName>
    <definedName name="ORÇAMENTO.firstrow" hidden="1">ORÇAMENTO!$15:$15</definedName>
    <definedName name="ORÇAMENTO.Fonte" hidden="1">ORÇAMENTO!$P1</definedName>
    <definedName name="ORÇAMENTO.lastrow" hidden="1">ORÇAMENTO!$36:$36</definedName>
    <definedName name="ORÇAMENTO.LinhaPadrão" hidden="1">ORÇAMENTO!$14:$14</definedName>
    <definedName name="ORÇAMENTO.ListaCrono" hidden="1">OFFSET(ORÇAMENTO!$AD$15,1,0):OFFSET(ORÇAMENTO!$AD$36,-1,0)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OFFSET(ORÇAMENTO!$P$15,1,0):OFFSET(ORÇAMENTO!$S$36,-1,0)</definedName>
    <definedName name="ORÇAMENTO.PasteFormat2" hidden="1">OFFSET(ORÇAMENTO!$U$15,1,0):OFFSET(ORÇAMENTO!$V$36,-1,0)</definedName>
    <definedName name="ORÇAMENTO.PrecoUnitarioLicitado" hidden="1">ORÇAMENTO!$AL1</definedName>
    <definedName name="ORÇAMENTO.QuantBM" hidden="1">ORÇAMENTO!$AJ1</definedName>
    <definedName name="ORÇAMENTO.RangeQuant" hidden="1">OFFSET(ORÇAMENTO!$T$15,1,0):OFFSET(ORÇAMENTO!$T$36,-1,0)</definedName>
    <definedName name="ORÇAMENTO.SumCPMANUAL" hidden="1">SUMIF(ORÇAMENTO!$Z$15:$Z$36,"CP",ORÇAMENTO!$AA$15:$AA$36)</definedName>
    <definedName name="ORÇAMENTO.SumINVMANUAL" hidden="1">SUMIF(ORÇAMENTO!$Z$15:$Z$36,"RP",ORÇAMENTO!$X$15:$X$36)+SUMIF(ORÇAMENTO!$Z$15:$Z$36,"CP",ORÇAMENTO!$X$15:$X$36)+SUMIF(ORÇAMENTO!$Z$15:$Z$36,"OU",ORÇAMENTO!$X$15:$X$36)</definedName>
    <definedName name="ORÇAMENTO.SumOUTROSMANUAL" hidden="1">SUMIF(ORÇAMENTO!$Z$15:$Z$36,"OU",ORÇAMENTO!$AB$15:$AB$36)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SUMIF(CÁLCULO!$M$15:$M$36,PLE!$B1,OFFSET(CÁLCULO!$AA$15:$AA$36,0,PLE!A$12))</definedName>
    <definedName name="PO.ValoresBDI" hidden="1">OFFSET(ORÇAMENTO!$AH$15,1,0):OFFSET(ORÇAMENTO!$AH$36,-1,0)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C18" i="8" l="1"/>
  <c r="AJ30" i="5" l="1"/>
  <c r="AJ31" i="5" l="1"/>
  <c r="AJ32" i="5" l="1"/>
  <c r="AJ33" i="5" l="1"/>
  <c r="AJ35" i="5" l="1"/>
  <c r="AJ28" i="5"/>
  <c r="AJ29" i="5" l="1"/>
  <c r="A27" i="5" l="1"/>
  <c r="A34" i="5" l="1"/>
  <c r="A19" i="5" l="1"/>
  <c r="A21" i="5" l="1"/>
  <c r="Q20" i="6"/>
  <c r="A33" i="5"/>
  <c r="H23" i="13" l="1"/>
  <c r="G23" i="13"/>
  <c r="H22" i="13"/>
  <c r="G22" i="13"/>
  <c r="H21" i="13"/>
  <c r="G21" i="13"/>
  <c r="H20" i="13"/>
  <c r="G20" i="13"/>
  <c r="E20" i="13"/>
  <c r="H19" i="13"/>
  <c r="G19" i="13"/>
  <c r="H18" i="13"/>
  <c r="G18" i="13"/>
  <c r="H17" i="13"/>
  <c r="G17" i="13"/>
  <c r="H16" i="13"/>
  <c r="G16" i="13"/>
  <c r="H15" i="13"/>
  <c r="G15" i="13"/>
  <c r="H14" i="13"/>
  <c r="G14" i="13"/>
  <c r="S23" i="11"/>
  <c r="J23" i="11"/>
  <c r="I23" i="13" s="1"/>
  <c r="D23" i="11"/>
  <c r="E23" i="13" s="1"/>
  <c r="S22" i="11"/>
  <c r="J22" i="11"/>
  <c r="I22" i="13" s="1"/>
  <c r="D22" i="11"/>
  <c r="E22" i="13" s="1"/>
  <c r="A22" i="11"/>
  <c r="S21" i="11"/>
  <c r="J21" i="11"/>
  <c r="I21" i="13" s="1"/>
  <c r="D21" i="11"/>
  <c r="E21" i="13" s="1"/>
  <c r="A21" i="11"/>
  <c r="S20" i="11"/>
  <c r="D20" i="11"/>
  <c r="A20" i="11"/>
  <c r="S19" i="11"/>
  <c r="J19" i="11"/>
  <c r="I19" i="13" s="1"/>
  <c r="D19" i="11"/>
  <c r="S18" i="11"/>
  <c r="J18" i="11"/>
  <c r="I18" i="13" s="1"/>
  <c r="D18" i="11"/>
  <c r="E18" i="13" s="1"/>
  <c r="A18" i="11"/>
  <c r="S17" i="11"/>
  <c r="J17" i="11"/>
  <c r="I17" i="13" s="1"/>
  <c r="D17" i="11"/>
  <c r="S16" i="11"/>
  <c r="J16" i="11"/>
  <c r="I16" i="13" s="1"/>
  <c r="D16" i="11"/>
  <c r="E16" i="13" s="1"/>
  <c r="A16" i="11"/>
  <c r="S15" i="11"/>
  <c r="J15" i="11"/>
  <c r="I15" i="13" s="1"/>
  <c r="D15" i="11"/>
  <c r="S14" i="11"/>
  <c r="D14" i="11"/>
  <c r="E14" i="13" s="1"/>
  <c r="B14" i="8"/>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35" i="5"/>
  <c r="A32" i="5"/>
  <c r="A31" i="5"/>
  <c r="A30" i="5"/>
  <c r="A29" i="5"/>
  <c r="A28" i="5"/>
  <c r="A26" i="5"/>
  <c r="A25" i="5"/>
  <c r="A24" i="5"/>
  <c r="A23" i="5"/>
  <c r="A22" i="5"/>
  <c r="A20" i="5"/>
  <c r="A18" i="5"/>
  <c r="A17" i="5"/>
  <c r="C16" i="5"/>
  <c r="F16" i="5" s="1"/>
  <c r="A16" i="5"/>
  <c r="P7" i="13"/>
  <c r="A14" i="11" l="1"/>
  <c r="A23" i="11"/>
  <c r="H16" i="5"/>
  <c r="G16" i="5"/>
  <c r="I16" i="5"/>
  <c r="C17" i="5"/>
  <c r="B17" i="5" s="1"/>
  <c r="A16" i="12"/>
  <c r="B16" i="6"/>
  <c r="J16" i="6" s="1" a="1"/>
  <c r="J16" i="6" s="1"/>
  <c r="B16" i="5"/>
  <c r="W16" i="5"/>
  <c r="H16" i="12" s="1"/>
  <c r="AE16" i="5"/>
  <c r="N16" i="5"/>
  <c r="A17" i="11"/>
  <c r="E17" i="13"/>
  <c r="B17" i="8"/>
  <c r="E19" i="13"/>
  <c r="A19" i="11"/>
  <c r="E15" i="13"/>
  <c r="A15" i="11"/>
  <c r="H67" i="9"/>
  <c r="B17" i="6" l="1"/>
  <c r="J17" i="6" s="1" a="1"/>
  <c r="J17" i="6" s="1"/>
  <c r="H17" i="5"/>
  <c r="A17" i="12"/>
  <c r="E17" i="12"/>
  <c r="N17" i="5"/>
  <c r="D17" i="6" s="1"/>
  <c r="I17" i="5"/>
  <c r="AE17" i="5"/>
  <c r="G17" i="5"/>
  <c r="C18" i="5"/>
  <c r="D18" i="5" s="1"/>
  <c r="B18" i="12" s="1"/>
  <c r="F17" i="5"/>
  <c r="AD16" i="5"/>
  <c r="AD17" i="5" s="1"/>
  <c r="W17" i="5"/>
  <c r="H17" i="12" s="1"/>
  <c r="E16" i="12"/>
  <c r="F16" i="6"/>
  <c r="D16" i="6"/>
  <c r="B20" i="8"/>
  <c r="E16" i="5"/>
  <c r="C93" i="3"/>
  <c r="C94" i="3"/>
  <c r="F17" i="6" l="1"/>
  <c r="K18" i="5"/>
  <c r="G18" i="5"/>
  <c r="AE18" i="5"/>
  <c r="B18" i="6"/>
  <c r="F18" i="5"/>
  <c r="N18" i="5"/>
  <c r="D18" i="6" s="1"/>
  <c r="AD18" i="5"/>
  <c r="B18" i="5"/>
  <c r="H18" i="5"/>
  <c r="J18" i="5"/>
  <c r="A18" i="12"/>
  <c r="E17" i="5"/>
  <c r="B14" i="11"/>
  <c r="B23" i="8"/>
  <c r="N17" i="6"/>
  <c r="M17" i="6"/>
  <c r="H17" i="6" a="1"/>
  <c r="H17" i="6" s="1"/>
  <c r="T17" i="5" s="1"/>
  <c r="G17" i="6"/>
  <c r="H16" i="6" a="1"/>
  <c r="H16" i="6" s="1"/>
  <c r="T16" i="5" s="1"/>
  <c r="G16" i="6"/>
  <c r="N16" i="6"/>
  <c r="M16" i="6"/>
  <c r="AC36" i="5"/>
  <c r="B26" i="8" l="1"/>
  <c r="E18" i="5"/>
  <c r="G16" i="12"/>
  <c r="G14" i="11"/>
  <c r="F14" i="13" s="1"/>
  <c r="C14" i="13"/>
  <c r="K14" i="11"/>
  <c r="J14" i="13" s="1"/>
  <c r="G17" i="12"/>
  <c r="Q1" i="6"/>
  <c r="O1" i="6"/>
  <c r="K14" i="13" l="1"/>
  <c r="B29" i="8"/>
  <c r="R1" i="6"/>
  <c r="S1" i="6" s="1"/>
  <c r="T1" i="6" s="1"/>
  <c r="U1" i="6" s="1"/>
  <c r="V1" i="6" s="1"/>
  <c r="W1" i="6" s="1"/>
  <c r="X1" i="6" s="1"/>
  <c r="Y1" i="6" s="1"/>
  <c r="Z1" i="6" s="1"/>
  <c r="C98" i="3"/>
  <c r="B32" i="8" l="1"/>
  <c r="C5" i="14"/>
  <c r="E2" i="12"/>
  <c r="H18" i="6" a="1"/>
  <c r="H18" i="6" l="1"/>
  <c r="T18" i="5" s="1"/>
  <c r="G18" i="12" s="1"/>
  <c r="B35" i="8"/>
  <c r="S12" i="11"/>
  <c r="B38" i="8" l="1"/>
  <c r="C1" i="7" a="1"/>
  <c r="C1" i="7" s="1"/>
  <c r="B1" i="7" s="1"/>
  <c r="D40" i="2"/>
  <c r="D39" i="2"/>
  <c r="D41" i="2"/>
  <c r="D37" i="2"/>
  <c r="D38" i="2"/>
  <c r="D36" i="2"/>
  <c r="B41" i="8" l="1"/>
  <c r="U94" i="4"/>
  <c r="U11" i="4"/>
  <c r="U10" i="4"/>
  <c r="D31" i="2"/>
  <c r="D29" i="2"/>
  <c r="D28" i="2"/>
  <c r="D24" i="2"/>
  <c r="D23" i="2"/>
  <c r="D22" i="2"/>
  <c r="D19" i="2"/>
  <c r="D18" i="2"/>
  <c r="D17" i="2"/>
  <c r="D16" i="2"/>
  <c r="D11" i="2"/>
  <c r="D9" i="2"/>
  <c r="D8" i="2"/>
  <c r="D7" i="2"/>
  <c r="D6" i="2"/>
  <c r="D5" i="2"/>
  <c r="D4" i="2"/>
  <c r="C116" i="3"/>
  <c r="C114" i="3"/>
  <c r="C110" i="3"/>
  <c r="C109" i="3"/>
  <c r="C106" i="3"/>
  <c r="C105" i="3"/>
  <c r="C101" i="3"/>
  <c r="C90" i="3"/>
  <c r="F8" i="7"/>
  <c r="C11" i="7"/>
  <c r="U106" i="4"/>
  <c r="U26" i="4"/>
  <c r="U66" i="4"/>
  <c r="C19" i="5" l="1"/>
  <c r="B44" i="8"/>
  <c r="D27" i="2"/>
  <c r="D15" i="2"/>
  <c r="D35" i="2"/>
  <c r="H13" i="7"/>
  <c r="B19" i="6" l="1"/>
  <c r="H19" i="5"/>
  <c r="G19" i="5"/>
  <c r="F19" i="5"/>
  <c r="E19" i="5"/>
  <c r="B19" i="5"/>
  <c r="A19" i="12"/>
  <c r="AE19" i="5"/>
  <c r="N19" i="5"/>
  <c r="AD19" i="5"/>
  <c r="C20" i="5"/>
  <c r="B47" i="8"/>
  <c r="H10" i="7"/>
  <c r="D19" i="6" l="1"/>
  <c r="D20" i="5"/>
  <c r="B20" i="12" s="1"/>
  <c r="B20" i="6"/>
  <c r="J20" i="5"/>
  <c r="A20" i="12"/>
  <c r="G20" i="5"/>
  <c r="B20" i="5"/>
  <c r="AE20" i="5"/>
  <c r="F20" i="5"/>
  <c r="K20" i="5"/>
  <c r="AD20" i="5"/>
  <c r="C21" i="5"/>
  <c r="H20" i="5"/>
  <c r="N20" i="5"/>
  <c r="D20" i="6" s="1"/>
  <c r="H20" i="6" s="1" a="1"/>
  <c r="E20" i="5"/>
  <c r="B50" i="8"/>
  <c r="AG176" i="8"/>
  <c r="H174" i="8"/>
  <c r="H176" i="8"/>
  <c r="E13" i="7"/>
  <c r="H20" i="6" l="1"/>
  <c r="T20" i="5" s="1"/>
  <c r="G20" i="12" s="1"/>
  <c r="E21" i="5"/>
  <c r="H19" i="6" a="1"/>
  <c r="H19" i="6" s="1"/>
  <c r="T19" i="5" s="1"/>
  <c r="A21" i="12"/>
  <c r="B21" i="5"/>
  <c r="C22" i="5" s="1"/>
  <c r="AD21" i="5"/>
  <c r="AE21" i="5"/>
  <c r="N21" i="5"/>
  <c r="D21" i="6" s="1"/>
  <c r="H21" i="6" s="1" a="1"/>
  <c r="K21" i="5"/>
  <c r="J21" i="5"/>
  <c r="B21" i="6"/>
  <c r="H21" i="5"/>
  <c r="G21" i="5"/>
  <c r="F21" i="5"/>
  <c r="D21" i="5"/>
  <c r="B21" i="12" s="1"/>
  <c r="B53" i="8"/>
  <c r="C103" i="3"/>
  <c r="C100" i="3"/>
  <c r="C96" i="3"/>
  <c r="H21" i="6" l="1"/>
  <c r="T21" i="5" s="1"/>
  <c r="G21" i="12" s="1"/>
  <c r="G19" i="12"/>
  <c r="B22" i="6"/>
  <c r="F22" i="5"/>
  <c r="G22" i="5"/>
  <c r="B22" i="5"/>
  <c r="C23" i="5"/>
  <c r="E22" i="5"/>
  <c r="A22" i="12"/>
  <c r="AE22" i="5"/>
  <c r="N22" i="5"/>
  <c r="D22" i="6" s="1"/>
  <c r="H22" i="6" s="1" a="1"/>
  <c r="H22" i="6" s="1"/>
  <c r="T22" i="5" s="1"/>
  <c r="G22" i="12" s="1"/>
  <c r="H22" i="5"/>
  <c r="AD22" i="5"/>
  <c r="B56" i="8"/>
  <c r="C92" i="3"/>
  <c r="K19" i="5" l="1"/>
  <c r="A23" i="12"/>
  <c r="H23" i="5"/>
  <c r="G23" i="5"/>
  <c r="K23" i="5"/>
  <c r="D23" i="5"/>
  <c r="B23" i="12" s="1"/>
  <c r="E23" i="5"/>
  <c r="B23" i="6"/>
  <c r="B23" i="5"/>
  <c r="C24" i="5" s="1"/>
  <c r="AE23" i="5"/>
  <c r="AD23" i="5"/>
  <c r="F23" i="5"/>
  <c r="N23" i="5"/>
  <c r="D23" i="6" s="1"/>
  <c r="H23" i="6" s="1" a="1"/>
  <c r="J23" i="5"/>
  <c r="B59" i="8"/>
  <c r="C112" i="3"/>
  <c r="C108" i="3"/>
  <c r="C70" i="3"/>
  <c r="L35" i="13"/>
  <c r="L34" i="13" s="1"/>
  <c r="C84" i="3"/>
  <c r="H23" i="6" l="1"/>
  <c r="T23" i="5" s="1"/>
  <c r="G23" i="12" s="1"/>
  <c r="C25" i="5"/>
  <c r="N24" i="5"/>
  <c r="D24" i="6" s="1"/>
  <c r="H24" i="6" s="1" a="1"/>
  <c r="H24" i="6" s="1"/>
  <c r="T24" i="5" s="1"/>
  <c r="G24" i="12" s="1"/>
  <c r="F24" i="5"/>
  <c r="G24" i="5"/>
  <c r="B24" i="5"/>
  <c r="AD24" i="5"/>
  <c r="H24" i="5"/>
  <c r="AE24" i="5"/>
  <c r="B24" i="6"/>
  <c r="E24" i="5"/>
  <c r="A24" i="12"/>
  <c r="B62" i="8"/>
  <c r="C56" i="3"/>
  <c r="E25" i="5" l="1"/>
  <c r="H25" i="5"/>
  <c r="B25" i="5"/>
  <c r="F25" i="5"/>
  <c r="G25" i="5"/>
  <c r="J25" i="5"/>
  <c r="B25" i="6"/>
  <c r="N25" i="5"/>
  <c r="D25" i="6" s="1"/>
  <c r="H25" i="6" s="1" a="1"/>
  <c r="K25" i="5"/>
  <c r="D25" i="5"/>
  <c r="B25" i="12" s="1"/>
  <c r="A25" i="12"/>
  <c r="AE25" i="5"/>
  <c r="AD25" i="5"/>
  <c r="B65" i="8"/>
  <c r="Q13" i="6"/>
  <c r="A1" i="7"/>
  <c r="V70" i="7" a="1"/>
  <c r="V70" i="7" s="1"/>
  <c r="Y5" i="7"/>
  <c r="X5" i="7"/>
  <c r="P5" i="7"/>
  <c r="C60" i="3"/>
  <c r="S4" i="8"/>
  <c r="F5" i="7"/>
  <c r="H25" i="6" l="1"/>
  <c r="T25" i="5" s="1"/>
  <c r="G25" i="12" s="1"/>
  <c r="B68" i="8"/>
  <c r="R13" i="6"/>
  <c r="S13" i="6" s="1"/>
  <c r="V71" i="7"/>
  <c r="V72" i="7"/>
  <c r="N5" i="7"/>
  <c r="O5" i="7"/>
  <c r="B71" i="8" l="1"/>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B74" i="8" l="1"/>
  <c r="U13" i="6"/>
  <c r="V77" i="9"/>
  <c r="V78" i="9"/>
  <c r="L70" i="7" a="1"/>
  <c r="L72" i="7" s="1"/>
  <c r="D68" i="7"/>
  <c r="C5" i="7"/>
  <c r="B77" i="8" l="1"/>
  <c r="I13" i="7"/>
  <c r="J13" i="7" s="1"/>
  <c r="K13" i="7" s="1"/>
  <c r="L13" i="7" s="1"/>
  <c r="M13" i="7" s="1"/>
  <c r="N13" i="7" s="1"/>
  <c r="O13" i="7" s="1"/>
  <c r="M1" i="6" a="1"/>
  <c r="M1" i="6" s="1"/>
  <c r="V13" i="6"/>
  <c r="L70" i="7"/>
  <c r="L71"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B80" i="8" l="1"/>
  <c r="J10" i="7"/>
  <c r="I10" i="7"/>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12" i="6"/>
  <c r="AX13" i="6"/>
  <c r="AX12" i="6" s="1"/>
  <c r="AB13" i="6"/>
  <c r="AB12" i="6" s="1"/>
  <c r="AM13" i="6"/>
  <c r="AM12" i="6" s="1"/>
  <c r="H12" i="10"/>
  <c r="H11" i="10" s="1"/>
  <c r="S27" i="4"/>
  <c r="U27" i="4" s="1"/>
  <c r="BG15" i="6"/>
  <c r="BF15" i="6"/>
  <c r="BE15" i="6"/>
  <c r="BD15" i="6"/>
  <c r="BC15" i="6"/>
  <c r="BB15" i="6"/>
  <c r="BA15" i="6"/>
  <c r="AZ15" i="6"/>
  <c r="AY15" i="6"/>
  <c r="AX15" i="6"/>
  <c r="I69" i="10"/>
  <c r="G12" i="9"/>
  <c r="G11" i="9" s="1"/>
  <c r="C20" i="3"/>
  <c r="C22" i="3"/>
  <c r="C24" i="3"/>
  <c r="C26" i="3"/>
  <c r="C28" i="3"/>
  <c r="C19" i="3"/>
  <c r="C15" i="3"/>
  <c r="C14" i="3"/>
  <c r="C12" i="3"/>
  <c r="I36" i="11"/>
  <c r="I35" i="11"/>
  <c r="AA179" i="8" a="1"/>
  <c r="T42" i="6" a="1"/>
  <c r="T44" i="6" s="1"/>
  <c r="I42" i="6" a="1"/>
  <c r="I43" i="6" s="1"/>
  <c r="AB13" i="12"/>
  <c r="C2" i="4"/>
  <c r="Z7" i="11"/>
  <c r="V12" i="8"/>
  <c r="E12" i="8"/>
  <c r="A14" i="5"/>
  <c r="C14" i="5" s="1"/>
  <c r="AV15" i="6"/>
  <c r="AU15" i="6"/>
  <c r="AT15" i="6"/>
  <c r="AS15" i="6"/>
  <c r="AR15" i="6"/>
  <c r="AQ15" i="6"/>
  <c r="AP15" i="6"/>
  <c r="AO15" i="6"/>
  <c r="AN15" i="6"/>
  <c r="AM15" i="6"/>
  <c r="D12" i="11"/>
  <c r="A12" i="11" s="1"/>
  <c r="L39" i="13"/>
  <c r="S107" i="4"/>
  <c r="U107" i="4" s="1"/>
  <c r="S67" i="4"/>
  <c r="U67" i="4" s="1"/>
  <c r="C8" i="4"/>
  <c r="C9" i="4"/>
  <c r="C10" i="4"/>
  <c r="C11" i="4"/>
  <c r="C12" i="4"/>
  <c r="C13" i="4"/>
  <c r="L46" i="13"/>
  <c r="B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45" i="12"/>
  <c r="E46" i="12"/>
  <c r="K48" i="12" a="1"/>
  <c r="K50" i="12" s="1"/>
  <c r="F6" i="6"/>
  <c r="F7" i="6"/>
  <c r="E10" i="6"/>
  <c r="I10" i="6"/>
  <c r="K10" i="6"/>
  <c r="S10" i="6"/>
  <c r="U10" i="6"/>
  <c r="O13" i="6"/>
  <c r="O15" i="6" s="1"/>
  <c r="O11" i="6" s="1"/>
  <c r="B15" i="6"/>
  <c r="C15" i="6"/>
  <c r="D15" i="6"/>
  <c r="E15" i="6"/>
  <c r="B36" i="6"/>
  <c r="C36" i="6"/>
  <c r="F40" i="6"/>
  <c r="S5" i="8"/>
  <c r="Z7" i="8"/>
  <c r="AF7" i="8"/>
  <c r="I8" i="8"/>
  <c r="L8" i="8"/>
  <c r="U8" i="8"/>
  <c r="Z8" i="8"/>
  <c r="AF8" i="8"/>
  <c r="E13" i="8"/>
  <c r="V13" i="8"/>
  <c r="W13" i="8" s="1"/>
  <c r="X13" i="8" s="1"/>
  <c r="Y13" i="8" s="1"/>
  <c r="Z13" i="8" s="1"/>
  <c r="AA13" i="8" s="1"/>
  <c r="AB13" i="8" s="1"/>
  <c r="AC13" i="8" s="1"/>
  <c r="AD13" i="8" s="1"/>
  <c r="AE13" i="8" s="1"/>
  <c r="AF13" i="8" s="1"/>
  <c r="T166" i="8"/>
  <c r="T171" i="8"/>
  <c r="I177" i="8"/>
  <c r="B1" i="9"/>
  <c r="E12" i="9"/>
  <c r="E11" i="9" s="1"/>
  <c r="I2" i="2"/>
  <c r="K2" i="2"/>
  <c r="M2" i="2"/>
  <c r="O2" i="2"/>
  <c r="Q2" i="2"/>
  <c r="S2" i="2"/>
  <c r="U2" i="2"/>
  <c r="W2" i="2"/>
  <c r="Y2" i="2"/>
  <c r="AA2" i="2"/>
  <c r="AC2" i="2"/>
  <c r="AE2" i="2"/>
  <c r="AG2" i="2"/>
  <c r="AI2" i="2"/>
  <c r="AK2" i="2"/>
  <c r="AM2" i="2"/>
  <c r="AO2" i="2"/>
  <c r="B9" i="2"/>
  <c r="C8" i="3"/>
  <c r="C9" i="3"/>
  <c r="C18" i="14"/>
  <c r="C19" i="14"/>
  <c r="B22" i="14"/>
  <c r="B24" i="14"/>
  <c r="B30" i="14"/>
  <c r="B54" i="14"/>
  <c r="B55" i="14"/>
  <c r="R2" i="5"/>
  <c r="O5" i="5"/>
  <c r="R5" i="5"/>
  <c r="S5" i="5"/>
  <c r="O46" i="5"/>
  <c r="R7" i="5"/>
  <c r="S7" i="5"/>
  <c r="V7" i="5"/>
  <c r="W7" i="5"/>
  <c r="X7" i="5"/>
  <c r="R8" i="5"/>
  <c r="S8" i="5"/>
  <c r="U13" i="5"/>
  <c r="V13" i="5"/>
  <c r="AH13" i="5"/>
  <c r="M15" i="5"/>
  <c r="N15" i="5"/>
  <c r="O15" i="5"/>
  <c r="O49" i="5"/>
  <c r="T51" i="5" a="1"/>
  <c r="T51" i="5" s="1"/>
  <c r="B1" i="10"/>
  <c r="H4" i="10"/>
  <c r="V6" i="10"/>
  <c r="AE6" i="10"/>
  <c r="B7" i="10"/>
  <c r="H7" i="10"/>
  <c r="O7" i="10"/>
  <c r="V7" i="10"/>
  <c r="AE7" i="10"/>
  <c r="F12" i="10"/>
  <c r="F11" i="10" s="1"/>
  <c r="B77" i="10"/>
  <c r="W79" i="10" a="1"/>
  <c r="W80" i="10" s="1"/>
  <c r="D4" i="11"/>
  <c r="G4" i="11"/>
  <c r="J4" i="11"/>
  <c r="M6" i="11"/>
  <c r="D7" i="11"/>
  <c r="L7" i="11"/>
  <c r="M7" i="11"/>
  <c r="J12" i="11"/>
  <c r="I12" i="13" s="1"/>
  <c r="L13" i="11"/>
  <c r="L9" i="11" s="1"/>
  <c r="D33" i="11"/>
  <c r="F1" i="13"/>
  <c r="E4" i="13"/>
  <c r="I4" i="13"/>
  <c r="P4" i="13"/>
  <c r="M6" i="13"/>
  <c r="E7" i="13"/>
  <c r="I7" i="13"/>
  <c r="M7" i="13"/>
  <c r="M11" i="13"/>
  <c r="Y11" i="13"/>
  <c r="G12" i="13"/>
  <c r="H12" i="13"/>
  <c r="J25" i="13"/>
  <c r="AC2" i="13" s="1"/>
  <c r="E35" i="13"/>
  <c r="E39" i="13"/>
  <c r="F40" i="13"/>
  <c r="M40" i="13"/>
  <c r="E41" i="13"/>
  <c r="F41" i="13"/>
  <c r="L41" i="13"/>
  <c r="M41" i="13"/>
  <c r="M42" i="13"/>
  <c r="L43" i="13"/>
  <c r="M43" i="13"/>
  <c r="E46" i="13"/>
  <c r="E48" i="13"/>
  <c r="L48" i="13"/>
  <c r="E49" i="13"/>
  <c r="L49" i="13"/>
  <c r="D43" i="12"/>
  <c r="O8" i="5"/>
  <c r="K130" i="4" l="1"/>
  <c r="J20" i="11"/>
  <c r="I20" i="13" s="1"/>
  <c r="J14" i="11"/>
  <c r="I14" i="13" s="1"/>
  <c r="Y64" i="7" a="1"/>
  <c r="Y64" i="7" s="1"/>
  <c r="S64" i="7" a="1"/>
  <c r="S64" i="7" s="1"/>
  <c r="M64" i="7" a="1"/>
  <c r="M64" i="7" s="1"/>
  <c r="F64" i="7"/>
  <c r="W63" i="7" a="1"/>
  <c r="W63" i="7" s="1"/>
  <c r="Q63" i="7" a="1"/>
  <c r="Q63" i="7" s="1"/>
  <c r="K63" i="7" a="1"/>
  <c r="K63" i="7" s="1"/>
  <c r="U62" i="7" a="1"/>
  <c r="U62" i="7" s="1"/>
  <c r="O62" i="7" a="1"/>
  <c r="O62" i="7" s="1"/>
  <c r="I62" i="7" a="1"/>
  <c r="I62" i="7" s="1"/>
  <c r="Y61" i="7" a="1"/>
  <c r="Y61" i="7" s="1"/>
  <c r="S61" i="7" a="1"/>
  <c r="S61" i="7" s="1"/>
  <c r="M61" i="7" a="1"/>
  <c r="M61" i="7" s="1"/>
  <c r="F61" i="7"/>
  <c r="W60" i="7" a="1"/>
  <c r="W60" i="7" s="1"/>
  <c r="Q60" i="7" a="1"/>
  <c r="Q60" i="7" s="1"/>
  <c r="K60" i="7" a="1"/>
  <c r="K60" i="7" s="1"/>
  <c r="U59" i="7" a="1"/>
  <c r="U59" i="7" s="1"/>
  <c r="O59" i="7" a="1"/>
  <c r="O59" i="7" s="1"/>
  <c r="I59" i="7" a="1"/>
  <c r="I59" i="7" s="1"/>
  <c r="Y58" i="7" a="1"/>
  <c r="Y58" i="7" s="1"/>
  <c r="S58" i="7" a="1"/>
  <c r="S58" i="7" s="1"/>
  <c r="M58" i="7" a="1"/>
  <c r="M58" i="7" s="1"/>
  <c r="F58" i="7"/>
  <c r="W57" i="7" a="1"/>
  <c r="W57" i="7" s="1"/>
  <c r="Q57" i="7" a="1"/>
  <c r="Q57" i="7" s="1"/>
  <c r="K57" i="7" a="1"/>
  <c r="K57" i="7" s="1"/>
  <c r="U56" i="7" a="1"/>
  <c r="U56" i="7" s="1"/>
  <c r="O56" i="7" a="1"/>
  <c r="O56" i="7" s="1"/>
  <c r="I56" i="7" a="1"/>
  <c r="I56" i="7" s="1"/>
  <c r="Y55" i="7" a="1"/>
  <c r="Y55" i="7" s="1"/>
  <c r="S55" i="7" a="1"/>
  <c r="S55" i="7" s="1"/>
  <c r="M55" i="7" a="1"/>
  <c r="M55" i="7" s="1"/>
  <c r="F55" i="7"/>
  <c r="W54" i="7" a="1"/>
  <c r="W54" i="7" s="1"/>
  <c r="Q54" i="7" a="1"/>
  <c r="Q54" i="7" s="1"/>
  <c r="K54" i="7" a="1"/>
  <c r="K54" i="7" s="1"/>
  <c r="U53" i="7" a="1"/>
  <c r="U53" i="7" s="1"/>
  <c r="O53" i="7" a="1"/>
  <c r="O53" i="7" s="1"/>
  <c r="I53" i="7" a="1"/>
  <c r="I53" i="7" s="1"/>
  <c r="Y52" i="7" a="1"/>
  <c r="Y52" i="7" s="1"/>
  <c r="S52" i="7" a="1"/>
  <c r="S52" i="7" s="1"/>
  <c r="M52" i="7" a="1"/>
  <c r="M52" i="7" s="1"/>
  <c r="F52" i="7"/>
  <c r="W51" i="7" a="1"/>
  <c r="W51" i="7" s="1"/>
  <c r="Q51" i="7" a="1"/>
  <c r="Q51" i="7" s="1"/>
  <c r="K51" i="7" a="1"/>
  <c r="K51" i="7" s="1"/>
  <c r="X64" i="7" a="1"/>
  <c r="X64" i="7" s="1"/>
  <c r="R64" i="7" a="1"/>
  <c r="R64" i="7" s="1"/>
  <c r="L64" i="7" a="1"/>
  <c r="L64" i="7" s="1"/>
  <c r="E64" i="7" a="1"/>
  <c r="E64" i="7" s="1"/>
  <c r="V63" i="7" a="1"/>
  <c r="V63" i="7" s="1"/>
  <c r="P63" i="7" a="1"/>
  <c r="P63" i="7" s="1"/>
  <c r="J63" i="7" a="1"/>
  <c r="J63"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S59" i="7" a="1"/>
  <c r="S59" i="7" s="1"/>
  <c r="M59" i="7" a="1"/>
  <c r="M59" i="7" s="1"/>
  <c r="F59" i="7"/>
  <c r="W58" i="7" a="1"/>
  <c r="W58" i="7" s="1"/>
  <c r="Q58" i="7" a="1"/>
  <c r="Q58" i="7" s="1"/>
  <c r="K58" i="7" a="1"/>
  <c r="K58" i="7" s="1"/>
  <c r="U57" i="7" a="1"/>
  <c r="U57" i="7" s="1"/>
  <c r="O57" i="7" a="1"/>
  <c r="O57" i="7" s="1"/>
  <c r="I57" i="7" a="1"/>
  <c r="I57" i="7" s="1"/>
  <c r="Y56" i="7" a="1"/>
  <c r="Y56" i="7" s="1"/>
  <c r="S56" i="7" a="1"/>
  <c r="S56" i="7" s="1"/>
  <c r="M56" i="7" a="1"/>
  <c r="M56" i="7" s="1"/>
  <c r="F56" i="7"/>
  <c r="W55" i="7" a="1"/>
  <c r="W55" i="7" s="1"/>
  <c r="Q55" i="7" a="1"/>
  <c r="Q55" i="7" s="1"/>
  <c r="K55" i="7" a="1"/>
  <c r="K55" i="7" s="1"/>
  <c r="U54" i="7" a="1"/>
  <c r="U54" i="7" s="1"/>
  <c r="O54" i="7" a="1"/>
  <c r="O54" i="7" s="1"/>
  <c r="T64" i="7" a="1"/>
  <c r="T64" i="7" s="1"/>
  <c r="N64" i="7" a="1"/>
  <c r="N64" i="7" s="1"/>
  <c r="H64" i="7" a="1"/>
  <c r="H64" i="7" s="1"/>
  <c r="T63" i="7" a="1"/>
  <c r="T63" i="7" s="1"/>
  <c r="H63" i="7" a="1"/>
  <c r="H63" i="7" s="1"/>
  <c r="L61" i="7" a="1"/>
  <c r="L61" i="7" s="1"/>
  <c r="X60" i="7" a="1"/>
  <c r="X60" i="7" s="1"/>
  <c r="M60" i="7" a="1"/>
  <c r="M60" i="7" s="1"/>
  <c r="Q59" i="7" a="1"/>
  <c r="Q59" i="7" s="1"/>
  <c r="H59" i="7" a="1"/>
  <c r="H59" i="7" s="1"/>
  <c r="U58" i="7" a="1"/>
  <c r="U58" i="7" s="1"/>
  <c r="L58" i="7" a="1"/>
  <c r="L58" i="7" s="1"/>
  <c r="Y57" i="7" a="1"/>
  <c r="Y57" i="7" s="1"/>
  <c r="P57" i="7" a="1"/>
  <c r="P57" i="7" s="1"/>
  <c r="F57" i="7"/>
  <c r="L56" i="7" a="1"/>
  <c r="L56" i="7" s="1"/>
  <c r="J55" i="7" a="1"/>
  <c r="J55" i="7" s="1"/>
  <c r="I54" i="7" a="1"/>
  <c r="I54" i="7" s="1"/>
  <c r="X52" i="7" a="1"/>
  <c r="X52" i="7" s="1"/>
  <c r="Q52" i="7" a="1"/>
  <c r="Q52" i="7" s="1"/>
  <c r="J51" i="7" a="1"/>
  <c r="J51" i="7" s="1"/>
  <c r="Y50" i="7" a="1"/>
  <c r="Y50" i="7" s="1"/>
  <c r="J64" i="7" a="1"/>
  <c r="J64" i="7" s="1"/>
  <c r="T62" i="7" a="1"/>
  <c r="T62" i="7" s="1"/>
  <c r="J62" i="7" a="1"/>
  <c r="J62" i="7" s="1"/>
  <c r="U61" i="7" a="1"/>
  <c r="U61" i="7" s="1"/>
  <c r="J61" i="7" a="1"/>
  <c r="J61" i="7" s="1"/>
  <c r="T56" i="7" a="1"/>
  <c r="T56" i="7" s="1"/>
  <c r="R55" i="7" a="1"/>
  <c r="R55" i="7" s="1"/>
  <c r="X54" i="7" a="1"/>
  <c r="X54" i="7" s="1"/>
  <c r="P54" i="7" a="1"/>
  <c r="P54" i="7" s="1"/>
  <c r="H54" i="7" a="1"/>
  <c r="H54" i="7" s="1"/>
  <c r="W53" i="7" a="1"/>
  <c r="W53" i="7" s="1"/>
  <c r="P53" i="7" a="1"/>
  <c r="P53" i="7" s="1"/>
  <c r="P52" i="7" a="1"/>
  <c r="P52" i="7" s="1"/>
  <c r="I52" i="7" a="1"/>
  <c r="I52" i="7" s="1"/>
  <c r="X51" i="7" a="1"/>
  <c r="X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T42" i="7" a="1"/>
  <c r="T42" i="7" s="1"/>
  <c r="N42" i="7" a="1"/>
  <c r="N42" i="7" s="1"/>
  <c r="H42" i="7" a="1"/>
  <c r="H42" i="7" s="1"/>
  <c r="X41" i="7" a="1"/>
  <c r="X41" i="7" s="1"/>
  <c r="R41" i="7" a="1"/>
  <c r="R41" i="7" s="1"/>
  <c r="L41" i="7" a="1"/>
  <c r="L41" i="7" s="1"/>
  <c r="E41" i="7" a="1"/>
  <c r="E41" i="7" s="1"/>
  <c r="V40" i="7" a="1"/>
  <c r="V40" i="7" s="1"/>
  <c r="P40" i="7" a="1"/>
  <c r="P40" i="7" s="1"/>
  <c r="J40" i="7" a="1"/>
  <c r="J40" i="7" s="1"/>
  <c r="T39" i="7" a="1"/>
  <c r="T39" i="7" s="1"/>
  <c r="S63" i="7" a="1"/>
  <c r="S63" i="7" s="1"/>
  <c r="F63" i="7"/>
  <c r="R62" i="7" a="1"/>
  <c r="R62" i="7" s="1"/>
  <c r="V60" i="7" a="1"/>
  <c r="V60" i="7" s="1"/>
  <c r="L60" i="7" a="1"/>
  <c r="L60" i="7" s="1"/>
  <c r="X59" i="7" a="1"/>
  <c r="X59" i="7" s="1"/>
  <c r="P59" i="7" a="1"/>
  <c r="P59" i="7" s="1"/>
  <c r="E59" i="7" a="1"/>
  <c r="E59" i="7" s="1"/>
  <c r="T58" i="7" a="1"/>
  <c r="T58" i="7" s="1"/>
  <c r="J58" i="7" a="1"/>
  <c r="J58" i="7" s="1"/>
  <c r="X57" i="7" a="1"/>
  <c r="X57" i="7" s="1"/>
  <c r="N57" i="7" a="1"/>
  <c r="N57" i="7" s="1"/>
  <c r="E57" i="7" a="1"/>
  <c r="E57" i="7" s="1"/>
  <c r="K56" i="7" a="1"/>
  <c r="K56" i="7" s="1"/>
  <c r="I55" i="7" a="1"/>
  <c r="I55" i="7" s="1"/>
  <c r="H53" i="7" a="1"/>
  <c r="H53" i="7" s="1"/>
  <c r="W52" i="7" a="1"/>
  <c r="W52" i="7" s="1"/>
  <c r="P51" i="7" a="1"/>
  <c r="P51" i="7" s="1"/>
  <c r="I51" i="7" a="1"/>
  <c r="I51" i="7" s="1"/>
  <c r="V64" i="7" a="1"/>
  <c r="V64" i="7" s="1"/>
  <c r="I64" i="7" a="1"/>
  <c r="I64" i="7" s="1"/>
  <c r="H62" i="7" a="1"/>
  <c r="H62" i="7" s="1"/>
  <c r="T61" i="7" a="1"/>
  <c r="T61" i="7" s="1"/>
  <c r="I61" i="7" a="1"/>
  <c r="I61" i="7" s="1"/>
  <c r="T60" i="7" a="1"/>
  <c r="T60" i="7" s="1"/>
  <c r="R56" i="7" a="1"/>
  <c r="R56" i="7" s="1"/>
  <c r="P55" i="7" a="1"/>
  <c r="P55" i="7" s="1"/>
  <c r="N54" i="7" a="1"/>
  <c r="N54" i="7" s="1"/>
  <c r="F54" i="7"/>
  <c r="V53" i="7" a="1"/>
  <c r="V53" i="7" s="1"/>
  <c r="V52" i="7" a="1"/>
  <c r="V52" i="7" s="1"/>
  <c r="O52" i="7" a="1"/>
  <c r="O52" i="7" s="1"/>
  <c r="H52" i="7" a="1"/>
  <c r="H52" i="7" s="1"/>
  <c r="H51" i="7" a="1"/>
  <c r="H51" i="7" s="1"/>
  <c r="W50" i="7" a="1"/>
  <c r="W50" i="7" s="1"/>
  <c r="Q50" i="7" a="1"/>
  <c r="Q50" i="7" s="1"/>
  <c r="K50" i="7" a="1"/>
  <c r="K50" i="7" s="1"/>
  <c r="U49" i="7" a="1"/>
  <c r="U49" i="7" s="1"/>
  <c r="O49" i="7" a="1"/>
  <c r="O49" i="7" s="1"/>
  <c r="I49" i="7" a="1"/>
  <c r="I49" i="7" s="1"/>
  <c r="Y48" i="7" a="1"/>
  <c r="Y48" i="7" s="1"/>
  <c r="S48" i="7" a="1"/>
  <c r="S48" i="7" s="1"/>
  <c r="M48" i="7" a="1"/>
  <c r="M48" i="7" s="1"/>
  <c r="F48" i="7"/>
  <c r="W47" i="7" a="1"/>
  <c r="W47" i="7" s="1"/>
  <c r="Q47" i="7" a="1"/>
  <c r="Q47" i="7" s="1"/>
  <c r="K47" i="7" a="1"/>
  <c r="K47" i="7" s="1"/>
  <c r="U46" i="7" a="1"/>
  <c r="U46" i="7" s="1"/>
  <c r="O46" i="7" a="1"/>
  <c r="O46" i="7" s="1"/>
  <c r="I46" i="7" a="1"/>
  <c r="I46" i="7" s="1"/>
  <c r="Y45" i="7" a="1"/>
  <c r="Y45" i="7" s="1"/>
  <c r="S45" i="7" a="1"/>
  <c r="S45" i="7" s="1"/>
  <c r="M45" i="7" a="1"/>
  <c r="M45" i="7" s="1"/>
  <c r="F45" i="7"/>
  <c r="W44" i="7" a="1"/>
  <c r="W44" i="7" s="1"/>
  <c r="Q44" i="7" a="1"/>
  <c r="Q44" i="7" s="1"/>
  <c r="K44" i="7" a="1"/>
  <c r="K44" i="7" s="1"/>
  <c r="U43" i="7" a="1"/>
  <c r="U43" i="7" s="1"/>
  <c r="O43" i="7" a="1"/>
  <c r="O43" i="7" s="1"/>
  <c r="I43" i="7" a="1"/>
  <c r="I43" i="7" s="1"/>
  <c r="Y42" i="7" a="1"/>
  <c r="Y42" i="7" s="1"/>
  <c r="S42" i="7" a="1"/>
  <c r="S42" i="7" s="1"/>
  <c r="M42" i="7" a="1"/>
  <c r="M42" i="7" s="1"/>
  <c r="F42" i="7"/>
  <c r="W41" i="7" a="1"/>
  <c r="W41" i="7" s="1"/>
  <c r="R63" i="7" a="1"/>
  <c r="R63" i="7" s="1"/>
  <c r="E63" i="7" a="1"/>
  <c r="E63" i="7" s="1"/>
  <c r="Q62" i="7" a="1"/>
  <c r="Q62" i="7" s="1"/>
  <c r="E62" i="7" a="1"/>
  <c r="E62" i="7" s="1"/>
  <c r="J60" i="7" a="1"/>
  <c r="J60" i="7" s="1"/>
  <c r="W59" i="7" a="1"/>
  <c r="W59" i="7" s="1"/>
  <c r="N59" i="7" a="1"/>
  <c r="N59" i="7" s="1"/>
  <c r="R58" i="7" a="1"/>
  <c r="R58" i="7" s="1"/>
  <c r="I58" i="7" a="1"/>
  <c r="I58" i="7" s="1"/>
  <c r="V57" i="7" a="1"/>
  <c r="V57" i="7" s="1"/>
  <c r="M57" i="7" a="1"/>
  <c r="M57" i="7" s="1"/>
  <c r="J56" i="7" a="1"/>
  <c r="J56" i="7" s="1"/>
  <c r="X55" i="7" a="1"/>
  <c r="X55" i="7" s="1"/>
  <c r="H55" i="7" a="1"/>
  <c r="H55" i="7" s="1"/>
  <c r="V54" i="7" a="1"/>
  <c r="V54" i="7" s="1"/>
  <c r="N53" i="7" a="1"/>
  <c r="N53" i="7" s="1"/>
  <c r="F53" i="7"/>
  <c r="V51" i="7" a="1"/>
  <c r="V51" i="7" s="1"/>
  <c r="O51" i="7" a="1"/>
  <c r="O51" i="7" s="1"/>
  <c r="U64" i="7" a="1"/>
  <c r="U64" i="7" s="1"/>
  <c r="R61" i="7" a="1"/>
  <c r="R61" i="7" s="1"/>
  <c r="H61" i="7" a="1"/>
  <c r="H61" i="7" s="1"/>
  <c r="S60" i="7" a="1"/>
  <c r="S60" i="7" s="1"/>
  <c r="Q56" i="7" a="1"/>
  <c r="Q56" i="7" s="1"/>
  <c r="O55" i="7" a="1"/>
  <c r="O55" i="7" s="1"/>
  <c r="M54" i="7" a="1"/>
  <c r="M54" i="7" s="1"/>
  <c r="E54" i="7" a="1"/>
  <c r="E54" i="7" s="1"/>
  <c r="E53" i="7" a="1"/>
  <c r="E53" i="7" s="1"/>
  <c r="U52" i="7" a="1"/>
  <c r="U52" i="7" s="1"/>
  <c r="N52" i="7" a="1"/>
  <c r="N52" i="7" s="1"/>
  <c r="N51" i="7" a="1"/>
  <c r="N51" i="7" s="1"/>
  <c r="F51" i="7"/>
  <c r="V50" i="7" a="1"/>
  <c r="V50" i="7" s="1"/>
  <c r="P50" i="7" a="1"/>
  <c r="P50" i="7" s="1"/>
  <c r="J50" i="7" a="1"/>
  <c r="J50" i="7" s="1"/>
  <c r="T49" i="7" a="1"/>
  <c r="T49" i="7" s="1"/>
  <c r="N49" i="7" a="1"/>
  <c r="N49" i="7" s="1"/>
  <c r="H49" i="7" a="1"/>
  <c r="H49" i="7" s="1"/>
  <c r="X48" i="7" a="1"/>
  <c r="X48" i="7" s="1"/>
  <c r="R48" i="7" a="1"/>
  <c r="R48" i="7" s="1"/>
  <c r="L48" i="7" a="1"/>
  <c r="L48" i="7" s="1"/>
  <c r="E48" i="7" a="1"/>
  <c r="E48" i="7" s="1"/>
  <c r="V47" i="7" a="1"/>
  <c r="V47" i="7" s="1"/>
  <c r="P47" i="7" a="1"/>
  <c r="P47" i="7" s="1"/>
  <c r="J47" i="7" a="1"/>
  <c r="J47" i="7" s="1"/>
  <c r="T46" i="7" a="1"/>
  <c r="T46" i="7" s="1"/>
  <c r="N46" i="7" a="1"/>
  <c r="N46" i="7" s="1"/>
  <c r="H46" i="7" a="1"/>
  <c r="H46" i="7" s="1"/>
  <c r="X45" i="7" a="1"/>
  <c r="X45" i="7" s="1"/>
  <c r="R45" i="7" a="1"/>
  <c r="R45" i="7" s="1"/>
  <c r="L45" i="7" a="1"/>
  <c r="L45" i="7" s="1"/>
  <c r="E45" i="7" a="1"/>
  <c r="E45" i="7" s="1"/>
  <c r="V44" i="7" a="1"/>
  <c r="V44" i="7" s="1"/>
  <c r="P44" i="7" a="1"/>
  <c r="P44" i="7" s="1"/>
  <c r="J44" i="7" a="1"/>
  <c r="J44" i="7" s="1"/>
  <c r="T43" i="7" a="1"/>
  <c r="T43" i="7" s="1"/>
  <c r="N43" i="7" a="1"/>
  <c r="N43" i="7" s="1"/>
  <c r="H43" i="7" a="1"/>
  <c r="H43" i="7" s="1"/>
  <c r="X42" i="7" a="1"/>
  <c r="X42" i="7" s="1"/>
  <c r="R42" i="7" a="1"/>
  <c r="R42" i="7" s="1"/>
  <c r="L42" i="7" a="1"/>
  <c r="L42" i="7" s="1"/>
  <c r="E42" i="7" a="1"/>
  <c r="E42" i="7" s="1"/>
  <c r="V41" i="7" a="1"/>
  <c r="V41" i="7" s="1"/>
  <c r="P41" i="7" a="1"/>
  <c r="P41" i="7" s="1"/>
  <c r="J41" i="7" a="1"/>
  <c r="J41" i="7" s="1"/>
  <c r="T40" i="7" a="1"/>
  <c r="T40" i="7" s="1"/>
  <c r="N40" i="7" a="1"/>
  <c r="N40" i="7" s="1"/>
  <c r="H40" i="7" a="1"/>
  <c r="H40" i="7" s="1"/>
  <c r="X39" i="7" a="1"/>
  <c r="X39" i="7" s="1"/>
  <c r="R39" i="7" a="1"/>
  <c r="R39" i="7" s="1"/>
  <c r="L39" i="7" a="1"/>
  <c r="L39" i="7" s="1"/>
  <c r="E39" i="7" a="1"/>
  <c r="E39" i="7" s="1"/>
  <c r="V38" i="7" a="1"/>
  <c r="V38" i="7" s="1"/>
  <c r="P38" i="7" a="1"/>
  <c r="P38" i="7" s="1"/>
  <c r="J38" i="7" a="1"/>
  <c r="J38" i="7" s="1"/>
  <c r="O64" i="7" a="1"/>
  <c r="O64" i="7" s="1"/>
  <c r="X63" i="7" a="1"/>
  <c r="X63" i="7" s="1"/>
  <c r="L63" i="7" a="1"/>
  <c r="L63" i="7" s="1"/>
  <c r="X61" i="7" a="1"/>
  <c r="X61" i="7" s="1"/>
  <c r="N61" i="7" a="1"/>
  <c r="N61" i="7" s="1"/>
  <c r="Y60" i="7" a="1"/>
  <c r="Y60" i="7" s="1"/>
  <c r="N60" i="7" a="1"/>
  <c r="N60" i="7" s="1"/>
  <c r="E60" i="7" a="1"/>
  <c r="E60" i="7" s="1"/>
  <c r="R59" i="7" a="1"/>
  <c r="R59" i="7" s="1"/>
  <c r="J59" i="7" a="1"/>
  <c r="J59" i="7" s="1"/>
  <c r="V58" i="7" a="1"/>
  <c r="V58" i="7" s="1"/>
  <c r="N58" i="7" a="1"/>
  <c r="N58" i="7" s="1"/>
  <c r="R57" i="7" a="1"/>
  <c r="R57" i="7" s="1"/>
  <c r="H57" i="7" a="1"/>
  <c r="H57" i="7" s="1"/>
  <c r="V56" i="7" a="1"/>
  <c r="V56" i="7" s="1"/>
  <c r="N56" i="7" a="1"/>
  <c r="N56" i="7" s="1"/>
  <c r="T55" i="7" a="1"/>
  <c r="T55" i="7" s="1"/>
  <c r="L55" i="7" a="1"/>
  <c r="L55" i="7" s="1"/>
  <c r="R54" i="7" a="1"/>
  <c r="R54" i="7" s="1"/>
  <c r="J54" i="7" a="1"/>
  <c r="J54" i="7" s="1"/>
  <c r="Y53" i="7" a="1"/>
  <c r="Y53" i="7" s="1"/>
  <c r="R52" i="7" a="1"/>
  <c r="R52" i="7" s="1"/>
  <c r="K52" i="7" a="1"/>
  <c r="K52" i="7" s="1"/>
  <c r="V62" i="7" a="1"/>
  <c r="V62" i="7" s="1"/>
  <c r="K62" i="7" a="1"/>
  <c r="K62" i="7" s="1"/>
  <c r="V61" i="7" a="1"/>
  <c r="V61" i="7" s="1"/>
  <c r="N63" i="7" a="1"/>
  <c r="N63" i="7" s="1"/>
  <c r="J57" i="7" a="1"/>
  <c r="J57" i="7" s="1"/>
  <c r="H56" i="7" a="1"/>
  <c r="H56" i="7" s="1"/>
  <c r="S53" i="7" a="1"/>
  <c r="S53" i="7" s="1"/>
  <c r="L51" i="7" a="1"/>
  <c r="L51" i="7" s="1"/>
  <c r="S50" i="7" a="1"/>
  <c r="S50" i="7" s="1"/>
  <c r="V48" i="7" a="1"/>
  <c r="V48" i="7" s="1"/>
  <c r="X46" i="7" a="1"/>
  <c r="X46" i="7" s="1"/>
  <c r="Q45" i="7" a="1"/>
  <c r="Q45" i="7" s="1"/>
  <c r="S43" i="7" a="1"/>
  <c r="S43" i="7" s="1"/>
  <c r="F43" i="7"/>
  <c r="Q41" i="7" a="1"/>
  <c r="Q41" i="7" s="1"/>
  <c r="S40" i="7" a="1"/>
  <c r="S40" i="7" s="1"/>
  <c r="I40" i="7" a="1"/>
  <c r="I40" i="7" s="1"/>
  <c r="V39" i="7" a="1"/>
  <c r="V39" i="7" s="1"/>
  <c r="U37" i="7" a="1"/>
  <c r="U37" i="7" s="1"/>
  <c r="M37" i="7" a="1"/>
  <c r="M37" i="7" s="1"/>
  <c r="S36" i="7" a="1"/>
  <c r="S36" i="7" s="1"/>
  <c r="K36" i="7" a="1"/>
  <c r="K36" i="7" s="1"/>
  <c r="Q35" i="7" a="1"/>
  <c r="Q35" i="7" s="1"/>
  <c r="I35" i="7" a="1"/>
  <c r="I35" i="7" s="1"/>
  <c r="O34" i="7" a="1"/>
  <c r="O34" i="7" s="1"/>
  <c r="F34" i="7"/>
  <c r="M33" i="7" a="1"/>
  <c r="M33" i="7" s="1"/>
  <c r="K32" i="7" a="1"/>
  <c r="K32" i="7" s="1"/>
  <c r="Y31" i="7" a="1"/>
  <c r="Y31" i="7" s="1"/>
  <c r="I31" i="7" a="1"/>
  <c r="I31" i="7" s="1"/>
  <c r="W30" i="7" a="1"/>
  <c r="W30" i="7" s="1"/>
  <c r="V29" i="7" a="1"/>
  <c r="V29" i="7" s="1"/>
  <c r="O29" i="7" a="1"/>
  <c r="O29" i="7" s="1"/>
  <c r="H29" i="7" a="1"/>
  <c r="H29" i="7" s="1"/>
  <c r="W28" i="7" a="1"/>
  <c r="W28" i="7" s="1"/>
  <c r="H28" i="7" a="1"/>
  <c r="H28" i="7" s="1"/>
  <c r="W27" i="7" a="1"/>
  <c r="W27" i="7" s="1"/>
  <c r="P27" i="7" a="1"/>
  <c r="P27" i="7" s="1"/>
  <c r="I27" i="7" a="1"/>
  <c r="I27" i="7" s="1"/>
  <c r="P26" i="7" a="1"/>
  <c r="P26" i="7" s="1"/>
  <c r="I26" i="7" a="1"/>
  <c r="I26" i="7" s="1"/>
  <c r="X25" i="7" a="1"/>
  <c r="X25" i="7" s="1"/>
  <c r="Q25" i="7" a="1"/>
  <c r="Q25" i="7" s="1"/>
  <c r="J25" i="7" a="1"/>
  <c r="J25" i="7" s="1"/>
  <c r="S24" i="7" a="1"/>
  <c r="S24" i="7" s="1"/>
  <c r="L24" i="7" a="1"/>
  <c r="L24" i="7" s="1"/>
  <c r="U23" i="7" a="1"/>
  <c r="U23" i="7" s="1"/>
  <c r="O23" i="7" a="1"/>
  <c r="O23" i="7" s="1"/>
  <c r="I23" i="7" a="1"/>
  <c r="I23" i="7" s="1"/>
  <c r="Y22" i="7" a="1"/>
  <c r="Y22" i="7" s="1"/>
  <c r="S22" i="7" a="1"/>
  <c r="S22" i="7" s="1"/>
  <c r="M22" i="7" a="1"/>
  <c r="M22" i="7" s="1"/>
  <c r="F22" i="7"/>
  <c r="W21" i="7" a="1"/>
  <c r="W21" i="7" s="1"/>
  <c r="Q21" i="7" a="1"/>
  <c r="Q21" i="7" s="1"/>
  <c r="K21" i="7" a="1"/>
  <c r="K21" i="7" s="1"/>
  <c r="R60" i="7" a="1"/>
  <c r="R60" i="7" s="1"/>
  <c r="L59" i="7" a="1"/>
  <c r="L59" i="7" s="1"/>
  <c r="H58" i="7" a="1"/>
  <c r="H58" i="7" s="1"/>
  <c r="L54" i="7" a="1"/>
  <c r="L54" i="7" s="1"/>
  <c r="R53" i="7" a="1"/>
  <c r="R53" i="7" s="1"/>
  <c r="Y49" i="7" a="1"/>
  <c r="Y49" i="7" s="1"/>
  <c r="L49" i="7" a="1"/>
  <c r="L49" i="7" s="1"/>
  <c r="U48" i="7" a="1"/>
  <c r="U48" i="7" s="1"/>
  <c r="N47" i="7" a="1"/>
  <c r="N47" i="7" s="1"/>
  <c r="W46" i="7" a="1"/>
  <c r="W46" i="7" s="1"/>
  <c r="F46" i="7"/>
  <c r="Y44" i="7" a="1"/>
  <c r="Y44" i="7" s="1"/>
  <c r="I44" i="7" a="1"/>
  <c r="I44" i="7" s="1"/>
  <c r="Q42" i="7" a="1"/>
  <c r="Q42" i="7" s="1"/>
  <c r="F41" i="7"/>
  <c r="K39" i="7" a="1"/>
  <c r="K39" i="7" s="1"/>
  <c r="Y38" i="7" a="1"/>
  <c r="Y38" i="7" s="1"/>
  <c r="O38" i="7" a="1"/>
  <c r="O38" i="7" s="1"/>
  <c r="F38" i="7"/>
  <c r="T37" i="7" a="1"/>
  <c r="T37" i="7" s="1"/>
  <c r="R36" i="7" a="1"/>
  <c r="R36" i="7" s="1"/>
  <c r="Y35" i="7" a="1"/>
  <c r="Y35" i="7" s="1"/>
  <c r="P35" i="7" a="1"/>
  <c r="P35" i="7" s="1"/>
  <c r="W34" i="7" a="1"/>
  <c r="W34" i="7" s="1"/>
  <c r="N34" i="7" a="1"/>
  <c r="N34" i="7" s="1"/>
  <c r="U33" i="7" a="1"/>
  <c r="U33" i="7" s="1"/>
  <c r="L33" i="7" a="1"/>
  <c r="L33" i="7" s="1"/>
  <c r="S32" i="7" a="1"/>
  <c r="S32" i="7" s="1"/>
  <c r="J32" i="7" a="1"/>
  <c r="J32" i="7" s="1"/>
  <c r="Q31" i="7" a="1"/>
  <c r="Q31" i="7" s="1"/>
  <c r="H31" i="7" a="1"/>
  <c r="H31" i="7" s="1"/>
  <c r="O30" i="7" a="1"/>
  <c r="O30" i="7" s="1"/>
  <c r="F30" i="7"/>
  <c r="V28" i="7" a="1"/>
  <c r="V28" i="7" s="1"/>
  <c r="O28" i="7" a="1"/>
  <c r="O28" i="7" s="1"/>
  <c r="H27" i="7" a="1"/>
  <c r="H27" i="7" s="1"/>
  <c r="W26" i="7" a="1"/>
  <c r="W26" i="7" s="1"/>
  <c r="P25" i="7" a="1"/>
  <c r="P25" i="7" s="1"/>
  <c r="Y24" i="7" a="1"/>
  <c r="Y24" i="7" s="1"/>
  <c r="R24" i="7" a="1"/>
  <c r="R24" i="7" s="1"/>
  <c r="M63" i="7" a="1"/>
  <c r="M63" i="7" s="1"/>
  <c r="E56" i="7" a="1"/>
  <c r="E56" i="7" s="1"/>
  <c r="Q53" i="7" a="1"/>
  <c r="Q53" i="7" s="1"/>
  <c r="T52" i="7" a="1"/>
  <c r="T52" i="7" s="1"/>
  <c r="O50" i="7" a="1"/>
  <c r="O50" i="7" s="1"/>
  <c r="K49" i="7" a="1"/>
  <c r="K49" i="7" s="1"/>
  <c r="M47" i="7" a="1"/>
  <c r="M47" i="7" s="1"/>
  <c r="P45" i="7" a="1"/>
  <c r="P45" i="7" s="1"/>
  <c r="R43" i="7" a="1"/>
  <c r="R43" i="7" s="1"/>
  <c r="E43" i="7" a="1"/>
  <c r="E43" i="7" s="1"/>
  <c r="O41" i="7" a="1"/>
  <c r="O41" i="7" s="1"/>
  <c r="R40" i="7" a="1"/>
  <c r="R40" i="7" s="1"/>
  <c r="F40" i="7"/>
  <c r="U39" i="7" a="1"/>
  <c r="U39" i="7" s="1"/>
  <c r="X38" i="7" a="1"/>
  <c r="X38" i="7" s="1"/>
  <c r="E38" i="7" a="1"/>
  <c r="E38" i="7" s="1"/>
  <c r="L37" i="7" a="1"/>
  <c r="L37" i="7" s="1"/>
  <c r="J36" i="7" a="1"/>
  <c r="J36" i="7" s="1"/>
  <c r="X35" i="7" a="1"/>
  <c r="X35" i="7" s="1"/>
  <c r="H35" i="7" a="1"/>
  <c r="H35" i="7" s="1"/>
  <c r="V34" i="7" a="1"/>
  <c r="V34" i="7" s="1"/>
  <c r="E34" i="7" a="1"/>
  <c r="E34" i="7" s="1"/>
  <c r="T33" i="7" a="1"/>
  <c r="T33" i="7" s="1"/>
  <c r="R32" i="7" a="1"/>
  <c r="R32" i="7" s="1"/>
  <c r="X31" i="7" a="1"/>
  <c r="X31" i="7" s="1"/>
  <c r="P31" i="7" a="1"/>
  <c r="P31" i="7" s="1"/>
  <c r="V30" i="7" a="1"/>
  <c r="V30" i="7" s="1"/>
  <c r="N30" i="7" a="1"/>
  <c r="N30" i="7" s="1"/>
  <c r="E30" i="7" a="1"/>
  <c r="E30" i="7" s="1"/>
  <c r="U29" i="7" a="1"/>
  <c r="U29" i="7" s="1"/>
  <c r="N29" i="7" a="1"/>
  <c r="N29" i="7" s="1"/>
  <c r="F29" i="7"/>
  <c r="N28" i="7" a="1"/>
  <c r="N28" i="7" s="1"/>
  <c r="F28" i="7"/>
  <c r="V27" i="7" a="1"/>
  <c r="V27" i="7" s="1"/>
  <c r="O27" i="7" a="1"/>
  <c r="O27" i="7" s="1"/>
  <c r="V26" i="7" a="1"/>
  <c r="V26" i="7" s="1"/>
  <c r="O26" i="7" a="1"/>
  <c r="O26" i="7" s="1"/>
  <c r="H26" i="7" a="1"/>
  <c r="H26" i="7" s="1"/>
  <c r="W25" i="7" a="1"/>
  <c r="W25" i="7" s="1"/>
  <c r="P60" i="7" a="1"/>
  <c r="P60" i="7" s="1"/>
  <c r="K59" i="7" a="1"/>
  <c r="K59" i="7" s="1"/>
  <c r="E58" i="7" a="1"/>
  <c r="E58" i="7" s="1"/>
  <c r="X56" i="7" a="1"/>
  <c r="X56" i="7" s="1"/>
  <c r="E55" i="7" a="1"/>
  <c r="E55" i="7" s="1"/>
  <c r="M53" i="7" a="1"/>
  <c r="M53" i="7" s="1"/>
  <c r="Y51" i="7" a="1"/>
  <c r="Y51" i="7" s="1"/>
  <c r="E51" i="7" a="1"/>
  <c r="E51" i="7" s="1"/>
  <c r="X49" i="7" a="1"/>
  <c r="X49" i="7" s="1"/>
  <c r="Q48" i="7" a="1"/>
  <c r="Q48" i="7" s="1"/>
  <c r="S46" i="7" a="1"/>
  <c r="S46" i="7" s="1"/>
  <c r="E46" i="7" a="1"/>
  <c r="E46" i="7" s="1"/>
  <c r="O45" i="7" a="1"/>
  <c r="O45" i="7" s="1"/>
  <c r="U44" i="7" a="1"/>
  <c r="U44" i="7" s="1"/>
  <c r="H44" i="7" a="1"/>
  <c r="H44" i="7" s="1"/>
  <c r="P42" i="7" a="1"/>
  <c r="P42" i="7" s="1"/>
  <c r="S39" i="7" a="1"/>
  <c r="S39" i="7" s="1"/>
  <c r="J39" i="7" a="1"/>
  <c r="J39" i="7" s="1"/>
  <c r="W38" i="7" a="1"/>
  <c r="W38" i="7" s="1"/>
  <c r="N38" i="7" a="1"/>
  <c r="N38" i="7" s="1"/>
  <c r="S37" i="7" a="1"/>
  <c r="S37" i="7" s="1"/>
  <c r="Y36" i="7" a="1"/>
  <c r="Y36" i="7" s="1"/>
  <c r="Q36" i="7" a="1"/>
  <c r="Q36" i="7" s="1"/>
  <c r="W35" i="7" a="1"/>
  <c r="W35" i="7" s="1"/>
  <c r="O35" i="7" a="1"/>
  <c r="O35" i="7" s="1"/>
  <c r="U34" i="7" a="1"/>
  <c r="U34" i="7" s="1"/>
  <c r="M34" i="7" a="1"/>
  <c r="M34" i="7" s="1"/>
  <c r="S33" i="7" a="1"/>
  <c r="S33" i="7" s="1"/>
  <c r="K33" i="7" a="1"/>
  <c r="K33" i="7" s="1"/>
  <c r="Q32" i="7" a="1"/>
  <c r="Q32" i="7" s="1"/>
  <c r="I32" i="7" a="1"/>
  <c r="I32" i="7" s="1"/>
  <c r="O31" i="7" a="1"/>
  <c r="O31" i="7" s="1"/>
  <c r="F31" i="7"/>
  <c r="M30" i="7" a="1"/>
  <c r="M30" i="7" s="1"/>
  <c r="E29" i="7" a="1"/>
  <c r="E29" i="7" s="1"/>
  <c r="U28" i="7" a="1"/>
  <c r="U28" i="7" s="1"/>
  <c r="N27" i="7" a="1"/>
  <c r="N27" i="7" s="1"/>
  <c r="F27" i="7"/>
  <c r="V25" i="7" a="1"/>
  <c r="V25" i="7" s="1"/>
  <c r="O25" i="7" a="1"/>
  <c r="O25" i="7" s="1"/>
  <c r="H25" i="7" a="1"/>
  <c r="H25" i="7" s="1"/>
  <c r="Q24" i="7" a="1"/>
  <c r="Q24" i="7" s="1"/>
  <c r="P61" i="7" a="1"/>
  <c r="P61" i="7" s="1"/>
  <c r="H60" i="7" a="1"/>
  <c r="H60" i="7" s="1"/>
  <c r="V55" i="7" a="1"/>
  <c r="V55" i="7" s="1"/>
  <c r="L53" i="7" a="1"/>
  <c r="L53" i="7" s="1"/>
  <c r="U51" i="7" a="1"/>
  <c r="U51" i="7" s="1"/>
  <c r="N50" i="7" a="1"/>
  <c r="N50" i="7" s="1"/>
  <c r="W49" i="7" a="1"/>
  <c r="W49" i="7" s="1"/>
  <c r="F49" i="7"/>
  <c r="Y47" i="7" a="1"/>
  <c r="Y47" i="7" s="1"/>
  <c r="I47" i="7" a="1"/>
  <c r="I47" i="7" s="1"/>
  <c r="F44" i="7"/>
  <c r="Q43" i="7" a="1"/>
  <c r="Q43" i="7" s="1"/>
  <c r="N41" i="7" a="1"/>
  <c r="N41" i="7" s="1"/>
  <c r="Q40" i="7" a="1"/>
  <c r="Q40" i="7" s="1"/>
  <c r="E40" i="7" a="1"/>
  <c r="E40" i="7" s="1"/>
  <c r="K37" i="7" a="1"/>
  <c r="K37" i="7" s="1"/>
  <c r="X36" i="7" a="1"/>
  <c r="X36" i="7" s="1"/>
  <c r="I36" i="7" a="1"/>
  <c r="I36" i="7" s="1"/>
  <c r="V35" i="7" a="1"/>
  <c r="V35" i="7" s="1"/>
  <c r="F35" i="7"/>
  <c r="T34" i="7" a="1"/>
  <c r="T34" i="7" s="1"/>
  <c r="R33" i="7" a="1"/>
  <c r="R33" i="7" s="1"/>
  <c r="Y32" i="7" a="1"/>
  <c r="Y32" i="7" s="1"/>
  <c r="P32" i="7" a="1"/>
  <c r="P32" i="7" s="1"/>
  <c r="W31" i="7" a="1"/>
  <c r="W31" i="7" s="1"/>
  <c r="N31" i="7" a="1"/>
  <c r="N31" i="7" s="1"/>
  <c r="U30" i="7" a="1"/>
  <c r="U30" i="7" s="1"/>
  <c r="L30" i="7" a="1"/>
  <c r="L30" i="7" s="1"/>
  <c r="T29" i="7" a="1"/>
  <c r="T29" i="7" s="1"/>
  <c r="M29" i="7" a="1"/>
  <c r="M29" i="7" s="1"/>
  <c r="T28" i="7" a="1"/>
  <c r="T28" i="7" s="1"/>
  <c r="M28" i="7" a="1"/>
  <c r="M28" i="7" s="1"/>
  <c r="E28" i="7" a="1"/>
  <c r="E28" i="7" s="1"/>
  <c r="U27" i="7" a="1"/>
  <c r="U27" i="7" s="1"/>
  <c r="E27" i="7" a="1"/>
  <c r="E27" i="7" s="1"/>
  <c r="U26" i="7" a="1"/>
  <c r="U26" i="7" s="1"/>
  <c r="N26" i="7" a="1"/>
  <c r="N26" i="7" s="1"/>
  <c r="F26" i="7"/>
  <c r="N25" i="7" a="1"/>
  <c r="N25" i="7" s="1"/>
  <c r="X62" i="7" a="1"/>
  <c r="X62" i="7" s="1"/>
  <c r="W56" i="7" a="1"/>
  <c r="W56" i="7" s="1"/>
  <c r="T51" i="7" a="1"/>
  <c r="T51" i="7" s="1"/>
  <c r="M50" i="7" a="1"/>
  <c r="M50" i="7" s="1"/>
  <c r="P48" i="7" a="1"/>
  <c r="P48" i="7" s="1"/>
  <c r="R46" i="7" a="1"/>
  <c r="R46" i="7" s="1"/>
  <c r="K45" i="7" a="1"/>
  <c r="K45" i="7" s="1"/>
  <c r="T44" i="7" a="1"/>
  <c r="T44" i="7" s="1"/>
  <c r="O42" i="7" a="1"/>
  <c r="O42" i="7" s="1"/>
  <c r="Y41" i="7" a="1"/>
  <c r="Y41" i="7" s="1"/>
  <c r="Y40" i="7" a="1"/>
  <c r="Y40" i="7" s="1"/>
  <c r="O40" i="7" a="1"/>
  <c r="O40" i="7" s="1"/>
  <c r="Q39" i="7" a="1"/>
  <c r="Q39" i="7" s="1"/>
  <c r="I39" i="7" a="1"/>
  <c r="I39" i="7" s="1"/>
  <c r="U38" i="7" a="1"/>
  <c r="U38" i="7" s="1"/>
  <c r="M38" i="7" a="1"/>
  <c r="M38" i="7" s="1"/>
  <c r="R37" i="7" a="1"/>
  <c r="R37" i="7" s="1"/>
  <c r="J37" i="7" a="1"/>
  <c r="J37" i="7" s="1"/>
  <c r="P36" i="7" a="1"/>
  <c r="P36" i="7" s="1"/>
  <c r="H36" i="7" a="1"/>
  <c r="H36" i="7" s="1"/>
  <c r="N35" i="7" a="1"/>
  <c r="N35" i="7" s="1"/>
  <c r="E35" i="7" a="1"/>
  <c r="E35" i="7" s="1"/>
  <c r="L34" i="7" a="1"/>
  <c r="L34" i="7" s="1"/>
  <c r="J33" i="7" a="1"/>
  <c r="J33" i="7" s="1"/>
  <c r="X32" i="7" a="1"/>
  <c r="X32" i="7" s="1"/>
  <c r="H32" i="7" a="1"/>
  <c r="H32" i="7" s="1"/>
  <c r="V31" i="7" a="1"/>
  <c r="V31" i="7" s="1"/>
  <c r="E31" i="7" a="1"/>
  <c r="E31" i="7" s="1"/>
  <c r="T30" i="7" a="1"/>
  <c r="T30" i="7" s="1"/>
  <c r="L29" i="7" a="1"/>
  <c r="L29" i="7" s="1"/>
  <c r="T27" i="7" a="1"/>
  <c r="T27" i="7" s="1"/>
  <c r="M27" i="7" a="1"/>
  <c r="M27" i="7" s="1"/>
  <c r="E26" i="7" a="1"/>
  <c r="E26" i="7" s="1"/>
  <c r="U25" i="7" a="1"/>
  <c r="U25" i="7" s="1"/>
  <c r="F25" i="7"/>
  <c r="P24" i="7" a="1"/>
  <c r="P24" i="7" s="1"/>
  <c r="Y23" i="7" a="1"/>
  <c r="Y23" i="7" s="1"/>
  <c r="P64" i="7" a="1"/>
  <c r="P64" i="7" s="1"/>
  <c r="O61" i="7" a="1"/>
  <c r="O61" i="7" s="1"/>
  <c r="F60" i="7"/>
  <c r="T57" i="7" a="1"/>
  <c r="T57" i="7" s="1"/>
  <c r="U55" i="7" a="1"/>
  <c r="U55" i="7" s="1"/>
  <c r="Y54" i="7" a="1"/>
  <c r="Y54" i="7" s="1"/>
  <c r="K53" i="7" a="1"/>
  <c r="K53" i="7" s="1"/>
  <c r="S49" i="7" a="1"/>
  <c r="S49" i="7" s="1"/>
  <c r="E49" i="7" a="1"/>
  <c r="E49" i="7" s="1"/>
  <c r="O48" i="7" a="1"/>
  <c r="O48" i="7" s="1"/>
  <c r="U47" i="7" a="1"/>
  <c r="U47" i="7" s="1"/>
  <c r="H47" i="7" a="1"/>
  <c r="H47" i="7" s="1"/>
  <c r="Q46" i="7" a="1"/>
  <c r="Q46" i="7" s="1"/>
  <c r="S44" i="7" a="1"/>
  <c r="S44" i="7" s="1"/>
  <c r="M43" i="7" a="1"/>
  <c r="M43" i="7" s="1"/>
  <c r="M41" i="7" a="1"/>
  <c r="M41" i="7" s="1"/>
  <c r="H39" i="7" a="1"/>
  <c r="H39" i="7" s="1"/>
  <c r="L38" i="7" a="1"/>
  <c r="L38" i="7" s="1"/>
  <c r="Y37" i="7" a="1"/>
  <c r="Y37" i="7" s="1"/>
  <c r="I37" i="7" a="1"/>
  <c r="I37" i="7" s="1"/>
  <c r="W36" i="7" a="1"/>
  <c r="W36" i="7" s="1"/>
  <c r="F36" i="7"/>
  <c r="U35" i="7" a="1"/>
  <c r="U35" i="7" s="1"/>
  <c r="S34" i="7" a="1"/>
  <c r="S34" i="7" s="1"/>
  <c r="Y33" i="7" a="1"/>
  <c r="Y33" i="7" s="1"/>
  <c r="Q33" i="7" a="1"/>
  <c r="Q33" i="7" s="1"/>
  <c r="W32" i="7" a="1"/>
  <c r="W32" i="7" s="1"/>
  <c r="O32" i="7" a="1"/>
  <c r="O32" i="7" s="1"/>
  <c r="U31" i="7" a="1"/>
  <c r="U31" i="7" s="1"/>
  <c r="M31" i="7" a="1"/>
  <c r="M31" i="7" s="1"/>
  <c r="S30" i="7" a="1"/>
  <c r="S30" i="7" s="1"/>
  <c r="K30" i="7" a="1"/>
  <c r="K30" i="7" s="1"/>
  <c r="S29" i="7" a="1"/>
  <c r="S29" i="7" s="1"/>
  <c r="S28" i="7" a="1"/>
  <c r="S28" i="7" s="1"/>
  <c r="L28" i="7" a="1"/>
  <c r="L28" i="7" s="1"/>
  <c r="L27" i="7" a="1"/>
  <c r="L27" i="7" s="1"/>
  <c r="T26" i="7" a="1"/>
  <c r="T26" i="7" s="1"/>
  <c r="M26" i="7" a="1"/>
  <c r="M26" i="7" s="1"/>
  <c r="T25" i="7" a="1"/>
  <c r="T25" i="7" s="1"/>
  <c r="M25" i="7" a="1"/>
  <c r="M25" i="7" s="1"/>
  <c r="V24" i="7" a="1"/>
  <c r="V24" i="7" s="1"/>
  <c r="I24" i="7" a="1"/>
  <c r="I24" i="7" s="1"/>
  <c r="R23" i="7" a="1"/>
  <c r="R23" i="7" s="1"/>
  <c r="L23" i="7" a="1"/>
  <c r="L23" i="7" s="1"/>
  <c r="E23" i="7" a="1"/>
  <c r="E23" i="7" s="1"/>
  <c r="V22" i="7" a="1"/>
  <c r="V22" i="7" s="1"/>
  <c r="P22" i="7" a="1"/>
  <c r="P22" i="7" s="1"/>
  <c r="J22" i="7" a="1"/>
  <c r="J22" i="7" s="1"/>
  <c r="T21" i="7" a="1"/>
  <c r="T21" i="7" s="1"/>
  <c r="N21" i="7" a="1"/>
  <c r="N21" i="7" s="1"/>
  <c r="H21" i="7" a="1"/>
  <c r="H21" i="7" s="1"/>
  <c r="X20" i="7" a="1"/>
  <c r="X20" i="7" s="1"/>
  <c r="R20" i="7" a="1"/>
  <c r="R20" i="7" s="1"/>
  <c r="L20" i="7" a="1"/>
  <c r="L20" i="7" s="1"/>
  <c r="E20" i="7" a="1"/>
  <c r="E20" i="7" s="1"/>
  <c r="Y63" i="7" a="1"/>
  <c r="Y63" i="7" s="1"/>
  <c r="N62" i="7" a="1"/>
  <c r="N62" i="7" s="1"/>
  <c r="L57" i="7" a="1"/>
  <c r="L57" i="7" s="1"/>
  <c r="N55" i="7" a="1"/>
  <c r="N55" i="7" s="1"/>
  <c r="T53" i="7" a="1"/>
  <c r="T53" i="7" s="1"/>
  <c r="J52" i="7" a="1"/>
  <c r="J52" i="7" s="1"/>
  <c r="M51" i="7" a="1"/>
  <c r="M51" i="7" s="1"/>
  <c r="F50" i="7"/>
  <c r="W48" i="7" a="1"/>
  <c r="W48" i="7" s="1"/>
  <c r="J48" i="7" a="1"/>
  <c r="J48" i="7" s="1"/>
  <c r="Y46" i="7" a="1"/>
  <c r="Y46" i="7" s="1"/>
  <c r="L46" i="7" a="1"/>
  <c r="L46" i="7" s="1"/>
  <c r="U45" i="7" a="1"/>
  <c r="U45" i="7" s="1"/>
  <c r="N44" i="7" a="1"/>
  <c r="N44" i="7" s="1"/>
  <c r="W43" i="7" a="1"/>
  <c r="W43" i="7" s="1"/>
  <c r="K43" i="7" a="1"/>
  <c r="K43" i="7" s="1"/>
  <c r="U40" i="7" a="1"/>
  <c r="U40" i="7" s="1"/>
  <c r="W39" i="7" a="1"/>
  <c r="W39" i="7" s="1"/>
  <c r="N39" i="7" a="1"/>
  <c r="N39" i="7" s="1"/>
  <c r="R38" i="7" a="1"/>
  <c r="R38" i="7" s="1"/>
  <c r="W37" i="7" a="1"/>
  <c r="W37" i="7" s="1"/>
  <c r="N37" i="7" a="1"/>
  <c r="N37" i="7" s="1"/>
  <c r="U36" i="7" a="1"/>
  <c r="U36" i="7" s="1"/>
  <c r="L36" i="7" a="1"/>
  <c r="L36" i="7" s="1"/>
  <c r="S35" i="7" a="1"/>
  <c r="S35" i="7" s="1"/>
  <c r="J35" i="7" a="1"/>
  <c r="J35" i="7" s="1"/>
  <c r="Q34" i="7" a="1"/>
  <c r="Q34" i="7" s="1"/>
  <c r="H34" i="7" a="1"/>
  <c r="H34" i="7" s="1"/>
  <c r="O33" i="7" a="1"/>
  <c r="O33" i="7" s="1"/>
  <c r="E33" i="7" a="1"/>
  <c r="E33" i="7" s="1"/>
  <c r="M32" i="7" a="1"/>
  <c r="M32" i="7" s="1"/>
  <c r="K31" i="7" a="1"/>
  <c r="K31" i="7" s="1"/>
  <c r="X30" i="7" a="1"/>
  <c r="X30" i="7" s="1"/>
  <c r="I30" i="7" a="1"/>
  <c r="I30" i="7" s="1"/>
  <c r="P29" i="7" a="1"/>
  <c r="P29" i="7" s="1"/>
  <c r="I29" i="7" a="1"/>
  <c r="I29" i="7" s="1"/>
  <c r="X28" i="7" a="1"/>
  <c r="X28" i="7" s="1"/>
  <c r="Q28" i="7" a="1"/>
  <c r="Q28" i="7" s="1"/>
  <c r="X27" i="7" a="1"/>
  <c r="X27" i="7" s="1"/>
  <c r="Q27" i="7" a="1"/>
  <c r="Q27" i="7" s="1"/>
  <c r="J27" i="7" a="1"/>
  <c r="J27" i="7" s="1"/>
  <c r="Y26" i="7" a="1"/>
  <c r="Y26" i="7" s="1"/>
  <c r="J26" i="7" a="1"/>
  <c r="J26" i="7" s="1"/>
  <c r="Y25" i="7" a="1"/>
  <c r="Y25" i="7" s="1"/>
  <c r="R25" i="7" a="1"/>
  <c r="R25" i="7" s="1"/>
  <c r="K25" i="7" a="1"/>
  <c r="K25" i="7" s="1"/>
  <c r="T24" i="7" a="1"/>
  <c r="T24" i="7" s="1"/>
  <c r="L62" i="7" a="1"/>
  <c r="L62" i="7" s="1"/>
  <c r="T59" i="7" a="1"/>
  <c r="T59" i="7" s="1"/>
  <c r="O58" i="7" a="1"/>
  <c r="O58" i="7" s="1"/>
  <c r="E52" i="7" a="1"/>
  <c r="E52" i="7" s="1"/>
  <c r="T50" i="7" a="1"/>
  <c r="T50" i="7" s="1"/>
  <c r="M49" i="7" a="1"/>
  <c r="M49" i="7" s="1"/>
  <c r="I48" i="7" a="1"/>
  <c r="I48" i="7" s="1"/>
  <c r="O47" i="7" a="1"/>
  <c r="O47" i="7" s="1"/>
  <c r="K46" i="7" a="1"/>
  <c r="K46" i="7" s="1"/>
  <c r="M44" i="7" a="1"/>
  <c r="M44" i="7" s="1"/>
  <c r="U42" i="7" a="1"/>
  <c r="U42" i="7" s="1"/>
  <c r="I42" i="7" a="1"/>
  <c r="I42" i="7" s="1"/>
  <c r="S41" i="7" a="1"/>
  <c r="S41" i="7" s="1"/>
  <c r="H41" i="7" a="1"/>
  <c r="H41" i="7" s="1"/>
  <c r="K40" i="7" a="1"/>
  <c r="K40" i="7" s="1"/>
  <c r="M39" i="7" a="1"/>
  <c r="M39" i="7" s="1"/>
  <c r="Q38" i="7" a="1"/>
  <c r="Q38" i="7" s="1"/>
  <c r="H38" i="7" a="1"/>
  <c r="H38" i="7" s="1"/>
  <c r="V37" i="7" a="1"/>
  <c r="V37" i="7" s="1"/>
  <c r="E37" i="7" a="1"/>
  <c r="E37" i="7" s="1"/>
  <c r="T36" i="7" a="1"/>
  <c r="T36" i="7" s="1"/>
  <c r="R35" i="7" a="1"/>
  <c r="R35" i="7" s="1"/>
  <c r="X34" i="7" a="1"/>
  <c r="X34" i="7" s="1"/>
  <c r="P34" i="7" a="1"/>
  <c r="P34" i="7" s="1"/>
  <c r="V33" i="7" a="1"/>
  <c r="V33" i="7" s="1"/>
  <c r="N33" i="7" a="1"/>
  <c r="N33" i="7" s="1"/>
  <c r="T32" i="7" a="1"/>
  <c r="T32" i="7" s="1"/>
  <c r="L32" i="7" a="1"/>
  <c r="L32" i="7" s="1"/>
  <c r="R31" i="7" a="1"/>
  <c r="R31" i="7" s="1"/>
  <c r="J31" i="7" a="1"/>
  <c r="J31" i="7" s="1"/>
  <c r="P30" i="7" a="1"/>
  <c r="P30" i="7" s="1"/>
  <c r="H30" i="7" a="1"/>
  <c r="H30" i="7" s="1"/>
  <c r="W29" i="7" a="1"/>
  <c r="W29" i="7" s="1"/>
  <c r="P28" i="7" a="1"/>
  <c r="P28" i="7" s="1"/>
  <c r="I28" i="7" a="1"/>
  <c r="I28" i="7" s="1"/>
  <c r="X26" i="7" a="1"/>
  <c r="X26" i="7" s="1"/>
  <c r="Q26" i="7" a="1"/>
  <c r="Q26" i="7" s="1"/>
  <c r="M24" i="7" a="1"/>
  <c r="M24" i="7" s="1"/>
  <c r="E24" i="7" a="1"/>
  <c r="E24" i="7" s="1"/>
  <c r="R51" i="7" a="1"/>
  <c r="R51" i="7" s="1"/>
  <c r="Q49" i="7" a="1"/>
  <c r="Q49" i="7" s="1"/>
  <c r="W42" i="7" a="1"/>
  <c r="W42" i="7" s="1"/>
  <c r="I41" i="7" a="1"/>
  <c r="I41" i="7" s="1"/>
  <c r="V36" i="7" a="1"/>
  <c r="V36" i="7" s="1"/>
  <c r="M35" i="7" a="1"/>
  <c r="M35" i="7" s="1"/>
  <c r="Y28" i="7" a="1"/>
  <c r="Y28" i="7" s="1"/>
  <c r="R27" i="7" a="1"/>
  <c r="R27" i="7" s="1"/>
  <c r="I25" i="7" a="1"/>
  <c r="I25" i="7" s="1"/>
  <c r="N23" i="7" a="1"/>
  <c r="N23" i="7" s="1"/>
  <c r="S20" i="7" a="1"/>
  <c r="S20" i="7" s="1"/>
  <c r="J20" i="7" a="1"/>
  <c r="J20" i="7" s="1"/>
  <c r="W19" i="7" a="1"/>
  <c r="W19" i="7" s="1"/>
  <c r="O19" i="7" a="1"/>
  <c r="O19" i="7" s="1"/>
  <c r="U18" i="7" a="1"/>
  <c r="U18" i="7" s="1"/>
  <c r="M18" i="7" a="1"/>
  <c r="M18" i="7" s="1"/>
  <c r="T17" i="7" a="1"/>
  <c r="T17" i="7" s="1"/>
  <c r="L17" i="7" a="1"/>
  <c r="L17" i="7" s="1"/>
  <c r="T16" i="7" a="1"/>
  <c r="T16" i="7" s="1"/>
  <c r="M16" i="7" a="1"/>
  <c r="M16" i="7" s="1"/>
  <c r="E16" i="7" a="1"/>
  <c r="E16" i="7" s="1"/>
  <c r="O39" i="7" a="1"/>
  <c r="O39" i="7" s="1"/>
  <c r="L35" i="7" a="1"/>
  <c r="L35" i="7" s="1"/>
  <c r="X33" i="7" a="1"/>
  <c r="X33" i="7" s="1"/>
  <c r="U32" i="7" a="1"/>
  <c r="U32" i="7" s="1"/>
  <c r="L31" i="7" a="1"/>
  <c r="L31" i="7" s="1"/>
  <c r="K26" i="7" a="1"/>
  <c r="K26" i="7" s="1"/>
  <c r="O24" i="7" a="1"/>
  <c r="O24" i="7" s="1"/>
  <c r="M23" i="7" a="1"/>
  <c r="M23" i="7" s="1"/>
  <c r="X22" i="7" a="1"/>
  <c r="X22" i="7" s="1"/>
  <c r="N22" i="7" a="1"/>
  <c r="N22" i="7" s="1"/>
  <c r="P21" i="7" a="1"/>
  <c r="P21" i="7" s="1"/>
  <c r="E21" i="7" a="1"/>
  <c r="E21" i="7" s="1"/>
  <c r="V19" i="7" a="1"/>
  <c r="V19" i="7" s="1"/>
  <c r="F19" i="7"/>
  <c r="T18" i="7" a="1"/>
  <c r="T18" i="7" s="1"/>
  <c r="S17" i="7" a="1"/>
  <c r="S17" i="7" s="1"/>
  <c r="P56" i="7" a="1"/>
  <c r="P56" i="7" s="1"/>
  <c r="X53" i="7" a="1"/>
  <c r="X53" i="7" s="1"/>
  <c r="O44" i="7" a="1"/>
  <c r="O44" i="7" s="1"/>
  <c r="V42" i="7" a="1"/>
  <c r="V42" i="7" s="1"/>
  <c r="X40" i="7" a="1"/>
  <c r="X40" i="7" s="1"/>
  <c r="F39" i="7"/>
  <c r="X37" i="7" a="1"/>
  <c r="X37" i="7" s="1"/>
  <c r="O36" i="7" a="1"/>
  <c r="O36" i="7" s="1"/>
  <c r="K35" i="7" a="1"/>
  <c r="K35" i="7" s="1"/>
  <c r="Y29" i="7" a="1"/>
  <c r="Y29" i="7" s="1"/>
  <c r="E25" i="7" a="1"/>
  <c r="E25" i="7" s="1"/>
  <c r="X23" i="7" a="1"/>
  <c r="X23" i="7" s="1"/>
  <c r="W22" i="7" a="1"/>
  <c r="W22" i="7" s="1"/>
  <c r="Y21" i="7" a="1"/>
  <c r="Y21" i="7" s="1"/>
  <c r="O21" i="7" a="1"/>
  <c r="O21" i="7" s="1"/>
  <c r="Q20" i="7" a="1"/>
  <c r="Q20" i="7" s="1"/>
  <c r="I20" i="7" a="1"/>
  <c r="I20" i="7" s="1"/>
  <c r="N19" i="7" a="1"/>
  <c r="N19" i="7" s="1"/>
  <c r="E19" i="7" a="1"/>
  <c r="E19" i="7" s="1"/>
  <c r="L18" i="7" a="1"/>
  <c r="L18" i="7" s="1"/>
  <c r="R17" i="7" a="1"/>
  <c r="R17" i="7" s="1"/>
  <c r="K17" i="7" a="1"/>
  <c r="K17" i="7" s="1"/>
  <c r="S16" i="7" a="1"/>
  <c r="S16" i="7" s="1"/>
  <c r="L16" i="7" a="1"/>
  <c r="L16" i="7" s="1"/>
  <c r="V59" i="7" a="1"/>
  <c r="V59" i="7" s="1"/>
  <c r="J53" i="7" a="1"/>
  <c r="J53" i="7" s="1"/>
  <c r="M46" i="7" a="1"/>
  <c r="M46" i="7" s="1"/>
  <c r="K42" i="7" a="1"/>
  <c r="K42" i="7" s="1"/>
  <c r="N36" i="7" a="1"/>
  <c r="N36" i="7" s="1"/>
  <c r="W33" i="7" a="1"/>
  <c r="W33" i="7" s="1"/>
  <c r="N32" i="7" a="1"/>
  <c r="N32" i="7" s="1"/>
  <c r="X29" i="7" a="1"/>
  <c r="X29" i="7" s="1"/>
  <c r="R28" i="7" a="1"/>
  <c r="R28" i="7" s="1"/>
  <c r="K27" i="7" a="1"/>
  <c r="K27" i="7" s="1"/>
  <c r="N24" i="7" a="1"/>
  <c r="N24" i="7" s="1"/>
  <c r="K23" i="7" a="1"/>
  <c r="K23" i="7" s="1"/>
  <c r="L22" i="7" a="1"/>
  <c r="L22" i="7" s="1"/>
  <c r="H20" i="7" a="1"/>
  <c r="H20" i="7" s="1"/>
  <c r="U19" i="7" a="1"/>
  <c r="U19" i="7" s="1"/>
  <c r="S18" i="7" a="1"/>
  <c r="S18" i="7" s="1"/>
  <c r="Y17" i="7" a="1"/>
  <c r="Y17" i="7" s="1"/>
  <c r="K16" i="7" a="1"/>
  <c r="K16" i="7" s="1"/>
  <c r="W40" i="7" a="1"/>
  <c r="W40" i="7" s="1"/>
  <c r="Q37" i="7" a="1"/>
  <c r="Q37" i="7" s="1"/>
  <c r="M36" i="7" a="1"/>
  <c r="M36" i="7" s="1"/>
  <c r="R29" i="7" a="1"/>
  <c r="R29" i="7" s="1"/>
  <c r="W23" i="7" a="1"/>
  <c r="W23" i="7" s="1"/>
  <c r="U22" i="7" a="1"/>
  <c r="U22" i="7" s="1"/>
  <c r="K22" i="7" a="1"/>
  <c r="K22" i="7" s="1"/>
  <c r="X21" i="7" a="1"/>
  <c r="X21" i="7" s="1"/>
  <c r="M21" i="7" a="1"/>
  <c r="M21" i="7" s="1"/>
  <c r="Y20" i="7" a="1"/>
  <c r="Y20" i="7" s="1"/>
  <c r="P20" i="7" a="1"/>
  <c r="P20" i="7" s="1"/>
  <c r="F20" i="7"/>
  <c r="M19" i="7" a="1"/>
  <c r="M19" i="7" s="1"/>
  <c r="K18" i="7" a="1"/>
  <c r="K18" i="7" s="1"/>
  <c r="X17" i="7" a="1"/>
  <c r="X17" i="7" s="1"/>
  <c r="Q17" i="7" a="1"/>
  <c r="Q17" i="7" s="1"/>
  <c r="J17" i="7" a="1"/>
  <c r="J17" i="7" s="1"/>
  <c r="Y16" i="7" a="1"/>
  <c r="Y16" i="7" s="1"/>
  <c r="R16" i="7" a="1"/>
  <c r="R16" i="7" s="1"/>
  <c r="J16" i="7" a="1"/>
  <c r="J16" i="7" s="1"/>
  <c r="W62" i="7" a="1"/>
  <c r="W62" i="7" s="1"/>
  <c r="X58" i="7" a="1"/>
  <c r="X58" i="7" s="1"/>
  <c r="U50" i="7" a="1"/>
  <c r="U50" i="7" s="1"/>
  <c r="K48" i="7" a="1"/>
  <c r="K48" i="7" s="1"/>
  <c r="Y43" i="7" a="1"/>
  <c r="Y43" i="7" s="1"/>
  <c r="J42" i="7" a="1"/>
  <c r="J42" i="7" s="1"/>
  <c r="M40" i="7" a="1"/>
  <c r="M40" i="7" s="1"/>
  <c r="P37" i="7" a="1"/>
  <c r="P37" i="7" s="1"/>
  <c r="E36" i="7" a="1"/>
  <c r="E36" i="7" s="1"/>
  <c r="Y34" i="7" a="1"/>
  <c r="Y34" i="7" s="1"/>
  <c r="P33" i="7" a="1"/>
  <c r="P33" i="7" s="1"/>
  <c r="F32" i="7"/>
  <c r="Y30" i="7" a="1"/>
  <c r="Y30" i="7" s="1"/>
  <c r="K24" i="7" a="1"/>
  <c r="K24" i="7" s="1"/>
  <c r="V23" i="7" a="1"/>
  <c r="V23" i="7" s="1"/>
  <c r="J23" i="7" a="1"/>
  <c r="J23" i="7" s="1"/>
  <c r="T19" i="7" a="1"/>
  <c r="T19" i="7" s="1"/>
  <c r="L19" i="7" a="1"/>
  <c r="L19" i="7" s="1"/>
  <c r="R18" i="7" a="1"/>
  <c r="R18" i="7" s="1"/>
  <c r="J18" i="7" a="1"/>
  <c r="J18" i="7" s="1"/>
  <c r="Q16" i="7" a="1"/>
  <c r="Q16" i="7" s="1"/>
  <c r="P62" i="7" a="1"/>
  <c r="P62" i="7" s="1"/>
  <c r="I50" i="7" a="1"/>
  <c r="I50" i="7" s="1"/>
  <c r="W45" i="7" a="1"/>
  <c r="W45" i="7" s="1"/>
  <c r="T38" i="7" a="1"/>
  <c r="T38" i="7" s="1"/>
  <c r="O37" i="7" a="1"/>
  <c r="O37" i="7" s="1"/>
  <c r="E32" i="7" a="1"/>
  <c r="E32" i="7" s="1"/>
  <c r="R30" i="7" a="1"/>
  <c r="R30" i="7" s="1"/>
  <c r="Q29" i="7" a="1"/>
  <c r="Q29" i="7" s="1"/>
  <c r="K28" i="7" a="1"/>
  <c r="K28" i="7" s="1"/>
  <c r="S25" i="7" a="1"/>
  <c r="S25" i="7" s="1"/>
  <c r="X24" i="7" a="1"/>
  <c r="X24" i="7" s="1"/>
  <c r="J24" i="7" a="1"/>
  <c r="J24" i="7" s="1"/>
  <c r="T23" i="7" a="1"/>
  <c r="T23" i="7" s="1"/>
  <c r="H23" i="7" a="1"/>
  <c r="H23" i="7" s="1"/>
  <c r="T22" i="7" a="1"/>
  <c r="T22" i="7" s="1"/>
  <c r="I22" i="7" a="1"/>
  <c r="I22" i="7" s="1"/>
  <c r="V21" i="7" a="1"/>
  <c r="V21" i="7" s="1"/>
  <c r="L21" i="7" a="1"/>
  <c r="L21" i="7" s="1"/>
  <c r="W20" i="7" a="1"/>
  <c r="W20" i="7" s="1"/>
  <c r="O20" i="7" a="1"/>
  <c r="O20" i="7" s="1"/>
  <c r="K19" i="7" a="1"/>
  <c r="K19" i="7" s="1"/>
  <c r="Y18" i="7" a="1"/>
  <c r="Y18" i="7" s="1"/>
  <c r="I18" i="7" a="1"/>
  <c r="I18" i="7" s="1"/>
  <c r="W17" i="7" a="1"/>
  <c r="W17" i="7" s="1"/>
  <c r="P17" i="7" a="1"/>
  <c r="P17" i="7" s="1"/>
  <c r="I17" i="7" a="1"/>
  <c r="I17" i="7" s="1"/>
  <c r="X16" i="7" a="1"/>
  <c r="X16" i="7" s="1"/>
  <c r="P16" i="7" a="1"/>
  <c r="P16" i="7" s="1"/>
  <c r="I16" i="7" a="1"/>
  <c r="I16" i="7" s="1"/>
  <c r="P58" i="7" a="1"/>
  <c r="P58" i="7" s="1"/>
  <c r="X43" i="7" a="1"/>
  <c r="X43" i="7" s="1"/>
  <c r="U41" i="7" a="1"/>
  <c r="U41" i="7" s="1"/>
  <c r="L40" i="7" a="1"/>
  <c r="L40" i="7" s="1"/>
  <c r="H37" i="7" a="1"/>
  <c r="H37" i="7" s="1"/>
  <c r="R34" i="7" a="1"/>
  <c r="R34" i="7" s="1"/>
  <c r="I33" i="7" a="1"/>
  <c r="I33" i="7" s="1"/>
  <c r="K29" i="7" a="1"/>
  <c r="K29" i="7" s="1"/>
  <c r="J28" i="7" a="1"/>
  <c r="J28" i="7" s="1"/>
  <c r="W24" i="7" a="1"/>
  <c r="W24" i="7" s="1"/>
  <c r="S23" i="7" a="1"/>
  <c r="S23" i="7" s="1"/>
  <c r="F23" i="7"/>
  <c r="U21" i="7" a="1"/>
  <c r="U21" i="7" s="1"/>
  <c r="N20" i="7" a="1"/>
  <c r="N20" i="7" s="1"/>
  <c r="S19" i="7" a="1"/>
  <c r="S19" i="7" s="1"/>
  <c r="J19" i="7" a="1"/>
  <c r="J19" i="7" s="1"/>
  <c r="Q18" i="7" a="1"/>
  <c r="Q18" i="7" s="1"/>
  <c r="H18" i="7" a="1"/>
  <c r="H18" i="7" s="1"/>
  <c r="W16" i="7" a="1"/>
  <c r="W16" i="7" s="1"/>
  <c r="S57" i="7" a="1"/>
  <c r="S57" i="7" s="1"/>
  <c r="S47" i="7" a="1"/>
  <c r="S47" i="7" s="1"/>
  <c r="I45" i="7" a="1"/>
  <c r="I45" i="7" s="1"/>
  <c r="K41" i="7" a="1"/>
  <c r="K41" i="7" s="1"/>
  <c r="T35" i="7" a="1"/>
  <c r="T35" i="7" s="1"/>
  <c r="J34" i="7" a="1"/>
  <c r="J34" i="7" s="1"/>
  <c r="J30" i="7" a="1"/>
  <c r="J30" i="7" s="1"/>
  <c r="Y27" i="7" a="1"/>
  <c r="Y27" i="7" s="1"/>
  <c r="R26" i="7" a="1"/>
  <c r="R26" i="7" s="1"/>
  <c r="L25" i="7" a="1"/>
  <c r="L25" i="7" s="1"/>
  <c r="F24" i="7"/>
  <c r="E22" i="7" a="1"/>
  <c r="E22" i="7" s="1"/>
  <c r="U20" i="7" a="1"/>
  <c r="U20" i="7" s="1"/>
  <c r="K20" i="7" a="1"/>
  <c r="K20" i="7" s="1"/>
  <c r="Y19" i="7" a="1"/>
  <c r="Y19" i="7" s="1"/>
  <c r="P19" i="7" a="1"/>
  <c r="P19" i="7" s="1"/>
  <c r="W18" i="7" a="1"/>
  <c r="W18" i="7" s="1"/>
  <c r="N18" i="7" a="1"/>
  <c r="N18" i="7" s="1"/>
  <c r="U17" i="7" a="1"/>
  <c r="U17" i="7" s="1"/>
  <c r="N17" i="7" a="1"/>
  <c r="N17" i="7" s="1"/>
  <c r="E17" i="7" a="1"/>
  <c r="E17" i="7" s="1"/>
  <c r="U16" i="7" a="1"/>
  <c r="U16" i="7" s="1"/>
  <c r="N16" i="7" a="1"/>
  <c r="N16" i="7" s="1"/>
  <c r="F16" i="7"/>
  <c r="E61" i="7" a="1"/>
  <c r="E61" i="7" s="1"/>
  <c r="S54" i="7" a="1"/>
  <c r="S54" i="7" s="1"/>
  <c r="S51" i="7" a="1"/>
  <c r="S51" i="7" s="1"/>
  <c r="R49" i="7" a="1"/>
  <c r="R49" i="7" s="1"/>
  <c r="F47" i="7"/>
  <c r="P39" i="7" a="1"/>
  <c r="P39" i="7" s="1"/>
  <c r="I38" i="7" a="1"/>
  <c r="I38" i="7" s="1"/>
  <c r="I34" i="7" a="1"/>
  <c r="I34" i="7" s="1"/>
  <c r="V32" i="7" a="1"/>
  <c r="V32" i="7" s="1"/>
  <c r="S31" i="7" a="1"/>
  <c r="S31" i="7" s="1"/>
  <c r="S27" i="7" a="1"/>
  <c r="S27" i="7" s="1"/>
  <c r="L26" i="7" a="1"/>
  <c r="L26" i="7" s="1"/>
  <c r="P23" i="7" a="1"/>
  <c r="P23" i="7" s="1"/>
  <c r="O22" i="7" a="1"/>
  <c r="O22" i="7" s="1"/>
  <c r="R21" i="7" a="1"/>
  <c r="R21" i="7" s="1"/>
  <c r="F21" i="7"/>
  <c r="T20" i="7" a="1"/>
  <c r="T20" i="7" s="1"/>
  <c r="X19" i="7" a="1"/>
  <c r="X19" i="7" s="1"/>
  <c r="H19" i="7" a="1"/>
  <c r="H19" i="7" s="1"/>
  <c r="V18" i="7" a="1"/>
  <c r="V18" i="7" s="1"/>
  <c r="E18" i="7" a="1"/>
  <c r="E18" i="7" s="1"/>
  <c r="M17" i="7" a="1"/>
  <c r="M17" i="7" s="1"/>
  <c r="K38" i="7" a="1"/>
  <c r="K38" i="7" s="1"/>
  <c r="F33" i="7"/>
  <c r="S21" i="7" a="1"/>
  <c r="S21" i="7" s="1"/>
  <c r="O17" i="7" a="1"/>
  <c r="O17" i="7" s="1"/>
  <c r="H50" i="7" a="1"/>
  <c r="H50" i="7" s="1"/>
  <c r="J21" i="7" a="1"/>
  <c r="J21" i="7" s="1"/>
  <c r="I19" i="7" a="1"/>
  <c r="I19" i="7" s="1"/>
  <c r="L43" i="7" a="1"/>
  <c r="L43" i="7" s="1"/>
  <c r="Q23" i="7" a="1"/>
  <c r="Q23" i="7" s="1"/>
  <c r="I21" i="7" a="1"/>
  <c r="I21" i="7" s="1"/>
  <c r="H17" i="7" a="1"/>
  <c r="H17" i="7" s="1"/>
  <c r="F37" i="7"/>
  <c r="T31" i="7" a="1"/>
  <c r="T31" i="7" s="1"/>
  <c r="S26" i="7" a="1"/>
  <c r="S26" i="7" s="1"/>
  <c r="X18" i="7" a="1"/>
  <c r="X18" i="7" s="1"/>
  <c r="F17" i="7"/>
  <c r="V20" i="7" a="1"/>
  <c r="V20" i="7" s="1"/>
  <c r="Q30" i="7" a="1"/>
  <c r="Q30" i="7" s="1"/>
  <c r="P18" i="7" a="1"/>
  <c r="P18" i="7" s="1"/>
  <c r="V16" i="7" a="1"/>
  <c r="V16" i="7" s="1"/>
  <c r="J45" i="7" a="1"/>
  <c r="J45" i="7" s="1"/>
  <c r="H24" i="7" a="1"/>
  <c r="H24" i="7" s="1"/>
  <c r="R19" i="7" a="1"/>
  <c r="R19" i="7" s="1"/>
  <c r="V17" i="7" a="1"/>
  <c r="V17" i="7" s="1"/>
  <c r="S38" i="7" a="1"/>
  <c r="S38" i="7" s="1"/>
  <c r="H33" i="7" a="1"/>
  <c r="H33" i="7" s="1"/>
  <c r="Q19" i="7" a="1"/>
  <c r="Q19" i="7" s="1"/>
  <c r="H22" i="7" a="1"/>
  <c r="H22" i="7" s="1"/>
  <c r="L52" i="7" a="1"/>
  <c r="L52" i="7" s="1"/>
  <c r="K34" i="7" a="1"/>
  <c r="K34" i="7" s="1"/>
  <c r="O16" i="7" a="1"/>
  <c r="O16" i="7" s="1"/>
  <c r="T41" i="7" a="1"/>
  <c r="T41" i="7" s="1"/>
  <c r="M20" i="7" a="1"/>
  <c r="M20" i="7" s="1"/>
  <c r="H16" i="7" a="1"/>
  <c r="H16" i="7" s="1"/>
  <c r="Y39" i="7" a="1"/>
  <c r="Y39" i="7" s="1"/>
  <c r="U24" i="7" a="1"/>
  <c r="U24" i="7" s="1"/>
  <c r="J29" i="7" a="1"/>
  <c r="J29" i="7" s="1"/>
  <c r="R22" i="7" a="1"/>
  <c r="R22" i="7" s="1"/>
  <c r="T54" i="7" a="1"/>
  <c r="T54" i="7" s="1"/>
  <c r="V45" i="7" a="1"/>
  <c r="V45" i="7" s="1"/>
  <c r="Q22" i="7" a="1"/>
  <c r="Q22" i="7" s="1"/>
  <c r="F18" i="7"/>
  <c r="T47" i="7" a="1"/>
  <c r="T47" i="7" s="1"/>
  <c r="O18" i="7" a="1"/>
  <c r="O18" i="7" s="1"/>
  <c r="A17" i="6"/>
  <c r="A18" i="6" s="1"/>
  <c r="A16" i="6"/>
  <c r="B83" i="8"/>
  <c r="B14" i="6"/>
  <c r="S109" i="4"/>
  <c r="U97" i="4" s="1"/>
  <c r="S69" i="4"/>
  <c r="U57" i="4" s="1"/>
  <c r="U54" i="4" s="1"/>
  <c r="S29" i="4"/>
  <c r="C34" i="4"/>
  <c r="C45" i="4"/>
  <c r="AY13" i="6"/>
  <c r="AY12" i="6" s="1"/>
  <c r="K50" i="4"/>
  <c r="N9" i="10"/>
  <c r="C33" i="4"/>
  <c r="C48" i="4"/>
  <c r="C27" i="4"/>
  <c r="A16" i="4"/>
  <c r="W12" i="8"/>
  <c r="X13" i="6"/>
  <c r="AC13" i="12"/>
  <c r="K69" i="10"/>
  <c r="W82" i="10"/>
  <c r="E12" i="13"/>
  <c r="C47" i="4"/>
  <c r="C23" i="4"/>
  <c r="A30" i="4"/>
  <c r="A31" i="4" s="1"/>
  <c r="C31" i="4" s="1"/>
  <c r="C46" i="4"/>
  <c r="C28" i="4"/>
  <c r="K51" i="12"/>
  <c r="C21" i="4"/>
  <c r="C22" i="4"/>
  <c r="K132" i="4"/>
  <c r="B39" i="14"/>
  <c r="W81" i="10"/>
  <c r="K48" i="12"/>
  <c r="T53" i="5"/>
  <c r="B37" i="14"/>
  <c r="C14" i="14"/>
  <c r="T43" i="6"/>
  <c r="P125" i="4"/>
  <c r="I180" i="8"/>
  <c r="I44" i="6"/>
  <c r="I42" i="6"/>
  <c r="AC13" i="6"/>
  <c r="AC12" i="6" s="1"/>
  <c r="AN13" i="6"/>
  <c r="AN12" i="6" s="1"/>
  <c r="B14" i="5"/>
  <c r="F14" i="5"/>
  <c r="G15" i="9"/>
  <c r="H15" i="10"/>
  <c r="S110" i="4"/>
  <c r="I12" i="10"/>
  <c r="H12" i="9"/>
  <c r="S30" i="4"/>
  <c r="A36" i="4"/>
  <c r="C35" i="4"/>
  <c r="C24" i="4"/>
  <c r="AA180" i="8"/>
  <c r="AA181" i="8"/>
  <c r="AA179" i="8"/>
  <c r="P45" i="4"/>
  <c r="K14" i="5"/>
  <c r="J14" i="5"/>
  <c r="H14" i="5"/>
  <c r="A14" i="12"/>
  <c r="D14" i="5"/>
  <c r="B14" i="12" s="1"/>
  <c r="AD14" i="5"/>
  <c r="E14" i="5"/>
  <c r="G14" i="5"/>
  <c r="AE14" i="5"/>
  <c r="N14" i="5"/>
  <c r="E49" i="12"/>
  <c r="B80" i="10"/>
  <c r="F43" i="6"/>
  <c r="O52" i="5"/>
  <c r="D36" i="11"/>
  <c r="M8" i="12"/>
  <c r="W79" i="10"/>
  <c r="A4" i="4"/>
  <c r="K51" i="4"/>
  <c r="K49" i="12"/>
  <c r="S70" i="4"/>
  <c r="K91" i="4"/>
  <c r="T42" i="6"/>
  <c r="K90" i="4"/>
  <c r="T52" i="5"/>
  <c r="B86" i="8" l="1"/>
  <c r="N18" i="6"/>
  <c r="AB10" i="12"/>
  <c r="M69" i="10"/>
  <c r="I12" i="9"/>
  <c r="I11" i="9" s="1"/>
  <c r="H11" i="9"/>
  <c r="U17" i="4"/>
  <c r="T17" i="4" s="1"/>
  <c r="H5" i="5"/>
  <c r="X8" i="5" s="1"/>
  <c r="F5" i="5"/>
  <c r="G5" i="5"/>
  <c r="W8" i="5" s="1"/>
  <c r="T97" i="4"/>
  <c r="T57" i="4"/>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C4" i="4"/>
  <c r="A5" i="4"/>
  <c r="C36" i="4"/>
  <c r="A37" i="4"/>
  <c r="C37" i="4" s="1"/>
  <c r="AH27" i="5" l="1"/>
  <c r="AN27" i="5" s="1"/>
  <c r="AH34" i="5"/>
  <c r="AN34" i="5" s="1"/>
  <c r="AH19" i="5"/>
  <c r="E19" i="12"/>
  <c r="F19" i="6"/>
  <c r="G19" i="6"/>
  <c r="AH33" i="5"/>
  <c r="AH21" i="5"/>
  <c r="A22" i="6"/>
  <c r="B89" i="8"/>
  <c r="AH23" i="5"/>
  <c r="AH26" i="5"/>
  <c r="AN26" i="5" s="1"/>
  <c r="AH18" i="5"/>
  <c r="AH17" i="5"/>
  <c r="AN17" i="5" s="1"/>
  <c r="AH29" i="5"/>
  <c r="AH24" i="5"/>
  <c r="AH30" i="5"/>
  <c r="AH22" i="5"/>
  <c r="AH32" i="5"/>
  <c r="AH16" i="5"/>
  <c r="AN16" i="5" s="1"/>
  <c r="AH31" i="5"/>
  <c r="AH25" i="5"/>
  <c r="AH28" i="5"/>
  <c r="AH35" i="5"/>
  <c r="AH20" i="5"/>
  <c r="O69" i="10"/>
  <c r="H68" i="10" s="1"/>
  <c r="J12" i="9"/>
  <c r="J11" i="9" s="1"/>
  <c r="U14" i="4"/>
  <c r="U7" i="4" s="1"/>
  <c r="V8" i="5"/>
  <c r="AH14" i="5"/>
  <c r="W14" i="5" s="1"/>
  <c r="H14" i="12" s="1"/>
  <c r="BA13" i="6"/>
  <c r="BA12" i="6" s="1"/>
  <c r="A18" i="4"/>
  <c r="C17" i="4"/>
  <c r="Y12" i="8"/>
  <c r="AE13" i="12"/>
  <c r="Z13" i="6"/>
  <c r="AE13" i="6"/>
  <c r="AP13" i="6"/>
  <c r="AP12" i="6" s="1"/>
  <c r="K12" i="10"/>
  <c r="J11" i="10"/>
  <c r="A14" i="6"/>
  <c r="N14" i="6" s="1"/>
  <c r="C5" i="4"/>
  <c r="A6" i="4"/>
  <c r="H14" i="6" a="1"/>
  <c r="H14" i="6" l="1"/>
  <c r="AN19" i="5"/>
  <c r="W19" i="5"/>
  <c r="H19" i="12" s="1"/>
  <c r="A23" i="6"/>
  <c r="AN24" i="5"/>
  <c r="W24" i="5"/>
  <c r="H24" i="12" s="1"/>
  <c r="AN22" i="5"/>
  <c r="W22" i="5"/>
  <c r="H22" i="12" s="1"/>
  <c r="B92" i="8"/>
  <c r="Q69" i="10"/>
  <c r="K12" i="9"/>
  <c r="K11" i="9" s="1"/>
  <c r="AN14" i="5"/>
  <c r="T106" i="4"/>
  <c r="T105" i="4"/>
  <c r="T104" i="4"/>
  <c r="T103" i="4"/>
  <c r="T102" i="4"/>
  <c r="T101" i="4"/>
  <c r="T66" i="4"/>
  <c r="T65" i="4"/>
  <c r="T64" i="4"/>
  <c r="T63" i="4"/>
  <c r="T62" i="4"/>
  <c r="T61" i="4"/>
  <c r="T26" i="4"/>
  <c r="T25" i="4"/>
  <c r="T24" i="4"/>
  <c r="T23" i="4"/>
  <c r="T22" i="4"/>
  <c r="T21" i="4"/>
  <c r="M14" i="6"/>
  <c r="BB13" i="6"/>
  <c r="AF13" i="6"/>
  <c r="AF12" i="6" s="1"/>
  <c r="AE12" i="6"/>
  <c r="A19" i="4"/>
  <c r="C19" i="4" s="1"/>
  <c r="C18" i="4"/>
  <c r="Z12" i="8"/>
  <c r="AF13" i="12"/>
  <c r="AQ13" i="6"/>
  <c r="L12" i="10"/>
  <c r="A7" i="4"/>
  <c r="C7" i="4" s="1"/>
  <c r="C6" i="4"/>
  <c r="A24" i="6" l="1"/>
  <c r="B95" i="8"/>
  <c r="S69" i="10"/>
  <c r="Q74" i="10"/>
  <c r="L12" i="9"/>
  <c r="L11" i="9" s="1"/>
  <c r="BB12" i="6"/>
  <c r="AQ12" i="6"/>
  <c r="AG13" i="6"/>
  <c r="AG12" i="6" s="1"/>
  <c r="BC13" i="6"/>
  <c r="AA12" i="8"/>
  <c r="AG13" i="12"/>
  <c r="AR13" i="6"/>
  <c r="L11" i="10"/>
  <c r="M12" i="10"/>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25" i="6" l="1"/>
  <c r="B98" i="8"/>
  <c r="U69" i="10"/>
  <c r="S74" i="10"/>
  <c r="M12" i="9"/>
  <c r="M11" i="9" s="1"/>
  <c r="U29" i="4"/>
  <c r="U64" i="4"/>
  <c r="U104" i="4"/>
  <c r="U105" i="4"/>
  <c r="U61" i="4"/>
  <c r="U25" i="4"/>
  <c r="U102" i="4"/>
  <c r="U62" i="4"/>
  <c r="U69" i="4"/>
  <c r="U63" i="4"/>
  <c r="U21" i="4"/>
  <c r="U22" i="4"/>
  <c r="U23" i="4"/>
  <c r="U103" i="4"/>
  <c r="U24" i="4"/>
  <c r="U101" i="4"/>
  <c r="U65" i="4"/>
  <c r="U109" i="4"/>
  <c r="K112" i="4" s="1"/>
  <c r="BC12" i="6"/>
  <c r="AR12" i="6"/>
  <c r="AH13" i="6"/>
  <c r="AH12" i="6" s="1"/>
  <c r="BD13" i="6"/>
  <c r="AB12" i="8"/>
  <c r="AH13" i="12"/>
  <c r="AS13" i="6"/>
  <c r="M11" i="10"/>
  <c r="N12" i="10"/>
  <c r="B101" i="8" l="1"/>
  <c r="W69" i="10"/>
  <c r="U74" i="10"/>
  <c r="N12" i="9"/>
  <c r="N11" i="9" s="1"/>
  <c r="J72" i="4"/>
  <c r="U8" i="4"/>
  <c r="BD12" i="6"/>
  <c r="AS12" i="6"/>
  <c r="AI13" i="6"/>
  <c r="AI12" i="6" s="1"/>
  <c r="BE13" i="6"/>
  <c r="AC12" i="8"/>
  <c r="AI13" i="12"/>
  <c r="K72" i="4"/>
  <c r="J112" i="4"/>
  <c r="AT13" i="6"/>
  <c r="O12" i="10"/>
  <c r="N11" i="10"/>
  <c r="K32" i="4"/>
  <c r="J32" i="4"/>
  <c r="A19" i="6" l="1"/>
  <c r="B104" i="8"/>
  <c r="O12" i="9"/>
  <c r="O11" i="9" s="1"/>
  <c r="Y69" i="10"/>
  <c r="W74" i="10"/>
  <c r="T11" i="11"/>
  <c r="BE12" i="6"/>
  <c r="AT12" i="6"/>
  <c r="AJ13" i="6"/>
  <c r="AJ12" i="6" s="1"/>
  <c r="BF13" i="6"/>
  <c r="AD12" i="8"/>
  <c r="AJ13" i="12"/>
  <c r="AU13" i="6"/>
  <c r="P12" i="10"/>
  <c r="O11" i="10"/>
  <c r="A20" i="6" l="1"/>
  <c r="A21" i="6" s="1"/>
  <c r="B107" i="8"/>
  <c r="P12" i="9"/>
  <c r="P11" i="9" s="1"/>
  <c r="AA69" i="10"/>
  <c r="Y74" i="10"/>
  <c r="BF12" i="6"/>
  <c r="AU12" i="6"/>
  <c r="AK13" i="6"/>
  <c r="BG13" i="6"/>
  <c r="AE12" i="8"/>
  <c r="AK13" i="12"/>
  <c r="AV13" i="6"/>
  <c r="Q12" i="10"/>
  <c r="P11" i="10"/>
  <c r="E26" i="12" l="1"/>
  <c r="F26" i="6"/>
  <c r="B110" i="8"/>
  <c r="AK12" i="6"/>
  <c r="Q12" i="9"/>
  <c r="Q11" i="9" s="1"/>
  <c r="AC69" i="10"/>
  <c r="AA74" i="10"/>
  <c r="BG12" i="6"/>
  <c r="AV12" i="6"/>
  <c r="AF12" i="8"/>
  <c r="AL13" i="12"/>
  <c r="Q11" i="10"/>
  <c r="R12" i="10"/>
  <c r="B113" i="8" l="1"/>
  <c r="R12" i="9"/>
  <c r="R11" i="9" s="1"/>
  <c r="AE69" i="10"/>
  <c r="AE74" i="10" s="1"/>
  <c r="AC74" i="10"/>
  <c r="AM13" i="12"/>
  <c r="R11" i="10"/>
  <c r="S12" i="10"/>
  <c r="J21" i="12" l="1"/>
  <c r="L21" i="12"/>
  <c r="L20" i="12"/>
  <c r="J23" i="12"/>
  <c r="L23" i="12"/>
  <c r="J18" i="12"/>
  <c r="J20" i="12"/>
  <c r="L18" i="12"/>
  <c r="L25" i="12"/>
  <c r="J25" i="12"/>
  <c r="B116" i="8"/>
  <c r="S12" i="9"/>
  <c r="S11" i="9" s="1"/>
  <c r="L14" i="12"/>
  <c r="AO7" i="12"/>
  <c r="J14" i="12"/>
  <c r="T12" i="10"/>
  <c r="S11" i="10"/>
  <c r="K21" i="12" l="1"/>
  <c r="K18" i="12"/>
  <c r="K20" i="12"/>
  <c r="K23" i="12"/>
  <c r="K25" i="12"/>
  <c r="B119" i="8"/>
  <c r="T12" i="9"/>
  <c r="T11" i="9" s="1"/>
  <c r="K14" i="12"/>
  <c r="U12" i="10"/>
  <c r="T11" i="10"/>
  <c r="B122" i="8" l="1"/>
  <c r="U12" i="9"/>
  <c r="U11" i="9" s="1"/>
  <c r="V12" i="10"/>
  <c r="U11" i="10"/>
  <c r="C26" i="5" l="1"/>
  <c r="B125" i="8"/>
  <c r="V12" i="9"/>
  <c r="V11" i="9" s="1"/>
  <c r="W12" i="10"/>
  <c r="V11" i="10"/>
  <c r="G26" i="5" l="1"/>
  <c r="AE26" i="5"/>
  <c r="B26" i="5"/>
  <c r="N26" i="5"/>
  <c r="D26" i="6" s="1"/>
  <c r="A26" i="12"/>
  <c r="W26" i="5"/>
  <c r="H26" i="12" s="1"/>
  <c r="B26" i="6"/>
  <c r="H26" i="5"/>
  <c r="F26" i="5"/>
  <c r="AD26" i="5"/>
  <c r="E26" i="5"/>
  <c r="B128" i="8"/>
  <c r="W12" i="9"/>
  <c r="W11" i="9" s="1"/>
  <c r="W11" i="10"/>
  <c r="X12" i="10"/>
  <c r="C27" i="5" l="1"/>
  <c r="E27" i="12"/>
  <c r="F27" i="6"/>
  <c r="H26" i="6" a="1"/>
  <c r="H26" i="6" s="1"/>
  <c r="T26" i="5" s="1"/>
  <c r="G26" i="12" s="1"/>
  <c r="G26" i="6"/>
  <c r="B131" i="8"/>
  <c r="X12" i="9"/>
  <c r="X11" i="9" s="1"/>
  <c r="Y12" i="10"/>
  <c r="X11" i="10"/>
  <c r="AF27" i="5"/>
  <c r="AG27" i="5" l="1"/>
  <c r="S27" i="5"/>
  <c r="F27" i="12" s="1"/>
  <c r="W27" i="5"/>
  <c r="H27" i="12" s="1"/>
  <c r="AE27" i="5"/>
  <c r="C28" i="5"/>
  <c r="N27" i="5"/>
  <c r="D27" i="6" s="1"/>
  <c r="G27" i="6" s="1"/>
  <c r="B27" i="6"/>
  <c r="AD27" i="5"/>
  <c r="A27" i="12"/>
  <c r="B27" i="5"/>
  <c r="E27" i="5"/>
  <c r="G27" i="5"/>
  <c r="F27" i="5"/>
  <c r="H27" i="5"/>
  <c r="B134" i="8"/>
  <c r="Y12" i="9"/>
  <c r="Y11" i="9" s="1"/>
  <c r="Y11" i="10"/>
  <c r="Z12" i="10"/>
  <c r="H27" i="6" l="1" a="1"/>
  <c r="H27" i="6" s="1"/>
  <c r="N28" i="5"/>
  <c r="D28" i="6" s="1"/>
  <c r="H28" i="6" s="1" a="1"/>
  <c r="E28" i="5"/>
  <c r="AD28" i="5"/>
  <c r="AE28" i="5"/>
  <c r="F28" i="5"/>
  <c r="K28" i="5"/>
  <c r="C29" i="5"/>
  <c r="G28" i="5"/>
  <c r="B28" i="5"/>
  <c r="A28" i="12"/>
  <c r="B28" i="6"/>
  <c r="H28" i="5"/>
  <c r="D28" i="5"/>
  <c r="B28" i="12" s="1"/>
  <c r="J28" i="5"/>
  <c r="B137" i="8"/>
  <c r="Z12" i="9"/>
  <c r="Z11" i="9" s="1"/>
  <c r="Z11" i="10"/>
  <c r="AA12" i="10"/>
  <c r="H28" i="6" l="1"/>
  <c r="T28" i="5" s="1"/>
  <c r="G28" i="12" s="1"/>
  <c r="AD29" i="5"/>
  <c r="A29" i="12"/>
  <c r="B29" i="5"/>
  <c r="N29" i="5"/>
  <c r="D29" i="6" s="1"/>
  <c r="H29" i="6" s="1" a="1"/>
  <c r="F29" i="5"/>
  <c r="J29" i="5"/>
  <c r="H29" i="5"/>
  <c r="G29" i="5"/>
  <c r="AE29" i="5"/>
  <c r="E29" i="5"/>
  <c r="B29" i="6"/>
  <c r="D29" i="5"/>
  <c r="B29" i="12" s="1"/>
  <c r="C30" i="5"/>
  <c r="K29" i="5"/>
  <c r="J28" i="12"/>
  <c r="L28" i="12"/>
  <c r="T27" i="5"/>
  <c r="B140" i="8"/>
  <c r="AA12" i="9"/>
  <c r="AA11" i="9" s="1"/>
  <c r="AB12" i="10"/>
  <c r="AA11" i="10"/>
  <c r="H29" i="6" l="1"/>
  <c r="T29" i="5" s="1"/>
  <c r="G29" i="12" s="1"/>
  <c r="F30" i="5"/>
  <c r="J30" i="5"/>
  <c r="A30" i="12"/>
  <c r="D30" i="5"/>
  <c r="B30" i="12" s="1"/>
  <c r="B30" i="6"/>
  <c r="E30" i="5"/>
  <c r="K30" i="5"/>
  <c r="N30" i="5"/>
  <c r="D30" i="6" s="1"/>
  <c r="H30" i="6" s="1" a="1"/>
  <c r="C31" i="5"/>
  <c r="G30" i="5"/>
  <c r="B30" i="5"/>
  <c r="H30" i="5"/>
  <c r="AE30" i="5"/>
  <c r="AD30" i="5"/>
  <c r="K28" i="12"/>
  <c r="J29" i="12"/>
  <c r="L29" i="12"/>
  <c r="G27" i="12"/>
  <c r="B143" i="8"/>
  <c r="AB12" i="9"/>
  <c r="AB11" i="9" s="1"/>
  <c r="AB11" i="10"/>
  <c r="AC12" i="10"/>
  <c r="H30" i="6" l="1"/>
  <c r="T30" i="5" s="1"/>
  <c r="G30" i="12" s="1"/>
  <c r="J30" i="12"/>
  <c r="L30" i="12"/>
  <c r="K29" i="12"/>
  <c r="F31" i="5"/>
  <c r="G31" i="5"/>
  <c r="E31" i="5"/>
  <c r="H31" i="5"/>
  <c r="D31" i="5"/>
  <c r="B31" i="12" s="1"/>
  <c r="C32" i="5"/>
  <c r="A31" i="12"/>
  <c r="AD31" i="5"/>
  <c r="B31" i="6"/>
  <c r="N31" i="5"/>
  <c r="D31" i="6" s="1"/>
  <c r="H31" i="6" s="1" a="1"/>
  <c r="AE31" i="5"/>
  <c r="J31" i="5"/>
  <c r="K31" i="5"/>
  <c r="B31" i="5"/>
  <c r="I27" i="5"/>
  <c r="B146" i="8"/>
  <c r="AC12" i="9"/>
  <c r="AC11" i="9" s="1"/>
  <c r="AC11" i="10"/>
  <c r="AD12" i="10"/>
  <c r="K30" i="12" l="1"/>
  <c r="H31" i="6"/>
  <c r="T31" i="5" s="1"/>
  <c r="G31" i="12" s="1"/>
  <c r="C33" i="5"/>
  <c r="F32" i="5"/>
  <c r="K32" i="5"/>
  <c r="H32" i="5"/>
  <c r="G32" i="5"/>
  <c r="N32" i="5"/>
  <c r="D32" i="6" s="1"/>
  <c r="H32" i="6" s="1" a="1"/>
  <c r="J32" i="5"/>
  <c r="D32" i="5"/>
  <c r="B32" i="12" s="1"/>
  <c r="A32" i="12"/>
  <c r="AE32" i="5"/>
  <c r="B32" i="6"/>
  <c r="E32" i="5"/>
  <c r="B32" i="5"/>
  <c r="AD32" i="5"/>
  <c r="J31" i="12"/>
  <c r="L31" i="12"/>
  <c r="B149" i="8"/>
  <c r="AD12" i="9"/>
  <c r="AD11" i="9" s="1"/>
  <c r="AE12" i="10"/>
  <c r="AD11" i="10"/>
  <c r="H32" i="6" l="1"/>
  <c r="T32" i="5" s="1"/>
  <c r="G32" i="12" s="1"/>
  <c r="L32" i="12"/>
  <c r="J32" i="12"/>
  <c r="B33" i="6"/>
  <c r="N33" i="5"/>
  <c r="D33" i="6" s="1"/>
  <c r="H33" i="6" s="1" a="1"/>
  <c r="AD33" i="5"/>
  <c r="A33" i="12"/>
  <c r="F33" i="5"/>
  <c r="H33" i="5"/>
  <c r="AE33" i="5"/>
  <c r="D33" i="5"/>
  <c r="B33" i="12" s="1"/>
  <c r="B33" i="5"/>
  <c r="G33" i="5"/>
  <c r="K33" i="5"/>
  <c r="J33" i="5"/>
  <c r="E33" i="5"/>
  <c r="K31" i="12"/>
  <c r="B152" i="8"/>
  <c r="AE12" i="9"/>
  <c r="AE11" i="10"/>
  <c r="AF12" i="10"/>
  <c r="H33" i="6" l="1"/>
  <c r="T33" i="5" s="1"/>
  <c r="G33" i="12" s="1"/>
  <c r="L33" i="12"/>
  <c r="J33" i="12"/>
  <c r="K32" i="12"/>
  <c r="B155" i="8"/>
  <c r="AE11" i="9"/>
  <c r="AF11" i="10"/>
  <c r="K33" i="12" l="1"/>
  <c r="B158" i="8"/>
  <c r="A15" i="10"/>
  <c r="B161" i="8" l="1"/>
  <c r="L10" i="7"/>
  <c r="M10" i="7" l="1"/>
  <c r="A26" i="6" l="1"/>
  <c r="A27" i="6" s="1"/>
  <c r="N10" i="7"/>
  <c r="N27" i="6" l="1"/>
  <c r="E34" i="12"/>
  <c r="F34" i="6"/>
  <c r="N26" i="6"/>
  <c r="A28" i="6"/>
  <c r="P13" i="7"/>
  <c r="O10" i="7"/>
  <c r="A29" i="6" l="1"/>
  <c r="N28" i="6"/>
  <c r="Q13" i="7"/>
  <c r="P10" i="7"/>
  <c r="A30" i="6" l="1"/>
  <c r="N29" i="6"/>
  <c r="Q10" i="7"/>
  <c r="R13" i="7"/>
  <c r="A31" i="6" l="1"/>
  <c r="N30" i="6"/>
  <c r="S13" i="7"/>
  <c r="R10" i="7"/>
  <c r="A32" i="6" l="1"/>
  <c r="A33" i="6" s="1"/>
  <c r="N31" i="6"/>
  <c r="S10" i="7"/>
  <c r="T13" i="7"/>
  <c r="N33" i="6" l="1"/>
  <c r="N32" i="6"/>
  <c r="T10" i="7"/>
  <c r="U13" i="7"/>
  <c r="U10" i="7" l="1"/>
  <c r="V13" i="7"/>
  <c r="W13" i="7" l="1"/>
  <c r="V10" i="7"/>
  <c r="W10" i="7" l="1"/>
  <c r="X13" i="7"/>
  <c r="X10" i="7" l="1"/>
  <c r="Y13" i="7"/>
  <c r="Y10" i="7" l="1"/>
  <c r="K11" i="10" l="1"/>
  <c r="K10" i="7"/>
  <c r="C34" i="5" l="1"/>
  <c r="T14" i="5"/>
  <c r="AF34" i="5"/>
  <c r="AG34" i="5" l="1"/>
  <c r="S34" i="5"/>
  <c r="F34" i="12" s="1"/>
  <c r="E34" i="5"/>
  <c r="A34" i="12"/>
  <c r="G34" i="5"/>
  <c r="B34" i="5"/>
  <c r="B34" i="6"/>
  <c r="C35" i="5"/>
  <c r="W34" i="5"/>
  <c r="H34" i="12" s="1"/>
  <c r="F34" i="5"/>
  <c r="AE34" i="5"/>
  <c r="AD34" i="5"/>
  <c r="N34" i="5"/>
  <c r="D34" i="6" s="1"/>
  <c r="H34" i="5"/>
  <c r="G14" i="12"/>
  <c r="A34" i="6" l="1"/>
  <c r="N35" i="5"/>
  <c r="D35" i="6" s="1"/>
  <c r="F35" i="5"/>
  <c r="K35" i="5"/>
  <c r="B35" i="5"/>
  <c r="E35" i="5"/>
  <c r="A35" i="12"/>
  <c r="J35" i="5"/>
  <c r="AE35" i="5"/>
  <c r="G35" i="5"/>
  <c r="D35" i="5"/>
  <c r="B35" i="12" s="1"/>
  <c r="AD35" i="5"/>
  <c r="H35" i="5"/>
  <c r="B35" i="6"/>
  <c r="H34" i="6" a="1"/>
  <c r="H34" i="6" s="1"/>
  <c r="T34" i="5" s="1"/>
  <c r="G34" i="12" s="1"/>
  <c r="G34" i="6"/>
  <c r="N34" i="6"/>
  <c r="A8" i="9"/>
  <c r="B7" i="9" a="1"/>
  <c r="B7" i="9" s="1"/>
  <c r="A15" i="6" a="1"/>
  <c r="A15" i="6" s="1"/>
  <c r="C15" i="7"/>
  <c r="B10" i="9" a="1"/>
  <c r="B10" i="9" l="1"/>
  <c r="A35" i="6"/>
  <c r="N35" i="6" s="1"/>
  <c r="J35" i="12"/>
  <c r="L35" i="12"/>
  <c r="BC16" i="6"/>
  <c r="AR16" i="6"/>
  <c r="AO17" i="6"/>
  <c r="BA16" i="6"/>
  <c r="AZ17" i="6"/>
  <c r="AO16" i="6"/>
  <c r="AU17" i="6"/>
  <c r="AP16" i="6"/>
  <c r="AB16" i="6"/>
  <c r="BE17" i="6"/>
  <c r="AV17" i="6"/>
  <c r="AQ17" i="6"/>
  <c r="AB17" i="6"/>
  <c r="AM17" i="6"/>
  <c r="AM16" i="6"/>
  <c r="AQ16" i="6"/>
  <c r="AP17" i="6"/>
  <c r="BA17" i="6"/>
  <c r="AX16" i="6"/>
  <c r="BF17" i="6"/>
  <c r="BB17" i="6"/>
  <c r="AS16" i="6"/>
  <c r="BC17" i="6"/>
  <c r="AV16" i="6"/>
  <c r="AT17" i="6"/>
  <c r="BB16" i="6"/>
  <c r="AY17" i="6"/>
  <c r="AY16" i="6"/>
  <c r="AU16" i="6"/>
  <c r="BG16" i="6"/>
  <c r="BF16" i="6"/>
  <c r="BG17" i="6"/>
  <c r="AR17" i="6"/>
  <c r="AN16" i="6"/>
  <c r="AN17" i="6"/>
  <c r="BE16" i="6"/>
  <c r="AX17" i="6"/>
  <c r="AS17" i="6"/>
  <c r="AZ16" i="6"/>
  <c r="AT16" i="6"/>
  <c r="BD17" i="6"/>
  <c r="BD16" i="6"/>
  <c r="AC17" i="6"/>
  <c r="M18" i="6"/>
  <c r="AC16" i="6"/>
  <c r="AD17" i="6"/>
  <c r="AD16" i="6"/>
  <c r="AE17" i="6"/>
  <c r="AF16" i="6"/>
  <c r="AF17" i="6"/>
  <c r="AE16" i="6"/>
  <c r="AG16" i="6"/>
  <c r="AG17" i="6"/>
  <c r="AH16" i="6"/>
  <c r="AH17" i="6"/>
  <c r="AI16" i="6"/>
  <c r="AI17" i="6"/>
  <c r="AJ17" i="6"/>
  <c r="AJ16" i="6"/>
  <c r="AK17" i="6"/>
  <c r="AK16" i="6"/>
  <c r="AI14" i="6"/>
  <c r="BE14" i="6"/>
  <c r="AK14" i="6"/>
  <c r="AR14" i="6"/>
  <c r="AO14" i="6"/>
  <c r="AM14" i="6"/>
  <c r="BC14" i="6"/>
  <c r="D15" i="7"/>
  <c r="C16" i="7" s="1" a="1"/>
  <c r="C16" i="7" s="1"/>
  <c r="B15" i="9"/>
  <c r="B16" i="9" s="1"/>
  <c r="B15" i="10"/>
  <c r="B16" i="10" s="1"/>
  <c r="AQ14" i="6"/>
  <c r="AB14" i="6"/>
  <c r="AY14" i="6"/>
  <c r="AJ14" i="6"/>
  <c r="AN14" i="6"/>
  <c r="BB14" i="6"/>
  <c r="AG14" i="6"/>
  <c r="AS14" i="6"/>
  <c r="BD14" i="6"/>
  <c r="AE14" i="6"/>
  <c r="BF14" i="6"/>
  <c r="AX14" i="6"/>
  <c r="AZ14" i="6"/>
  <c r="AV14" i="6"/>
  <c r="AT14" i="6"/>
  <c r="AP14" i="6"/>
  <c r="BG14" i="6"/>
  <c r="AU14" i="6"/>
  <c r="AC14" i="6"/>
  <c r="AH14" i="6"/>
  <c r="AF14" i="6"/>
  <c r="BA14" i="6"/>
  <c r="AD14" i="6"/>
  <c r="H35" i="6" a="1"/>
  <c r="H35" i="6" l="1"/>
  <c r="T35" i="5" s="1"/>
  <c r="G35" i="12" s="1"/>
  <c r="K35" i="12"/>
  <c r="B16" i="7"/>
  <c r="C17" i="7" a="1"/>
  <c r="C17" i="7" s="1"/>
  <c r="B17" i="9"/>
  <c r="BA18" i="6"/>
  <c r="BC18" i="6"/>
  <c r="AR18" i="6"/>
  <c r="AY18" i="6"/>
  <c r="AN18" i="6"/>
  <c r="AP18" i="6"/>
  <c r="AU18" i="6"/>
  <c r="AV18" i="6"/>
  <c r="BF18" i="6"/>
  <c r="BG18" i="6"/>
  <c r="BD18" i="6"/>
  <c r="BB18" i="6"/>
  <c r="AX18" i="6"/>
  <c r="AM18" i="6"/>
  <c r="AQ18" i="6"/>
  <c r="AS18" i="6"/>
  <c r="AO18" i="6"/>
  <c r="AZ18" i="6"/>
  <c r="BE18" i="6"/>
  <c r="AT18" i="6"/>
  <c r="AC18" i="6"/>
  <c r="AD18" i="6"/>
  <c r="AE18" i="6"/>
  <c r="AF18" i="6"/>
  <c r="AG18" i="6"/>
  <c r="AH18" i="6"/>
  <c r="AI18" i="6"/>
  <c r="AJ18" i="6"/>
  <c r="AK18" i="6"/>
  <c r="B17" i="10"/>
  <c r="X14" i="5"/>
  <c r="B15" i="7"/>
  <c r="C15" i="9"/>
  <c r="F15" i="9" s="1"/>
  <c r="C15" i="10"/>
  <c r="A15" i="7"/>
  <c r="M22" i="6" l="1"/>
  <c r="AZ22" i="6" s="1"/>
  <c r="B18" i="9"/>
  <c r="B18" i="10"/>
  <c r="C18" i="7" a="1"/>
  <c r="C18" i="7" s="1"/>
  <c r="B17" i="7"/>
  <c r="I14" i="12"/>
  <c r="I14" i="5"/>
  <c r="Z14" i="5"/>
  <c r="L14" i="5"/>
  <c r="AM14" i="5"/>
  <c r="BA22" i="6" l="1"/>
  <c r="AO22" i="6"/>
  <c r="AI22" i="6"/>
  <c r="AR22" i="6"/>
  <c r="AF22" i="6"/>
  <c r="BG22" i="6"/>
  <c r="AN22" i="6"/>
  <c r="AQ22" i="6"/>
  <c r="AK22" i="6"/>
  <c r="M24" i="6"/>
  <c r="AP22" i="6"/>
  <c r="AH22" i="6"/>
  <c r="AV22" i="6"/>
  <c r="BB22" i="6"/>
  <c r="AY22" i="6"/>
  <c r="AB22" i="6"/>
  <c r="AG22" i="6"/>
  <c r="AE22" i="6"/>
  <c r="BF22" i="6"/>
  <c r="AS22" i="6"/>
  <c r="AC22" i="6"/>
  <c r="AU22" i="6"/>
  <c r="BC22" i="6"/>
  <c r="AJ22" i="6"/>
  <c r="BD22" i="6"/>
  <c r="AM22" i="6"/>
  <c r="AT22" i="6"/>
  <c r="AD22" i="6"/>
  <c r="BE22" i="6"/>
  <c r="AX22" i="6"/>
  <c r="B19" i="9"/>
  <c r="B19" i="10"/>
  <c r="B18" i="7"/>
  <c r="C19" i="7" a="1"/>
  <c r="C19" i="7" s="1"/>
  <c r="O14" i="5"/>
  <c r="C14" i="6"/>
  <c r="AB14" i="5"/>
  <c r="AA14" i="5"/>
  <c r="C14" i="12"/>
  <c r="O14" i="12"/>
  <c r="AO14" i="12"/>
  <c r="M14" i="12"/>
  <c r="K34" i="5" l="1"/>
  <c r="M19" i="6"/>
  <c r="AN24" i="6"/>
  <c r="AC24" i="6"/>
  <c r="AO24" i="6"/>
  <c r="AH24" i="6"/>
  <c r="AF24" i="6"/>
  <c r="AG24" i="6"/>
  <c r="AY24" i="6"/>
  <c r="BF24" i="6"/>
  <c r="AU24" i="6"/>
  <c r="AR24" i="6"/>
  <c r="AK24" i="6"/>
  <c r="AT24" i="6"/>
  <c r="BG24" i="6"/>
  <c r="AE24" i="6"/>
  <c r="AM24" i="6"/>
  <c r="AB24" i="6"/>
  <c r="AZ24" i="6"/>
  <c r="BE24" i="6"/>
  <c r="BA24" i="6"/>
  <c r="BB24" i="6"/>
  <c r="AX24" i="6"/>
  <c r="AD24" i="6"/>
  <c r="AJ24" i="6"/>
  <c r="AQ24" i="6"/>
  <c r="AP24" i="6"/>
  <c r="AS24" i="6"/>
  <c r="BD24" i="6"/>
  <c r="BC24" i="6"/>
  <c r="AV24" i="6"/>
  <c r="AI24" i="6"/>
  <c r="B19" i="7"/>
  <c r="C20" i="7" a="1"/>
  <c r="C20" i="7" s="1"/>
  <c r="B20" i="9"/>
  <c r="B20" i="10"/>
  <c r="N14" i="12"/>
  <c r="Y14" i="12"/>
  <c r="E14" i="6"/>
  <c r="D14" i="12"/>
  <c r="AX19" i="6" l="1"/>
  <c r="AS19" i="6"/>
  <c r="AE19" i="6"/>
  <c r="AM19" i="6"/>
  <c r="AP19" i="6"/>
  <c r="AO19" i="6"/>
  <c r="AY19" i="6"/>
  <c r="AB19" i="6"/>
  <c r="AG19" i="6"/>
  <c r="AC19" i="6"/>
  <c r="BA19" i="6"/>
  <c r="AZ19" i="6"/>
  <c r="AT19" i="6"/>
  <c r="AQ19" i="6"/>
  <c r="BB19" i="6"/>
  <c r="AK19" i="6"/>
  <c r="AN19" i="6"/>
  <c r="AH19" i="6"/>
  <c r="BG19" i="6"/>
  <c r="AF19" i="6"/>
  <c r="BE19" i="6"/>
  <c r="AJ19" i="6"/>
  <c r="BF19" i="6"/>
  <c r="BC19" i="6"/>
  <c r="AI19" i="6"/>
  <c r="AR19" i="6"/>
  <c r="BD19" i="6"/>
  <c r="AU19" i="6"/>
  <c r="AV19" i="6"/>
  <c r="AD19" i="6"/>
  <c r="B21" i="9"/>
  <c r="C21" i="7" a="1"/>
  <c r="C21" i="7" s="1"/>
  <c r="B20" i="7"/>
  <c r="B21" i="10"/>
  <c r="X14" i="12"/>
  <c r="W14" i="12"/>
  <c r="M26" i="6" l="1"/>
  <c r="B22" i="9"/>
  <c r="B22" i="10"/>
  <c r="B21" i="7"/>
  <c r="C22" i="7" a="1"/>
  <c r="C22" i="7" s="1"/>
  <c r="T14" i="12"/>
  <c r="U14" i="12"/>
  <c r="V14" i="12"/>
  <c r="M20" i="6" l="1"/>
  <c r="AR26" i="6"/>
  <c r="AS26" i="6"/>
  <c r="AD26" i="6"/>
  <c r="AC26" i="6"/>
  <c r="AZ26" i="6"/>
  <c r="AE26" i="6"/>
  <c r="AM26" i="6"/>
  <c r="BB26" i="6"/>
  <c r="BE26" i="6"/>
  <c r="AK26" i="6"/>
  <c r="AF26" i="6"/>
  <c r="AT26" i="6"/>
  <c r="AI26" i="6"/>
  <c r="AG26" i="6"/>
  <c r="BD26" i="6"/>
  <c r="AV26" i="6"/>
  <c r="AU26" i="6"/>
  <c r="AO26" i="6"/>
  <c r="BC26" i="6"/>
  <c r="AX26" i="6"/>
  <c r="BF26" i="6"/>
  <c r="AJ26" i="6"/>
  <c r="BA26" i="6"/>
  <c r="AP26" i="6"/>
  <c r="BG26" i="6"/>
  <c r="AH26" i="6"/>
  <c r="AB26" i="6"/>
  <c r="AQ26" i="6"/>
  <c r="AN26" i="6"/>
  <c r="AY26" i="6"/>
  <c r="B23" i="9"/>
  <c r="B23" i="10"/>
  <c r="B22" i="7"/>
  <c r="C23" i="7" a="1"/>
  <c r="C23" i="7" s="1"/>
  <c r="D21" i="2"/>
  <c r="AU20" i="6" l="1"/>
  <c r="AI20" i="6"/>
  <c r="AV20" i="6"/>
  <c r="AO20" i="6"/>
  <c r="AC20" i="6"/>
  <c r="BE20" i="6"/>
  <c r="BC20" i="6"/>
  <c r="AJ20" i="6"/>
  <c r="AD20" i="6"/>
  <c r="AK20" i="6"/>
  <c r="AG20" i="6"/>
  <c r="M21" i="6"/>
  <c r="AO21" i="6" s="1"/>
  <c r="AY20" i="6"/>
  <c r="AN20" i="6"/>
  <c r="AM20" i="6"/>
  <c r="BG20" i="6"/>
  <c r="AT20" i="6"/>
  <c r="AX20" i="6"/>
  <c r="BD20" i="6"/>
  <c r="BF20" i="6"/>
  <c r="AS20" i="6"/>
  <c r="AZ20" i="6"/>
  <c r="BA20" i="6"/>
  <c r="AF20" i="6"/>
  <c r="AH20" i="6"/>
  <c r="AR20" i="6"/>
  <c r="BB20" i="6"/>
  <c r="AE20" i="6"/>
  <c r="AP20" i="6"/>
  <c r="AQ20" i="6"/>
  <c r="C24" i="7" a="1"/>
  <c r="C24" i="7" s="1"/>
  <c r="B23" i="7"/>
  <c r="B24" i="9"/>
  <c r="B24" i="10"/>
  <c r="I15" i="12"/>
  <c r="M15" i="12"/>
  <c r="J15" i="12" s="1"/>
  <c r="O15" i="12"/>
  <c r="AS21" i="6" l="1"/>
  <c r="AH21" i="6"/>
  <c r="AN21" i="6"/>
  <c r="BF21" i="6"/>
  <c r="AT21" i="6"/>
  <c r="AE21" i="6"/>
  <c r="AU21" i="6"/>
  <c r="AG21" i="6"/>
  <c r="AQ21" i="6"/>
  <c r="BB21" i="6"/>
  <c r="AX21" i="6"/>
  <c r="BA21" i="6"/>
  <c r="AK21" i="6"/>
  <c r="AR21" i="6"/>
  <c r="AZ21" i="6"/>
  <c r="BD21" i="6"/>
  <c r="AM21" i="6"/>
  <c r="AF21" i="6"/>
  <c r="AC21" i="6"/>
  <c r="BE21" i="6"/>
  <c r="M23" i="6"/>
  <c r="M25" i="6" s="1"/>
  <c r="AP25" i="6" s="1"/>
  <c r="BC21" i="6"/>
  <c r="AV21" i="6"/>
  <c r="AJ21" i="6"/>
  <c r="BG21" i="6"/>
  <c r="AI21" i="6"/>
  <c r="AD21" i="6"/>
  <c r="AY21" i="6"/>
  <c r="AP21" i="6"/>
  <c r="B25" i="9"/>
  <c r="B25" i="10"/>
  <c r="C25" i="7" a="1"/>
  <c r="C25" i="7" s="1"/>
  <c r="B24" i="7"/>
  <c r="L15" i="12"/>
  <c r="K15" i="12" s="1"/>
  <c r="N15" i="12"/>
  <c r="F10" i="12" s="1"/>
  <c r="P10" i="12"/>
  <c r="O10" i="12" s="1"/>
  <c r="AT23" i="6" l="1"/>
  <c r="AN25" i="6"/>
  <c r="AI25" i="6"/>
  <c r="AE25" i="6"/>
  <c r="BA25" i="6"/>
  <c r="BC23" i="6"/>
  <c r="BE23" i="6"/>
  <c r="AR23" i="6"/>
  <c r="AS23" i="6"/>
  <c r="AH23" i="6"/>
  <c r="AZ23" i="6"/>
  <c r="AI23" i="6"/>
  <c r="AD25" i="6"/>
  <c r="BG23" i="6"/>
  <c r="AF25" i="6"/>
  <c r="AZ25" i="6"/>
  <c r="AY23" i="6"/>
  <c r="AG23" i="6"/>
  <c r="BA23" i="6"/>
  <c r="AR25" i="6"/>
  <c r="BE25" i="6"/>
  <c r="AQ23" i="6"/>
  <c r="AJ23" i="6"/>
  <c r="AE23" i="6"/>
  <c r="AH25" i="6"/>
  <c r="BC25" i="6"/>
  <c r="AV23" i="6"/>
  <c r="AX23" i="6"/>
  <c r="BB25" i="6"/>
  <c r="BD25" i="6"/>
  <c r="AU25" i="6"/>
  <c r="AO23" i="6"/>
  <c r="AP23" i="6"/>
  <c r="AQ25" i="6"/>
  <c r="AG25" i="6"/>
  <c r="BG25" i="6"/>
  <c r="AK23" i="6"/>
  <c r="BF23" i="6"/>
  <c r="AY25" i="6"/>
  <c r="AJ25" i="6"/>
  <c r="AT25" i="6"/>
  <c r="BB23" i="6"/>
  <c r="AN23" i="6"/>
  <c r="AV25" i="6"/>
  <c r="AS25" i="6"/>
  <c r="AK25" i="6"/>
  <c r="AD23" i="6"/>
  <c r="BD23" i="6"/>
  <c r="AX25" i="6"/>
  <c r="AC25" i="6"/>
  <c r="AM25" i="6"/>
  <c r="AO25" i="6"/>
  <c r="AF23" i="6"/>
  <c r="AM23" i="6"/>
  <c r="BF25" i="6"/>
  <c r="AU23" i="6"/>
  <c r="AC23" i="6"/>
  <c r="B26" i="10"/>
  <c r="B25" i="7"/>
  <c r="C26" i="7" a="1"/>
  <c r="C26" i="7" s="1"/>
  <c r="B26" i="9"/>
  <c r="B26" i="7" l="1"/>
  <c r="C27" i="7" a="1"/>
  <c r="C27" i="7" s="1"/>
  <c r="B27" i="10"/>
  <c r="B27" i="9"/>
  <c r="F15" i="7" a="1"/>
  <c r="F15" i="7" s="1"/>
  <c r="B28" i="9" l="1"/>
  <c r="B28" i="10"/>
  <c r="C28" i="7" a="1"/>
  <c r="C28" i="7" s="1"/>
  <c r="B27" i="7"/>
  <c r="J15" i="7"/>
  <c r="S15" i="7"/>
  <c r="L15" i="7"/>
  <c r="X15" i="7"/>
  <c r="R15" i="7"/>
  <c r="O15" i="7"/>
  <c r="Y15" i="7"/>
  <c r="M15" i="7"/>
  <c r="Q15" i="7"/>
  <c r="P15" i="7"/>
  <c r="V15" i="7"/>
  <c r="K15" i="7"/>
  <c r="U15" i="7"/>
  <c r="W15" i="7"/>
  <c r="T15" i="7"/>
  <c r="I15" i="7"/>
  <c r="N15" i="7"/>
  <c r="B29" i="10" l="1"/>
  <c r="B29" i="9"/>
  <c r="B28" i="7"/>
  <c r="C29" i="7" a="1"/>
  <c r="C29" i="7" s="1"/>
  <c r="H15" i="7"/>
  <c r="E15" i="7"/>
  <c r="B29" i="7" l="1"/>
  <c r="C30" i="7" a="1"/>
  <c r="C30" i="7" s="1"/>
  <c r="B30" i="9"/>
  <c r="B30" i="10"/>
  <c r="S1" i="7" a="1"/>
  <c r="S1" i="7" s="1"/>
  <c r="B31" i="9" l="1"/>
  <c r="B30" i="7"/>
  <c r="C31" i="7" a="1"/>
  <c r="C31" i="7" s="1"/>
  <c r="B31" i="10"/>
  <c r="O1" i="7" a="1"/>
  <c r="O1" i="7" s="1"/>
  <c r="R1" i="7" a="1"/>
  <c r="R1" i="7" s="1"/>
  <c r="V1" i="7" a="1"/>
  <c r="V1" i="7" s="1"/>
  <c r="U1" i="7" a="1"/>
  <c r="U1" i="7" s="1"/>
  <c r="N1" i="7" a="1"/>
  <c r="N1" i="7" s="1"/>
  <c r="Q1" i="7" a="1"/>
  <c r="Q1" i="7" s="1"/>
  <c r="T1" i="7" a="1"/>
  <c r="T1" i="7" s="1"/>
  <c r="M1" i="7" a="1"/>
  <c r="M1" i="7" s="1"/>
  <c r="W1" i="7" a="1"/>
  <c r="W1" i="7" s="1"/>
  <c r="P1" i="7" a="1"/>
  <c r="P1" i="7" s="1"/>
  <c r="X1" i="7" a="1"/>
  <c r="X1" i="7" s="1"/>
  <c r="Y1" i="7" a="1"/>
  <c r="Y1" i="7" s="1"/>
  <c r="M27" i="6" l="1"/>
  <c r="M28" i="6" s="1"/>
  <c r="AH28" i="6" s="1"/>
  <c r="B31" i="7"/>
  <c r="C32" i="7" a="1"/>
  <c r="C32" i="7" s="1"/>
  <c r="B32" i="10"/>
  <c r="B32" i="9"/>
  <c r="AN27" i="6" l="1"/>
  <c r="BG27" i="6"/>
  <c r="BA27" i="6"/>
  <c r="BC27" i="6"/>
  <c r="AY27" i="6"/>
  <c r="AV27" i="6"/>
  <c r="BD27" i="6"/>
  <c r="AT27" i="6"/>
  <c r="AR27" i="6"/>
  <c r="AP27" i="6"/>
  <c r="BB27" i="6"/>
  <c r="AS27" i="6"/>
  <c r="AU27" i="6"/>
  <c r="BE27" i="6"/>
  <c r="AX27" i="6"/>
  <c r="AM27" i="6"/>
  <c r="AZ27" i="6"/>
  <c r="BF27" i="6"/>
  <c r="AQ27" i="6"/>
  <c r="AO27" i="6"/>
  <c r="AI27" i="6"/>
  <c r="AH27" i="6"/>
  <c r="AJ27" i="6"/>
  <c r="AD27" i="6"/>
  <c r="AE27" i="6"/>
  <c r="AB27" i="6"/>
  <c r="AK27" i="6"/>
  <c r="AG27" i="6"/>
  <c r="AF27" i="6"/>
  <c r="AC27" i="6"/>
  <c r="J27" i="6" a="1"/>
  <c r="J27" i="6" s="1"/>
  <c r="M32" i="6"/>
  <c r="AM32" i="6" s="1"/>
  <c r="BE28" i="6"/>
  <c r="M31" i="6"/>
  <c r="AS31" i="6" s="1"/>
  <c r="AQ28" i="6"/>
  <c r="BA28" i="6"/>
  <c r="AG28" i="6"/>
  <c r="AO28" i="6"/>
  <c r="AM28" i="6"/>
  <c r="AX28" i="6"/>
  <c r="AR28" i="6"/>
  <c r="AD28" i="6"/>
  <c r="AK28" i="6"/>
  <c r="AT28" i="6"/>
  <c r="AV28" i="6"/>
  <c r="M29" i="6"/>
  <c r="AM29" i="6" s="1"/>
  <c r="AI28" i="6"/>
  <c r="AF28" i="6"/>
  <c r="BC28" i="6"/>
  <c r="M30" i="6"/>
  <c r="BB30" i="6" s="1"/>
  <c r="AY28" i="6"/>
  <c r="BD28" i="6"/>
  <c r="AS28" i="6"/>
  <c r="AP28" i="6"/>
  <c r="AE28" i="6"/>
  <c r="M33" i="6"/>
  <c r="AP33" i="6" s="1"/>
  <c r="BG28" i="6"/>
  <c r="AU28" i="6"/>
  <c r="BF28" i="6"/>
  <c r="AZ28" i="6"/>
  <c r="AJ28" i="6"/>
  <c r="AN28" i="6"/>
  <c r="AC28" i="6"/>
  <c r="BB28" i="6"/>
  <c r="B33" i="10"/>
  <c r="B32" i="7"/>
  <c r="C33" i="7" a="1"/>
  <c r="C33" i="7" s="1"/>
  <c r="B33" i="9"/>
  <c r="BF31" i="6" l="1"/>
  <c r="AK31" i="6"/>
  <c r="AJ31" i="6"/>
  <c r="AQ30" i="6"/>
  <c r="AR30" i="6"/>
  <c r="AM33" i="6"/>
  <c r="AJ33" i="6"/>
  <c r="AZ33" i="6"/>
  <c r="AS33" i="6"/>
  <c r="BD29" i="6"/>
  <c r="BB29" i="6"/>
  <c r="AN29" i="6"/>
  <c r="BG29" i="6"/>
  <c r="AE29" i="6"/>
  <c r="AQ29" i="6"/>
  <c r="BA29" i="6"/>
  <c r="AO29" i="6"/>
  <c r="AI29" i="6"/>
  <c r="AV29" i="6"/>
  <c r="AU29" i="6"/>
  <c r="AD29" i="6"/>
  <c r="AG29" i="6"/>
  <c r="BC29" i="6"/>
  <c r="AX29" i="6"/>
  <c r="AC29" i="6"/>
  <c r="AF29" i="6"/>
  <c r="AY29" i="6"/>
  <c r="AS29" i="6"/>
  <c r="AR29" i="6"/>
  <c r="AP29" i="6"/>
  <c r="AJ29" i="6"/>
  <c r="BF29" i="6"/>
  <c r="AH29" i="6"/>
  <c r="AZ29" i="6"/>
  <c r="AT29" i="6"/>
  <c r="AK29" i="6"/>
  <c r="BE29" i="6"/>
  <c r="AN30" i="6"/>
  <c r="BC31" i="6"/>
  <c r="AU31" i="6"/>
  <c r="AV31" i="6"/>
  <c r="AF31" i="6"/>
  <c r="AP31" i="6"/>
  <c r="AQ31" i="6"/>
  <c r="AT31" i="6"/>
  <c r="AV30" i="6"/>
  <c r="BG31" i="6"/>
  <c r="BE31" i="6"/>
  <c r="AG30" i="6"/>
  <c r="AI31" i="6"/>
  <c r="AR31" i="6"/>
  <c r="AN31" i="6"/>
  <c r="AO31" i="6"/>
  <c r="AY32" i="6"/>
  <c r="BA30" i="6"/>
  <c r="AZ31" i="6"/>
  <c r="AE30" i="6"/>
  <c r="BB31" i="6"/>
  <c r="AT30" i="6"/>
  <c r="AD30" i="6"/>
  <c r="AM30" i="6"/>
  <c r="AY31" i="6"/>
  <c r="AE31" i="6"/>
  <c r="AD31" i="6"/>
  <c r="AC31" i="6"/>
  <c r="AG32" i="6"/>
  <c r="AS30" i="6"/>
  <c r="AG31" i="6"/>
  <c r="AM31" i="6"/>
  <c r="BG30" i="6"/>
  <c r="BA31" i="6"/>
  <c r="AY30" i="6"/>
  <c r="BE30" i="6"/>
  <c r="AO30" i="6"/>
  <c r="AX31" i="6"/>
  <c r="BD31" i="6"/>
  <c r="AH31" i="6"/>
  <c r="AS32" i="6"/>
  <c r="BD33" i="6"/>
  <c r="AX32" i="6"/>
  <c r="AK32" i="6"/>
  <c r="AN32" i="6"/>
  <c r="AC32" i="6"/>
  <c r="AO32" i="6"/>
  <c r="AE32" i="6"/>
  <c r="AF33" i="6"/>
  <c r="AT33" i="6"/>
  <c r="BG33" i="6"/>
  <c r="BB33" i="6"/>
  <c r="AX33" i="6"/>
  <c r="AZ32" i="6"/>
  <c r="AD32" i="6"/>
  <c r="AI32" i="6"/>
  <c r="AF32" i="6"/>
  <c r="AI33" i="6"/>
  <c r="BC33" i="6"/>
  <c r="AU32" i="6"/>
  <c r="AJ32" i="6"/>
  <c r="AH33" i="6"/>
  <c r="AV33" i="6"/>
  <c r="AO33" i="6"/>
  <c r="AQ33" i="6"/>
  <c r="AK33" i="6"/>
  <c r="BF33" i="6"/>
  <c r="AT32" i="6"/>
  <c r="BB32" i="6"/>
  <c r="BD32" i="6"/>
  <c r="AP32" i="6"/>
  <c r="BC32" i="6"/>
  <c r="BF32" i="6"/>
  <c r="AD33" i="6"/>
  <c r="AH32" i="6"/>
  <c r="AN33" i="6"/>
  <c r="AG33" i="6"/>
  <c r="AC33" i="6"/>
  <c r="AE33" i="6"/>
  <c r="AY33" i="6"/>
  <c r="BA32" i="6"/>
  <c r="AQ32" i="6"/>
  <c r="AV32" i="6"/>
  <c r="BE32" i="6"/>
  <c r="AU33" i="6"/>
  <c r="BE33" i="6"/>
  <c r="AR33" i="6"/>
  <c r="BA33" i="6"/>
  <c r="BG32" i="6"/>
  <c r="AR32" i="6"/>
  <c r="AK30" i="6"/>
  <c r="AF30" i="6"/>
  <c r="AH30" i="6"/>
  <c r="BC30" i="6"/>
  <c r="AP30" i="6"/>
  <c r="BF30" i="6"/>
  <c r="AJ30" i="6"/>
  <c r="AI30" i="6"/>
  <c r="AC30" i="6"/>
  <c r="AZ30" i="6"/>
  <c r="AU30" i="6"/>
  <c r="AX30" i="6"/>
  <c r="BD30" i="6"/>
  <c r="M34" i="6"/>
  <c r="B34" i="9"/>
  <c r="B34" i="10"/>
  <c r="B33" i="7"/>
  <c r="C34" i="7" a="1"/>
  <c r="C34" i="7" s="1"/>
  <c r="A10" i="9"/>
  <c r="AO34" i="6" l="1"/>
  <c r="AG34" i="6"/>
  <c r="BE34" i="6"/>
  <c r="BA34" i="6"/>
  <c r="BG34" i="6"/>
  <c r="AE34" i="6"/>
  <c r="AR34" i="6"/>
  <c r="AN34" i="6"/>
  <c r="AT34" i="6"/>
  <c r="BD34" i="6"/>
  <c r="AY34" i="6"/>
  <c r="AX34" i="6"/>
  <c r="AQ34" i="6"/>
  <c r="BF34" i="6"/>
  <c r="AS34" i="6"/>
  <c r="AI34" i="6"/>
  <c r="BC34" i="6"/>
  <c r="BB34" i="6"/>
  <c r="AP34" i="6"/>
  <c r="AV34" i="6"/>
  <c r="AZ34" i="6"/>
  <c r="AU34" i="6"/>
  <c r="AM34" i="6"/>
  <c r="AB34" i="6"/>
  <c r="AK34" i="6"/>
  <c r="AH34" i="6"/>
  <c r="AC34" i="6"/>
  <c r="AF34" i="6"/>
  <c r="AJ34" i="6"/>
  <c r="AD34" i="6"/>
  <c r="B35" i="10"/>
  <c r="B35" i="9"/>
  <c r="B34" i="7"/>
  <c r="C35" i="7" a="1"/>
  <c r="C35" i="7" s="1"/>
  <c r="K1" i="7" a="1"/>
  <c r="K1" i="7" s="1"/>
  <c r="O14" i="7"/>
  <c r="Q14" i="7"/>
  <c r="U14" i="7"/>
  <c r="S14" i="7"/>
  <c r="R14" i="7"/>
  <c r="P14" i="7"/>
  <c r="J1" i="7" a="1"/>
  <c r="J1" i="7" s="1"/>
  <c r="T14" i="7"/>
  <c r="X14" i="7"/>
  <c r="V14" i="7"/>
  <c r="N14" i="7"/>
  <c r="W14" i="7"/>
  <c r="M14" i="7"/>
  <c r="Y14" i="7"/>
  <c r="L1" i="7" a="1"/>
  <c r="L1" i="7" s="1"/>
  <c r="B36" i="10" l="1"/>
  <c r="B36" i="9"/>
  <c r="B35" i="7"/>
  <c r="C36" i="7" a="1"/>
  <c r="C36" i="7" s="1"/>
  <c r="K14" i="7"/>
  <c r="J14" i="7"/>
  <c r="L14" i="7"/>
  <c r="C37" i="7" l="1" a="1"/>
  <c r="C37" i="7" s="1"/>
  <c r="B36" i="7"/>
  <c r="B37" i="10"/>
  <c r="B37" i="9"/>
  <c r="M74" i="10"/>
  <c r="O74" i="10"/>
  <c r="M35" i="6" l="1"/>
  <c r="AG35" i="6" s="1"/>
  <c r="B38" i="10"/>
  <c r="B37" i="7"/>
  <c r="C38" i="7" a="1"/>
  <c r="C38" i="7" s="1"/>
  <c r="B38" i="9"/>
  <c r="AT35" i="6" l="1"/>
  <c r="AP35" i="6"/>
  <c r="BG35" i="6"/>
  <c r="BD35" i="6"/>
  <c r="AV35" i="6"/>
  <c r="AQ35" i="6"/>
  <c r="AE35" i="6"/>
  <c r="BE35" i="6"/>
  <c r="AI35" i="6"/>
  <c r="AN35" i="6"/>
  <c r="AO35" i="6"/>
  <c r="AK35" i="6"/>
  <c r="AY35" i="6"/>
  <c r="AZ35" i="6"/>
  <c r="BB35" i="6"/>
  <c r="AF35" i="6"/>
  <c r="BC35" i="6"/>
  <c r="BF35" i="6"/>
  <c r="AX35" i="6"/>
  <c r="AR35" i="6"/>
  <c r="AU35" i="6"/>
  <c r="AS35" i="6"/>
  <c r="AC35" i="6"/>
  <c r="AM35" i="6"/>
  <c r="AD35" i="6"/>
  <c r="BA35" i="6"/>
  <c r="AJ35" i="6"/>
  <c r="AH35" i="6"/>
  <c r="B39" i="9"/>
  <c r="B38" i="7"/>
  <c r="C39" i="7" a="1"/>
  <c r="C39" i="7" s="1"/>
  <c r="B39" i="10"/>
  <c r="B40" i="9" l="1"/>
  <c r="B40" i="10"/>
  <c r="C40" i="7" a="1"/>
  <c r="C40" i="7" s="1"/>
  <c r="B39" i="7"/>
  <c r="B41" i="10" l="1"/>
  <c r="B41" i="9"/>
  <c r="B40" i="7"/>
  <c r="C41" i="7" a="1"/>
  <c r="C41" i="7" s="1"/>
  <c r="B42" i="10" l="1"/>
  <c r="B41" i="7"/>
  <c r="C42" i="7" a="1"/>
  <c r="C42" i="7" s="1"/>
  <c r="B42" i="9"/>
  <c r="B42" i="7" l="1"/>
  <c r="C43" i="7" a="1"/>
  <c r="C43" i="7" s="1"/>
  <c r="B43" i="9"/>
  <c r="B43" i="10"/>
  <c r="B43" i="7" l="1"/>
  <c r="C44" i="7" a="1"/>
  <c r="C44" i="7" s="1"/>
  <c r="B44" i="10"/>
  <c r="B44" i="9"/>
  <c r="B45" i="10" l="1"/>
  <c r="B44" i="7"/>
  <c r="C45" i="7" a="1"/>
  <c r="C45" i="7" s="1"/>
  <c r="B45" i="9"/>
  <c r="I1" i="7" a="1"/>
  <c r="I1" i="7" s="1"/>
  <c r="C46" i="7" l="1" a="1"/>
  <c r="C46" i="7" s="1"/>
  <c r="B45" i="7"/>
  <c r="B46" i="10"/>
  <c r="B46" i="9"/>
  <c r="I14" i="7"/>
  <c r="E1" i="7" a="1"/>
  <c r="E1" i="7" s="1"/>
  <c r="F1" i="7"/>
  <c r="H1" i="7" a="1"/>
  <c r="H1" i="7" s="1"/>
  <c r="B47" i="10" l="1"/>
  <c r="B46" i="7"/>
  <c r="C47" i="7" a="1"/>
  <c r="C47" i="7" s="1"/>
  <c r="B47" i="9"/>
  <c r="K74" i="10"/>
  <c r="E14" i="7"/>
  <c r="H14" i="7"/>
  <c r="F14" i="7"/>
  <c r="B47" i="7" l="1"/>
  <c r="C48" i="7" a="1"/>
  <c r="C48" i="7" s="1"/>
  <c r="B48" i="10"/>
  <c r="B48" i="9"/>
  <c r="G1" i="7"/>
  <c r="G44" i="7"/>
  <c r="G28" i="7"/>
  <c r="G23" i="7"/>
  <c r="G25" i="7"/>
  <c r="G31" i="7"/>
  <c r="G64" i="7"/>
  <c r="G51" i="7"/>
  <c r="G40" i="7"/>
  <c r="G50" i="7"/>
  <c r="G34" i="7"/>
  <c r="G53" i="7"/>
  <c r="G42" i="7"/>
  <c r="G30" i="7"/>
  <c r="G41" i="7"/>
  <c r="G24" i="7"/>
  <c r="G38" i="7"/>
  <c r="G57" i="7"/>
  <c r="G43" i="7"/>
  <c r="G54" i="7"/>
  <c r="G62" i="7"/>
  <c r="G22" i="7"/>
  <c r="G56" i="7"/>
  <c r="G48" i="7"/>
  <c r="G61" i="7"/>
  <c r="G32" i="7"/>
  <c r="G55" i="7"/>
  <c r="G47" i="7"/>
  <c r="G17" i="7"/>
  <c r="G63" i="7"/>
  <c r="G26" i="7"/>
  <c r="G45" i="7"/>
  <c r="G59" i="7"/>
  <c r="G20" i="7"/>
  <c r="G60" i="7"/>
  <c r="G52" i="7"/>
  <c r="G27" i="7"/>
  <c r="G19" i="7"/>
  <c r="G29" i="7"/>
  <c r="G35" i="7"/>
  <c r="G18" i="7"/>
  <c r="G39" i="7"/>
  <c r="G58" i="7"/>
  <c r="G33" i="7"/>
  <c r="G46" i="7"/>
  <c r="G37" i="7"/>
  <c r="G49" i="7"/>
  <c r="G21" i="7"/>
  <c r="G36" i="7"/>
  <c r="G16" i="7"/>
  <c r="F6" i="7"/>
  <c r="B48" i="7" l="1"/>
  <c r="C49" i="7" a="1"/>
  <c r="C49" i="7" s="1"/>
  <c r="B49" i="9"/>
  <c r="B49" i="10"/>
  <c r="B50" i="10" l="1"/>
  <c r="B49" i="7"/>
  <c r="C50" i="7" a="1"/>
  <c r="C50" i="7" s="1"/>
  <c r="B50" i="9"/>
  <c r="B51" i="9" l="1"/>
  <c r="B51" i="10"/>
  <c r="C51" i="7" a="1"/>
  <c r="C51" i="7" s="1"/>
  <c r="B50" i="7"/>
  <c r="B52" i="10" l="1"/>
  <c r="B52" i="9"/>
  <c r="C52" i="7" a="1"/>
  <c r="C52" i="7" s="1"/>
  <c r="B51" i="7"/>
  <c r="B52" i="7" l="1"/>
  <c r="C53" i="7" a="1"/>
  <c r="C53" i="7" s="1"/>
  <c r="B53" i="9"/>
  <c r="B53" i="10"/>
  <c r="C54" i="7" l="1" a="1"/>
  <c r="C54" i="7" s="1"/>
  <c r="B53" i="7"/>
  <c r="B54" i="10"/>
  <c r="B54" i="9"/>
  <c r="C55" i="7" l="1" a="1"/>
  <c r="C55" i="7" s="1"/>
  <c r="B54" i="7"/>
  <c r="B55" i="10"/>
  <c r="B55" i="9"/>
  <c r="B56" i="9" l="1"/>
  <c r="B55" i="7"/>
  <c r="C56" i="7" a="1"/>
  <c r="C56" i="7" s="1"/>
  <c r="B56" i="10"/>
  <c r="B57" i="10" l="1"/>
  <c r="C57" i="7" a="1"/>
  <c r="C57" i="7" s="1"/>
  <c r="B56" i="7"/>
  <c r="B57" i="9"/>
  <c r="B58" i="9" l="1"/>
  <c r="B58" i="10"/>
  <c r="B57" i="7"/>
  <c r="C58" i="7" a="1"/>
  <c r="C58" i="7" s="1"/>
  <c r="B58" i="7" l="1"/>
  <c r="C59" i="7" a="1"/>
  <c r="C59" i="7" s="1"/>
  <c r="B59" i="9"/>
  <c r="B59" i="10"/>
  <c r="C60" i="7" l="1" a="1"/>
  <c r="C60" i="7" s="1"/>
  <c r="B59" i="7"/>
  <c r="B60" i="9"/>
  <c r="B60" i="10"/>
  <c r="B60" i="7" l="1"/>
  <c r="C61" i="7" a="1"/>
  <c r="C61" i="7" s="1"/>
  <c r="B61" i="9"/>
  <c r="B61" i="10"/>
  <c r="B62" i="9" l="1"/>
  <c r="B61" i="7"/>
  <c r="C62" i="7" a="1"/>
  <c r="C62" i="7" s="1"/>
  <c r="B62" i="10"/>
  <c r="C63" i="7" l="1" a="1"/>
  <c r="C63" i="7" s="1"/>
  <c r="B62" i="7"/>
  <c r="B63" i="9"/>
  <c r="B63" i="10"/>
  <c r="B64" i="10" l="1"/>
  <c r="B64" i="9"/>
  <c r="B63" i="7"/>
  <c r="C64" i="7" a="1"/>
  <c r="C64" i="7" s="1"/>
  <c r="B64" i="7" l="1"/>
  <c r="C10" i="7"/>
  <c r="K24" i="5" l="1"/>
  <c r="K22" i="5"/>
  <c r="K26" i="5"/>
  <c r="K17" i="5"/>
  <c r="J26" i="6" l="1" a="1"/>
  <c r="J26" i="6" s="1"/>
  <c r="F98" i="8" l="1"/>
  <c r="B22" i="11"/>
  <c r="A5" i="5"/>
  <c r="K27" i="5" l="1"/>
  <c r="J27" i="5"/>
  <c r="A21" i="13"/>
  <c r="B21" i="13" s="1"/>
  <c r="AF21" i="13" s="1"/>
  <c r="F59" i="8"/>
  <c r="A18" i="13"/>
  <c r="F56" i="8"/>
  <c r="F128" i="8"/>
  <c r="F125" i="8"/>
  <c r="B15" i="11"/>
  <c r="K15" i="11" s="1"/>
  <c r="J15" i="13" s="1"/>
  <c r="F41" i="8"/>
  <c r="F71" i="8"/>
  <c r="A22" i="13"/>
  <c r="K16" i="5"/>
  <c r="A14" i="13"/>
  <c r="B21" i="11"/>
  <c r="K21" i="11" s="1"/>
  <c r="J21" i="13" s="1"/>
  <c r="F134" i="8"/>
  <c r="F29" i="8"/>
  <c r="F30" i="8" s="1"/>
  <c r="M29" i="8" s="1"/>
  <c r="S31" i="8" s="1"/>
  <c r="F137" i="8"/>
  <c r="F35" i="8"/>
  <c r="F74" i="8"/>
  <c r="F89" i="8"/>
  <c r="F131" i="8"/>
  <c r="F104" i="8"/>
  <c r="F17" i="8"/>
  <c r="F18" i="8" s="1"/>
  <c r="M17" i="8" s="1"/>
  <c r="P17" i="8" s="1"/>
  <c r="F86" i="8"/>
  <c r="F113" i="8"/>
  <c r="B17" i="11"/>
  <c r="G17" i="11" s="1"/>
  <c r="F17" i="13" s="1"/>
  <c r="F50" i="8"/>
  <c r="F101" i="8"/>
  <c r="F92" i="8"/>
  <c r="F158" i="8"/>
  <c r="F14" i="8"/>
  <c r="F15" i="8" s="1"/>
  <c r="M14" i="8" s="1"/>
  <c r="Q14" i="8" s="1"/>
  <c r="B19" i="11"/>
  <c r="AA19" i="11" s="1"/>
  <c r="F161" i="8"/>
  <c r="F62" i="8"/>
  <c r="A19" i="13"/>
  <c r="F26" i="8"/>
  <c r="F27" i="8" s="1"/>
  <c r="M26" i="8" s="1"/>
  <c r="S28" i="8" s="1"/>
  <c r="A16" i="13"/>
  <c r="A23" i="13"/>
  <c r="C22" i="13"/>
  <c r="G22" i="11"/>
  <c r="F22" i="13" s="1"/>
  <c r="AB22" i="11"/>
  <c r="N22" i="11" s="1"/>
  <c r="K22" i="11"/>
  <c r="J22" i="13" s="1"/>
  <c r="O22" i="11"/>
  <c r="AA22" i="11"/>
  <c r="F110" i="8"/>
  <c r="J19" i="5"/>
  <c r="D19" i="5" s="1"/>
  <c r="B19" i="12" s="1"/>
  <c r="J22" i="5"/>
  <c r="D22" i="5" s="1"/>
  <c r="B22" i="12" s="1"/>
  <c r="J34" i="5"/>
  <c r="D34" i="5" s="1"/>
  <c r="B34" i="12" s="1"/>
  <c r="J17" i="5"/>
  <c r="D17" i="5" s="1"/>
  <c r="J24" i="5"/>
  <c r="D24" i="5" s="1"/>
  <c r="B24" i="12" s="1"/>
  <c r="F155" i="8"/>
  <c r="F95" i="8"/>
  <c r="F47" i="8"/>
  <c r="B18" i="11"/>
  <c r="A20" i="13"/>
  <c r="A17" i="13"/>
  <c r="J16" i="5"/>
  <c r="B20" i="11"/>
  <c r="F38" i="8"/>
  <c r="F83" i="8"/>
  <c r="F23" i="8"/>
  <c r="F24" i="8" s="1"/>
  <c r="F53" i="8"/>
  <c r="F68" i="8"/>
  <c r="F116" i="8"/>
  <c r="F20" i="8"/>
  <c r="F21" i="8" s="1"/>
  <c r="F1" i="8"/>
  <c r="F2" i="8" s="1"/>
  <c r="F146" i="8"/>
  <c r="F107" i="8"/>
  <c r="F149" i="8"/>
  <c r="F119" i="8"/>
  <c r="F152" i="8"/>
  <c r="B12" i="11"/>
  <c r="F143" i="8"/>
  <c r="F140" i="8"/>
  <c r="B23" i="11"/>
  <c r="F77" i="8"/>
  <c r="F80" i="8"/>
  <c r="F32" i="8"/>
  <c r="F44" i="8"/>
  <c r="A12" i="13"/>
  <c r="A15" i="13"/>
  <c r="F122" i="8"/>
  <c r="B16" i="11"/>
  <c r="J26" i="5"/>
  <c r="D26" i="5" s="1"/>
  <c r="B26" i="12" s="1"/>
  <c r="F65" i="8"/>
  <c r="D27" i="5" l="1"/>
  <c r="B27" i="12" s="1"/>
  <c r="B23" i="13"/>
  <c r="AF23" i="13" s="1"/>
  <c r="AO23" i="13"/>
  <c r="AL23" i="13"/>
  <c r="AO17" i="13"/>
  <c r="AL17" i="13"/>
  <c r="B16" i="13"/>
  <c r="AE16" i="13" s="1"/>
  <c r="AO16" i="13"/>
  <c r="AL16" i="13"/>
  <c r="AO15" i="13"/>
  <c r="AL15" i="13"/>
  <c r="AO20" i="13"/>
  <c r="AL20" i="13"/>
  <c r="AL12" i="13"/>
  <c r="AO12" i="13"/>
  <c r="B18" i="13"/>
  <c r="AG18" i="13" s="1"/>
  <c r="AO18" i="13"/>
  <c r="AL18" i="13"/>
  <c r="B22" i="13"/>
  <c r="AE22" i="13" s="1"/>
  <c r="AO22" i="13"/>
  <c r="AL22" i="13"/>
  <c r="B19" i="13"/>
  <c r="AM19" i="13" s="1"/>
  <c r="AO19" i="13"/>
  <c r="AL19" i="13"/>
  <c r="AO21" i="13"/>
  <c r="AN21" i="13"/>
  <c r="AM21" i="13"/>
  <c r="AL21" i="13"/>
  <c r="AK21" i="13"/>
  <c r="AJ21" i="13"/>
  <c r="J14" i="8"/>
  <c r="G21" i="11"/>
  <c r="F21" i="13" s="1"/>
  <c r="O21" i="11"/>
  <c r="L21" i="13" s="1"/>
  <c r="D21" i="13" s="1"/>
  <c r="AB21" i="11"/>
  <c r="N21" i="11" s="1"/>
  <c r="AA21" i="11"/>
  <c r="C21" i="13"/>
  <c r="K21" i="13" s="1"/>
  <c r="C15" i="13"/>
  <c r="K15" i="13" s="1"/>
  <c r="G15" i="11"/>
  <c r="F15" i="13" s="1"/>
  <c r="B17" i="12"/>
  <c r="D16" i="5"/>
  <c r="B16" i="12" s="1"/>
  <c r="AE23" i="13"/>
  <c r="G19" i="11"/>
  <c r="F19" i="13" s="1"/>
  <c r="AG23" i="13"/>
  <c r="AD23" i="13"/>
  <c r="O19" i="11"/>
  <c r="P19" i="11" s="1"/>
  <c r="K19" i="11"/>
  <c r="J19" i="13" s="1"/>
  <c r="C19" i="13"/>
  <c r="AH21" i="13"/>
  <c r="J17" i="8"/>
  <c r="AB19" i="11"/>
  <c r="N19" i="11" s="1"/>
  <c r="F10" i="8" a="1"/>
  <c r="F10" i="8" s="1"/>
  <c r="AF22" i="13"/>
  <c r="AH16" i="13"/>
  <c r="AD16" i="13"/>
  <c r="AH19" i="13"/>
  <c r="AC19" i="13"/>
  <c r="AG19" i="13"/>
  <c r="AF19" i="13"/>
  <c r="AH22" i="13"/>
  <c r="AD18" i="13"/>
  <c r="AD19" i="13"/>
  <c r="AG22" i="13"/>
  <c r="AB17" i="11"/>
  <c r="N17" i="11" s="1"/>
  <c r="AC21" i="13"/>
  <c r="AE19" i="13"/>
  <c r="C17" i="13"/>
  <c r="K17" i="13" s="1"/>
  <c r="K17" i="11"/>
  <c r="J17" i="13" s="1"/>
  <c r="AA17" i="11"/>
  <c r="O17" i="11"/>
  <c r="P17" i="11" s="1"/>
  <c r="AD22" i="13"/>
  <c r="AG16" i="13"/>
  <c r="AC22" i="13"/>
  <c r="AF18" i="13"/>
  <c r="AC23" i="13"/>
  <c r="P26" i="8"/>
  <c r="Q26" i="8"/>
  <c r="AH18" i="13"/>
  <c r="AE18" i="13"/>
  <c r="AD21" i="13"/>
  <c r="AC18" i="13"/>
  <c r="P29" i="8"/>
  <c r="M1" i="8"/>
  <c r="I1" i="8"/>
  <c r="S1" i="8"/>
  <c r="N1" i="8"/>
  <c r="O1" i="8"/>
  <c r="P1" i="8"/>
  <c r="J1" i="8"/>
  <c r="Q1" i="8"/>
  <c r="AC16" i="13"/>
  <c r="AE21" i="13"/>
  <c r="M20" i="8"/>
  <c r="Q20" i="8" s="1"/>
  <c r="AF16" i="13"/>
  <c r="K12" i="11"/>
  <c r="J12" i="13" s="1"/>
  <c r="C12" i="13"/>
  <c r="O12" i="11"/>
  <c r="AA12" i="11"/>
  <c r="G12" i="11"/>
  <c r="F12" i="13" s="1"/>
  <c r="AB12" i="11"/>
  <c r="N12" i="11" s="1"/>
  <c r="AG21" i="13"/>
  <c r="K20" i="11"/>
  <c r="J20" i="13" s="1"/>
  <c r="AA20" i="11"/>
  <c r="O20" i="11"/>
  <c r="G20" i="11"/>
  <c r="F20" i="13" s="1"/>
  <c r="AB20" i="11"/>
  <c r="N20" i="11" s="1"/>
  <c r="C20" i="13"/>
  <c r="C22" i="11"/>
  <c r="L22" i="13"/>
  <c r="D22" i="13" s="1"/>
  <c r="P22" i="11"/>
  <c r="Z22" i="11"/>
  <c r="B17" i="13"/>
  <c r="AH17" i="13" s="1"/>
  <c r="M23" i="8"/>
  <c r="S25" i="8" s="1"/>
  <c r="B20" i="13"/>
  <c r="AE20" i="13" s="1"/>
  <c r="P14" i="8"/>
  <c r="O18" i="11"/>
  <c r="AA18" i="11"/>
  <c r="K18" i="11"/>
  <c r="J18" i="13" s="1"/>
  <c r="G18" i="11"/>
  <c r="F18" i="13" s="1"/>
  <c r="AB18" i="11"/>
  <c r="N18" i="11" s="1"/>
  <c r="C18" i="13"/>
  <c r="K22" i="13"/>
  <c r="T22" i="13"/>
  <c r="S22" i="13"/>
  <c r="U22" i="13"/>
  <c r="R22" i="13"/>
  <c r="O22" i="13"/>
  <c r="M22" i="13"/>
  <c r="B12" i="13"/>
  <c r="AF12" i="13" s="1"/>
  <c r="G23" i="11"/>
  <c r="F23" i="13" s="1"/>
  <c r="AB23" i="11"/>
  <c r="N23" i="11" s="1"/>
  <c r="AA23" i="11"/>
  <c r="K23" i="11"/>
  <c r="J23" i="13" s="1"/>
  <c r="O23" i="11"/>
  <c r="C23" i="13"/>
  <c r="B15" i="13"/>
  <c r="AJ15" i="13" s="1"/>
  <c r="O14" i="8"/>
  <c r="S16" i="8"/>
  <c r="A14" i="8"/>
  <c r="AA16" i="11"/>
  <c r="K16" i="11"/>
  <c r="J16" i="13" s="1"/>
  <c r="G16" i="11"/>
  <c r="F16" i="13" s="1"/>
  <c r="AB16" i="11"/>
  <c r="N16" i="11" s="1"/>
  <c r="O16" i="11"/>
  <c r="C16" i="13"/>
  <c r="AH23" i="13"/>
  <c r="Q17" i="8"/>
  <c r="S19" i="8"/>
  <c r="Q29" i="8"/>
  <c r="F33" i="8" l="1"/>
  <c r="AN23" i="13"/>
  <c r="AK23" i="13"/>
  <c r="T21" i="13"/>
  <c r="AJ22" i="13"/>
  <c r="O21" i="13"/>
  <c r="P21" i="13" s="1"/>
  <c r="M21" i="13"/>
  <c r="AJ23" i="13"/>
  <c r="AM23" i="13"/>
  <c r="AN12" i="13"/>
  <c r="AK18" i="13"/>
  <c r="AN15" i="13"/>
  <c r="U21" i="13"/>
  <c r="AJ18" i="13"/>
  <c r="AN19" i="13"/>
  <c r="AJ20" i="13"/>
  <c r="AK15" i="13"/>
  <c r="AN16" i="13"/>
  <c r="AN17" i="13"/>
  <c r="AJ12" i="13"/>
  <c r="AK20" i="13"/>
  <c r="AM15" i="13"/>
  <c r="AM12" i="13"/>
  <c r="AM20" i="13"/>
  <c r="AK19" i="13"/>
  <c r="AK22" i="13"/>
  <c r="AK12" i="13"/>
  <c r="AN20" i="13"/>
  <c r="AK16" i="13"/>
  <c r="AJ17" i="13"/>
  <c r="AM18" i="13"/>
  <c r="AK17" i="13"/>
  <c r="AJ19" i="13"/>
  <c r="AM22" i="13"/>
  <c r="AN18" i="13"/>
  <c r="AJ16" i="13"/>
  <c r="AN22" i="13"/>
  <c r="AM16" i="13"/>
  <c r="AM17" i="13"/>
  <c r="P21" i="11"/>
  <c r="Z21" i="11"/>
  <c r="C21" i="11"/>
  <c r="R21" i="13"/>
  <c r="S21" i="13"/>
  <c r="B14" i="13"/>
  <c r="D15" i="5"/>
  <c r="T19" i="13"/>
  <c r="C19" i="11"/>
  <c r="L19" i="13"/>
  <c r="D19" i="13" s="1"/>
  <c r="M17" i="13"/>
  <c r="O17" i="13"/>
  <c r="O19" i="13"/>
  <c r="M19" i="13"/>
  <c r="R19" i="13"/>
  <c r="K19" i="13"/>
  <c r="L17" i="13"/>
  <c r="D17" i="13" s="1"/>
  <c r="S19" i="13"/>
  <c r="Z19" i="11"/>
  <c r="U19" i="13"/>
  <c r="C17" i="11"/>
  <c r="U17" i="13"/>
  <c r="S17" i="13"/>
  <c r="AE17" i="13"/>
  <c r="Z17" i="11"/>
  <c r="AF17" i="13"/>
  <c r="T17" i="13"/>
  <c r="R17" i="13"/>
  <c r="AC12" i="13"/>
  <c r="AD12" i="13"/>
  <c r="AC17" i="13"/>
  <c r="P23" i="8"/>
  <c r="AG17" i="13"/>
  <c r="AD17" i="13"/>
  <c r="AE15" i="13"/>
  <c r="M15" i="13" s="1"/>
  <c r="C20" i="11"/>
  <c r="L20" i="13"/>
  <c r="D20" i="13" s="1"/>
  <c r="Z20" i="11"/>
  <c r="P20" i="11"/>
  <c r="P20" i="8"/>
  <c r="S22" i="8"/>
  <c r="K23" i="13"/>
  <c r="U23" i="13"/>
  <c r="T23" i="13"/>
  <c r="S23" i="13"/>
  <c r="O23" i="13"/>
  <c r="R23" i="13"/>
  <c r="M23" i="13"/>
  <c r="AG12" i="13"/>
  <c r="AC20" i="13"/>
  <c r="H2" i="8"/>
  <c r="H1" i="8"/>
  <c r="J2" i="8" s="1"/>
  <c r="P18" i="11"/>
  <c r="Z18" i="11"/>
  <c r="C18" i="11"/>
  <c r="L18" i="13"/>
  <c r="D18" i="13" s="1"/>
  <c r="P23" i="11"/>
  <c r="C23" i="11"/>
  <c r="L23" i="13"/>
  <c r="D23" i="13" s="1"/>
  <c r="Z23" i="11"/>
  <c r="AH12" i="13"/>
  <c r="AG20" i="13"/>
  <c r="G1" i="8"/>
  <c r="G2" i="8" s="1"/>
  <c r="AE12" i="13"/>
  <c r="AH20" i="13"/>
  <c r="M16" i="13"/>
  <c r="R16" i="13"/>
  <c r="T16" i="13"/>
  <c r="S16" i="13"/>
  <c r="O16" i="13"/>
  <c r="K16" i="13"/>
  <c r="U16" i="13"/>
  <c r="O18" i="13"/>
  <c r="U18" i="13"/>
  <c r="R18" i="13"/>
  <c r="T18" i="13"/>
  <c r="M18" i="13"/>
  <c r="S18" i="13"/>
  <c r="K18" i="13"/>
  <c r="AF20" i="13"/>
  <c r="Z12" i="11"/>
  <c r="L12" i="13"/>
  <c r="C12" i="11"/>
  <c r="P12" i="11"/>
  <c r="S3" i="8"/>
  <c r="A1" i="8"/>
  <c r="R1" i="8"/>
  <c r="C16" i="11"/>
  <c r="Z16" i="11"/>
  <c r="P16" i="11"/>
  <c r="L16" i="13"/>
  <c r="D16" i="13" s="1"/>
  <c r="AD20" i="13"/>
  <c r="U12" i="13"/>
  <c r="R12" i="13"/>
  <c r="S12" i="13"/>
  <c r="M12" i="13"/>
  <c r="O12" i="13"/>
  <c r="T12" i="13"/>
  <c r="K12" i="13"/>
  <c r="AH15" i="13"/>
  <c r="O15" i="13" s="1"/>
  <c r="P22" i="13"/>
  <c r="N22" i="13"/>
  <c r="O20" i="13"/>
  <c r="U20" i="13"/>
  <c r="R20" i="13"/>
  <c r="K20" i="13"/>
  <c r="T20" i="13"/>
  <c r="S20" i="13"/>
  <c r="M20" i="13"/>
  <c r="Q23" i="8"/>
  <c r="A21" i="9"/>
  <c r="A32" i="9"/>
  <c r="A54" i="10"/>
  <c r="A24" i="9"/>
  <c r="C39" i="9"/>
  <c r="F39" i="9" s="1"/>
  <c r="C54" i="9"/>
  <c r="F54" i="9" s="1"/>
  <c r="A55" i="9"/>
  <c r="C35" i="9"/>
  <c r="F35" i="9" s="1"/>
  <c r="A20" i="10"/>
  <c r="C64" i="9"/>
  <c r="F64" i="9" s="1"/>
  <c r="A64" i="9"/>
  <c r="C1" i="10"/>
  <c r="A19" i="10"/>
  <c r="C60" i="10"/>
  <c r="A31" i="9"/>
  <c r="A33" i="9"/>
  <c r="A19" i="9"/>
  <c r="C36" i="9"/>
  <c r="F36" i="9" s="1"/>
  <c r="A46" i="9"/>
  <c r="C56" i="10"/>
  <c r="A30" i="10"/>
  <c r="A63" i="10"/>
  <c r="A27" i="10"/>
  <c r="C37" i="10"/>
  <c r="C47" i="9"/>
  <c r="F47" i="9" s="1"/>
  <c r="A28" i="9"/>
  <c r="A17" i="10"/>
  <c r="C62" i="10"/>
  <c r="C48" i="10"/>
  <c r="A47" i="10"/>
  <c r="C50" i="10"/>
  <c r="A62" i="9"/>
  <c r="C57" i="9"/>
  <c r="F57" i="9" s="1"/>
  <c r="C46" i="10"/>
  <c r="A36" i="10"/>
  <c r="C35" i="10"/>
  <c r="C54" i="10"/>
  <c r="A41" i="9"/>
  <c r="A23" i="10"/>
  <c r="C38" i="9"/>
  <c r="F38" i="9" s="1"/>
  <c r="A43" i="10"/>
  <c r="C61" i="10"/>
  <c r="C47" i="10"/>
  <c r="A15" i="9"/>
  <c r="A38" i="10"/>
  <c r="A56" i="10"/>
  <c r="C1" i="9"/>
  <c r="F1" i="9" s="1"/>
  <c r="A59" i="9"/>
  <c r="C53" i="9"/>
  <c r="F53" i="9" s="1"/>
  <c r="A25" i="9"/>
  <c r="A37" i="9"/>
  <c r="A39" i="9"/>
  <c r="A61" i="10"/>
  <c r="A36" i="9"/>
  <c r="A56" i="9"/>
  <c r="A49" i="9"/>
  <c r="C44" i="9"/>
  <c r="F44" i="9" s="1"/>
  <c r="A50" i="10"/>
  <c r="A29" i="10"/>
  <c r="A57" i="10"/>
  <c r="C59" i="9"/>
  <c r="F59" i="9" s="1"/>
  <c r="C16" i="9"/>
  <c r="F16" i="9" s="1"/>
  <c r="D8" i="9" s="1"/>
  <c r="A39" i="10"/>
  <c r="A37" i="10"/>
  <c r="C38" i="10"/>
  <c r="A48" i="10"/>
  <c r="C40" i="10"/>
  <c r="A22" i="9"/>
  <c r="C59" i="10"/>
  <c r="C58" i="9"/>
  <c r="F58" i="9" s="1"/>
  <c r="A60" i="10"/>
  <c r="C42" i="9"/>
  <c r="F42" i="9" s="1"/>
  <c r="A46" i="10"/>
  <c r="A1" i="9"/>
  <c r="A51" i="9"/>
  <c r="C60" i="9"/>
  <c r="F60" i="9" s="1"/>
  <c r="A55" i="10"/>
  <c r="A42" i="10"/>
  <c r="A49" i="10"/>
  <c r="A21" i="10"/>
  <c r="C46" i="9"/>
  <c r="F46" i="9" s="1"/>
  <c r="A20" i="9"/>
  <c r="A18" i="10"/>
  <c r="A34" i="9"/>
  <c r="A28" i="10"/>
  <c r="A41" i="10"/>
  <c r="C53" i="10"/>
  <c r="C16" i="10"/>
  <c r="A17" i="9"/>
  <c r="A38" i="9"/>
  <c r="C55" i="9"/>
  <c r="F55" i="9" s="1"/>
  <c r="C48" i="9"/>
  <c r="F48" i="9" s="1"/>
  <c r="A47" i="9"/>
  <c r="C51" i="10"/>
  <c r="A63" i="9"/>
  <c r="C50" i="9"/>
  <c r="F50" i="9" s="1"/>
  <c r="A53" i="9"/>
  <c r="A24" i="10"/>
  <c r="A18" i="9"/>
  <c r="A35" i="9"/>
  <c r="A31" i="10"/>
  <c r="A33" i="10"/>
  <c r="A43" i="9"/>
  <c r="A50" i="9"/>
  <c r="C61" i="9"/>
  <c r="F61" i="9" s="1"/>
  <c r="A32" i="10"/>
  <c r="A40" i="10"/>
  <c r="C45" i="10"/>
  <c r="C39" i="10"/>
  <c r="C41" i="10"/>
  <c r="A52" i="10"/>
  <c r="C55" i="10"/>
  <c r="A25" i="10"/>
  <c r="C51" i="9"/>
  <c r="F51" i="9" s="1"/>
  <c r="A60" i="9"/>
  <c r="C58" i="10"/>
  <c r="A48" i="9"/>
  <c r="C63" i="10"/>
  <c r="C43" i="9"/>
  <c r="F43" i="9" s="1"/>
  <c r="A54" i="9"/>
  <c r="C44" i="10"/>
  <c r="M12" i="6"/>
  <c r="C37" i="9"/>
  <c r="F37" i="9" s="1"/>
  <c r="A27" i="9"/>
  <c r="A42" i="9"/>
  <c r="C52" i="10"/>
  <c r="A16" i="9"/>
  <c r="A64" i="10"/>
  <c r="A45" i="10"/>
  <c r="A44" i="9"/>
  <c r="C49" i="10"/>
  <c r="C56" i="9"/>
  <c r="F56" i="9" s="1"/>
  <c r="A58" i="9"/>
  <c r="C49" i="9"/>
  <c r="F49" i="9" s="1"/>
  <c r="C62" i="9"/>
  <c r="F62" i="9" s="1"/>
  <c r="A57" i="9"/>
  <c r="C52" i="9"/>
  <c r="F52" i="9" s="1"/>
  <c r="A16" i="10"/>
  <c r="C43" i="10"/>
  <c r="C41" i="9"/>
  <c r="F41" i="9" s="1"/>
  <c r="A26" i="9"/>
  <c r="A22" i="10"/>
  <c r="A26" i="10"/>
  <c r="A58" i="10"/>
  <c r="A29" i="9"/>
  <c r="A61" i="9"/>
  <c r="A40" i="9"/>
  <c r="A1" i="10"/>
  <c r="C64" i="10"/>
  <c r="A59" i="10"/>
  <c r="C63" i="9"/>
  <c r="F63" i="9" s="1"/>
  <c r="A53" i="10"/>
  <c r="A34" i="10"/>
  <c r="C36" i="10"/>
  <c r="A44" i="10"/>
  <c r="C42" i="10"/>
  <c r="C45" i="9"/>
  <c r="F45" i="9" s="1"/>
  <c r="A51" i="10"/>
  <c r="C40" i="9"/>
  <c r="F40" i="9" s="1"/>
  <c r="A45" i="9"/>
  <c r="A35" i="10"/>
  <c r="A30" i="9"/>
  <c r="A62" i="10"/>
  <c r="C57" i="10"/>
  <c r="A52" i="9"/>
  <c r="A23" i="9"/>
  <c r="J32" i="8" l="1"/>
  <c r="M32" i="8"/>
  <c r="N21" i="13"/>
  <c r="AI15" i="6"/>
  <c r="X15" i="6" s="1"/>
  <c r="X11" i="6" s="1"/>
  <c r="AJ15" i="6"/>
  <c r="Y15" i="6" s="1"/>
  <c r="Y11" i="6" s="1"/>
  <c r="AH15" i="6"/>
  <c r="W15" i="6" s="1"/>
  <c r="W11" i="6" s="1"/>
  <c r="AG15" i="6"/>
  <c r="V15" i="6" s="1"/>
  <c r="V11" i="6" s="1"/>
  <c r="AD15" i="6"/>
  <c r="S15" i="6" s="1"/>
  <c r="S11" i="6" s="1"/>
  <c r="AC15" i="6"/>
  <c r="R15" i="6" s="1"/>
  <c r="R11" i="6" s="1"/>
  <c r="AK15" i="6"/>
  <c r="Z15" i="6" s="1"/>
  <c r="Z11" i="6" s="1"/>
  <c r="AF15" i="6"/>
  <c r="U15" i="6" s="1"/>
  <c r="U11" i="6" s="1"/>
  <c r="AE15" i="6"/>
  <c r="T15" i="6" s="1"/>
  <c r="T11" i="6" s="1"/>
  <c r="N17" i="13"/>
  <c r="N19" i="13"/>
  <c r="P19" i="13"/>
  <c r="N15" i="13"/>
  <c r="P17" i="13"/>
  <c r="P20" i="13"/>
  <c r="N20" i="13"/>
  <c r="AE14" i="13"/>
  <c r="AE73" i="10"/>
  <c r="N16" i="13"/>
  <c r="P16" i="13"/>
  <c r="AD1" i="8"/>
  <c r="U3" i="8"/>
  <c r="Y1" i="8"/>
  <c r="AE1" i="8"/>
  <c r="AC3" i="8"/>
  <c r="E3" i="8"/>
  <c r="W3" i="8"/>
  <c r="X1" i="8"/>
  <c r="AF1" i="8"/>
  <c r="F3" i="8"/>
  <c r="AA3" i="8"/>
  <c r="AF3" i="8"/>
  <c r="AC1" i="8"/>
  <c r="V3" i="8"/>
  <c r="Y3" i="8"/>
  <c r="Z3" i="8"/>
  <c r="U1" i="8"/>
  <c r="V1" i="8"/>
  <c r="C1" i="8"/>
  <c r="W1" i="8"/>
  <c r="Z1" i="8"/>
  <c r="X3" i="8"/>
  <c r="D1" i="8"/>
  <c r="AA1" i="8"/>
  <c r="AB1" i="8"/>
  <c r="AD3" i="8"/>
  <c r="AB3" i="8"/>
  <c r="E1" i="8"/>
  <c r="AE3" i="8"/>
  <c r="AH14" i="13"/>
  <c r="D12" i="13"/>
  <c r="V12" i="13"/>
  <c r="N23" i="13"/>
  <c r="P23" i="13"/>
  <c r="K73" i="10"/>
  <c r="W73" i="10"/>
  <c r="I73" i="10"/>
  <c r="I71" i="10" s="1"/>
  <c r="M73" i="10"/>
  <c r="Q73" i="10"/>
  <c r="U73" i="10"/>
  <c r="Y73" i="10"/>
  <c r="AC73" i="10"/>
  <c r="S73" i="10"/>
  <c r="O73" i="10"/>
  <c r="AA73" i="10"/>
  <c r="P18" i="13"/>
  <c r="N18" i="13"/>
  <c r="N12" i="13"/>
  <c r="P12" i="13"/>
  <c r="S34" i="8" l="1"/>
  <c r="F36" i="8"/>
  <c r="Q32" i="8"/>
  <c r="AE71" i="10"/>
  <c r="M71" i="10"/>
  <c r="U71" i="10"/>
  <c r="Q71" i="10"/>
  <c r="AA71" i="10"/>
  <c r="W71" i="10"/>
  <c r="K71" i="10"/>
  <c r="O71" i="10"/>
  <c r="S71" i="10"/>
  <c r="AC71" i="10"/>
  <c r="Y71" i="10"/>
  <c r="M35" i="8" l="1"/>
  <c r="P32" i="8" s="1"/>
  <c r="J35" i="8"/>
  <c r="Q35" i="8" l="1"/>
  <c r="F39" i="8"/>
  <c r="S37" i="8"/>
  <c r="M38" i="8" l="1"/>
  <c r="Q38" i="8" l="1"/>
  <c r="S40" i="8"/>
  <c r="F42" i="8"/>
  <c r="M41" i="8" l="1"/>
  <c r="J41" i="8"/>
  <c r="P41" i="8" l="1"/>
  <c r="S43" i="8"/>
  <c r="F45" i="8"/>
  <c r="Q41" i="8"/>
  <c r="M44" i="8" l="1"/>
  <c r="J44" i="8"/>
  <c r="Q44" i="8" l="1"/>
  <c r="P44" i="8"/>
  <c r="S46" i="8"/>
  <c r="F48" i="8"/>
  <c r="N26" i="8"/>
  <c r="N14" i="8"/>
  <c r="R14" i="8" s="1"/>
  <c r="N41" i="8"/>
  <c r="N29" i="8"/>
  <c r="N35" i="8"/>
  <c r="N38" i="8"/>
  <c r="N23" i="8"/>
  <c r="N17" i="8"/>
  <c r="N20" i="8"/>
  <c r="N32" i="8"/>
  <c r="M47" i="8" l="1"/>
  <c r="J47" i="8"/>
  <c r="F16" i="8"/>
  <c r="F175" i="8" s="1"/>
  <c r="P47" i="8" l="1"/>
  <c r="F51" i="8"/>
  <c r="N44" i="8"/>
  <c r="S49" i="8"/>
  <c r="Q47" i="8"/>
  <c r="A11" i="12"/>
  <c r="J50" i="8" l="1"/>
  <c r="M50" i="8"/>
  <c r="P50" i="8" l="1"/>
  <c r="N47" i="8"/>
  <c r="F54" i="8"/>
  <c r="S52" i="8"/>
  <c r="Q50" i="8"/>
  <c r="M53" i="8" l="1"/>
  <c r="Q53" i="8" s="1"/>
  <c r="J53" i="8"/>
  <c r="F57" i="8" l="1"/>
  <c r="S55" i="8"/>
  <c r="N50" i="8"/>
  <c r="P53" i="8"/>
  <c r="J56" i="8" l="1"/>
  <c r="M56" i="8"/>
  <c r="F60" i="8" l="1"/>
  <c r="S58" i="8"/>
  <c r="N53" i="8"/>
  <c r="Q56" i="8"/>
  <c r="P56" i="8"/>
  <c r="J59" i="8" l="1"/>
  <c r="M59" i="8"/>
  <c r="Q59" i="8" s="1"/>
  <c r="P59" i="8" l="1"/>
  <c r="S61" i="8"/>
  <c r="F63" i="8"/>
  <c r="N56" i="8"/>
  <c r="M62" i="8" l="1"/>
  <c r="N59" i="8" s="1"/>
  <c r="J62" i="8"/>
  <c r="Q62" i="8" l="1"/>
  <c r="P62" i="8"/>
  <c r="S64" i="8"/>
  <c r="F66" i="8"/>
  <c r="J65" i="8" l="1"/>
  <c r="M65" i="8"/>
  <c r="N62" i="8" s="1"/>
  <c r="P65" i="8" l="1"/>
  <c r="Q65" i="8"/>
  <c r="S67" i="8"/>
  <c r="F69" i="8"/>
  <c r="M68" i="8" l="1"/>
  <c r="N65" i="8" s="1"/>
  <c r="P68" i="8"/>
  <c r="N68" i="8"/>
  <c r="J68" i="8"/>
  <c r="Q68" i="8"/>
  <c r="F72" i="8" l="1"/>
  <c r="S70" i="8"/>
  <c r="Q71" i="8" l="1"/>
  <c r="P71" i="8"/>
  <c r="M71" i="8"/>
  <c r="N71" i="8"/>
  <c r="J71" i="8"/>
  <c r="F75" i="8" l="1"/>
  <c r="S73" i="8"/>
  <c r="P74" i="8" l="1"/>
  <c r="N74" i="8"/>
  <c r="O74" i="8"/>
  <c r="J74" i="8"/>
  <c r="M74" i="8"/>
  <c r="Q74" i="8"/>
  <c r="I74" i="8"/>
  <c r="F78" i="8" l="1"/>
  <c r="S76" i="8"/>
  <c r="A74" i="8"/>
  <c r="R74" i="8"/>
  <c r="F76" i="8" s="1"/>
  <c r="S77" i="8" l="1"/>
  <c r="N77" i="8"/>
  <c r="J77" i="8"/>
  <c r="I77" i="8"/>
  <c r="Q77" i="8"/>
  <c r="O77" i="8"/>
  <c r="M77" i="8"/>
  <c r="P77" i="8"/>
  <c r="A77" i="8" l="1"/>
  <c r="R77" i="8"/>
  <c r="S79" i="8"/>
  <c r="F81" i="8"/>
  <c r="H78" i="8"/>
  <c r="H77" i="8"/>
  <c r="J78" i="8" s="1"/>
  <c r="G77" i="8"/>
  <c r="G78" i="8" s="1"/>
  <c r="M80" i="8" l="1"/>
  <c r="I80" i="8"/>
  <c r="O80" i="8"/>
  <c r="P80" i="8"/>
  <c r="Q80" i="8"/>
  <c r="N80" i="8"/>
  <c r="J80" i="8"/>
  <c r="S80" i="8"/>
  <c r="AE79" i="8" s="1"/>
  <c r="AE77" i="8" s="1"/>
  <c r="X79" i="8"/>
  <c r="X77" i="8" s="1"/>
  <c r="E79" i="8"/>
  <c r="E77" i="8" s="1"/>
  <c r="Z79" i="8"/>
  <c r="Z77" i="8" s="1"/>
  <c r="D77" i="8"/>
  <c r="C77" i="8"/>
  <c r="F79" i="8"/>
  <c r="AD79" i="8"/>
  <c r="AD77" i="8" s="1"/>
  <c r="U79" i="8" l="1"/>
  <c r="U77" i="8" s="1"/>
  <c r="AB79" i="8"/>
  <c r="AB77" i="8" s="1"/>
  <c r="AF79" i="8"/>
  <c r="AF77" i="8" s="1"/>
  <c r="W79" i="8"/>
  <c r="W77" i="8" s="1"/>
  <c r="V79" i="8"/>
  <c r="V77" i="8" s="1"/>
  <c r="AA79" i="8"/>
  <c r="AA77" i="8" s="1"/>
  <c r="Y79" i="8"/>
  <c r="Y77" i="8" s="1"/>
  <c r="H80" i="8"/>
  <c r="J81" i="8" s="1"/>
  <c r="H81" i="8"/>
  <c r="G80" i="8"/>
  <c r="G81" i="8" s="1"/>
  <c r="AC79" i="8"/>
  <c r="AC77" i="8" s="1"/>
  <c r="R80" i="8"/>
  <c r="S82" i="8"/>
  <c r="A80" i="8"/>
  <c r="F84" i="8"/>
  <c r="S83" i="8" l="1"/>
  <c r="W82" i="8" s="1"/>
  <c r="W80" i="8" s="1"/>
  <c r="I83" i="8"/>
  <c r="M83" i="8"/>
  <c r="P83" i="8"/>
  <c r="J83" i="8"/>
  <c r="O83" i="8"/>
  <c r="N83" i="8"/>
  <c r="Q83" i="8"/>
  <c r="F82" i="8"/>
  <c r="C80" i="8"/>
  <c r="D80" i="8"/>
  <c r="Z82" i="8"/>
  <c r="Z80" i="8" s="1"/>
  <c r="AC82" i="8"/>
  <c r="AC80" i="8" s="1"/>
  <c r="X82" i="8" l="1"/>
  <c r="X80" i="8" s="1"/>
  <c r="G83" i="8"/>
  <c r="G84" i="8" s="1"/>
  <c r="AD82" i="8"/>
  <c r="AD80" i="8" s="1"/>
  <c r="F87" i="8"/>
  <c r="A83" i="8"/>
  <c r="R83" i="8"/>
  <c r="S85" i="8"/>
  <c r="E82" i="8"/>
  <c r="E80" i="8" s="1"/>
  <c r="H83" i="8"/>
  <c r="J84" i="8" s="1"/>
  <c r="AA82" i="8"/>
  <c r="AA80" i="8" s="1"/>
  <c r="H84" i="8"/>
  <c r="AF82" i="8"/>
  <c r="AF80" i="8" s="1"/>
  <c r="V82" i="8"/>
  <c r="V80" i="8" s="1"/>
  <c r="U82" i="8"/>
  <c r="U80" i="8" s="1"/>
  <c r="AE82" i="8"/>
  <c r="AE80" i="8" s="1"/>
  <c r="AB82" i="8"/>
  <c r="AB80" i="8" s="1"/>
  <c r="Y82" i="8"/>
  <c r="Y80" i="8" s="1"/>
  <c r="C83" i="8" l="1"/>
  <c r="D83" i="8"/>
  <c r="F85" i="8"/>
  <c r="M86" i="8"/>
  <c r="N86" i="8"/>
  <c r="I86" i="8"/>
  <c r="S86" i="8"/>
  <c r="AF85" i="8" s="1"/>
  <c r="AF83" i="8" s="1"/>
  <c r="J86" i="8"/>
  <c r="P86" i="8"/>
  <c r="O86" i="8"/>
  <c r="Q86" i="8"/>
  <c r="V85" i="8" l="1"/>
  <c r="V83" i="8" s="1"/>
  <c r="AE85" i="8"/>
  <c r="AE83" i="8" s="1"/>
  <c r="Y85" i="8"/>
  <c r="Y83" i="8" s="1"/>
  <c r="AC85" i="8"/>
  <c r="AC83" i="8" s="1"/>
  <c r="X85" i="8"/>
  <c r="X83" i="8" s="1"/>
  <c r="R86" i="8"/>
  <c r="A86" i="8"/>
  <c r="S88" i="8"/>
  <c r="F90" i="8"/>
  <c r="AA85" i="8"/>
  <c r="AA83" i="8" s="1"/>
  <c r="E85" i="8"/>
  <c r="E83" i="8" s="1"/>
  <c r="G86" i="8"/>
  <c r="G87" i="8" s="1"/>
  <c r="AB85" i="8"/>
  <c r="AB83" i="8" s="1"/>
  <c r="W85" i="8"/>
  <c r="W83" i="8" s="1"/>
  <c r="AD85" i="8"/>
  <c r="AD83" i="8" s="1"/>
  <c r="U85" i="8"/>
  <c r="U83" i="8" s="1"/>
  <c r="H86" i="8"/>
  <c r="J87" i="8" s="1"/>
  <c r="Z85" i="8"/>
  <c r="Z83" i="8" s="1"/>
  <c r="H87" i="8"/>
  <c r="I89" i="8" l="1"/>
  <c r="N89" i="8"/>
  <c r="S89" i="8"/>
  <c r="W88" i="8" s="1"/>
  <c r="W86" i="8" s="1"/>
  <c r="M89" i="8"/>
  <c r="J89" i="8"/>
  <c r="Q89" i="8"/>
  <c r="O89" i="8"/>
  <c r="P89" i="8"/>
  <c r="Z88" i="8"/>
  <c r="Z86" i="8" s="1"/>
  <c r="AF88" i="8"/>
  <c r="AF86" i="8" s="1"/>
  <c r="V88" i="8"/>
  <c r="V86" i="8" s="1"/>
  <c r="AD88" i="8"/>
  <c r="AD86" i="8" s="1"/>
  <c r="C86" i="8"/>
  <c r="F88" i="8"/>
  <c r="D86" i="8"/>
  <c r="E88" i="8"/>
  <c r="E86" i="8" s="1"/>
  <c r="AC88" i="8" l="1"/>
  <c r="AC86" i="8" s="1"/>
  <c r="AB88" i="8"/>
  <c r="AB86" i="8" s="1"/>
  <c r="Y88" i="8"/>
  <c r="Y86" i="8" s="1"/>
  <c r="AA88" i="8"/>
  <c r="AA86" i="8" s="1"/>
  <c r="U88" i="8"/>
  <c r="U86" i="8" s="1"/>
  <c r="X88" i="8"/>
  <c r="X86" i="8" s="1"/>
  <c r="F93" i="8"/>
  <c r="R89" i="8"/>
  <c r="S91" i="8"/>
  <c r="A89" i="8"/>
  <c r="H89" i="8"/>
  <c r="J90" i="8" s="1"/>
  <c r="AE88" i="8"/>
  <c r="AE86" i="8" s="1"/>
  <c r="H90" i="8"/>
  <c r="G89" i="8"/>
  <c r="G90" i="8" s="1"/>
  <c r="C89" i="8" l="1"/>
  <c r="F91" i="8"/>
  <c r="X91" i="8"/>
  <c r="X89" i="8" s="1"/>
  <c r="Z91" i="8"/>
  <c r="Z89" i="8" s="1"/>
  <c r="V91" i="8"/>
  <c r="V89" i="8" s="1"/>
  <c r="U91" i="8"/>
  <c r="U89" i="8" s="1"/>
  <c r="AB91" i="8"/>
  <c r="AB89" i="8" s="1"/>
  <c r="D89" i="8"/>
  <c r="AA91" i="8"/>
  <c r="AA89" i="8" s="1"/>
  <c r="AD91" i="8"/>
  <c r="AD89" i="8" s="1"/>
  <c r="I92" i="8"/>
  <c r="J92" i="8"/>
  <c r="Q92" i="8"/>
  <c r="S92" i="8"/>
  <c r="W91" i="8" s="1"/>
  <c r="W89" i="8" s="1"/>
  <c r="O92" i="8"/>
  <c r="M92" i="8"/>
  <c r="P92" i="8"/>
  <c r="N92" i="8"/>
  <c r="G92" i="8" l="1"/>
  <c r="G93" i="8" s="1"/>
  <c r="A92" i="8"/>
  <c r="R92" i="8"/>
  <c r="F96" i="8"/>
  <c r="S94" i="8"/>
  <c r="AC91" i="8"/>
  <c r="AC89" i="8" s="1"/>
  <c r="H93" i="8"/>
  <c r="H92" i="8"/>
  <c r="J93" i="8" s="1"/>
  <c r="E91" i="8"/>
  <c r="E89" i="8" s="1"/>
  <c r="AE91" i="8"/>
  <c r="AE89" i="8" s="1"/>
  <c r="Y91" i="8"/>
  <c r="Y89" i="8" s="1"/>
  <c r="AF91" i="8"/>
  <c r="AF89" i="8" s="1"/>
  <c r="I95" i="8" l="1"/>
  <c r="Q95" i="8"/>
  <c r="P95" i="8"/>
  <c r="J95" i="8"/>
  <c r="M95" i="8"/>
  <c r="N95" i="8"/>
  <c r="S95" i="8"/>
  <c r="V94" i="8" s="1"/>
  <c r="V92" i="8" s="1"/>
  <c r="O95" i="8"/>
  <c r="AE94" i="8"/>
  <c r="AE92" i="8" s="1"/>
  <c r="D92" i="8"/>
  <c r="AA94" i="8"/>
  <c r="AA92" i="8" s="1"/>
  <c r="W94" i="8"/>
  <c r="W92" i="8" s="1"/>
  <c r="F94" i="8"/>
  <c r="C92" i="8"/>
  <c r="R95" i="8" l="1"/>
  <c r="A95" i="8"/>
  <c r="S97" i="8"/>
  <c r="F99" i="8"/>
  <c r="AF94" i="8"/>
  <c r="AF92" i="8" s="1"/>
  <c r="Z94" i="8"/>
  <c r="Z92" i="8" s="1"/>
  <c r="G95" i="8"/>
  <c r="G96" i="8" s="1"/>
  <c r="U94" i="8"/>
  <c r="U92" i="8" s="1"/>
  <c r="AC94" i="8"/>
  <c r="AC92" i="8" s="1"/>
  <c r="H96" i="8"/>
  <c r="H95" i="8"/>
  <c r="J96" i="8" s="1"/>
  <c r="AD94" i="8"/>
  <c r="AD92" i="8" s="1"/>
  <c r="X94" i="8"/>
  <c r="X92" i="8" s="1"/>
  <c r="Y94" i="8"/>
  <c r="Y92" i="8" s="1"/>
  <c r="AB94" i="8"/>
  <c r="AB92" i="8" s="1"/>
  <c r="E94" i="8"/>
  <c r="E92" i="8" s="1"/>
  <c r="S98" i="8" l="1"/>
  <c r="Z97" i="8" s="1"/>
  <c r="Z95" i="8" s="1"/>
  <c r="I98" i="8"/>
  <c r="M98" i="8"/>
  <c r="J98" i="8"/>
  <c r="P98" i="8"/>
  <c r="Q98" i="8"/>
  <c r="N98" i="8"/>
  <c r="O98" i="8"/>
  <c r="U97" i="8"/>
  <c r="U95" i="8" s="1"/>
  <c r="AF97" i="8"/>
  <c r="AF95" i="8" s="1"/>
  <c r="F97" i="8"/>
  <c r="E97" i="8"/>
  <c r="E95" i="8" s="1"/>
  <c r="C95" i="8"/>
  <c r="D95" i="8"/>
  <c r="V97" i="8" l="1"/>
  <c r="V95" i="8" s="1"/>
  <c r="AC97" i="8"/>
  <c r="AC95" i="8" s="1"/>
  <c r="AA97" i="8"/>
  <c r="AA95" i="8" s="1"/>
  <c r="X97" i="8"/>
  <c r="X95" i="8" s="1"/>
  <c r="W97" i="8"/>
  <c r="W95" i="8" s="1"/>
  <c r="Y97" i="8"/>
  <c r="Y95" i="8" s="1"/>
  <c r="AD97" i="8"/>
  <c r="AD95" i="8" s="1"/>
  <c r="R98" i="8"/>
  <c r="A98" i="8"/>
  <c r="S100" i="8"/>
  <c r="F102" i="8"/>
  <c r="AE97" i="8"/>
  <c r="AE95" i="8" s="1"/>
  <c r="AB97" i="8"/>
  <c r="AB95" i="8" s="1"/>
  <c r="H99" i="8"/>
  <c r="H98" i="8"/>
  <c r="J99" i="8" s="1"/>
  <c r="G98" i="8"/>
  <c r="G99" i="8" s="1"/>
  <c r="I101" i="8" l="1"/>
  <c r="J101" i="8"/>
  <c r="Q101" i="8"/>
  <c r="M101" i="8"/>
  <c r="N101" i="8"/>
  <c r="P101" i="8"/>
  <c r="S101" i="8"/>
  <c r="AE100" i="8" s="1"/>
  <c r="AE98" i="8" s="1"/>
  <c r="O101" i="8"/>
  <c r="F100" i="8"/>
  <c r="AB100" i="8"/>
  <c r="AB98" i="8" s="1"/>
  <c r="V100" i="8"/>
  <c r="V98" i="8" s="1"/>
  <c r="C98" i="8"/>
  <c r="D98" i="8"/>
  <c r="Y100" i="8" l="1"/>
  <c r="Y98" i="8" s="1"/>
  <c r="AD100" i="8"/>
  <c r="AD98" i="8" s="1"/>
  <c r="G101" i="8"/>
  <c r="G102" i="8" s="1"/>
  <c r="AF100" i="8"/>
  <c r="AF98" i="8" s="1"/>
  <c r="X100" i="8"/>
  <c r="X98" i="8" s="1"/>
  <c r="AA100" i="8"/>
  <c r="AA98" i="8" s="1"/>
  <c r="AC100" i="8"/>
  <c r="AC98" i="8" s="1"/>
  <c r="U100" i="8"/>
  <c r="U98" i="8" s="1"/>
  <c r="W100" i="8"/>
  <c r="W98" i="8" s="1"/>
  <c r="Z100" i="8"/>
  <c r="Z98" i="8" s="1"/>
  <c r="H101" i="8"/>
  <c r="J102" i="8" s="1"/>
  <c r="H102" i="8"/>
  <c r="A101" i="8"/>
  <c r="R101" i="8"/>
  <c r="S103" i="8"/>
  <c r="F105" i="8"/>
  <c r="E100" i="8"/>
  <c r="E98" i="8" s="1"/>
  <c r="C101" i="8" l="1"/>
  <c r="D101" i="8"/>
  <c r="F103" i="8"/>
  <c r="W103" i="8"/>
  <c r="W101" i="8" s="1"/>
  <c r="AB103" i="8"/>
  <c r="AB101" i="8" s="1"/>
  <c r="O104" i="8"/>
  <c r="P104" i="8"/>
  <c r="M104" i="8"/>
  <c r="J104" i="8"/>
  <c r="N104" i="8"/>
  <c r="I104" i="8"/>
  <c r="Q104" i="8"/>
  <c r="S104" i="8"/>
  <c r="Y103" i="8" s="1"/>
  <c r="Y101" i="8" s="1"/>
  <c r="X103" i="8"/>
  <c r="X101" i="8" s="1"/>
  <c r="Z103" i="8"/>
  <c r="Z101" i="8" s="1"/>
  <c r="V103" i="8"/>
  <c r="V101" i="8" s="1"/>
  <c r="U103" i="8"/>
  <c r="U101" i="8" s="1"/>
  <c r="AE103" i="8" l="1"/>
  <c r="AE101" i="8" s="1"/>
  <c r="AA103" i="8"/>
  <c r="AA101" i="8" s="1"/>
  <c r="AC103" i="8"/>
  <c r="AC101" i="8" s="1"/>
  <c r="AF103" i="8"/>
  <c r="AF101" i="8" s="1"/>
  <c r="H104" i="8"/>
  <c r="J105" i="8" s="1"/>
  <c r="H105" i="8"/>
  <c r="E103" i="8"/>
  <c r="E101" i="8" s="1"/>
  <c r="S106" i="8"/>
  <c r="R104" i="8"/>
  <c r="A104" i="8"/>
  <c r="F108" i="8"/>
  <c r="G104" i="8"/>
  <c r="G105" i="8" s="1"/>
  <c r="AD103" i="8"/>
  <c r="AD101" i="8" s="1"/>
  <c r="Q107" i="8" l="1"/>
  <c r="S107" i="8"/>
  <c r="W106" i="8" s="1"/>
  <c r="W104" i="8" s="1"/>
  <c r="J107" i="8"/>
  <c r="M107" i="8"/>
  <c r="I107" i="8"/>
  <c r="O107" i="8"/>
  <c r="N107" i="8"/>
  <c r="P107" i="8"/>
  <c r="F106" i="8"/>
  <c r="D104" i="8"/>
  <c r="Y106" i="8"/>
  <c r="Y104" i="8" s="1"/>
  <c r="X106" i="8"/>
  <c r="X104" i="8" s="1"/>
  <c r="C104" i="8"/>
  <c r="AD106" i="8"/>
  <c r="AD104" i="8" s="1"/>
  <c r="AC106" i="8"/>
  <c r="AC104" i="8" s="1"/>
  <c r="U106" i="8"/>
  <c r="U104" i="8" s="1"/>
  <c r="G107" i="8" l="1"/>
  <c r="G108" i="8" s="1"/>
  <c r="AE106" i="8"/>
  <c r="AE104" i="8" s="1"/>
  <c r="E106" i="8"/>
  <c r="E104" i="8" s="1"/>
  <c r="AB106" i="8"/>
  <c r="AB104" i="8" s="1"/>
  <c r="AF106" i="8"/>
  <c r="AF104" i="8" s="1"/>
  <c r="AA106" i="8"/>
  <c r="AA104" i="8" s="1"/>
  <c r="V106" i="8"/>
  <c r="V104" i="8" s="1"/>
  <c r="R107" i="8"/>
  <c r="S109" i="8"/>
  <c r="A107" i="8"/>
  <c r="F111" i="8"/>
  <c r="Z106" i="8"/>
  <c r="Z104" i="8" s="1"/>
  <c r="H107" i="8"/>
  <c r="J108" i="8" s="1"/>
  <c r="H108" i="8"/>
  <c r="Q110" i="8" l="1"/>
  <c r="O110" i="8"/>
  <c r="S110" i="8"/>
  <c r="X109" i="8" s="1"/>
  <c r="X107" i="8" s="1"/>
  <c r="I110" i="8"/>
  <c r="P110" i="8"/>
  <c r="G110" i="8"/>
  <c r="G111" i="8" s="1"/>
  <c r="M110" i="8"/>
  <c r="J110" i="8"/>
  <c r="N110" i="8"/>
  <c r="E109" i="8"/>
  <c r="E107" i="8" s="1"/>
  <c r="AF109" i="8"/>
  <c r="AF107" i="8" s="1"/>
  <c r="U109" i="8"/>
  <c r="U107" i="8" s="1"/>
  <c r="D107" i="8"/>
  <c r="C107" i="8"/>
  <c r="Y109" i="8"/>
  <c r="Y107" i="8" s="1"/>
  <c r="AA109" i="8"/>
  <c r="AA107" i="8" s="1"/>
  <c r="F109" i="8"/>
  <c r="Z109" i="8"/>
  <c r="Z107" i="8" s="1"/>
  <c r="W109" i="8" l="1"/>
  <c r="W107" i="8" s="1"/>
  <c r="AE109" i="8"/>
  <c r="AE107" i="8" s="1"/>
  <c r="V109" i="8"/>
  <c r="V107" i="8" s="1"/>
  <c r="AB109" i="8"/>
  <c r="AB107" i="8" s="1"/>
  <c r="R110" i="8"/>
  <c r="F114" i="8"/>
  <c r="A110" i="8"/>
  <c r="S112" i="8"/>
  <c r="H111" i="8"/>
  <c r="H110" i="8"/>
  <c r="J111" i="8" s="1"/>
  <c r="AD109" i="8"/>
  <c r="AD107" i="8" s="1"/>
  <c r="AC109" i="8"/>
  <c r="AC107" i="8" s="1"/>
  <c r="I113" i="8" l="1"/>
  <c r="S113" i="8"/>
  <c r="Z112" i="8" s="1"/>
  <c r="Z110" i="8" s="1"/>
  <c r="M113" i="8"/>
  <c r="O113" i="8"/>
  <c r="P113" i="8"/>
  <c r="J113" i="8"/>
  <c r="N113" i="8"/>
  <c r="Q113" i="8"/>
  <c r="X112" i="8"/>
  <c r="X110" i="8" s="1"/>
  <c r="D110" i="8"/>
  <c r="AC112" i="8"/>
  <c r="AC110" i="8" s="1"/>
  <c r="F112" i="8"/>
  <c r="C110" i="8"/>
  <c r="U112" i="8" l="1"/>
  <c r="U110" i="8" s="1"/>
  <c r="E112" i="8"/>
  <c r="E110" i="8" s="1"/>
  <c r="AF112" i="8"/>
  <c r="AF110" i="8" s="1"/>
  <c r="AB112" i="8"/>
  <c r="AB110" i="8" s="1"/>
  <c r="AE112" i="8"/>
  <c r="AE110" i="8" s="1"/>
  <c r="AD112" i="8"/>
  <c r="AD110" i="8" s="1"/>
  <c r="Y112" i="8"/>
  <c r="Y110" i="8" s="1"/>
  <c r="F117" i="8"/>
  <c r="S115" i="8"/>
  <c r="A113" i="8"/>
  <c r="R113" i="8"/>
  <c r="W112" i="8"/>
  <c r="W110" i="8" s="1"/>
  <c r="H114" i="8"/>
  <c r="V112" i="8"/>
  <c r="V110" i="8" s="1"/>
  <c r="AA112" i="8"/>
  <c r="AA110" i="8" s="1"/>
  <c r="G113" i="8"/>
  <c r="G114" i="8" s="1"/>
  <c r="H113" i="8"/>
  <c r="J114" i="8" s="1"/>
  <c r="C113" i="8" l="1"/>
  <c r="D113" i="8"/>
  <c r="F115" i="8"/>
  <c r="J116" i="8"/>
  <c r="Q116" i="8"/>
  <c r="M116" i="8"/>
  <c r="N116" i="8"/>
  <c r="I116" i="8"/>
  <c r="O116" i="8"/>
  <c r="P116" i="8"/>
  <c r="S116" i="8"/>
  <c r="E115" i="8" s="1"/>
  <c r="E113" i="8" s="1"/>
  <c r="AF115" i="8" l="1"/>
  <c r="AF113" i="8" s="1"/>
  <c r="AB115" i="8"/>
  <c r="AB113" i="8" s="1"/>
  <c r="X115" i="8"/>
  <c r="X113" i="8" s="1"/>
  <c r="Y115" i="8"/>
  <c r="Y113" i="8" s="1"/>
  <c r="A116" i="8"/>
  <c r="R116" i="8"/>
  <c r="F120" i="8"/>
  <c r="S118" i="8"/>
  <c r="H117" i="8"/>
  <c r="U115" i="8"/>
  <c r="U113" i="8" s="1"/>
  <c r="H116" i="8"/>
  <c r="J117" i="8" s="1"/>
  <c r="AD115" i="8"/>
  <c r="AD113" i="8" s="1"/>
  <c r="W115" i="8"/>
  <c r="W113" i="8" s="1"/>
  <c r="V115" i="8"/>
  <c r="V113" i="8" s="1"/>
  <c r="Z115" i="8"/>
  <c r="Z113" i="8" s="1"/>
  <c r="AC115" i="8"/>
  <c r="AC113" i="8" s="1"/>
  <c r="AA115" i="8"/>
  <c r="AA113" i="8" s="1"/>
  <c r="G116" i="8"/>
  <c r="G117" i="8" s="1"/>
  <c r="AE115" i="8"/>
  <c r="AE113" i="8" s="1"/>
  <c r="I119" i="8" l="1"/>
  <c r="Q119" i="8"/>
  <c r="J119" i="8"/>
  <c r="P119" i="8"/>
  <c r="S119" i="8"/>
  <c r="AC118" i="8" s="1"/>
  <c r="AC116" i="8" s="1"/>
  <c r="O119" i="8"/>
  <c r="N119" i="8"/>
  <c r="M119" i="8"/>
  <c r="U118" i="8"/>
  <c r="U116" i="8" s="1"/>
  <c r="AA118" i="8"/>
  <c r="AA116" i="8" s="1"/>
  <c r="E118" i="8"/>
  <c r="E116" i="8" s="1"/>
  <c r="W118" i="8"/>
  <c r="W116" i="8" s="1"/>
  <c r="F118" i="8"/>
  <c r="C116" i="8"/>
  <c r="D116" i="8"/>
  <c r="AE118" i="8" l="1"/>
  <c r="AE116" i="8" s="1"/>
  <c r="AF118" i="8"/>
  <c r="AF116" i="8" s="1"/>
  <c r="Y118" i="8"/>
  <c r="Y116" i="8" s="1"/>
  <c r="X118" i="8"/>
  <c r="X116" i="8" s="1"/>
  <c r="H120" i="8"/>
  <c r="H119" i="8"/>
  <c r="J120" i="8" s="1"/>
  <c r="AB118" i="8"/>
  <c r="AB116" i="8" s="1"/>
  <c r="R119" i="8"/>
  <c r="S121" i="8"/>
  <c r="F123" i="8"/>
  <c r="A119" i="8"/>
  <c r="AD118" i="8"/>
  <c r="AD116" i="8" s="1"/>
  <c r="V118" i="8"/>
  <c r="V116" i="8" s="1"/>
  <c r="G119" i="8"/>
  <c r="G120" i="8" s="1"/>
  <c r="Z118" i="8"/>
  <c r="Z116" i="8" s="1"/>
  <c r="I122" i="8" l="1"/>
  <c r="P122" i="8"/>
  <c r="S122" i="8"/>
  <c r="U121" i="8" s="1"/>
  <c r="U119" i="8" s="1"/>
  <c r="J122" i="8"/>
  <c r="Q122" i="8"/>
  <c r="N122" i="8"/>
  <c r="O122" i="8"/>
  <c r="M122" i="8"/>
  <c r="F121" i="8"/>
  <c r="C119" i="8"/>
  <c r="AA121" i="8"/>
  <c r="AA119" i="8" s="1"/>
  <c r="V121" i="8"/>
  <c r="V119" i="8" s="1"/>
  <c r="D119" i="8"/>
  <c r="G122" i="8" l="1"/>
  <c r="G123" i="8" s="1"/>
  <c r="AE121" i="8"/>
  <c r="AE119" i="8" s="1"/>
  <c r="Z121" i="8"/>
  <c r="Z119" i="8" s="1"/>
  <c r="S124" i="8"/>
  <c r="A122" i="8"/>
  <c r="R122" i="8"/>
  <c r="F126" i="8"/>
  <c r="H123" i="8"/>
  <c r="X121" i="8"/>
  <c r="X119" i="8" s="1"/>
  <c r="H122" i="8"/>
  <c r="J123" i="8" s="1"/>
  <c r="AF121" i="8"/>
  <c r="AF119" i="8" s="1"/>
  <c r="AD121" i="8"/>
  <c r="AD119" i="8" s="1"/>
  <c r="E121" i="8"/>
  <c r="E119" i="8" s="1"/>
  <c r="W121" i="8"/>
  <c r="W119" i="8" s="1"/>
  <c r="Y121" i="8"/>
  <c r="Y119" i="8" s="1"/>
  <c r="AC121" i="8"/>
  <c r="AC119" i="8" s="1"/>
  <c r="AB121" i="8"/>
  <c r="AB119" i="8" s="1"/>
  <c r="O125" i="8" l="1"/>
  <c r="Q125" i="8"/>
  <c r="N125" i="8"/>
  <c r="I125" i="8"/>
  <c r="M125" i="8"/>
  <c r="S125" i="8"/>
  <c r="U124" i="8" s="1"/>
  <c r="U122" i="8" s="1"/>
  <c r="P125" i="8"/>
  <c r="J125" i="8"/>
  <c r="AA124" i="8"/>
  <c r="AA122" i="8" s="1"/>
  <c r="AF124" i="8"/>
  <c r="AF122" i="8" s="1"/>
  <c r="V124" i="8"/>
  <c r="V122" i="8" s="1"/>
  <c r="W124" i="8"/>
  <c r="W122" i="8" s="1"/>
  <c r="D122" i="8"/>
  <c r="F124" i="8"/>
  <c r="C122" i="8"/>
  <c r="Z124" i="8" l="1"/>
  <c r="Z122" i="8" s="1"/>
  <c r="AB124" i="8"/>
  <c r="AB122" i="8" s="1"/>
  <c r="Y124" i="8"/>
  <c r="Y122" i="8" s="1"/>
  <c r="AE124" i="8"/>
  <c r="AE122" i="8" s="1"/>
  <c r="X124" i="8"/>
  <c r="X122" i="8" s="1"/>
  <c r="AC124" i="8"/>
  <c r="AC122" i="8" s="1"/>
  <c r="AD124" i="8"/>
  <c r="AD122" i="8" s="1"/>
  <c r="H126" i="8"/>
  <c r="H125" i="8"/>
  <c r="J126" i="8" s="1"/>
  <c r="G125" i="8"/>
  <c r="G126" i="8" s="1"/>
  <c r="S127" i="8"/>
  <c r="A125" i="8"/>
  <c r="F129" i="8"/>
  <c r="R125" i="8"/>
  <c r="E124" i="8"/>
  <c r="E122" i="8" s="1"/>
  <c r="C125" i="8" l="1"/>
  <c r="D125" i="8"/>
  <c r="F127" i="8"/>
  <c r="Q128" i="8"/>
  <c r="N128" i="8"/>
  <c r="P128" i="8"/>
  <c r="J128" i="8"/>
  <c r="O128" i="8"/>
  <c r="S128" i="8"/>
  <c r="Y127" i="8" s="1"/>
  <c r="Y125" i="8" s="1"/>
  <c r="M128" i="8"/>
  <c r="I128" i="8"/>
  <c r="Z127" i="8" l="1"/>
  <c r="Z125" i="8" s="1"/>
  <c r="AC127" i="8"/>
  <c r="AC125" i="8" s="1"/>
  <c r="AA127" i="8"/>
  <c r="AA125" i="8" s="1"/>
  <c r="U127" i="8"/>
  <c r="U125" i="8" s="1"/>
  <c r="AD127" i="8"/>
  <c r="AD125" i="8" s="1"/>
  <c r="AF127" i="8"/>
  <c r="AF125" i="8" s="1"/>
  <c r="S130" i="8"/>
  <c r="A128" i="8"/>
  <c r="F132" i="8"/>
  <c r="R128" i="8"/>
  <c r="X127" i="8"/>
  <c r="X125" i="8" s="1"/>
  <c r="W127" i="8"/>
  <c r="W125" i="8" s="1"/>
  <c r="H128" i="8"/>
  <c r="J129" i="8" s="1"/>
  <c r="H129" i="8"/>
  <c r="AE127" i="8"/>
  <c r="AE125" i="8" s="1"/>
  <c r="E127" i="8"/>
  <c r="E125" i="8" s="1"/>
  <c r="V127" i="8"/>
  <c r="V125" i="8" s="1"/>
  <c r="G128" i="8"/>
  <c r="G129" i="8" s="1"/>
  <c r="AB127" i="8"/>
  <c r="AB125" i="8" s="1"/>
  <c r="F130" i="8" l="1"/>
  <c r="D128" i="8"/>
  <c r="C128" i="8"/>
  <c r="M131" i="8"/>
  <c r="I131" i="8"/>
  <c r="S131" i="8"/>
  <c r="AC130" i="8" s="1"/>
  <c r="AC128" i="8" s="1"/>
  <c r="O131" i="8"/>
  <c r="Q131" i="8"/>
  <c r="N131" i="8"/>
  <c r="J131" i="8"/>
  <c r="P131" i="8"/>
  <c r="AF130" i="8" l="1"/>
  <c r="AF128" i="8" s="1"/>
  <c r="AD130" i="8"/>
  <c r="AD128" i="8" s="1"/>
  <c r="X130" i="8"/>
  <c r="X128" i="8" s="1"/>
  <c r="AB130" i="8"/>
  <c r="AB128" i="8" s="1"/>
  <c r="AE130" i="8"/>
  <c r="AE128" i="8" s="1"/>
  <c r="AA130" i="8"/>
  <c r="AA128" i="8" s="1"/>
  <c r="U130" i="8"/>
  <c r="U128" i="8" s="1"/>
  <c r="Y130" i="8"/>
  <c r="Y128" i="8" s="1"/>
  <c r="H132" i="8"/>
  <c r="H131" i="8"/>
  <c r="J132" i="8" s="1"/>
  <c r="E130" i="8"/>
  <c r="E128" i="8" s="1"/>
  <c r="A131" i="8"/>
  <c r="F135" i="8"/>
  <c r="R131" i="8"/>
  <c r="S133" i="8"/>
  <c r="V130" i="8"/>
  <c r="V128" i="8" s="1"/>
  <c r="Z130" i="8"/>
  <c r="Z128" i="8" s="1"/>
  <c r="W130" i="8"/>
  <c r="W128" i="8" s="1"/>
  <c r="G131" i="8"/>
  <c r="G132" i="8" s="1"/>
  <c r="O68" i="8"/>
  <c r="R68" i="8" s="1"/>
  <c r="O71" i="8"/>
  <c r="R71" i="8" s="1"/>
  <c r="O62" i="8"/>
  <c r="R62" i="8" s="1"/>
  <c r="F64" i="8" s="1"/>
  <c r="O65" i="8"/>
  <c r="R65" i="8" s="1"/>
  <c r="O59" i="8"/>
  <c r="R59" i="8" s="1"/>
  <c r="O26" i="8"/>
  <c r="R26" i="8" s="1"/>
  <c r="O20" i="8"/>
  <c r="R20" i="8" s="1"/>
  <c r="O23" i="8"/>
  <c r="R23" i="8" s="1"/>
  <c r="O17" i="8"/>
  <c r="R17" i="8" s="1"/>
  <c r="F133" i="8" l="1"/>
  <c r="C131" i="8"/>
  <c r="D131" i="8"/>
  <c r="P134" i="8"/>
  <c r="S134" i="8"/>
  <c r="AE133" i="8" s="1"/>
  <c r="AE131" i="8" s="1"/>
  <c r="I134" i="8"/>
  <c r="Q134" i="8"/>
  <c r="O134" i="8"/>
  <c r="J134" i="8"/>
  <c r="M134" i="8"/>
  <c r="N134" i="8"/>
  <c r="F70" i="8"/>
  <c r="F73" i="8"/>
  <c r="F67" i="8"/>
  <c r="F61" i="8"/>
  <c r="F28" i="8"/>
  <c r="F22" i="8"/>
  <c r="F25" i="8"/>
  <c r="F19" i="8"/>
  <c r="AC133" i="8" l="1"/>
  <c r="AC131" i="8" s="1"/>
  <c r="V133" i="8"/>
  <c r="V131" i="8" s="1"/>
  <c r="E133" i="8"/>
  <c r="E131" i="8" s="1"/>
  <c r="X133" i="8"/>
  <c r="X131" i="8" s="1"/>
  <c r="AA133" i="8"/>
  <c r="AA131" i="8" s="1"/>
  <c r="AF133" i="8"/>
  <c r="AF131" i="8" s="1"/>
  <c r="G134" i="8"/>
  <c r="G135" i="8" s="1"/>
  <c r="Z133" i="8"/>
  <c r="Z131" i="8" s="1"/>
  <c r="AB133" i="8"/>
  <c r="AB131" i="8" s="1"/>
  <c r="AD133" i="8"/>
  <c r="AD131" i="8" s="1"/>
  <c r="Y133" i="8"/>
  <c r="Y131" i="8" s="1"/>
  <c r="H134" i="8"/>
  <c r="J135" i="8" s="1"/>
  <c r="H135" i="8"/>
  <c r="U133" i="8"/>
  <c r="U131" i="8" s="1"/>
  <c r="A134" i="8"/>
  <c r="S136" i="8"/>
  <c r="F138" i="8"/>
  <c r="R134" i="8"/>
  <c r="W133" i="8"/>
  <c r="W131" i="8" s="1"/>
  <c r="O56" i="8"/>
  <c r="R56" i="8" s="1"/>
  <c r="F58" i="8" s="1"/>
  <c r="J10" i="13"/>
  <c r="O137" i="8" l="1"/>
  <c r="P137" i="8"/>
  <c r="I137" i="8"/>
  <c r="S137" i="8"/>
  <c r="U136" i="8" s="1"/>
  <c r="U134" i="8" s="1"/>
  <c r="J137" i="8"/>
  <c r="M137" i="8"/>
  <c r="N137" i="8"/>
  <c r="Q137" i="8"/>
  <c r="AB136" i="8"/>
  <c r="AB134" i="8" s="1"/>
  <c r="AD136" i="8"/>
  <c r="AD134" i="8" s="1"/>
  <c r="F136" i="8"/>
  <c r="AF136" i="8"/>
  <c r="AF134" i="8" s="1"/>
  <c r="D134" i="8"/>
  <c r="C134" i="8"/>
  <c r="W136" i="8"/>
  <c r="W134" i="8" s="1"/>
  <c r="AA136" i="8"/>
  <c r="AA134" i="8" s="1"/>
  <c r="G137" i="8"/>
  <c r="G138" i="8" s="1"/>
  <c r="V136" i="8"/>
  <c r="V134" i="8" s="1"/>
  <c r="J38" i="8"/>
  <c r="Z136" i="8" l="1"/>
  <c r="Z134" i="8" s="1"/>
  <c r="E136" i="8"/>
  <c r="E134" i="8" s="1"/>
  <c r="X136" i="8"/>
  <c r="X134" i="8" s="1"/>
  <c r="Y136" i="8"/>
  <c r="Y134" i="8" s="1"/>
  <c r="R137" i="8"/>
  <c r="S139" i="8"/>
  <c r="A137" i="8"/>
  <c r="F141" i="8"/>
  <c r="AE136" i="8"/>
  <c r="AE134" i="8" s="1"/>
  <c r="H138" i="8"/>
  <c r="H137" i="8"/>
  <c r="J138" i="8" s="1"/>
  <c r="AC136" i="8"/>
  <c r="AC134" i="8" s="1"/>
  <c r="O53" i="8"/>
  <c r="R53" i="8" s="1"/>
  <c r="F55" i="8" s="1"/>
  <c r="I140" i="8" l="1"/>
  <c r="N140" i="8"/>
  <c r="Q140" i="8"/>
  <c r="O140" i="8"/>
  <c r="J140" i="8"/>
  <c r="P140" i="8"/>
  <c r="M140" i="8"/>
  <c r="S140" i="8"/>
  <c r="AB139" i="8" s="1"/>
  <c r="AB137" i="8" s="1"/>
  <c r="F139" i="8"/>
  <c r="C137" i="8"/>
  <c r="E139" i="8"/>
  <c r="E137" i="8" s="1"/>
  <c r="Z139" i="8"/>
  <c r="Z137" i="8" s="1"/>
  <c r="D137" i="8"/>
  <c r="C34" i="9"/>
  <c r="F34" i="9" s="1"/>
  <c r="C34" i="10"/>
  <c r="C33" i="9"/>
  <c r="F33" i="9" s="1"/>
  <c r="C33" i="10"/>
  <c r="C32" i="10"/>
  <c r="C32" i="9"/>
  <c r="F32" i="9" s="1"/>
  <c r="C31" i="9"/>
  <c r="F31" i="9" s="1"/>
  <c r="C31" i="10"/>
  <c r="C30" i="10"/>
  <c r="C30" i="9"/>
  <c r="F30" i="9" s="1"/>
  <c r="C29" i="9"/>
  <c r="F29" i="9" s="1"/>
  <c r="C29" i="10"/>
  <c r="C28" i="10"/>
  <c r="C28" i="9"/>
  <c r="F28" i="9" s="1"/>
  <c r="C27" i="9"/>
  <c r="F27" i="9" s="1"/>
  <c r="C27" i="10"/>
  <c r="C26" i="10"/>
  <c r="C26" i="9"/>
  <c r="F26" i="9" s="1"/>
  <c r="C25" i="9"/>
  <c r="F25" i="9" s="1"/>
  <c r="C25" i="10"/>
  <c r="C24" i="9"/>
  <c r="F24" i="9" s="1"/>
  <c r="C24" i="10"/>
  <c r="AA139" i="8" l="1"/>
  <c r="AA137" i="8" s="1"/>
  <c r="W139" i="8"/>
  <c r="W137" i="8" s="1"/>
  <c r="Y139" i="8"/>
  <c r="Y137" i="8" s="1"/>
  <c r="AD139" i="8"/>
  <c r="AD137" i="8" s="1"/>
  <c r="U139" i="8"/>
  <c r="U137" i="8" s="1"/>
  <c r="V139" i="8"/>
  <c r="V137" i="8" s="1"/>
  <c r="AE139" i="8"/>
  <c r="AE137" i="8" s="1"/>
  <c r="G140" i="8"/>
  <c r="G141" i="8" s="1"/>
  <c r="H140" i="8"/>
  <c r="J141" i="8" s="1"/>
  <c r="H141" i="8"/>
  <c r="S142" i="8"/>
  <c r="A140" i="8"/>
  <c r="F144" i="8"/>
  <c r="R140" i="8"/>
  <c r="X139" i="8"/>
  <c r="X137" i="8" s="1"/>
  <c r="AF139" i="8"/>
  <c r="AF137" i="8" s="1"/>
  <c r="AC139" i="8"/>
  <c r="AC137" i="8" s="1"/>
  <c r="O50" i="8"/>
  <c r="R50" i="8" s="1"/>
  <c r="F52" i="8" s="1"/>
  <c r="J20" i="8"/>
  <c r="D140" i="8" l="1"/>
  <c r="F142" i="8"/>
  <c r="C140" i="8"/>
  <c r="J143" i="8"/>
  <c r="Q143" i="8"/>
  <c r="N143" i="8"/>
  <c r="S143" i="8"/>
  <c r="X142" i="8" s="1"/>
  <c r="X140" i="8" s="1"/>
  <c r="I143" i="8"/>
  <c r="O143" i="8"/>
  <c r="P143" i="8"/>
  <c r="M143" i="8"/>
  <c r="V142" i="8"/>
  <c r="V140" i="8" s="1"/>
  <c r="F25" i="12"/>
  <c r="G25" i="6"/>
  <c r="G23" i="6"/>
  <c r="F23" i="12"/>
  <c r="E24" i="12"/>
  <c r="F24" i="6"/>
  <c r="G24" i="6"/>
  <c r="E22" i="12"/>
  <c r="F22" i="6"/>
  <c r="F18" i="12"/>
  <c r="G18" i="6"/>
  <c r="G22" i="6"/>
  <c r="AF142" i="8" l="1"/>
  <c r="AF140" i="8" s="1"/>
  <c r="U142" i="8"/>
  <c r="U140" i="8" s="1"/>
  <c r="E142" i="8"/>
  <c r="E140" i="8" s="1"/>
  <c r="H144" i="8"/>
  <c r="H143" i="8"/>
  <c r="J144" i="8" s="1"/>
  <c r="W142" i="8"/>
  <c r="W140" i="8" s="1"/>
  <c r="AC142" i="8"/>
  <c r="AC140" i="8" s="1"/>
  <c r="Z142" i="8"/>
  <c r="Z140" i="8" s="1"/>
  <c r="Y142" i="8"/>
  <c r="Y140" i="8" s="1"/>
  <c r="G143" i="8"/>
  <c r="G144" i="8" s="1"/>
  <c r="AB142" i="8"/>
  <c r="AB140" i="8" s="1"/>
  <c r="AD142" i="8"/>
  <c r="AD140" i="8" s="1"/>
  <c r="AE142" i="8"/>
  <c r="AE140" i="8" s="1"/>
  <c r="AA142" i="8"/>
  <c r="AA140" i="8" s="1"/>
  <c r="A143" i="8"/>
  <c r="F147" i="8"/>
  <c r="S145" i="8"/>
  <c r="R143" i="8"/>
  <c r="O47" i="8"/>
  <c r="R47" i="8" s="1"/>
  <c r="F49" i="8" s="1"/>
  <c r="N22" i="6"/>
  <c r="N23" i="6"/>
  <c r="N24" i="6"/>
  <c r="N25" i="6"/>
  <c r="C143" i="8" l="1"/>
  <c r="D143" i="8"/>
  <c r="F145" i="8"/>
  <c r="J146" i="8"/>
  <c r="P146" i="8"/>
  <c r="N146" i="8"/>
  <c r="Q146" i="8"/>
  <c r="M146" i="8"/>
  <c r="O146" i="8"/>
  <c r="I146" i="8"/>
  <c r="S146" i="8"/>
  <c r="U145" i="8"/>
  <c r="U143" i="8" s="1"/>
  <c r="C23" i="9"/>
  <c r="F23" i="9" s="1"/>
  <c r="C23" i="10"/>
  <c r="C22" i="9"/>
  <c r="F22" i="9" s="1"/>
  <c r="C22" i="10"/>
  <c r="Y145" i="8" l="1"/>
  <c r="Y143" i="8" s="1"/>
  <c r="AD145" i="8"/>
  <c r="AD143" i="8" s="1"/>
  <c r="AF145" i="8"/>
  <c r="AF143" i="8" s="1"/>
  <c r="AA145" i="8"/>
  <c r="AA143" i="8" s="1"/>
  <c r="G146" i="8"/>
  <c r="G147" i="8" s="1"/>
  <c r="Z145" i="8"/>
  <c r="Z143" i="8" s="1"/>
  <c r="V145" i="8"/>
  <c r="V143" i="8" s="1"/>
  <c r="E145" i="8"/>
  <c r="E143" i="8" s="1"/>
  <c r="H146" i="8"/>
  <c r="J147" i="8" s="1"/>
  <c r="H147" i="8"/>
  <c r="W145" i="8"/>
  <c r="W143" i="8" s="1"/>
  <c r="AC145" i="8"/>
  <c r="AC143" i="8" s="1"/>
  <c r="X145" i="8"/>
  <c r="X143" i="8" s="1"/>
  <c r="AB145" i="8"/>
  <c r="AB143" i="8" s="1"/>
  <c r="AE145" i="8"/>
  <c r="AE143" i="8" s="1"/>
  <c r="S148" i="8"/>
  <c r="R146" i="8"/>
  <c r="F150" i="8"/>
  <c r="A146" i="8"/>
  <c r="O44" i="8"/>
  <c r="R44" i="8" s="1"/>
  <c r="F46" i="8" s="1"/>
  <c r="I22" i="5"/>
  <c r="J149" i="8" l="1"/>
  <c r="I149" i="8"/>
  <c r="M149" i="8"/>
  <c r="O149" i="8"/>
  <c r="P149" i="8"/>
  <c r="Q149" i="8"/>
  <c r="N149" i="8"/>
  <c r="S149" i="8"/>
  <c r="V148" i="8" s="1"/>
  <c r="V146" i="8" s="1"/>
  <c r="AF148" i="8"/>
  <c r="AF146" i="8" s="1"/>
  <c r="AE148" i="8"/>
  <c r="AE146" i="8" s="1"/>
  <c r="AA148" i="8"/>
  <c r="AA146" i="8" s="1"/>
  <c r="AB148" i="8"/>
  <c r="AB146" i="8" s="1"/>
  <c r="C146" i="8"/>
  <c r="F148" i="8"/>
  <c r="D146" i="8"/>
  <c r="J24" i="6" a="1"/>
  <c r="J24" i="6" s="1"/>
  <c r="J22" i="6" a="1"/>
  <c r="J22" i="6" s="1"/>
  <c r="X148" i="8" l="1"/>
  <c r="X146" i="8" s="1"/>
  <c r="E148" i="8"/>
  <c r="E146" i="8" s="1"/>
  <c r="W148" i="8"/>
  <c r="W146" i="8" s="1"/>
  <c r="G149" i="8"/>
  <c r="G150" i="8" s="1"/>
  <c r="AD148" i="8"/>
  <c r="AD146" i="8" s="1"/>
  <c r="Y148" i="8"/>
  <c r="Y146" i="8" s="1"/>
  <c r="H149" i="8"/>
  <c r="J150" i="8" s="1"/>
  <c r="H150" i="8"/>
  <c r="U148" i="8"/>
  <c r="U146" i="8" s="1"/>
  <c r="Z148" i="8"/>
  <c r="Z146" i="8" s="1"/>
  <c r="F153" i="8"/>
  <c r="S151" i="8"/>
  <c r="A149" i="8"/>
  <c r="R149" i="8"/>
  <c r="AC148" i="8"/>
  <c r="AC146" i="8" s="1"/>
  <c r="O41" i="8"/>
  <c r="R41" i="8" s="1"/>
  <c r="F43" i="8" s="1"/>
  <c r="I34" i="5"/>
  <c r="F151" i="8" l="1"/>
  <c r="C149" i="8"/>
  <c r="D149" i="8"/>
  <c r="S152" i="8"/>
  <c r="E151" i="8" s="1"/>
  <c r="E149" i="8" s="1"/>
  <c r="N152" i="8"/>
  <c r="M152" i="8"/>
  <c r="J152" i="8"/>
  <c r="P152" i="8"/>
  <c r="O152" i="8"/>
  <c r="I152" i="8"/>
  <c r="Q152" i="8"/>
  <c r="V151" i="8"/>
  <c r="V149" i="8" s="1"/>
  <c r="I26" i="5"/>
  <c r="AB151" i="8" l="1"/>
  <c r="AB149" i="8" s="1"/>
  <c r="H153" i="8"/>
  <c r="Z151" i="8"/>
  <c r="Z149" i="8" s="1"/>
  <c r="H152" i="8"/>
  <c r="J153" i="8" s="1"/>
  <c r="AC151" i="8"/>
  <c r="AC149" i="8" s="1"/>
  <c r="AD151" i="8"/>
  <c r="AD149" i="8" s="1"/>
  <c r="S154" i="8"/>
  <c r="F156" i="8"/>
  <c r="R152" i="8"/>
  <c r="A152" i="8"/>
  <c r="X151" i="8"/>
  <c r="X149" i="8" s="1"/>
  <c r="G152" i="8"/>
  <c r="G153" i="8" s="1"/>
  <c r="AF151" i="8"/>
  <c r="AF149" i="8" s="1"/>
  <c r="U151" i="8"/>
  <c r="U149" i="8" s="1"/>
  <c r="AA151" i="8"/>
  <c r="AA149" i="8" s="1"/>
  <c r="Y151" i="8"/>
  <c r="Y149" i="8" s="1"/>
  <c r="W151" i="8"/>
  <c r="W149" i="8" s="1"/>
  <c r="AE151" i="8"/>
  <c r="AE149" i="8" s="1"/>
  <c r="J23" i="8"/>
  <c r="J26" i="8"/>
  <c r="D152" i="8" l="1"/>
  <c r="C152" i="8"/>
  <c r="Y154" i="8"/>
  <c r="Y152" i="8" s="1"/>
  <c r="F154" i="8"/>
  <c r="AE154" i="8"/>
  <c r="AE152" i="8" s="1"/>
  <c r="Z154" i="8"/>
  <c r="Z152" i="8" s="1"/>
  <c r="AA154" i="8"/>
  <c r="AA152" i="8" s="1"/>
  <c r="M155" i="8"/>
  <c r="O155" i="8"/>
  <c r="P155" i="8"/>
  <c r="N155" i="8"/>
  <c r="Q155" i="8"/>
  <c r="I155" i="8"/>
  <c r="S155" i="8"/>
  <c r="AD154" i="8" s="1"/>
  <c r="AD152" i="8" s="1"/>
  <c r="J155" i="8"/>
  <c r="V154" i="8"/>
  <c r="V152" i="8" s="1"/>
  <c r="AB154" i="8"/>
  <c r="AB152" i="8" s="1"/>
  <c r="U154" i="8"/>
  <c r="U152" i="8" s="1"/>
  <c r="AF154" i="8"/>
  <c r="AF152" i="8" s="1"/>
  <c r="N21" i="6"/>
  <c r="N19" i="6"/>
  <c r="N20" i="6"/>
  <c r="F159" i="8" l="1"/>
  <c r="A155" i="8"/>
  <c r="S157" i="8"/>
  <c r="R155" i="8"/>
  <c r="E154" i="8"/>
  <c r="E152" i="8" s="1"/>
  <c r="H156" i="8"/>
  <c r="H155" i="8"/>
  <c r="J156" i="8" s="1"/>
  <c r="X154" i="8"/>
  <c r="X152" i="8" s="1"/>
  <c r="W154" i="8"/>
  <c r="W152" i="8" s="1"/>
  <c r="AC154" i="8"/>
  <c r="AC152" i="8" s="1"/>
  <c r="G155" i="8"/>
  <c r="G156" i="8" s="1"/>
  <c r="C17" i="9"/>
  <c r="F17" i="9" s="1"/>
  <c r="C17" i="10"/>
  <c r="C21" i="9"/>
  <c r="F21" i="9" s="1"/>
  <c r="C21" i="10"/>
  <c r="C19" i="10"/>
  <c r="C19" i="9"/>
  <c r="F19" i="9" s="1"/>
  <c r="C18" i="9"/>
  <c r="F18" i="9" s="1"/>
  <c r="C18" i="10"/>
  <c r="C155" i="8" l="1"/>
  <c r="F157" i="8"/>
  <c r="D155" i="8"/>
  <c r="P158" i="8"/>
  <c r="S158" i="8"/>
  <c r="G158" i="8" s="1"/>
  <c r="G159" i="8" s="1"/>
  <c r="O158" i="8"/>
  <c r="I158" i="8"/>
  <c r="M158" i="8"/>
  <c r="N158" i="8"/>
  <c r="J158" i="8"/>
  <c r="Q158" i="8"/>
  <c r="J19" i="6" a="1"/>
  <c r="J19" i="6" s="1"/>
  <c r="AD157" i="8" l="1"/>
  <c r="AD155" i="8" s="1"/>
  <c r="AA157" i="8"/>
  <c r="AA155" i="8" s="1"/>
  <c r="AF157" i="8"/>
  <c r="AF155" i="8" s="1"/>
  <c r="W157" i="8"/>
  <c r="W155" i="8" s="1"/>
  <c r="AB157" i="8"/>
  <c r="AB155" i="8" s="1"/>
  <c r="U157" i="8"/>
  <c r="U155" i="8" s="1"/>
  <c r="AE157" i="8"/>
  <c r="AE155" i="8" s="1"/>
  <c r="Z157" i="8"/>
  <c r="Z155" i="8" s="1"/>
  <c r="F162" i="8"/>
  <c r="S160" i="8"/>
  <c r="R158" i="8"/>
  <c r="A158" i="8"/>
  <c r="H158" i="8"/>
  <c r="J159" i="8" s="1"/>
  <c r="E157" i="8"/>
  <c r="E155" i="8" s="1"/>
  <c r="Y157" i="8"/>
  <c r="Y155" i="8" s="1"/>
  <c r="AC157" i="8"/>
  <c r="AC155" i="8" s="1"/>
  <c r="H159" i="8"/>
  <c r="X157" i="8"/>
  <c r="X155" i="8" s="1"/>
  <c r="V157" i="8"/>
  <c r="V155" i="8" s="1"/>
  <c r="I19" i="5"/>
  <c r="D158" i="8" l="1"/>
  <c r="F160" i="8"/>
  <c r="C158" i="8"/>
  <c r="O161" i="8"/>
  <c r="Q161" i="8"/>
  <c r="S161" i="8"/>
  <c r="W160" i="8" s="1"/>
  <c r="W158" i="8" s="1"/>
  <c r="P161" i="8"/>
  <c r="M161" i="8"/>
  <c r="P35" i="8" s="1"/>
  <c r="J161" i="8"/>
  <c r="N161" i="8"/>
  <c r="I161" i="8"/>
  <c r="J34" i="6" a="1"/>
  <c r="J34" i="6" s="1"/>
  <c r="AC160" i="8" l="1"/>
  <c r="AC158" i="8" s="1"/>
  <c r="AE160" i="8"/>
  <c r="AE158" i="8" s="1"/>
  <c r="X160" i="8"/>
  <c r="X158" i="8" s="1"/>
  <c r="Z160" i="8"/>
  <c r="Z158" i="8" s="1"/>
  <c r="E160" i="8"/>
  <c r="E158" i="8" s="1"/>
  <c r="Y160" i="8"/>
  <c r="Y158" i="8" s="1"/>
  <c r="G161" i="8"/>
  <c r="G162" i="8" s="1"/>
  <c r="P38" i="8"/>
  <c r="O38" i="8"/>
  <c r="O35" i="8"/>
  <c r="R35" i="8" s="1"/>
  <c r="F37" i="8" s="1"/>
  <c r="O32" i="8"/>
  <c r="R32" i="8" s="1"/>
  <c r="F34" i="8" s="1"/>
  <c r="O29" i="8"/>
  <c r="R29" i="8" s="1"/>
  <c r="F31" i="8" s="1"/>
  <c r="R161" i="8"/>
  <c r="S163" i="8"/>
  <c r="A161" i="8"/>
  <c r="AD160" i="8"/>
  <c r="AD158" i="8" s="1"/>
  <c r="H161" i="8"/>
  <c r="J162" i="8" s="1"/>
  <c r="H162" i="8"/>
  <c r="AF160" i="8"/>
  <c r="AF158" i="8" s="1"/>
  <c r="U160" i="8"/>
  <c r="U158" i="8" s="1"/>
  <c r="AA160" i="8"/>
  <c r="AA158" i="8" s="1"/>
  <c r="AB160" i="8"/>
  <c r="AB158" i="8" s="1"/>
  <c r="V160" i="8"/>
  <c r="V158" i="8" s="1"/>
  <c r="O15" i="11"/>
  <c r="S74" i="8" s="1"/>
  <c r="R38" i="8" l="1"/>
  <c r="F40" i="8" s="1"/>
  <c r="F163" i="8"/>
  <c r="C161" i="8"/>
  <c r="Y163" i="8"/>
  <c r="Y161" i="8" s="1"/>
  <c r="AF163" i="8"/>
  <c r="AF161" i="8" s="1"/>
  <c r="AE163" i="8"/>
  <c r="AE161" i="8" s="1"/>
  <c r="E163" i="8"/>
  <c r="E161" i="8" s="1"/>
  <c r="AA163" i="8"/>
  <c r="AA161" i="8" s="1"/>
  <c r="Z163" i="8"/>
  <c r="Z161" i="8" s="1"/>
  <c r="W163" i="8"/>
  <c r="W161" i="8" s="1"/>
  <c r="AC163" i="8"/>
  <c r="AC161" i="8" s="1"/>
  <c r="AD163" i="8"/>
  <c r="AD161" i="8" s="1"/>
  <c r="AB163" i="8"/>
  <c r="AB161" i="8" s="1"/>
  <c r="V163" i="8"/>
  <c r="V161" i="8" s="1"/>
  <c r="D161" i="8"/>
  <c r="X163" i="8"/>
  <c r="X161" i="8" s="1"/>
  <c r="U163" i="8"/>
  <c r="U161" i="8" s="1"/>
  <c r="H75" i="8"/>
  <c r="H74" i="8"/>
  <c r="J75" i="8" s="1"/>
  <c r="G74" i="8"/>
  <c r="G75" i="8" s="1"/>
  <c r="E76" i="8"/>
  <c r="E74" i="8" s="1"/>
  <c r="U76" i="8"/>
  <c r="U74" i="8" s="1"/>
  <c r="X76" i="8"/>
  <c r="X74" i="8" s="1"/>
  <c r="AF76" i="8"/>
  <c r="AF74" i="8" s="1"/>
  <c r="AC76" i="8"/>
  <c r="AC74" i="8" s="1"/>
  <c r="AE76" i="8"/>
  <c r="AE74" i="8" s="1"/>
  <c r="AD76" i="8"/>
  <c r="AD74" i="8" s="1"/>
  <c r="AB76" i="8"/>
  <c r="AB74" i="8" s="1"/>
  <c r="Y76" i="8"/>
  <c r="Y74" i="8" s="1"/>
  <c r="AA76" i="8"/>
  <c r="AA74" i="8" s="1"/>
  <c r="C74" i="8"/>
  <c r="Z76" i="8"/>
  <c r="Z74" i="8" s="1"/>
  <c r="D74" i="8"/>
  <c r="V76" i="8"/>
  <c r="V74" i="8" s="1"/>
  <c r="W76" i="8"/>
  <c r="W74" i="8" s="1"/>
  <c r="P15" i="11"/>
  <c r="L15" i="13"/>
  <c r="C15" i="11"/>
  <c r="D14" i="8"/>
  <c r="C14" i="8"/>
  <c r="AB15" i="11"/>
  <c r="N15" i="11" s="1"/>
  <c r="AG15" i="13"/>
  <c r="AD15" i="13"/>
  <c r="S15" i="13" l="1"/>
  <c r="U15" i="13"/>
  <c r="D15" i="13"/>
  <c r="P15" i="13"/>
  <c r="AA15" i="11" l="1"/>
  <c r="Z15" i="11" s="1"/>
  <c r="AC15" i="13"/>
  <c r="AF15" i="13"/>
  <c r="R15" i="13" l="1"/>
  <c r="T15" i="13"/>
  <c r="N7" i="11" l="1"/>
  <c r="O7" i="11" s="1"/>
  <c r="D10" i="2"/>
  <c r="D3" i="2" s="1"/>
  <c r="N7" i="13"/>
  <c r="O7" i="13" s="1"/>
  <c r="X175" i="8" l="1"/>
  <c r="W175" i="8"/>
  <c r="AE175" i="8"/>
  <c r="AD175" i="8"/>
  <c r="V175" i="8"/>
  <c r="AF175" i="8"/>
  <c r="U175" i="8"/>
  <c r="AC175" i="8"/>
  <c r="AB175" i="8"/>
  <c r="Z175" i="8"/>
  <c r="AA175" i="8"/>
  <c r="Y175" i="8"/>
  <c r="P72" i="9" l="1"/>
  <c r="T72" i="9"/>
  <c r="R72" i="9"/>
  <c r="V72" i="9"/>
  <c r="X72" i="9"/>
  <c r="H72" i="9"/>
  <c r="AD72" i="9"/>
  <c r="J72" i="9"/>
  <c r="Z72" i="9"/>
  <c r="AB72" i="9"/>
  <c r="L72" i="9"/>
  <c r="N72" i="9"/>
  <c r="V176" i="8" l="1"/>
  <c r="W176" i="8" l="1"/>
  <c r="X176" i="8" l="1"/>
  <c r="I74" i="10" l="1"/>
  <c r="Y176" i="8"/>
  <c r="Z176" i="8" l="1"/>
  <c r="P11" i="12" l="1"/>
  <c r="O11" i="12" s="1"/>
  <c r="AA176" i="8"/>
  <c r="U176" i="8" l="1"/>
  <c r="AB176" i="8"/>
  <c r="AC176" i="8" l="1"/>
  <c r="AD176" i="8" l="1"/>
  <c r="AE176" i="8" l="1"/>
  <c r="AF176" i="8" l="1"/>
  <c r="T176" i="8" s="1"/>
  <c r="J29" i="8" l="1"/>
  <c r="C20" i="9" l="1"/>
  <c r="F20" i="9" s="1"/>
  <c r="C20" i="10"/>
  <c r="AB31" i="6" l="1"/>
  <c r="AB35" i="6"/>
  <c r="AB21" i="6"/>
  <c r="AB30" i="6"/>
  <c r="AB32" i="6"/>
  <c r="AB20" i="6"/>
  <c r="AB33" i="6"/>
  <c r="AB18" i="6" l="1"/>
  <c r="AB25" i="6" l="1"/>
  <c r="AB28" i="6"/>
  <c r="AB23" i="6"/>
  <c r="AB29" i="6"/>
  <c r="AC47" i="8" l="1"/>
  <c r="U47" i="8"/>
  <c r="AD47" i="8"/>
  <c r="AA47" i="8"/>
  <c r="AE47" i="8"/>
  <c r="X47" i="8"/>
  <c r="W47" i="8"/>
  <c r="Z47" i="8"/>
  <c r="AB47" i="8"/>
  <c r="Y47" i="8"/>
  <c r="AF47" i="8"/>
  <c r="E47" i="8"/>
  <c r="V47" i="8"/>
  <c r="U44" i="8"/>
  <c r="AC44" i="8"/>
  <c r="Z44" i="8"/>
  <c r="W44" i="8"/>
  <c r="AA44" i="8"/>
  <c r="AD44" i="8"/>
  <c r="AF44" i="8"/>
  <c r="X44" i="8"/>
  <c r="AE44" i="8"/>
  <c r="E44" i="8"/>
  <c r="Y44" i="8"/>
  <c r="AB44" i="8"/>
  <c r="V44" i="8"/>
  <c r="Y56" i="8"/>
  <c r="AC56" i="8"/>
  <c r="Z56" i="8"/>
  <c r="AA56" i="8"/>
  <c r="E56" i="8"/>
  <c r="W56" i="8"/>
  <c r="AF56" i="8"/>
  <c r="X56" i="8"/>
  <c r="AB56" i="8"/>
  <c r="AD56" i="8"/>
  <c r="AE56" i="8"/>
  <c r="U56" i="8"/>
  <c r="V56" i="8"/>
  <c r="AB15" i="6"/>
  <c r="Q15" i="6" s="1"/>
  <c r="Q11" i="6" s="1"/>
  <c r="X41" i="8"/>
  <c r="AE41" i="8"/>
  <c r="AC41" i="8"/>
  <c r="Y41" i="8"/>
  <c r="AD41" i="8"/>
  <c r="AB41" i="8"/>
  <c r="V41" i="8"/>
  <c r="AF41" i="8"/>
  <c r="Z41" i="8"/>
  <c r="W41" i="8"/>
  <c r="AA41" i="8"/>
  <c r="U41" i="8"/>
  <c r="E41" i="8"/>
  <c r="AC32" i="8"/>
  <c r="AE32" i="8"/>
  <c r="V32" i="8"/>
  <c r="AD32" i="8"/>
  <c r="AA32" i="8"/>
  <c r="Y32" i="8"/>
  <c r="Z32" i="8"/>
  <c r="AF32" i="8"/>
  <c r="AB32" i="8"/>
  <c r="X32" i="8"/>
  <c r="W32" i="8"/>
  <c r="E32" i="8"/>
  <c r="U32" i="8"/>
  <c r="AB20" i="8" l="1"/>
  <c r="Y20" i="8"/>
  <c r="AF20" i="8"/>
  <c r="AD20" i="8"/>
  <c r="W20" i="8"/>
  <c r="E20" i="8"/>
  <c r="AE20" i="8"/>
  <c r="X20" i="8"/>
  <c r="AC20" i="8"/>
  <c r="Z20" i="8"/>
  <c r="U20" i="8"/>
  <c r="AA20" i="8"/>
  <c r="V20" i="8"/>
  <c r="AE23" i="8"/>
  <c r="AA23" i="8"/>
  <c r="V23" i="8"/>
  <c r="E23" i="8"/>
  <c r="U23" i="8"/>
  <c r="Z23" i="8"/>
  <c r="AB23" i="8"/>
  <c r="Y23" i="8"/>
  <c r="AD23" i="8"/>
  <c r="AC23" i="8"/>
  <c r="X23" i="8"/>
  <c r="AF23" i="8"/>
  <c r="W23" i="8"/>
  <c r="AE17" i="8"/>
  <c r="W17" i="8"/>
  <c r="V17" i="8"/>
  <c r="AA17" i="8"/>
  <c r="AD17" i="8"/>
  <c r="AB17" i="8"/>
  <c r="Z17" i="8"/>
  <c r="X17" i="8"/>
  <c r="Y17" i="8"/>
  <c r="AC17" i="8"/>
  <c r="AF17" i="8"/>
  <c r="E17" i="8"/>
  <c r="U17" i="8"/>
  <c r="V26" i="8"/>
  <c r="AB26" i="8"/>
  <c r="E26" i="8"/>
  <c r="U26" i="8"/>
  <c r="Y26" i="8"/>
  <c r="AC26" i="8"/>
  <c r="AF26" i="8"/>
  <c r="AD26" i="8"/>
  <c r="AE26" i="8"/>
  <c r="Z26" i="8"/>
  <c r="AA26" i="8"/>
  <c r="W26" i="8"/>
  <c r="X26" i="8"/>
  <c r="Z50" i="8" l="1"/>
  <c r="Y50" i="8"/>
  <c r="AF50" i="8"/>
  <c r="X50" i="8"/>
  <c r="AB50" i="8"/>
  <c r="U50" i="8"/>
  <c r="AE50" i="8"/>
  <c r="AD50" i="8"/>
  <c r="V50" i="8"/>
  <c r="AC50" i="8"/>
  <c r="AA50" i="8"/>
  <c r="E50" i="8"/>
  <c r="W50" i="8"/>
  <c r="AD14" i="13"/>
  <c r="AG14" i="13"/>
  <c r="AD38" i="8"/>
  <c r="Z38" i="8"/>
  <c r="AE38" i="8"/>
  <c r="AA38" i="8"/>
  <c r="E38" i="8"/>
  <c r="AF38" i="8"/>
  <c r="AB38" i="8"/>
  <c r="W38" i="8"/>
  <c r="V38" i="8"/>
  <c r="X38" i="8"/>
  <c r="U38" i="8"/>
  <c r="AC38" i="8"/>
  <c r="Y38" i="8"/>
  <c r="Z53" i="8"/>
  <c r="AF53" i="8"/>
  <c r="AD53" i="8"/>
  <c r="Y53" i="8"/>
  <c r="U53" i="8"/>
  <c r="W53" i="8"/>
  <c r="AB53" i="8"/>
  <c r="AA53" i="8"/>
  <c r="AE53" i="8"/>
  <c r="AC53" i="8"/>
  <c r="E53" i="8"/>
  <c r="V53" i="8"/>
  <c r="X53" i="8"/>
  <c r="AE35" i="8"/>
  <c r="AA35" i="8"/>
  <c r="V35" i="8"/>
  <c r="AF35" i="8"/>
  <c r="X35" i="8"/>
  <c r="AC35" i="8"/>
  <c r="AB35" i="8"/>
  <c r="Z35" i="8"/>
  <c r="AD35" i="8"/>
  <c r="Y35" i="8"/>
  <c r="W35" i="8"/>
  <c r="U35" i="8"/>
  <c r="E35" i="8"/>
  <c r="AF14" i="13" l="1"/>
  <c r="AC14" i="13"/>
  <c r="B6" i="9" l="1"/>
  <c r="M13" i="9" s="1"/>
  <c r="S68" i="8" l="1"/>
  <c r="S62" i="8"/>
  <c r="C68" i="8" l="1"/>
  <c r="C62" i="8"/>
  <c r="D62" i="8"/>
  <c r="G62" i="8"/>
  <c r="G63" i="8" s="1"/>
  <c r="H63" i="8"/>
  <c r="H62" i="8"/>
  <c r="J63" i="8" s="1"/>
  <c r="D68" i="8"/>
  <c r="G68" i="8"/>
  <c r="G69" i="8" s="1"/>
  <c r="H68" i="8"/>
  <c r="J69" i="8" s="1"/>
  <c r="H69" i="8"/>
  <c r="I68" i="8" l="1"/>
  <c r="A68" i="8" s="1"/>
  <c r="I62" i="8"/>
  <c r="A62" i="8" s="1"/>
  <c r="S59" i="8" l="1"/>
  <c r="U61" i="8" s="1"/>
  <c r="U59" i="8" s="1"/>
  <c r="S56" i="8"/>
  <c r="S71" i="8"/>
  <c r="S53" i="8"/>
  <c r="S50" i="8"/>
  <c r="S65" i="8"/>
  <c r="AB64" i="8" l="1"/>
  <c r="AB62" i="8" s="1"/>
  <c r="Y64" i="8"/>
  <c r="Y62" i="8" s="1"/>
  <c r="X64" i="8"/>
  <c r="X62" i="8" s="1"/>
  <c r="AC64" i="8"/>
  <c r="AC62" i="8" s="1"/>
  <c r="W64" i="8"/>
  <c r="W62" i="8" s="1"/>
  <c r="Z64" i="8"/>
  <c r="Z62" i="8" s="1"/>
  <c r="AE64" i="8"/>
  <c r="AE62" i="8" s="1"/>
  <c r="V64" i="8"/>
  <c r="V62" i="8" s="1"/>
  <c r="AA64" i="8"/>
  <c r="AA62" i="8" s="1"/>
  <c r="E64" i="8"/>
  <c r="E62" i="8" s="1"/>
  <c r="AF64" i="8"/>
  <c r="AF62" i="8" s="1"/>
  <c r="U64" i="8"/>
  <c r="U62" i="8" s="1"/>
  <c r="AD64" i="8"/>
  <c r="AD62" i="8" s="1"/>
  <c r="AF70" i="8"/>
  <c r="AF68" i="8" s="1"/>
  <c r="E70" i="8"/>
  <c r="E68" i="8" s="1"/>
  <c r="AA70" i="8"/>
  <c r="AA68" i="8" s="1"/>
  <c r="X70" i="8"/>
  <c r="X68" i="8" s="1"/>
  <c r="V70" i="8"/>
  <c r="V68" i="8" s="1"/>
  <c r="AD70" i="8"/>
  <c r="AD68" i="8" s="1"/>
  <c r="U70" i="8"/>
  <c r="U68" i="8" s="1"/>
  <c r="AC70" i="8"/>
  <c r="AC68" i="8" s="1"/>
  <c r="Y70" i="8"/>
  <c r="Y68" i="8" s="1"/>
  <c r="W70" i="8"/>
  <c r="W68" i="8" s="1"/>
  <c r="AB70" i="8"/>
  <c r="AB68" i="8" s="1"/>
  <c r="Z70" i="8"/>
  <c r="Z68" i="8" s="1"/>
  <c r="AE70" i="8"/>
  <c r="AE68" i="8" s="1"/>
  <c r="C65" i="8"/>
  <c r="AB61" i="8"/>
  <c r="AB59" i="8" s="1"/>
  <c r="Z61" i="8"/>
  <c r="Z59" i="8" s="1"/>
  <c r="H59" i="8"/>
  <c r="J60" i="8" s="1"/>
  <c r="E61" i="8"/>
  <c r="E59" i="8" s="1"/>
  <c r="C59" i="8"/>
  <c r="D59" i="8"/>
  <c r="G59" i="8"/>
  <c r="G60" i="8" s="1"/>
  <c r="V61" i="8"/>
  <c r="V59" i="8" s="1"/>
  <c r="X61" i="8"/>
  <c r="X59" i="8" s="1"/>
  <c r="W61" i="8"/>
  <c r="W59" i="8" s="1"/>
  <c r="AE61" i="8"/>
  <c r="AE59" i="8" s="1"/>
  <c r="AD61" i="8"/>
  <c r="AD59" i="8" s="1"/>
  <c r="Y61" i="8"/>
  <c r="Y59" i="8" s="1"/>
  <c r="AA61" i="8"/>
  <c r="AA59" i="8" s="1"/>
  <c r="AC61" i="8"/>
  <c r="AC59" i="8" s="1"/>
  <c r="H60" i="8"/>
  <c r="AF61" i="8"/>
  <c r="AF59" i="8" s="1"/>
  <c r="AC58" i="8"/>
  <c r="H57" i="8"/>
  <c r="AF58" i="8"/>
  <c r="AE58" i="8"/>
  <c r="H56" i="8"/>
  <c r="J57" i="8" s="1"/>
  <c r="AD58" i="8"/>
  <c r="D56" i="8"/>
  <c r="C56" i="8"/>
  <c r="Y58" i="8"/>
  <c r="AB58" i="8"/>
  <c r="G56" i="8"/>
  <c r="G57" i="8" s="1"/>
  <c r="Z58" i="8"/>
  <c r="AA58" i="8"/>
  <c r="X58" i="8"/>
  <c r="U58" i="8"/>
  <c r="V58" i="8"/>
  <c r="E58" i="8"/>
  <c r="W58" i="8"/>
  <c r="C71" i="8"/>
  <c r="C53" i="8"/>
  <c r="W67" i="8"/>
  <c r="W65" i="8" s="1"/>
  <c r="Z67" i="8"/>
  <c r="Z65" i="8" s="1"/>
  <c r="AF67" i="8"/>
  <c r="AF65" i="8" s="1"/>
  <c r="U67" i="8"/>
  <c r="U65" i="8" s="1"/>
  <c r="AE67" i="8"/>
  <c r="AE65" i="8" s="1"/>
  <c r="AC67" i="8"/>
  <c r="AC65" i="8" s="1"/>
  <c r="V67" i="8"/>
  <c r="V65" i="8" s="1"/>
  <c r="E67" i="8"/>
  <c r="E65" i="8" s="1"/>
  <c r="AB67" i="8"/>
  <c r="AB65" i="8" s="1"/>
  <c r="AA67" i="8"/>
  <c r="AA65" i="8" s="1"/>
  <c r="AD67" i="8"/>
  <c r="AD65" i="8" s="1"/>
  <c r="X67" i="8"/>
  <c r="X65" i="8" s="1"/>
  <c r="Y67" i="8"/>
  <c r="Y65" i="8" s="1"/>
  <c r="H65" i="8"/>
  <c r="J66" i="8" s="1"/>
  <c r="G65" i="8"/>
  <c r="G66" i="8" s="1"/>
  <c r="D65" i="8"/>
  <c r="H66" i="8"/>
  <c r="AC55" i="8"/>
  <c r="E55" i="8"/>
  <c r="AB55" i="8"/>
  <c r="Y55" i="8"/>
  <c r="AA55" i="8"/>
  <c r="AF55" i="8"/>
  <c r="U55" i="8"/>
  <c r="AE55" i="8"/>
  <c r="Z55" i="8"/>
  <c r="AD55" i="8"/>
  <c r="V55" i="8"/>
  <c r="W55" i="8"/>
  <c r="X55" i="8"/>
  <c r="H53" i="8"/>
  <c r="J54" i="8" s="1"/>
  <c r="G53" i="8"/>
  <c r="G54" i="8" s="1"/>
  <c r="D53" i="8"/>
  <c r="H54" i="8"/>
  <c r="C50" i="8"/>
  <c r="E52" i="8"/>
  <c r="Y52" i="8"/>
  <c r="AF52" i="8"/>
  <c r="AC52" i="8"/>
  <c r="Z52" i="8"/>
  <c r="U52" i="8"/>
  <c r="AA52" i="8"/>
  <c r="AE52" i="8"/>
  <c r="AB52" i="8"/>
  <c r="AD52" i="8"/>
  <c r="X52" i="8"/>
  <c r="V52" i="8"/>
  <c r="W52" i="8"/>
  <c r="G50" i="8"/>
  <c r="G51" i="8" s="1"/>
  <c r="D50" i="8"/>
  <c r="H50" i="8"/>
  <c r="J51" i="8" s="1"/>
  <c r="H51" i="8"/>
  <c r="U73" i="8"/>
  <c r="U71" i="8" s="1"/>
  <c r="V73" i="8"/>
  <c r="V71" i="8" s="1"/>
  <c r="E73" i="8"/>
  <c r="E71" i="8" s="1"/>
  <c r="AD73" i="8"/>
  <c r="AD71" i="8" s="1"/>
  <c r="Z73" i="8"/>
  <c r="Z71" i="8" s="1"/>
  <c r="AE73" i="8"/>
  <c r="AE71" i="8" s="1"/>
  <c r="AB73" i="8"/>
  <c r="AB71" i="8" s="1"/>
  <c r="AF73" i="8"/>
  <c r="AF71" i="8" s="1"/>
  <c r="AA73" i="8"/>
  <c r="AA71" i="8" s="1"/>
  <c r="AC73" i="8"/>
  <c r="AC71" i="8" s="1"/>
  <c r="X73" i="8"/>
  <c r="X71" i="8" s="1"/>
  <c r="W73" i="8"/>
  <c r="W71" i="8" s="1"/>
  <c r="Y73" i="8"/>
  <c r="Y71" i="8" s="1"/>
  <c r="H72" i="8"/>
  <c r="D71" i="8"/>
  <c r="H71" i="8"/>
  <c r="J72" i="8" s="1"/>
  <c r="G71" i="8"/>
  <c r="G72" i="8" s="1"/>
  <c r="I59" i="8" l="1"/>
  <c r="A59" i="8" s="1"/>
  <c r="I56" i="8"/>
  <c r="A56" i="8" s="1"/>
  <c r="I53" i="8"/>
  <c r="A53" i="8" s="1"/>
  <c r="I50" i="8"/>
  <c r="A50" i="8" s="1"/>
  <c r="I71" i="8"/>
  <c r="A71" i="8" s="1"/>
  <c r="I65" i="8"/>
  <c r="A65" i="8" s="1"/>
  <c r="F21" i="12" l="1"/>
  <c r="G21" i="6"/>
  <c r="S47" i="8" l="1"/>
  <c r="AE49" i="8" l="1"/>
  <c r="E49" i="8"/>
  <c r="Y49" i="8"/>
  <c r="D47" i="8"/>
  <c r="AC49" i="8"/>
  <c r="X49" i="8"/>
  <c r="H48" i="8"/>
  <c r="G47" i="8"/>
  <c r="G48" i="8" s="1"/>
  <c r="H47" i="8"/>
  <c r="J48" i="8" s="1"/>
  <c r="AA49" i="8"/>
  <c r="Z49" i="8"/>
  <c r="AB49" i="8"/>
  <c r="AF49" i="8"/>
  <c r="W49" i="8"/>
  <c r="U49" i="8"/>
  <c r="AD49" i="8"/>
  <c r="V49" i="8"/>
  <c r="I47" i="8" l="1"/>
  <c r="A47" i="8" s="1"/>
  <c r="C47" i="8" l="1"/>
  <c r="S41" i="8" l="1"/>
  <c r="AB43" i="8" l="1"/>
  <c r="G41" i="8"/>
  <c r="G42" i="8" s="1"/>
  <c r="X43" i="8"/>
  <c r="Y43" i="8"/>
  <c r="V43" i="8"/>
  <c r="AC43" i="8"/>
  <c r="Z43" i="8"/>
  <c r="H41" i="8"/>
  <c r="J42" i="8" s="1"/>
  <c r="AF43" i="8"/>
  <c r="AE43" i="8"/>
  <c r="AA43" i="8"/>
  <c r="U43" i="8"/>
  <c r="W43" i="8"/>
  <c r="H42" i="8"/>
  <c r="E43" i="8"/>
  <c r="AD43" i="8"/>
  <c r="D41" i="8"/>
  <c r="S44" i="8"/>
  <c r="V46" i="8" l="1"/>
  <c r="AF46" i="8"/>
  <c r="Z46" i="8"/>
  <c r="AB46" i="8"/>
  <c r="D44" i="8"/>
  <c r="U46" i="8"/>
  <c r="W46" i="8"/>
  <c r="E46" i="8"/>
  <c r="H44" i="8"/>
  <c r="J45" i="8" s="1"/>
  <c r="X46" i="8"/>
  <c r="AE46" i="8"/>
  <c r="G44" i="8"/>
  <c r="G45" i="8" s="1"/>
  <c r="Y46" i="8"/>
  <c r="AA46" i="8"/>
  <c r="H45" i="8"/>
  <c r="AD46" i="8"/>
  <c r="AC46" i="8"/>
  <c r="I41" i="8"/>
  <c r="A41" i="8" s="1"/>
  <c r="I44" i="8" l="1"/>
  <c r="A44" i="8" s="1"/>
  <c r="C44" i="8" l="1"/>
  <c r="C41" i="8" l="1"/>
  <c r="D1" i="2" l="1"/>
  <c r="S38" i="8" l="1"/>
  <c r="AA40" i="8" l="1"/>
  <c r="Y40" i="8"/>
  <c r="AE40" i="8"/>
  <c r="Z40" i="8"/>
  <c r="AC40" i="8"/>
  <c r="E40" i="8"/>
  <c r="AD40" i="8"/>
  <c r="G38" i="8"/>
  <c r="G39" i="8" s="1"/>
  <c r="H38" i="8"/>
  <c r="J39" i="8" s="1"/>
  <c r="V40" i="8"/>
  <c r="U40" i="8"/>
  <c r="X40" i="8"/>
  <c r="H39" i="8"/>
  <c r="W40" i="8"/>
  <c r="AB40" i="8"/>
  <c r="AF40" i="8"/>
  <c r="D38" i="8"/>
  <c r="I38" i="8" l="1"/>
  <c r="A38" i="8" s="1"/>
  <c r="C38" i="8" l="1"/>
  <c r="AF31" i="5" l="1"/>
  <c r="AF33" i="5"/>
  <c r="AF29" i="5"/>
  <c r="AF32" i="5"/>
  <c r="AF35" i="5"/>
  <c r="AF28" i="5"/>
  <c r="AF30" i="5"/>
  <c r="AF23" i="5"/>
  <c r="AF22" i="5"/>
  <c r="AF16" i="5"/>
  <c r="AF21" i="5"/>
  <c r="AF18" i="5"/>
  <c r="AF20" i="5"/>
  <c r="AF19" i="5"/>
  <c r="AF24" i="5"/>
  <c r="AF17" i="5"/>
  <c r="AF25" i="5"/>
  <c r="AF14" i="5"/>
  <c r="AF26" i="5"/>
  <c r="AG26" i="5" l="1"/>
  <c r="S26" i="5"/>
  <c r="S14" i="5"/>
  <c r="R14" i="5"/>
  <c r="AG14" i="5"/>
  <c r="AG17" i="5"/>
  <c r="S17" i="5"/>
  <c r="AG24" i="5"/>
  <c r="S24" i="5"/>
  <c r="AG19" i="5"/>
  <c r="S19" i="5"/>
  <c r="AG16" i="5"/>
  <c r="S16" i="5"/>
  <c r="AG22" i="5"/>
  <c r="S22" i="5"/>
  <c r="R23" i="5"/>
  <c r="AG32" i="5"/>
  <c r="AG20" i="5"/>
  <c r="R32" i="5"/>
  <c r="S35" i="5"/>
  <c r="R31" i="5"/>
  <c r="R20" i="5"/>
  <c r="AG30" i="5"/>
  <c r="S29" i="5"/>
  <c r="AG21" i="5"/>
  <c r="AG33" i="5"/>
  <c r="S20" i="5"/>
  <c r="R30" i="5"/>
  <c r="R29" i="5"/>
  <c r="R18" i="5"/>
  <c r="S30" i="5"/>
  <c r="S28" i="5"/>
  <c r="R33" i="5"/>
  <c r="R25" i="5"/>
  <c r="R21" i="5"/>
  <c r="R28" i="5"/>
  <c r="S33" i="5"/>
  <c r="AG35" i="5"/>
  <c r="S31" i="5"/>
  <c r="R35" i="5"/>
  <c r="AG31" i="5"/>
  <c r="S32" i="5"/>
  <c r="G32" i="6" l="1"/>
  <c r="F32" i="12"/>
  <c r="U31" i="5"/>
  <c r="E35" i="12"/>
  <c r="F35" i="6"/>
  <c r="G31" i="6"/>
  <c r="F31" i="12"/>
  <c r="U35" i="5"/>
  <c r="G33" i="6"/>
  <c r="F33" i="12"/>
  <c r="F28" i="6"/>
  <c r="E28" i="12"/>
  <c r="F21" i="6"/>
  <c r="E21" i="12"/>
  <c r="F25" i="6"/>
  <c r="E25" i="12"/>
  <c r="E33" i="12"/>
  <c r="F33" i="6"/>
  <c r="F28" i="12"/>
  <c r="G28" i="6"/>
  <c r="G30" i="6"/>
  <c r="F30" i="12"/>
  <c r="F18" i="6"/>
  <c r="E18" i="12"/>
  <c r="E29" i="12"/>
  <c r="F29" i="6"/>
  <c r="F30" i="6"/>
  <c r="E30" i="12"/>
  <c r="F20" i="12"/>
  <c r="G20" i="6"/>
  <c r="U33" i="5"/>
  <c r="U21" i="5"/>
  <c r="F29" i="12"/>
  <c r="G29" i="6"/>
  <c r="U30" i="5"/>
  <c r="F20" i="6"/>
  <c r="E20" i="12"/>
  <c r="E31" i="12"/>
  <c r="F31" i="6"/>
  <c r="F35" i="12"/>
  <c r="G35" i="6"/>
  <c r="E32" i="12"/>
  <c r="F32" i="6"/>
  <c r="U20" i="5"/>
  <c r="U32" i="5"/>
  <c r="E23" i="12"/>
  <c r="F23" i="6"/>
  <c r="F22" i="12"/>
  <c r="F16" i="12"/>
  <c r="F17" i="12"/>
  <c r="F14" i="6"/>
  <c r="E14" i="12"/>
  <c r="AC14" i="5"/>
  <c r="J14" i="6" s="1" a="1"/>
  <c r="J14" i="6" s="1"/>
  <c r="F14" i="12"/>
  <c r="G14" i="6"/>
  <c r="F24" i="12"/>
  <c r="F26" i="12"/>
  <c r="F19" i="12"/>
  <c r="W30" i="5" l="1"/>
  <c r="AN30" i="5"/>
  <c r="AN32" i="5"/>
  <c r="W32" i="5"/>
  <c r="W21" i="5"/>
  <c r="AN21" i="5"/>
  <c r="AN20" i="5"/>
  <c r="W20" i="5"/>
  <c r="AN35" i="5"/>
  <c r="W35" i="5"/>
  <c r="AN33" i="5"/>
  <c r="W33" i="5"/>
  <c r="W31" i="5"/>
  <c r="AN31" i="5"/>
  <c r="AG18" i="5"/>
  <c r="U18" i="5" l="1"/>
  <c r="H32" i="12"/>
  <c r="X32" i="5"/>
  <c r="H20" i="12"/>
  <c r="X20" i="5"/>
  <c r="H31" i="12"/>
  <c r="X31" i="5"/>
  <c r="X21" i="5"/>
  <c r="H21" i="12"/>
  <c r="X33" i="5"/>
  <c r="H33" i="12"/>
  <c r="H35" i="12"/>
  <c r="X35" i="5"/>
  <c r="X30" i="5"/>
  <c r="H30" i="12"/>
  <c r="AG23" i="5"/>
  <c r="AG28" i="5"/>
  <c r="AG29" i="5"/>
  <c r="AG25" i="5"/>
  <c r="U25" i="5" l="1"/>
  <c r="U29" i="5"/>
  <c r="U28" i="5"/>
  <c r="U23" i="5"/>
  <c r="L33" i="5"/>
  <c r="I33" i="12"/>
  <c r="AM33" i="5"/>
  <c r="Z33" i="5"/>
  <c r="Z21" i="5"/>
  <c r="I21" i="12"/>
  <c r="AM21" i="5"/>
  <c r="L21" i="5"/>
  <c r="I31" i="12"/>
  <c r="AM31" i="5"/>
  <c r="Z31" i="5"/>
  <c r="L31" i="5"/>
  <c r="I20" i="5"/>
  <c r="I21" i="5" s="1"/>
  <c r="X19" i="5"/>
  <c r="Z20" i="5"/>
  <c r="AM20" i="5"/>
  <c r="I20" i="12"/>
  <c r="L20" i="5"/>
  <c r="Z32" i="5"/>
  <c r="I32" i="12"/>
  <c r="L32" i="5"/>
  <c r="AM32" i="5"/>
  <c r="Z30" i="5"/>
  <c r="AM30" i="5"/>
  <c r="I30" i="12"/>
  <c r="L30" i="5"/>
  <c r="Z35" i="5"/>
  <c r="I35" i="5"/>
  <c r="AM35" i="5"/>
  <c r="X34" i="5"/>
  <c r="I35" i="12"/>
  <c r="L35" i="5"/>
  <c r="W18" i="5"/>
  <c r="AN18" i="5"/>
  <c r="AB35" i="5" l="1"/>
  <c r="AB34" i="5" s="1"/>
  <c r="C30" i="12"/>
  <c r="M30" i="12"/>
  <c r="O30" i="12"/>
  <c r="AO30" i="12"/>
  <c r="Y30" i="12" s="1"/>
  <c r="S20" i="8"/>
  <c r="Z19" i="5"/>
  <c r="I19" i="12"/>
  <c r="AM19" i="5"/>
  <c r="L19" i="5"/>
  <c r="AB33" i="5"/>
  <c r="AB30" i="5"/>
  <c r="C31" i="6"/>
  <c r="AC31" i="5"/>
  <c r="J31" i="6" s="1" a="1"/>
  <c r="J31" i="6" s="1"/>
  <c r="O33" i="12"/>
  <c r="C33" i="12"/>
  <c r="M33" i="12"/>
  <c r="AO33" i="12"/>
  <c r="Y33" i="12" s="1"/>
  <c r="AB31" i="5"/>
  <c r="C33" i="6"/>
  <c r="AC33" i="5"/>
  <c r="J33" i="6" s="1" a="1"/>
  <c r="J33" i="6" s="1"/>
  <c r="C30" i="6"/>
  <c r="AC30" i="5"/>
  <c r="J30" i="6" s="1" a="1"/>
  <c r="J30" i="6" s="1"/>
  <c r="O35" i="5"/>
  <c r="C35" i="6"/>
  <c r="AC35" i="5"/>
  <c r="J35" i="6" s="1" a="1"/>
  <c r="J35" i="6" s="1"/>
  <c r="O31" i="12"/>
  <c r="C31" i="12"/>
  <c r="AO31" i="12"/>
  <c r="Y31" i="12" s="1"/>
  <c r="M31" i="12"/>
  <c r="AN28" i="5"/>
  <c r="W28" i="5"/>
  <c r="O35" i="12"/>
  <c r="M35" i="12"/>
  <c r="M34" i="12" s="1"/>
  <c r="AO35" i="12"/>
  <c r="C35" i="12"/>
  <c r="AO32" i="12"/>
  <c r="M32" i="12"/>
  <c r="C32" i="12"/>
  <c r="O32" i="12"/>
  <c r="W29" i="5"/>
  <c r="AN29" i="5"/>
  <c r="O20" i="5"/>
  <c r="C20" i="6"/>
  <c r="AC20" i="5"/>
  <c r="J20" i="6" s="1" a="1"/>
  <c r="J20" i="6" s="1"/>
  <c r="O20" i="12"/>
  <c r="AO20" i="12"/>
  <c r="C20" i="12"/>
  <c r="M20" i="12"/>
  <c r="AO21" i="12"/>
  <c r="C21" i="12"/>
  <c r="O21" i="12"/>
  <c r="M21" i="12"/>
  <c r="AB21" i="5"/>
  <c r="AB20" i="5"/>
  <c r="H18" i="12"/>
  <c r="X18" i="5"/>
  <c r="AN23" i="5"/>
  <c r="W23" i="5"/>
  <c r="C32" i="6"/>
  <c r="AC32" i="5"/>
  <c r="J32" i="6" s="1" a="1"/>
  <c r="J32" i="6" s="1"/>
  <c r="I34" i="12"/>
  <c r="Z34" i="5"/>
  <c r="AM34" i="5"/>
  <c r="L34" i="5"/>
  <c r="S35" i="8"/>
  <c r="AB32" i="5"/>
  <c r="O21" i="5"/>
  <c r="C21" i="6"/>
  <c r="AC21" i="5"/>
  <c r="J21" i="6" s="1" a="1"/>
  <c r="J21" i="6" s="1"/>
  <c r="AN25" i="5"/>
  <c r="W25" i="5"/>
  <c r="N21" i="12" l="1"/>
  <c r="N32" i="12"/>
  <c r="M19" i="12"/>
  <c r="X33" i="12"/>
  <c r="W33" i="12"/>
  <c r="E21" i="6"/>
  <c r="D21" i="12"/>
  <c r="X23" i="5"/>
  <c r="H23" i="12"/>
  <c r="N31" i="12"/>
  <c r="C19" i="12"/>
  <c r="J19" i="12"/>
  <c r="L19" i="12"/>
  <c r="Y21" i="12"/>
  <c r="Y32" i="12"/>
  <c r="L18" i="5"/>
  <c r="I18" i="5"/>
  <c r="X17" i="5"/>
  <c r="Z18" i="5"/>
  <c r="AM18" i="5"/>
  <c r="I18" i="12"/>
  <c r="Y20" i="12"/>
  <c r="AO19" i="12"/>
  <c r="Y19" i="12" s="1"/>
  <c r="N33" i="12"/>
  <c r="AD22" i="8"/>
  <c r="X22" i="8"/>
  <c r="AE22" i="8"/>
  <c r="H21" i="8"/>
  <c r="AF22" i="8"/>
  <c r="W22" i="8"/>
  <c r="E22" i="8"/>
  <c r="AB22" i="8"/>
  <c r="V22" i="8"/>
  <c r="H20" i="8"/>
  <c r="J21" i="8" s="1"/>
  <c r="Y22" i="8"/>
  <c r="Z22" i="8"/>
  <c r="AC22" i="8"/>
  <c r="G20" i="8"/>
  <c r="G21" i="8" s="1"/>
  <c r="U22" i="8"/>
  <c r="AA22" i="8"/>
  <c r="W31" i="12"/>
  <c r="X31" i="12"/>
  <c r="AC37" i="8"/>
  <c r="D35" i="8"/>
  <c r="Z37" i="8"/>
  <c r="W37" i="8"/>
  <c r="E37" i="8"/>
  <c r="AE37" i="8"/>
  <c r="U37" i="8"/>
  <c r="Y37" i="8"/>
  <c r="AB37" i="8"/>
  <c r="H35" i="8"/>
  <c r="J36" i="8" s="1"/>
  <c r="AD37" i="8"/>
  <c r="H36" i="8"/>
  <c r="V37" i="8"/>
  <c r="G35" i="8"/>
  <c r="G36" i="8" s="1"/>
  <c r="AF37" i="8"/>
  <c r="X37" i="8"/>
  <c r="AA37" i="8"/>
  <c r="W30" i="12"/>
  <c r="X30" i="12"/>
  <c r="O19" i="12"/>
  <c r="N19" i="12" s="1"/>
  <c r="N20" i="12"/>
  <c r="O34" i="5"/>
  <c r="AC34" i="5"/>
  <c r="C34" i="6"/>
  <c r="N30" i="12"/>
  <c r="AB19" i="5"/>
  <c r="D20" i="8" s="1"/>
  <c r="O34" i="12"/>
  <c r="N34" i="12" s="1"/>
  <c r="N35" i="12"/>
  <c r="H29" i="12"/>
  <c r="X29" i="5"/>
  <c r="D35" i="12"/>
  <c r="E35" i="6"/>
  <c r="D20" i="12"/>
  <c r="E20" i="6"/>
  <c r="C19" i="6"/>
  <c r="O19" i="5"/>
  <c r="AC19" i="5"/>
  <c r="Y35" i="12"/>
  <c r="AO34" i="12"/>
  <c r="Y34" i="12" s="1"/>
  <c r="X28" i="5"/>
  <c r="H28" i="12"/>
  <c r="L34" i="12"/>
  <c r="C34" i="12"/>
  <c r="J34" i="12"/>
  <c r="H25" i="12"/>
  <c r="X25" i="5"/>
  <c r="X15" i="5" l="1"/>
  <c r="I70" i="10" s="1"/>
  <c r="Y9" i="10" s="1"/>
  <c r="K19" i="12"/>
  <c r="C18" i="12"/>
  <c r="M18" i="12"/>
  <c r="O18" i="12"/>
  <c r="AO18" i="12"/>
  <c r="E19" i="6"/>
  <c r="D19" i="12"/>
  <c r="I20" i="8"/>
  <c r="A20" i="8" s="1"/>
  <c r="W19" i="12"/>
  <c r="X19" i="12"/>
  <c r="X20" i="12"/>
  <c r="W20" i="12"/>
  <c r="X35" i="12"/>
  <c r="W35" i="12"/>
  <c r="T31" i="12"/>
  <c r="U31" i="12"/>
  <c r="V31" i="12"/>
  <c r="AB18" i="5"/>
  <c r="Z23" i="5"/>
  <c r="AM23" i="5"/>
  <c r="I23" i="12"/>
  <c r="L23" i="5"/>
  <c r="X22" i="5"/>
  <c r="I23" i="5"/>
  <c r="I24" i="5" s="1"/>
  <c r="I25" i="5" s="1"/>
  <c r="W21" i="12"/>
  <c r="X21" i="12"/>
  <c r="X34" i="12"/>
  <c r="W34" i="12"/>
  <c r="X16" i="5"/>
  <c r="I35" i="8"/>
  <c r="A35" i="8" s="1"/>
  <c r="E34" i="6"/>
  <c r="D34" i="12"/>
  <c r="S17" i="8"/>
  <c r="I17" i="12"/>
  <c r="L17" i="5"/>
  <c r="Z17" i="5"/>
  <c r="AM17" i="5"/>
  <c r="C18" i="6"/>
  <c r="O18" i="5"/>
  <c r="AC18" i="5"/>
  <c r="J18" i="6" s="1" a="1"/>
  <c r="J18" i="6" s="1"/>
  <c r="X27" i="5"/>
  <c r="L28" i="5"/>
  <c r="AM28" i="5"/>
  <c r="X26" i="5"/>
  <c r="I28" i="12"/>
  <c r="I28" i="5"/>
  <c r="I29" i="5" s="1"/>
  <c r="I30" i="5" s="1"/>
  <c r="Z28" i="5"/>
  <c r="I25" i="12"/>
  <c r="L25" i="5"/>
  <c r="X24" i="5"/>
  <c r="AM25" i="5"/>
  <c r="Z25" i="5"/>
  <c r="U33" i="12"/>
  <c r="V33" i="12"/>
  <c r="T33" i="12"/>
  <c r="K34" i="12"/>
  <c r="L29" i="5"/>
  <c r="AM29" i="5"/>
  <c r="I29" i="12"/>
  <c r="Z29" i="5"/>
  <c r="U30" i="12"/>
  <c r="T30" i="12"/>
  <c r="V30" i="12"/>
  <c r="X32" i="12"/>
  <c r="W32" i="12"/>
  <c r="AE70" i="10" l="1"/>
  <c r="Y70" i="10"/>
  <c r="S70" i="10"/>
  <c r="U70" i="10"/>
  <c r="AA72" i="10"/>
  <c r="AA75" i="10" s="1"/>
  <c r="AC70" i="10"/>
  <c r="AE72" i="10"/>
  <c r="AE75" i="10" s="1"/>
  <c r="AM15" i="5"/>
  <c r="K70" i="10"/>
  <c r="M70" i="10"/>
  <c r="Z15" i="5"/>
  <c r="S72" i="10"/>
  <c r="S75" i="10" s="1"/>
  <c r="M72" i="10"/>
  <c r="M75" i="10" s="1"/>
  <c r="Q72" i="10"/>
  <c r="Q75" i="10" s="1"/>
  <c r="AA70" i="10"/>
  <c r="K72" i="10"/>
  <c r="K75" i="10" s="1"/>
  <c r="W72" i="10"/>
  <c r="W75" i="10" s="1"/>
  <c r="O72" i="10"/>
  <c r="O75" i="10" s="1"/>
  <c r="I72" i="10"/>
  <c r="Q70" i="10"/>
  <c r="AC72" i="10"/>
  <c r="AC75" i="10" s="1"/>
  <c r="O70" i="10"/>
  <c r="W70" i="10"/>
  <c r="Y72" i="10"/>
  <c r="Y75" i="10" s="1"/>
  <c r="U72" i="10"/>
  <c r="U75" i="10" s="1"/>
  <c r="C23" i="6"/>
  <c r="O23" i="5"/>
  <c r="AC23" i="5"/>
  <c r="J23" i="6" s="1" a="1"/>
  <c r="J23" i="6" s="1"/>
  <c r="O23" i="12"/>
  <c r="M23" i="12"/>
  <c r="M22" i="12" s="1"/>
  <c r="C23" i="12"/>
  <c r="AO23" i="12"/>
  <c r="W19" i="8"/>
  <c r="AF19" i="8"/>
  <c r="AA19" i="8"/>
  <c r="V19" i="8"/>
  <c r="Z19" i="8"/>
  <c r="AE19" i="8"/>
  <c r="H18" i="8"/>
  <c r="G17" i="8"/>
  <c r="G18" i="8" s="1"/>
  <c r="E19" i="8"/>
  <c r="H17" i="8"/>
  <c r="J18" i="8" s="1"/>
  <c r="Y19" i="8"/>
  <c r="AC19" i="8"/>
  <c r="AB19" i="8"/>
  <c r="AD19" i="8"/>
  <c r="U19" i="8"/>
  <c r="X19" i="8"/>
  <c r="O28" i="5"/>
  <c r="C28" i="6"/>
  <c r="AC28" i="5"/>
  <c r="J28" i="6" s="1" a="1"/>
  <c r="J28" i="6" s="1"/>
  <c r="T32" i="12"/>
  <c r="U32" i="12"/>
  <c r="V32" i="12"/>
  <c r="Z27" i="5"/>
  <c r="I27" i="12"/>
  <c r="L27" i="5"/>
  <c r="S32" i="8"/>
  <c r="AM27" i="5"/>
  <c r="O14" i="11"/>
  <c r="L16" i="5"/>
  <c r="S14" i="8"/>
  <c r="Z16" i="5"/>
  <c r="AM16" i="5"/>
  <c r="I16" i="12"/>
  <c r="AB17" i="5"/>
  <c r="D17" i="8" s="1"/>
  <c r="C17" i="12"/>
  <c r="J17" i="12"/>
  <c r="L17" i="12"/>
  <c r="I31" i="5"/>
  <c r="O30" i="5"/>
  <c r="AB23" i="5"/>
  <c r="AB22" i="5" s="1"/>
  <c r="T34" i="12"/>
  <c r="U34" i="12"/>
  <c r="V34" i="12"/>
  <c r="C28" i="12"/>
  <c r="M28" i="12"/>
  <c r="AO28" i="12"/>
  <c r="O28" i="12"/>
  <c r="AB25" i="5"/>
  <c r="AB24" i="5" s="1"/>
  <c r="D18" i="12"/>
  <c r="E18" i="6"/>
  <c r="M17" i="12"/>
  <c r="M25" i="12"/>
  <c r="M24" i="12" s="1"/>
  <c r="AO25" i="12"/>
  <c r="O25" i="12"/>
  <c r="C25" i="12"/>
  <c r="C29" i="6"/>
  <c r="O29" i="5"/>
  <c r="AC29" i="5"/>
  <c r="J29" i="6" s="1" a="1"/>
  <c r="J29" i="6" s="1"/>
  <c r="AM26" i="5"/>
  <c r="S29" i="8"/>
  <c r="Z26" i="5"/>
  <c r="I26" i="12"/>
  <c r="L26" i="5"/>
  <c r="U19" i="12"/>
  <c r="T19" i="12"/>
  <c r="V19" i="12"/>
  <c r="AO17" i="12"/>
  <c r="Y18" i="12"/>
  <c r="O17" i="12"/>
  <c r="N18" i="12"/>
  <c r="Z24" i="5"/>
  <c r="L24" i="5"/>
  <c r="S26" i="8"/>
  <c r="AM24" i="5"/>
  <c r="I24" i="12"/>
  <c r="C25" i="6"/>
  <c r="O25" i="5"/>
  <c r="AC25" i="5"/>
  <c r="J25" i="6" s="1" a="1"/>
  <c r="J25" i="6" s="1"/>
  <c r="U21" i="12"/>
  <c r="V21" i="12"/>
  <c r="T21" i="12"/>
  <c r="V35" i="12"/>
  <c r="U35" i="12"/>
  <c r="T35" i="12"/>
  <c r="AB29" i="5"/>
  <c r="AE9" i="10"/>
  <c r="I75" i="10"/>
  <c r="H75" i="10" s="1"/>
  <c r="AO29" i="12"/>
  <c r="C29" i="12"/>
  <c r="M29" i="12"/>
  <c r="O29" i="12"/>
  <c r="N29" i="12" s="1"/>
  <c r="AB28" i="5"/>
  <c r="O17" i="5"/>
  <c r="C17" i="6"/>
  <c r="AC17" i="5"/>
  <c r="S23" i="8"/>
  <c r="L22" i="5"/>
  <c r="Z22" i="5"/>
  <c r="I22" i="12"/>
  <c r="AM22" i="5"/>
  <c r="V20" i="12"/>
  <c r="T20" i="12"/>
  <c r="U20" i="12"/>
  <c r="K17" i="12" l="1"/>
  <c r="N17" i="12"/>
  <c r="O16" i="12"/>
  <c r="I12" i="6"/>
  <c r="N11" i="6"/>
  <c r="Y29" i="12"/>
  <c r="F11" i="6"/>
  <c r="AO14" i="13"/>
  <c r="O14" i="13" s="1"/>
  <c r="X29" i="12"/>
  <c r="W29" i="12"/>
  <c r="O22" i="5"/>
  <c r="C22" i="6"/>
  <c r="AC22" i="5"/>
  <c r="AD25" i="8"/>
  <c r="X25" i="8"/>
  <c r="G23" i="8"/>
  <c r="G24" i="8" s="1"/>
  <c r="AE25" i="8"/>
  <c r="W25" i="8"/>
  <c r="D23" i="8"/>
  <c r="AC25" i="8"/>
  <c r="H23" i="8"/>
  <c r="J24" i="8" s="1"/>
  <c r="AA25" i="8"/>
  <c r="AA16" i="8" s="1"/>
  <c r="AF25" i="8"/>
  <c r="Z25" i="8"/>
  <c r="U25" i="8"/>
  <c r="E25" i="8"/>
  <c r="H24" i="8"/>
  <c r="Y25" i="8"/>
  <c r="AB25" i="8"/>
  <c r="V25" i="8"/>
  <c r="AB16" i="5"/>
  <c r="AB14" i="11" s="1"/>
  <c r="L27" i="12"/>
  <c r="C27" i="12"/>
  <c r="J27" i="12"/>
  <c r="AO24" i="12"/>
  <c r="Y25" i="12"/>
  <c r="AC27" i="5"/>
  <c r="C27" i="6"/>
  <c r="O27" i="5"/>
  <c r="U28" i="8"/>
  <c r="H26" i="8"/>
  <c r="J27" i="8" s="1"/>
  <c r="AC28" i="8"/>
  <c r="Z28" i="8"/>
  <c r="V28" i="8"/>
  <c r="W28" i="8"/>
  <c r="AB28" i="8"/>
  <c r="AF28" i="8"/>
  <c r="AD28" i="8"/>
  <c r="AD16" i="8" s="1"/>
  <c r="Y28" i="8"/>
  <c r="AA28" i="8"/>
  <c r="E28" i="8"/>
  <c r="G26" i="8"/>
  <c r="G27" i="8" s="1"/>
  <c r="D26" i="8"/>
  <c r="AE28" i="8"/>
  <c r="H27" i="8"/>
  <c r="X28" i="8"/>
  <c r="O26" i="5"/>
  <c r="C26" i="6"/>
  <c r="AC26" i="5"/>
  <c r="M16" i="12"/>
  <c r="N16" i="12" s="1"/>
  <c r="AB15" i="5"/>
  <c r="C24" i="6"/>
  <c r="O24" i="5"/>
  <c r="AC24" i="5"/>
  <c r="L26" i="12"/>
  <c r="C26" i="12"/>
  <c r="J26" i="12"/>
  <c r="Y23" i="12"/>
  <c r="AO22" i="12"/>
  <c r="AO16" i="12"/>
  <c r="Y16" i="12" s="1"/>
  <c r="J16" i="12"/>
  <c r="L16" i="12"/>
  <c r="C16" i="12"/>
  <c r="G29" i="8"/>
  <c r="G30" i="8" s="1"/>
  <c r="H29" i="8"/>
  <c r="J30" i="8" s="1"/>
  <c r="H30" i="8"/>
  <c r="D25" i="12"/>
  <c r="E25" i="6"/>
  <c r="AB27" i="5"/>
  <c r="D32" i="8" s="1"/>
  <c r="AB26" i="5"/>
  <c r="D29" i="8" s="1"/>
  <c r="N23" i="12"/>
  <c r="O22" i="12"/>
  <c r="N22" i="12" s="1"/>
  <c r="I17" i="8"/>
  <c r="A17" i="8" s="1"/>
  <c r="E17" i="6"/>
  <c r="D17" i="12"/>
  <c r="AB34" i="8"/>
  <c r="AB31" i="8" s="1"/>
  <c r="AB29" i="8" s="1"/>
  <c r="G32" i="8"/>
  <c r="G33" i="8" s="1"/>
  <c r="AC34" i="8"/>
  <c r="AC31" i="8" s="1"/>
  <c r="AC29" i="8" s="1"/>
  <c r="W34" i="8"/>
  <c r="W31" i="8" s="1"/>
  <c r="W29" i="8" s="1"/>
  <c r="U34" i="8"/>
  <c r="U31" i="8" s="1"/>
  <c r="U29" i="8" s="1"/>
  <c r="H32" i="8"/>
  <c r="J33" i="8" s="1"/>
  <c r="AA34" i="8"/>
  <c r="AA31" i="8" s="1"/>
  <c r="AA29" i="8" s="1"/>
  <c r="AE34" i="8"/>
  <c r="AE31" i="8" s="1"/>
  <c r="AE29" i="8" s="1"/>
  <c r="Z34" i="8"/>
  <c r="Z31" i="8" s="1"/>
  <c r="Z29" i="8" s="1"/>
  <c r="X34" i="8"/>
  <c r="X31" i="8" s="1"/>
  <c r="X29" i="8" s="1"/>
  <c r="V34" i="8"/>
  <c r="V31" i="8" s="1"/>
  <c r="V29" i="8" s="1"/>
  <c r="E34" i="8"/>
  <c r="E31" i="8" s="1"/>
  <c r="E29" i="8" s="1"/>
  <c r="Y34" i="8"/>
  <c r="Y31" i="8" s="1"/>
  <c r="Y29" i="8" s="1"/>
  <c r="AD34" i="8"/>
  <c r="H33" i="8"/>
  <c r="AF34" i="8"/>
  <c r="AF31" i="8" s="1"/>
  <c r="AF29" i="8" s="1"/>
  <c r="AD31" i="8"/>
  <c r="AD29" i="8" s="1"/>
  <c r="C24" i="12"/>
  <c r="J24" i="12"/>
  <c r="L24" i="12"/>
  <c r="K24" i="12" s="1"/>
  <c r="W18" i="12"/>
  <c r="X18" i="12"/>
  <c r="E29" i="6"/>
  <c r="D29" i="12"/>
  <c r="O26" i="12"/>
  <c r="N28" i="12"/>
  <c r="O27" i="12"/>
  <c r="E30" i="6"/>
  <c r="D30" i="12"/>
  <c r="O16" i="5"/>
  <c r="C16" i="6"/>
  <c r="AC16" i="5"/>
  <c r="E28" i="6"/>
  <c r="D28" i="12"/>
  <c r="E23" i="6"/>
  <c r="D23" i="12"/>
  <c r="C22" i="12"/>
  <c r="J22" i="12"/>
  <c r="L22" i="12"/>
  <c r="K22" i="12" s="1"/>
  <c r="M26" i="12"/>
  <c r="M27" i="12"/>
  <c r="N25" i="12"/>
  <c r="O24" i="12"/>
  <c r="N24" i="12" s="1"/>
  <c r="G14" i="8"/>
  <c r="G15" i="8" s="1"/>
  <c r="H15" i="8"/>
  <c r="R165" i="8"/>
  <c r="I165" i="8" s="1"/>
  <c r="H14" i="8"/>
  <c r="J15" i="8" s="1"/>
  <c r="Y17" i="12"/>
  <c r="AO27" i="12"/>
  <c r="Y27" i="12" s="1"/>
  <c r="AO26" i="12"/>
  <c r="Y28" i="12"/>
  <c r="I32" i="5"/>
  <c r="O31" i="5"/>
  <c r="C14" i="11"/>
  <c r="O24" i="11"/>
  <c r="P14" i="11"/>
  <c r="G11" i="11" s="1"/>
  <c r="L14" i="13"/>
  <c r="R12" i="5" l="1"/>
  <c r="Y22" i="12"/>
  <c r="W22" i="12" s="1"/>
  <c r="AC16" i="8"/>
  <c r="AC14" i="8" s="1"/>
  <c r="V16" i="8"/>
  <c r="Y16" i="8"/>
  <c r="Y26" i="12"/>
  <c r="X26" i="12" s="1"/>
  <c r="E16" i="8"/>
  <c r="X16" i="8"/>
  <c r="V14" i="8"/>
  <c r="AA14" i="8"/>
  <c r="Y14" i="8"/>
  <c r="E173" i="8" a="1"/>
  <c r="E173" i="8" s="1"/>
  <c r="E168" i="8" s="1"/>
  <c r="E14" i="8"/>
  <c r="E174" i="8"/>
  <c r="X14" i="8"/>
  <c r="AD14" i="8"/>
  <c r="N27" i="12"/>
  <c r="AB24" i="11"/>
  <c r="AB7" i="11" s="1"/>
  <c r="N14" i="11"/>
  <c r="N24" i="11" s="1"/>
  <c r="I14" i="8"/>
  <c r="D16" i="12"/>
  <c r="E16" i="6"/>
  <c r="W28" i="12"/>
  <c r="X28" i="12"/>
  <c r="E26" i="6"/>
  <c r="I29" i="8"/>
  <c r="A29" i="8" s="1"/>
  <c r="D26" i="12"/>
  <c r="K27" i="12"/>
  <c r="K26" i="12"/>
  <c r="W16" i="8"/>
  <c r="O28" i="13"/>
  <c r="P14" i="13"/>
  <c r="N26" i="12"/>
  <c r="AB16" i="8"/>
  <c r="AE16" i="8"/>
  <c r="AN14" i="13"/>
  <c r="U14" i="13" s="1"/>
  <c r="AD4" i="13" s="1"/>
  <c r="W23" i="12"/>
  <c r="X23" i="12"/>
  <c r="W27" i="12"/>
  <c r="X27" i="12"/>
  <c r="W17" i="12"/>
  <c r="X17" i="12"/>
  <c r="I26" i="8"/>
  <c r="A26" i="8" s="1"/>
  <c r="D24" i="12"/>
  <c r="E24" i="6"/>
  <c r="D14" i="13"/>
  <c r="V14" i="13"/>
  <c r="V15" i="13" s="1"/>
  <c r="V16" i="13" s="1"/>
  <c r="V17" i="13" s="1"/>
  <c r="V18" i="13" s="1"/>
  <c r="V19" i="13" s="1"/>
  <c r="V20" i="13" s="1"/>
  <c r="V21" i="13" s="1"/>
  <c r="V22" i="13" s="1"/>
  <c r="V23" i="13" s="1"/>
  <c r="L28" i="13"/>
  <c r="K16" i="12"/>
  <c r="I33" i="5"/>
  <c r="O33" i="5" s="1"/>
  <c r="O32" i="5"/>
  <c r="V29" i="12"/>
  <c r="T29" i="12"/>
  <c r="U29" i="12"/>
  <c r="O25" i="11"/>
  <c r="AA7" i="11"/>
  <c r="U16" i="8"/>
  <c r="AF16" i="8"/>
  <c r="E27" i="6"/>
  <c r="D27" i="12"/>
  <c r="I32" i="8"/>
  <c r="A32" i="8" s="1"/>
  <c r="AL14" i="13"/>
  <c r="M14" i="13" s="1"/>
  <c r="M28" i="13" s="1"/>
  <c r="AK14" i="13"/>
  <c r="S14" i="13" s="1"/>
  <c r="M27" i="13" s="1"/>
  <c r="U18" i="12"/>
  <c r="V18" i="12"/>
  <c r="T18" i="12"/>
  <c r="AC11" i="5"/>
  <c r="X16" i="12"/>
  <c r="W16" i="12"/>
  <c r="X25" i="12"/>
  <c r="W25" i="12"/>
  <c r="Z16" i="8"/>
  <c r="D31" i="12"/>
  <c r="E31" i="6"/>
  <c r="Y24" i="12"/>
  <c r="I23" i="8"/>
  <c r="A23" i="8" s="1"/>
  <c r="D22" i="12"/>
  <c r="E22" i="6"/>
  <c r="X22" i="12" l="1"/>
  <c r="W26" i="12"/>
  <c r="V26" i="12" s="1"/>
  <c r="E170" i="8"/>
  <c r="E175" i="8" s="1"/>
  <c r="E169" i="8"/>
  <c r="E165" i="8" s="1"/>
  <c r="AB14" i="8"/>
  <c r="T28" i="12"/>
  <c r="U28" i="12"/>
  <c r="V28" i="12"/>
  <c r="M24" i="13"/>
  <c r="O29" i="13"/>
  <c r="W14" i="8"/>
  <c r="W24" i="12"/>
  <c r="X24" i="12"/>
  <c r="D33" i="12"/>
  <c r="E33" i="6"/>
  <c r="V27" i="12"/>
  <c r="T27" i="12"/>
  <c r="U27" i="12"/>
  <c r="U16" i="12"/>
  <c r="T16" i="12"/>
  <c r="V16" i="12"/>
  <c r="AF14" i="8"/>
  <c r="T26" i="12"/>
  <c r="U26" i="12"/>
  <c r="AE14" i="8"/>
  <c r="E32" i="6"/>
  <c r="D32" i="12"/>
  <c r="AD6" i="13"/>
  <c r="D53" i="2"/>
  <c r="D48" i="2"/>
  <c r="N28" i="13"/>
  <c r="D47" i="2"/>
  <c r="P24" i="13"/>
  <c r="O24" i="13"/>
  <c r="D54" i="2"/>
  <c r="F33" i="14"/>
  <c r="D52" i="2"/>
  <c r="D51" i="2"/>
  <c r="Z3" i="11"/>
  <c r="AA3" i="11" s="1"/>
  <c r="D33" i="14"/>
  <c r="L24" i="13"/>
  <c r="Z14" i="8"/>
  <c r="N14" i="13"/>
  <c r="U14" i="8"/>
  <c r="U173" i="8" a="1"/>
  <c r="U173" i="8" s="1"/>
  <c r="U174" i="8"/>
  <c r="T22" i="12"/>
  <c r="U22" i="12"/>
  <c r="V22" i="12"/>
  <c r="U17" i="12"/>
  <c r="V17" i="12"/>
  <c r="T17" i="12"/>
  <c r="T25" i="12"/>
  <c r="V25" i="12"/>
  <c r="U25" i="12"/>
  <c r="N25" i="11"/>
  <c r="L27" i="13"/>
  <c r="D32" i="14" s="1"/>
  <c r="U23" i="12"/>
  <c r="V23" i="12"/>
  <c r="T23" i="12"/>
  <c r="AE6" i="13" l="1"/>
  <c r="U169" i="8"/>
  <c r="H71" i="9"/>
  <c r="U170" i="8"/>
  <c r="V174" i="8"/>
  <c r="E33" i="14"/>
  <c r="N24" i="13"/>
  <c r="E34" i="14"/>
  <c r="AD27" i="13"/>
  <c r="AD12" i="11"/>
  <c r="AD21" i="11"/>
  <c r="AD19" i="11"/>
  <c r="AD23" i="11"/>
  <c r="AD20" i="11"/>
  <c r="AD17" i="11"/>
  <c r="AD22" i="11"/>
  <c r="AD14" i="11"/>
  <c r="AD16" i="11"/>
  <c r="AD15" i="11"/>
  <c r="AD18" i="11"/>
  <c r="AA33" i="5"/>
  <c r="AA35" i="5"/>
  <c r="AA34" i="5" s="1"/>
  <c r="C35" i="8" s="1"/>
  <c r="AA30" i="5"/>
  <c r="AA21" i="5"/>
  <c r="AA20" i="5"/>
  <c r="AA32" i="5"/>
  <c r="AA31" i="5"/>
  <c r="AA18" i="5"/>
  <c r="AA23" i="5"/>
  <c r="AA22" i="5" s="1"/>
  <c r="C23" i="8" s="1"/>
  <c r="AA25" i="5"/>
  <c r="AA24" i="5" s="1"/>
  <c r="C26" i="8" s="1"/>
  <c r="AA28" i="5"/>
  <c r="AA29" i="5"/>
  <c r="F34" i="14"/>
  <c r="G10" i="13"/>
  <c r="V173" i="8" a="1"/>
  <c r="V173" i="8" s="1"/>
  <c r="U168" i="8"/>
  <c r="AE4" i="13"/>
  <c r="O27" i="13" s="1"/>
  <c r="D50" i="2"/>
  <c r="AC27" i="13"/>
  <c r="V24" i="12"/>
  <c r="U24" i="12"/>
  <c r="T24" i="12"/>
  <c r="D46" i="2"/>
  <c r="AE17" i="11" l="1"/>
  <c r="M17" i="11" s="1"/>
  <c r="L17" i="11" s="1"/>
  <c r="AE21" i="11"/>
  <c r="M21" i="11" s="1"/>
  <c r="L21" i="11" s="1"/>
  <c r="AA27" i="5"/>
  <c r="C32" i="8" s="1"/>
  <c r="AA26" i="5"/>
  <c r="C29" i="8" s="1"/>
  <c r="AE15" i="11"/>
  <c r="M15" i="11" s="1"/>
  <c r="L15" i="11" s="1"/>
  <c r="AE12" i="11"/>
  <c r="M12" i="11" s="1"/>
  <c r="L12" i="11" s="1"/>
  <c r="V169" i="8"/>
  <c r="V170" i="8"/>
  <c r="J70" i="9" s="1"/>
  <c r="J73" i="9" s="1"/>
  <c r="J71" i="9"/>
  <c r="W174" i="8"/>
  <c r="AA16" i="5"/>
  <c r="AA17" i="5"/>
  <c r="C17" i="8" s="1"/>
  <c r="AA15" i="5"/>
  <c r="AE16" i="11"/>
  <c r="M16" i="11" s="1"/>
  <c r="L16" i="11" s="1"/>
  <c r="H70" i="9"/>
  <c r="H73" i="9" s="1"/>
  <c r="AE19" i="11"/>
  <c r="M19" i="11" s="1"/>
  <c r="L19" i="11" s="1"/>
  <c r="J46" i="12"/>
  <c r="S77" i="10"/>
  <c r="C11" i="10" s="1"/>
  <c r="F32" i="14"/>
  <c r="N27" i="13"/>
  <c r="E32" i="14" s="1"/>
  <c r="AA19" i="5"/>
  <c r="C20" i="8" s="1"/>
  <c r="AE23" i="11"/>
  <c r="M23" i="11" s="1"/>
  <c r="L23" i="11" s="1"/>
  <c r="AE22" i="11"/>
  <c r="M22" i="11" s="1"/>
  <c r="L22" i="11" s="1"/>
  <c r="U165" i="8"/>
  <c r="H68" i="9" s="1"/>
  <c r="H69" i="9"/>
  <c r="AE18" i="11"/>
  <c r="M18" i="11" s="1"/>
  <c r="L18" i="11" s="1"/>
  <c r="V168" i="8"/>
  <c r="W173" i="8" a="1"/>
  <c r="W173" i="8" s="1"/>
  <c r="AE20" i="11"/>
  <c r="M20" i="11" s="1"/>
  <c r="L20" i="11" s="1"/>
  <c r="W169" i="8" l="1"/>
  <c r="L71" i="9"/>
  <c r="W170" i="8"/>
  <c r="L70" i="9" s="1"/>
  <c r="L73" i="9" s="1"/>
  <c r="X174" i="8"/>
  <c r="X173" i="8" a="1"/>
  <c r="X173" i="8" s="1"/>
  <c r="W168" i="8"/>
  <c r="J69" i="9"/>
  <c r="V165" i="8"/>
  <c r="J68" i="9" s="1"/>
  <c r="E172" i="8" a="1"/>
  <c r="E172" i="8" s="1"/>
  <c r="U172" i="8" a="1"/>
  <c r="U172" i="8" s="1"/>
  <c r="AA14" i="11"/>
  <c r="AM14" i="13"/>
  <c r="T14" i="13" s="1"/>
  <c r="AD3" i="13" s="1"/>
  <c r="AD2" i="13" s="1"/>
  <c r="AJ14" i="13"/>
  <c r="R14" i="13" s="1"/>
  <c r="M26" i="13" s="1"/>
  <c r="E167" i="8" l="1"/>
  <c r="E171" i="8"/>
  <c r="E166" i="8" s="1"/>
  <c r="X169" i="8"/>
  <c r="N71" i="9"/>
  <c r="X170" i="8"/>
  <c r="Y174" i="8"/>
  <c r="Y173" i="8" a="1"/>
  <c r="Y173" i="8" s="1"/>
  <c r="X168" i="8"/>
  <c r="AE3" i="13"/>
  <c r="M25" i="13"/>
  <c r="U167" i="8"/>
  <c r="V172" i="8" a="1"/>
  <c r="V172" i="8" s="1"/>
  <c r="U171" i="8"/>
  <c r="U166" i="8" s="1"/>
  <c r="AA24" i="11"/>
  <c r="Z14" i="11"/>
  <c r="Z24" i="11" s="1"/>
  <c r="AE14" i="11" s="1"/>
  <c r="M14" i="11" s="1"/>
  <c r="L69" i="9"/>
  <c r="W165" i="8"/>
  <c r="L68" i="9" s="1"/>
  <c r="Y170" i="8" l="1"/>
  <c r="P70" i="9" s="1"/>
  <c r="P73" i="9" s="1"/>
  <c r="Y169" i="8"/>
  <c r="P71" i="9"/>
  <c r="Z174" i="8"/>
  <c r="O26" i="13"/>
  <c r="AE2" i="13"/>
  <c r="N70" i="9"/>
  <c r="N73" i="9" s="1"/>
  <c r="M24" i="11"/>
  <c r="L14" i="11"/>
  <c r="L24" i="11" s="1"/>
  <c r="Y168" i="8"/>
  <c r="Z173" i="8" a="1"/>
  <c r="Z173" i="8" s="1"/>
  <c r="X165" i="8"/>
  <c r="N68" i="9" s="1"/>
  <c r="N69" i="9"/>
  <c r="V167" i="8"/>
  <c r="W172" i="8" a="1"/>
  <c r="W172" i="8" s="1"/>
  <c r="V171" i="8"/>
  <c r="V166" i="8" s="1"/>
  <c r="L25" i="11" l="1"/>
  <c r="L10" i="11"/>
  <c r="M10" i="13" s="1"/>
  <c r="L25" i="13"/>
  <c r="D30" i="14" s="1"/>
  <c r="Z170" i="8"/>
  <c r="R71" i="9"/>
  <c r="Z169" i="8"/>
  <c r="AA174" i="8"/>
  <c r="X172" i="8" a="1"/>
  <c r="X172" i="8" s="1"/>
  <c r="W167" i="8"/>
  <c r="W171" i="8"/>
  <c r="W166" i="8" s="1"/>
  <c r="L26" i="13"/>
  <c r="M10" i="11"/>
  <c r="N10" i="13" s="1"/>
  <c r="M25" i="11"/>
  <c r="N26" i="13"/>
  <c r="E31" i="14" s="1"/>
  <c r="F31" i="14"/>
  <c r="O25" i="13"/>
  <c r="Y165" i="8"/>
  <c r="P68" i="9" s="1"/>
  <c r="P69" i="9"/>
  <c r="Z168" i="8"/>
  <c r="AA173" i="8" a="1"/>
  <c r="AA173" i="8" s="1"/>
  <c r="G9" i="11" l="1"/>
  <c r="X167" i="8"/>
  <c r="Y172" i="8" a="1"/>
  <c r="Y172" i="8" s="1"/>
  <c r="X171" i="8"/>
  <c r="X166" i="8" s="1"/>
  <c r="D31" i="14"/>
  <c r="AD26" i="13"/>
  <c r="AC26" i="13"/>
  <c r="R69" i="9"/>
  <c r="Z165" i="8"/>
  <c r="R68" i="9" s="1"/>
  <c r="AB173" i="8" a="1"/>
  <c r="AB173" i="8" s="1"/>
  <c r="AA168" i="8"/>
  <c r="AA170" i="8"/>
  <c r="T70" i="9" s="1"/>
  <c r="T73" i="9" s="1"/>
  <c r="T71" i="9"/>
  <c r="AA169" i="8"/>
  <c r="AB174" i="8"/>
  <c r="F30" i="14"/>
  <c r="N25" i="13"/>
  <c r="E30" i="14" s="1"/>
  <c r="R70" i="9"/>
  <c r="R73" i="9" s="1"/>
  <c r="AC173" i="8" l="1" a="1"/>
  <c r="AC173" i="8" s="1"/>
  <c r="AB168" i="8"/>
  <c r="AB169" i="8"/>
  <c r="V71" i="9"/>
  <c r="AB170" i="8"/>
  <c r="V70" i="9" s="1"/>
  <c r="V73" i="9" s="1"/>
  <c r="AC174" i="8"/>
  <c r="Z172" i="8" a="1"/>
  <c r="Z172" i="8" s="1"/>
  <c r="Y167" i="8"/>
  <c r="Y171" i="8"/>
  <c r="Y166" i="8" s="1"/>
  <c r="T69" i="9"/>
  <c r="AA165" i="8"/>
  <c r="T68" i="9" s="1"/>
  <c r="AC169" i="8" l="1"/>
  <c r="AC170" i="8"/>
  <c r="X70" i="9" s="1"/>
  <c r="X73" i="9" s="1"/>
  <c r="X71" i="9"/>
  <c r="AD174" i="8"/>
  <c r="Z167" i="8"/>
  <c r="AA172" i="8" a="1"/>
  <c r="AA172" i="8" s="1"/>
  <c r="Z171" i="8"/>
  <c r="Z166" i="8" s="1"/>
  <c r="AB165" i="8"/>
  <c r="V68" i="9" s="1"/>
  <c r="V69" i="9"/>
  <c r="AC168" i="8"/>
  <c r="AD173" i="8" a="1"/>
  <c r="AD173" i="8" s="1"/>
  <c r="AB172" i="8" l="1" a="1"/>
  <c r="AB172" i="8" s="1"/>
  <c r="AA167" i="8"/>
  <c r="AA171" i="8"/>
  <c r="AA166" i="8" s="1"/>
  <c r="AE173" i="8" a="1"/>
  <c r="AE173" i="8" s="1"/>
  <c r="AD168" i="8"/>
  <c r="Z71" i="9"/>
  <c r="AD169" i="8"/>
  <c r="AD170" i="8"/>
  <c r="Z70" i="9" s="1"/>
  <c r="Z73" i="9" s="1"/>
  <c r="AE174" i="8"/>
  <c r="X69" i="9"/>
  <c r="AC165" i="8"/>
  <c r="X68" i="9" s="1"/>
  <c r="Z69" i="9" l="1"/>
  <c r="AD165" i="8"/>
  <c r="Z68" i="9" s="1"/>
  <c r="AB71" i="9"/>
  <c r="AE170" i="8"/>
  <c r="AB70" i="9" s="1"/>
  <c r="AB73" i="9" s="1"/>
  <c r="AE169" i="8"/>
  <c r="AF174" i="8"/>
  <c r="AF173" i="8" a="1"/>
  <c r="AF173" i="8" s="1"/>
  <c r="AF168" i="8" s="1"/>
  <c r="AE168" i="8"/>
  <c r="AC172" i="8" a="1"/>
  <c r="AC172" i="8" s="1"/>
  <c r="AB167" i="8"/>
  <c r="AB171" i="8"/>
  <c r="AB166" i="8" s="1"/>
  <c r="AD172" i="8" l="1" a="1"/>
  <c r="AD172" i="8" s="1"/>
  <c r="AC167" i="8"/>
  <c r="AC171" i="8"/>
  <c r="AC166" i="8" s="1"/>
  <c r="AF170" i="8"/>
  <c r="AF169" i="8"/>
  <c r="K10" i="8"/>
  <c r="AD71" i="9"/>
  <c r="AB69" i="9"/>
  <c r="AE165" i="8"/>
  <c r="AB68" i="9" s="1"/>
  <c r="AF165" i="8" l="1"/>
  <c r="AD68" i="9" s="1"/>
  <c r="AD69" i="9"/>
  <c r="AD70" i="9"/>
  <c r="AD73" i="9" s="1"/>
  <c r="G73" i="9" s="1"/>
  <c r="F11" i="8" a="1"/>
  <c r="F11" i="8" s="1"/>
  <c r="AD167" i="8"/>
  <c r="AE172" i="8" a="1"/>
  <c r="AE172" i="8" s="1"/>
  <c r="AD171" i="8"/>
  <c r="AD166" i="8" s="1"/>
  <c r="AF172" i="8" l="1" a="1"/>
  <c r="AF172" i="8" s="1"/>
  <c r="AE167" i="8"/>
  <c r="AE171" i="8"/>
  <c r="AE166" i="8" s="1"/>
  <c r="AF167" i="8" l="1"/>
  <c r="AF171" i="8"/>
  <c r="AF16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<sst xmlns="http://schemas.openxmlformats.org/spreadsheetml/2006/main" count="1810" uniqueCount="964">
  <si>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</si>
  <si>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</si>
  <si>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</si>
  <si>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</si>
  <si>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</si>
  <si>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</si>
  <si>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</si>
  <si>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</si>
  <si>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</si>
  <si>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</si>
  <si>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</si>
  <si>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</si>
  <si>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</si>
  <si>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</si>
  <si>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</si>
  <si>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</si>
  <si>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</si>
  <si>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</si>
  <si>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</si>
  <si>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</si>
  <si>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</si>
  <si>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</si>
  <si>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</si>
  <si>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</si>
  <si>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</si>
  <si>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</si>
  <si>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</si>
  <si>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</si>
  <si>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</si>
  <si>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</si>
  <si>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</si>
  <si>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</si>
  <si>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</si>
  <si>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</si>
  <si>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</si>
  <si>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</si>
  <si>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</si>
  <si>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</si>
  <si>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</si>
  <si>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</si>
  <si>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</si>
  <si>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</si>
  <si>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</si>
  <si>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</si>
  <si>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</si>
  <si>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</si>
  <si>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</si>
  <si>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</si>
  <si>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</si>
  <si>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</si>
  <si>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</si>
  <si>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</si>
  <si>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</si>
  <si>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</si>
  <si>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</si>
  <si>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</si>
  <si>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</si>
  <si>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</si>
  <si>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</si>
  <si>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</si>
  <si>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</si>
  <si>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</si>
  <si>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</si>
  <si>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 botão de macro para gerar arquivo (em xlsx) para upload da PO e CFF no TransfereGOV.</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</si>
  <si>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</si>
  <si>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</si>
  <si>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</si>
  <si>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</si>
  <si>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</si>
  <si>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</si>
  <si>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</si>
  <si>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</si>
  <si>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</si>
  <si>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</si>
  <si>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</si>
  <si>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</si>
  <si>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</si>
  <si>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</si>
  <si>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</si>
  <si>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</si>
  <si>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PM</t>
  </si>
  <si>
    <t>v3.08</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</si>
  <si>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</si>
  <si>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</si>
  <si>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</si>
  <si>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</si>
  <si>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</si>
  <si>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</si>
  <si>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</si>
  <si>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</si>
  <si>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</si>
  <si>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</si>
  <si>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</si>
  <si>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</si>
  <si>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</si>
  <si>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</si>
  <si>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</si>
  <si>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</si>
  <si>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</si>
  <si>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</si>
  <si>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</si>
  <si>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</si>
  <si>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</si>
  <si>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</si>
  <si>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</si>
  <si>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</si>
  <si>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</si>
  <si>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</si>
  <si>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</si>
  <si>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</si>
  <si>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</si>
  <si>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</si>
  <si>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</si>
  <si>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</si>
  <si>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</si>
  <si>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</si>
  <si>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</si>
  <si>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</si>
  <si>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</si>
  <si>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</si>
  <si>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</si>
  <si>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</si>
  <si>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</si>
  <si>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</si>
  <si>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</si>
  <si>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</si>
  <si>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</si>
  <si>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</si>
  <si>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</si>
  <si>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</si>
  <si>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</si>
  <si>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</si>
  <si>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</si>
  <si>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</si>
  <si>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</si>
  <si>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</si>
  <si>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OGU</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</si>
  <si>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</si>
  <si>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</si>
  <si>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</si>
  <si>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</si>
  <si>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</si>
  <si>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</si>
  <si>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</si>
  <si>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</si>
  <si>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</si>
  <si>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</si>
  <si>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</si>
  <si>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</si>
  <si>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</si>
  <si>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</si>
  <si>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</si>
  <si>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</si>
  <si>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</si>
  <si>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PREFEITURA MUNICIPAL DE URUARÁ</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</si>
  <si>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</si>
  <si>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</si>
  <si>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</si>
  <si>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</si>
  <si>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</si>
  <si>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</si>
  <si>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</si>
  <si>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</si>
  <si>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</si>
  <si>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</si>
  <si>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</si>
  <si>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</si>
  <si>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</si>
  <si>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URUARÁ-PARÁ</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</si>
  <si>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</si>
  <si>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</si>
  <si>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</si>
  <si>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</si>
  <si>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</si>
  <si>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</si>
  <si>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</si>
  <si>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</si>
  <si>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</si>
  <si>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</si>
  <si>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</si>
  <si>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</si>
  <si>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</si>
  <si>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</si>
  <si>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</si>
  <si>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</si>
  <si>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</si>
  <si>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</si>
  <si>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</si>
  <si>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</si>
  <si>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</si>
  <si>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</si>
  <si>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</si>
  <si>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</si>
  <si>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</si>
  <si>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</si>
  <si>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</si>
  <si>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</si>
  <si>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</si>
  <si>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</si>
  <si>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</si>
  <si>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</si>
  <si>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</si>
  <si>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</si>
  <si>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</si>
  <si>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</si>
  <si>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</si>
  <si>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</si>
  <si>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</si>
  <si>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</si>
  <si>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</si>
  <si>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</si>
  <si>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</si>
  <si>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</si>
  <si>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</si>
  <si>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</si>
  <si>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</si>
  <si>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</si>
  <si>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</si>
  <si>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</si>
  <si>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</si>
  <si>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</si>
  <si>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</si>
  <si>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</si>
  <si>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</si>
  <si>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</si>
  <si>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</si>
  <si>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</si>
  <si>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</si>
  <si>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</si>
  <si>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NÃO DESONERADO</t>
  </si>
  <si>
    <t>AM0/5ML</t>
  </si>
  <si>
    <t>AMPOLA COM 0,5 mL</t>
  </si>
  <si>
    <t>Data base do Orçamento:</t>
  </si>
  <si>
    <t>AM1/5ML</t>
  </si>
  <si>
    <t>AMPOLA COM 1,5 mL</t>
  </si>
  <si>
    <t>AM10ML</t>
  </si>
  <si>
    <t>AMPOLA COM 10 mL</t>
  </si>
  <si>
    <t>Responsável pelo Orçamento</t>
  </si>
  <si>
    <t>AM1ML</t>
  </si>
  <si>
    <t>AMPOLA COM 1 mL</t>
  </si>
  <si>
    <t>Nome:</t>
  </si>
  <si>
    <t>DOUGLAS NASCIMENTO DOS SANTOS</t>
  </si>
  <si>
    <t>AM2/5ML</t>
  </si>
  <si>
    <t>AMPOLA COM 2,5 mL</t>
  </si>
  <si>
    <t>CREA/CAU:</t>
  </si>
  <si>
    <t>151536623-5</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</si>
  <si>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</si>
  <si>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</si>
  <si>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</si>
  <si>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</si>
  <si>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</si>
  <si>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</si>
  <si>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</si>
  <si>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</si>
  <si>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</si>
  <si>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</si>
  <si>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</si>
  <si>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</si>
  <si>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</si>
  <si>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</si>
  <si>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CARLOS ANTÔNIO ZANCAN</t>
  </si>
  <si>
    <t>AM7ML</t>
  </si>
  <si>
    <t>AMPOLA COM 7 mL</t>
  </si>
  <si>
    <t>Cargo:</t>
  </si>
  <si>
    <t>PREFEITO DE URUARÁ</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</si>
  <si>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</si>
  <si>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</si>
  <si>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</si>
  <si>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</si>
  <si>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</si>
  <si>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</si>
  <si>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</si>
  <si>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</si>
  <si>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</si>
  <si>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</si>
  <si>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</si>
  <si>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</si>
  <si>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</si>
  <si>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</si>
  <si>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</si>
  <si>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</si>
  <si>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</si>
  <si>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</si>
  <si>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</si>
  <si>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</si>
  <si>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</si>
  <si>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</si>
  <si>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</si>
  <si>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</si>
  <si>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</si>
  <si>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</si>
  <si>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</si>
  <si>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</si>
  <si>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</si>
  <si>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(SELECIONAR)</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</si>
  <si>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</si>
  <si>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</si>
  <si>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</si>
  <si>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</si>
  <si>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</si>
  <si>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</si>
  <si>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</si>
  <si>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</si>
  <si>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</si>
  <si>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</si>
  <si>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</si>
  <si>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</si>
  <si>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</si>
  <si>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</si>
  <si>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</si>
  <si>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</si>
  <si>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</si>
  <si>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</si>
  <si>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</si>
  <si>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</si>
  <si>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</si>
  <si>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</si>
  <si>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</si>
  <si>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</si>
  <si>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</si>
  <si>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</si>
  <si>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</si>
  <si>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</si>
  <si>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</si>
  <si>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</si>
  <si>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</si>
  <si>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</si>
  <si>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</si>
  <si>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</si>
  <si>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</si>
  <si>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</si>
  <si>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</si>
  <si>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</si>
  <si>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</si>
  <si>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</si>
  <si>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</si>
  <si>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</si>
  <si>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</si>
  <si>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</si>
  <si>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</si>
  <si>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</si>
  <si>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</si>
  <si>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</si>
  <si>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</si>
  <si>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</si>
  <si>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</si>
  <si>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</si>
  <si>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</si>
  <si>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</si>
  <si>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</si>
  <si>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</si>
  <si>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</si>
  <si>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</si>
  <si>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</si>
  <si>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</si>
  <si>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</si>
  <si>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</si>
  <si>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</si>
  <si>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</si>
  <si>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</si>
  <si>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</si>
  <si>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</si>
  <si>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</si>
  <si>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</si>
  <si>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</si>
  <si>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</si>
  <si>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</si>
  <si>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</si>
  <si>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</si>
  <si>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</si>
  <si>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</si>
  <si>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</si>
  <si>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</si>
  <si>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</si>
  <si>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</si>
  <si>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</si>
  <si>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</si>
  <si>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</si>
  <si>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</si>
  <si>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</si>
  <si>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</si>
  <si>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</si>
  <si>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</si>
  <si>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</si>
  <si>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</si>
  <si>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</si>
  <si>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</si>
  <si>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</si>
  <si>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</si>
  <si>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</si>
  <si>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</si>
  <si>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</si>
  <si>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</si>
  <si>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</si>
  <si>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</si>
  <si>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</si>
  <si>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</si>
  <si>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</si>
  <si>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</si>
  <si>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</si>
  <si>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</si>
  <si>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</si>
  <si>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</si>
  <si>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</si>
  <si>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</si>
  <si>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</si>
  <si>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</si>
  <si>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</si>
  <si>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</si>
  <si>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</si>
  <si>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</si>
  <si>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</si>
  <si>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</si>
  <si>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</si>
  <si>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</si>
  <si>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</si>
  <si>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</si>
  <si>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</si>
  <si>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</si>
  <si>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</si>
  <si>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</si>
  <si>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</si>
  <si>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</si>
  <si>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</si>
  <si>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</si>
  <si>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</si>
  <si>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</si>
  <si>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</si>
  <si>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</si>
  <si>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</si>
  <si>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</si>
  <si>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</si>
  <si>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</si>
  <si>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</si>
  <si>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</si>
  <si>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</si>
  <si>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</si>
  <si>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</si>
  <si>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</si>
  <si>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</si>
  <si>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</si>
  <si>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</si>
  <si>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</si>
  <si>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</si>
  <si>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</si>
  <si>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</si>
  <si>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</si>
  <si>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</si>
  <si>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</si>
  <si>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</si>
  <si>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</si>
  <si>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</si>
  <si>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</si>
  <si>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</si>
  <si>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</si>
  <si>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</si>
  <si>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</si>
  <si>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</si>
  <si>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</si>
  <si>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</si>
  <si>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</si>
  <si>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</si>
  <si>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</si>
  <si>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</si>
  <si>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</si>
  <si>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</si>
  <si>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</si>
  <si>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</si>
  <si>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</si>
  <si>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</si>
  <si>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</si>
  <si>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</si>
  <si>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</si>
  <si>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</si>
  <si>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</si>
  <si>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</si>
  <si>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</si>
  <si>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</si>
  <si>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</si>
  <si>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</si>
  <si>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</si>
  <si>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</si>
  <si>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</si>
  <si>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</si>
  <si>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</si>
  <si>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</si>
  <si>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</si>
  <si>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</si>
  <si>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</si>
  <si>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</si>
  <si>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</si>
  <si>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</si>
  <si>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</si>
  <si>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</si>
  <si>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</si>
  <si>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</si>
  <si>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</si>
  <si>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</si>
  <si>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</si>
  <si>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</si>
  <si>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</si>
  <si>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</si>
  <si>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</si>
  <si>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</si>
  <si>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</si>
  <si>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</si>
  <si>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</si>
  <si>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</si>
  <si>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</si>
  <si>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</si>
  <si>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</si>
  <si>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</si>
  <si>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</si>
  <si>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</si>
  <si>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</si>
  <si>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</si>
  <si>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</si>
  <si>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</si>
  <si>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</si>
  <si>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</si>
  <si>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</si>
  <si>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</si>
  <si>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</si>
  <si>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</si>
  <si>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</si>
  <si>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</si>
  <si>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</si>
  <si>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</si>
  <si>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</si>
  <si>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</si>
  <si>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</si>
  <si>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</si>
  <si>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</si>
  <si>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</si>
  <si>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</si>
  <si>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</si>
  <si>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</si>
  <si>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</si>
  <si>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</si>
  <si>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</si>
  <si>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</si>
  <si>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</si>
  <si>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</si>
  <si>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</si>
  <si>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</si>
  <si>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</si>
  <si>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</si>
  <si>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</si>
  <si>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</si>
  <si>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</si>
  <si>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</si>
  <si>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</si>
  <si>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</si>
  <si>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</si>
  <si>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</si>
  <si>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</si>
  <si>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</si>
  <si>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</si>
  <si>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</si>
  <si>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</si>
  <si>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</si>
  <si>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</si>
  <si>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</si>
  <si>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</si>
  <si>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</si>
  <si>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</si>
  <si>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</si>
  <si>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</si>
  <si>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</si>
  <si>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</si>
  <si>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</si>
  <si>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</si>
  <si>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</si>
  <si>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</si>
  <si>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</si>
  <si>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</si>
  <si>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</si>
  <si>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</si>
  <si>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</si>
  <si>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</si>
  <si>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</si>
  <si>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</si>
  <si>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</si>
  <si>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</si>
  <si>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</si>
  <si>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</si>
  <si>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</si>
  <si>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</si>
  <si>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</si>
  <si>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</si>
  <si>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</si>
  <si>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</si>
  <si>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</si>
  <si>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</si>
  <si>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</si>
  <si>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</si>
  <si>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</si>
  <si>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</si>
  <si>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</si>
  <si>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</si>
  <si>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</si>
  <si>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</si>
  <si>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</si>
  <si>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</si>
  <si>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</si>
  <si>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</si>
  <si>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</si>
  <si>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</si>
  <si>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</si>
  <si>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</si>
  <si>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</si>
  <si>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</si>
  <si>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</si>
  <si>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</si>
  <si>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</si>
  <si>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</si>
  <si>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</si>
  <si>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</si>
  <si>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</si>
  <si>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</si>
  <si>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</si>
  <si>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</si>
  <si>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</si>
  <si>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</si>
  <si>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</si>
  <si>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</si>
  <si>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</si>
  <si>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</si>
  <si>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</si>
  <si>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</si>
  <si>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</si>
  <si>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</si>
  <si>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</si>
  <si>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</si>
  <si>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</si>
  <si>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</si>
  <si>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</si>
  <si>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</si>
  <si>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</si>
  <si>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</si>
  <si>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</si>
  <si>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</si>
  <si>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</si>
  <si>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</si>
  <si>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</si>
  <si>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</si>
  <si>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</si>
  <si>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</si>
  <si>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</si>
  <si>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</si>
  <si>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</si>
  <si>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</si>
  <si>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</si>
  <si>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</si>
  <si>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</si>
  <si>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</si>
  <si>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</si>
  <si>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</si>
  <si>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</si>
  <si>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</si>
  <si>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</si>
  <si>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</si>
  <si>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</si>
  <si>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</si>
  <si>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</si>
  <si>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</si>
  <si>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</si>
  <si>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</si>
  <si>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</si>
  <si>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</si>
  <si>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</si>
  <si>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</si>
  <si>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</si>
  <si>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</si>
  <si>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</si>
  <si>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</si>
  <si>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</si>
  <si>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</si>
  <si>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</si>
  <si>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</si>
  <si>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</si>
  <si>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</si>
  <si>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</si>
  <si>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</si>
  <si>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</si>
  <si>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OK</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</si>
  <si>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</si>
  <si>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</si>
  <si>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</si>
  <si>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</si>
  <si>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</si>
  <si>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</si>
  <si>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</si>
  <si>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</si>
  <si>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</si>
  <si>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</si>
  <si>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</si>
  <si>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</si>
  <si>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</si>
  <si>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</si>
  <si>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</si>
  <si>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</si>
  <si>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</si>
  <si>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</si>
  <si>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</si>
  <si>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</si>
  <si>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</si>
  <si>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</si>
  <si>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</si>
  <si>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</si>
  <si>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</si>
  <si>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</si>
  <si>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</si>
  <si>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</si>
  <si>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</si>
  <si>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</si>
  <si>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</si>
  <si>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</si>
  <si>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</si>
  <si>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</si>
  <si>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</si>
  <si>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</si>
  <si>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</si>
  <si>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</si>
  <si>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</si>
  <si>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</si>
  <si>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</si>
  <si>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</si>
  <si>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</si>
  <si>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</si>
  <si>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</si>
  <si>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</si>
  <si>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</si>
  <si>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</si>
  <si>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</si>
  <si>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</si>
  <si>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</si>
  <si>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</si>
  <si>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</si>
  <si>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</si>
  <si>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</si>
  <si>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</si>
  <si>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</si>
  <si>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</si>
  <si>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</si>
  <si>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</si>
  <si>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</si>
  <si>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</si>
  <si>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</si>
  <si>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</si>
  <si>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</si>
  <si>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</si>
  <si>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</si>
  <si>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</si>
  <si>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</si>
  <si>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</si>
  <si>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</si>
  <si>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</si>
  <si>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</si>
  <si>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</si>
  <si>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PAVIMENTAÇÃO ASFÁLTICA</t>
  </si>
  <si>
    <t>ADMINISTRAÇÃO DE OBRA</t>
  </si>
  <si>
    <t>Composição</t>
  </si>
  <si>
    <t>001</t>
  </si>
  <si>
    <t>SERVIÇOS PRELIMINARES</t>
  </si>
  <si>
    <t>103689</t>
  </si>
  <si>
    <t>SEOP</t>
  </si>
  <si>
    <t>10005</t>
  </si>
  <si>
    <t>MOBILIZAÇÃO DE MAQUINÁRIO</t>
  </si>
  <si>
    <t>DESMOBILIZAÇÃO DE MAQUINÁRIO</t>
  </si>
  <si>
    <t>005</t>
  </si>
  <si>
    <t>95995</t>
  </si>
  <si>
    <t>100986</t>
  </si>
  <si>
    <t>DRENAGEM SUPERFICIAL</t>
  </si>
  <si>
    <t>94267</t>
  </si>
  <si>
    <t>006</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</si>
  <si>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</si>
  <si>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</si>
  <si>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</si>
  <si>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</si>
  <si>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</si>
  <si>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</si>
  <si>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</si>
  <si>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Automática, conforme os agrupadores Nível 2 do Orçamento</t>
  </si>
  <si>
    <t>Nº do Evento</t>
  </si>
  <si>
    <t>Título do Evento</t>
  </si>
  <si>
    <t>Valor Total dos Eventos (R$)</t>
  </si>
  <si>
    <t>Total:</t>
  </si>
  <si>
    <t>.</t>
  </si>
  <si>
    <t>Preços dos serviços por frente</t>
  </si>
  <si>
    <t>Mês do cronograma</t>
  </si>
  <si>
    <t>Número da Medição</t>
  </si>
  <si>
    <t>Empty</t>
  </si>
  <si>
    <t>Nº AGRUPADOR DE EVENTOS</t>
  </si>
  <si>
    <t>FRENTES DE OBRA:</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</si>
  <si>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</si>
  <si>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</si>
  <si>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</si>
  <si>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</si>
  <si>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</si>
  <si>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</si>
  <si>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</si>
  <si>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</si>
  <si>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</si>
  <si>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</si>
  <si>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</si>
  <si>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</si>
  <si>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</si>
  <si>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</si>
  <si>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</si>
  <si>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</si>
  <si>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</si>
  <si>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</si>
  <si>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</si>
  <si>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</si>
  <si>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</si>
  <si>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</si>
  <si>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</si>
  <si>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</si>
  <si>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</si>
  <si>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</si>
  <si>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</si>
  <si>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</si>
  <si>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</si>
  <si>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</si>
  <si>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</si>
  <si>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</si>
  <si>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</si>
  <si>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</si>
  <si>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</si>
  <si>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</si>
  <si>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</si>
  <si>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</si>
  <si>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</si>
  <si>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</si>
  <si>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</si>
  <si>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</si>
  <si>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</si>
  <si>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</si>
  <si>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</si>
  <si>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</si>
  <si>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</si>
  <si>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</si>
  <si>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</si>
  <si>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</si>
  <si>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</si>
  <si>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</si>
  <si>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</si>
  <si>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</si>
  <si>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</si>
  <si>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</si>
  <si>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</si>
  <si>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</si>
  <si>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Em Análise</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</si>
  <si>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</si>
  <si>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</si>
  <si>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</si>
  <si>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</si>
  <si>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</si>
  <si>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</si>
  <si>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</si>
  <si>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</si>
  <si>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</si>
  <si>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</si>
  <si>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</si>
  <si>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</si>
  <si>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</si>
  <si>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</si>
  <si>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</si>
  <si>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</si>
  <si>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</si>
  <si>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</si>
  <si>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</si>
  <si>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</si>
  <si>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</si>
  <si>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</si>
  <si>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</si>
  <si>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</si>
  <si>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</si>
  <si>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</si>
  <si>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</si>
  <si>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</si>
  <si>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</si>
  <si>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</si>
  <si>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</si>
  <si>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</si>
  <si>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</si>
  <si>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</si>
  <si>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</si>
  <si>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</si>
  <si>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</si>
  <si>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</si>
  <si>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</si>
  <si>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</si>
  <si>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</si>
  <si>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</si>
  <si>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</si>
  <si>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</si>
  <si>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</si>
  <si>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</si>
  <si>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</si>
  <si>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</si>
  <si>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</si>
  <si>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</si>
  <si>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</si>
  <si>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</si>
  <si>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</si>
  <si>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</si>
  <si>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</si>
  <si>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</si>
  <si>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</si>
  <si>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</si>
  <si>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</si>
  <si>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</si>
  <si>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</si>
  <si>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</si>
  <si>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</si>
  <si>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</si>
  <si>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</si>
  <si>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</si>
  <si>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</si>
  <si>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</si>
  <si>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</si>
  <si>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</si>
  <si>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</si>
  <si>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</si>
  <si>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</si>
  <si>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</si>
  <si>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</si>
  <si>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</si>
  <si>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</si>
  <si>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</si>
  <si>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</si>
  <si>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</si>
  <si>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</si>
  <si>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</si>
  <si>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</si>
  <si>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</si>
  <si>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</si>
  <si>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</si>
  <si>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</si>
  <si>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</si>
  <si>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</si>
  <si>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</si>
  <si>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</si>
  <si>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</si>
  <si>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</si>
  <si>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</si>
  <si>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</si>
  <si>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</si>
  <si>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</si>
  <si>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</si>
  <si>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</si>
  <si>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</si>
  <si>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</si>
  <si>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</si>
  <si>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PAVIMENTAÇÃO DO ACESSO A PRAÇA DO CACAU</t>
  </si>
  <si>
    <t>002</t>
  </si>
  <si>
    <t>003</t>
  </si>
  <si>
    <t>95877</t>
  </si>
  <si>
    <t>95427</t>
  </si>
  <si>
    <t>PAVIMENTAÇÃO DE VIAS NO MUNICÍPIO DE URUARÁ - PARÁ</t>
  </si>
  <si>
    <t>S/ INFORMAÇÃO</t>
  </si>
  <si>
    <t>PAVIMENTAÇÃO DE 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</si>
</sst>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79"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hair">
        <color indexed="8"/>
      </left>
      <right/>
      <top style="hair">
        <color indexed="8"/>
      </top>
      <bottom/>
      <diagonal/>
    </border>
    <border>
      <left style="hair">
        <color indexed="8"/>
      </left>
      <right/>
      <top style="hair">
        <color indexed="8"/>
      </top>
      <bottom style="thin">
        <color indexed="8"/>
      </bottom>
      <diagonal/>
    </border>
    <border>
      <left/>
      <right/>
      <top style="hair">
        <color indexed="8"/>
      </top>
      <bottom style="thin">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top style="thin">
        <color indexed="8"/>
      </top>
      <bottom/>
      <diagonal/>
    </border>
    <border>
      <left style="thin">
        <color indexed="8"/>
      </left>
      <right/>
      <top style="thin">
        <color indexed="8"/>
      </top>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indexed="64"/>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53">
    <xf numFmtId="0" fontId="0" fillId="0" borderId="0" xfId="0"/>
    <xf numFmtId="0" fontId="0" fillId="0" borderId="0" xfId="0" applyAlignment="1">
      <alignment vertical="center"/>
    </xf>
    <xf numFmtId="0" fontId="0" fillId="0" borderId="10"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1" xfId="0" applyFont="1" applyBorder="1" applyAlignment="1">
      <alignment horizontal="left"/>
    </xf>
    <xf numFmtId="0" fontId="0" fillId="0" borderId="12" xfId="0" applyBorder="1" applyAlignment="1">
      <alignment vertical="center"/>
    </xf>
    <xf numFmtId="0" fontId="0" fillId="16" borderId="13" xfId="0" applyFill="1" applyBorder="1" applyAlignment="1" applyProtection="1">
      <alignment vertical="center"/>
      <protection locked="0"/>
    </xf>
    <xf numFmtId="0" fontId="0" fillId="0" borderId="14" xfId="0" applyBorder="1" applyAlignment="1">
      <alignment vertical="center"/>
    </xf>
    <xf numFmtId="49" fontId="0" fillId="6" borderId="15" xfId="0" applyNumberFormat="1"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4" fontId="0" fillId="6" borderId="17" xfId="0" applyNumberFormat="1" applyFill="1" applyBorder="1" applyAlignment="1" applyProtection="1">
      <alignment horizontal="left" vertical="center"/>
      <protection locked="0"/>
    </xf>
    <xf numFmtId="10" fontId="0" fillId="6" borderId="17" xfId="0" applyNumberFormat="1" applyFill="1" applyBorder="1" applyAlignment="1" applyProtection="1">
      <alignment horizontal="left" vertical="center"/>
      <protection locked="0"/>
    </xf>
    <xf numFmtId="0" fontId="0" fillId="0" borderId="18" xfId="0" applyBorder="1" applyAlignment="1">
      <alignment vertical="center"/>
    </xf>
    <xf numFmtId="10" fontId="0" fillId="6" borderId="19"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0" xfId="0" applyBorder="1" applyAlignment="1">
      <alignment vertical="center"/>
    </xf>
    <xf numFmtId="49" fontId="0" fillId="6" borderId="21" xfId="0" applyNumberFormat="1" applyFill="1" applyBorder="1" applyAlignment="1" applyProtection="1">
      <alignment vertical="center" wrapText="1"/>
      <protection locked="0"/>
    </xf>
    <xf numFmtId="49" fontId="0" fillId="6" borderId="22" xfId="0" applyNumberFormat="1" applyFill="1" applyBorder="1" applyAlignment="1" applyProtection="1">
      <alignment vertical="center" wrapText="1"/>
      <protection locked="0"/>
    </xf>
    <xf numFmtId="0" fontId="0" fillId="16" borderId="22" xfId="0" applyFill="1" applyBorder="1" applyAlignment="1" applyProtection="1">
      <alignment vertical="center"/>
      <protection locked="0"/>
    </xf>
    <xf numFmtId="0" fontId="0" fillId="0" borderId="23" xfId="0" applyBorder="1" applyAlignment="1">
      <alignment vertical="center"/>
    </xf>
    <xf numFmtId="166" fontId="0" fillId="6" borderId="19"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5" xfId="0" applyFill="1" applyBorder="1" applyAlignment="1" applyProtection="1">
      <alignment vertical="center"/>
      <protection locked="0"/>
    </xf>
    <xf numFmtId="14" fontId="0" fillId="6" borderId="19" xfId="0" applyNumberFormat="1" applyFill="1" applyBorder="1" applyAlignment="1" applyProtection="1">
      <alignment horizontal="left" vertical="center"/>
      <protection locked="0"/>
    </xf>
    <xf numFmtId="0" fontId="0" fillId="6" borderId="13" xfId="0" applyFill="1" applyBorder="1" applyAlignment="1" applyProtection="1">
      <alignment vertical="center"/>
      <protection locked="0"/>
    </xf>
    <xf numFmtId="0" fontId="0" fillId="6" borderId="19" xfId="0" applyFill="1" applyBorder="1" applyAlignment="1" applyProtection="1">
      <alignment vertical="center"/>
      <protection locked="0"/>
    </xf>
    <xf numFmtId="14" fontId="0" fillId="6" borderId="13" xfId="0" applyNumberFormat="1" applyFill="1" applyBorder="1" applyAlignment="1" applyProtection="1">
      <alignment horizontal="left" vertical="center"/>
      <protection locked="0"/>
    </xf>
    <xf numFmtId="166" fontId="0" fillId="6" borderId="24" xfId="0" applyNumberFormat="1" applyFill="1" applyBorder="1" applyAlignment="1" applyProtection="1">
      <alignment horizontal="left" vertical="center"/>
      <protection locked="0"/>
    </xf>
    <xf numFmtId="14" fontId="0" fillId="6" borderId="25" xfId="0" applyNumberFormat="1" applyFill="1" applyBorder="1" applyAlignment="1" applyProtection="1">
      <alignment horizontal="left" vertical="center"/>
      <protection locked="0"/>
    </xf>
    <xf numFmtId="49" fontId="0" fillId="6" borderId="13" xfId="0" applyNumberFormat="1" applyFill="1" applyBorder="1" applyAlignment="1" applyProtection="1">
      <alignment vertical="center"/>
      <protection locked="0"/>
    </xf>
    <xf numFmtId="49" fontId="0" fillId="6" borderId="25" xfId="0" applyNumberFormat="1" applyFill="1" applyBorder="1" applyAlignment="1" applyProtection="1">
      <alignment vertical="center"/>
      <protection locked="0"/>
    </xf>
    <xf numFmtId="49" fontId="0" fillId="6" borderId="19" xfId="0" applyNumberFormat="1" applyFill="1" applyBorder="1" applyAlignment="1" applyProtection="1">
      <alignment vertical="center"/>
      <protection locked="0"/>
    </xf>
    <xf numFmtId="0" fontId="26" fillId="0" borderId="10" xfId="0" applyFont="1" applyBorder="1" applyAlignment="1">
      <alignment horizontal="left"/>
    </xf>
    <xf numFmtId="0" fontId="0" fillId="0" borderId="26" xfId="0" applyBorder="1"/>
    <xf numFmtId="0" fontId="27" fillId="0" borderId="27" xfId="0" applyFont="1" applyBorder="1" applyAlignment="1">
      <alignment horizontal="left" indent="1"/>
    </xf>
    <xf numFmtId="0" fontId="0" fillId="0" borderId="27" xfId="0" applyBorder="1" applyAlignment="1">
      <alignment vertical="center"/>
    </xf>
    <xf numFmtId="0" fontId="28" fillId="0" borderId="10"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24" fillId="0" borderId="0" xfId="33" applyFont="1"/>
    <xf numFmtId="0" fontId="8" fillId="0" borderId="0" xfId="33" applyFont="1" applyAlignment="1">
      <alignment horizontal="left"/>
    </xf>
    <xf numFmtId="0" fontId="31" fillId="0" borderId="0" xfId="33" applyFont="1" applyAlignment="1">
      <alignment horizontal="right" vertical="center"/>
    </xf>
    <xf numFmtId="0" fontId="0" fillId="0" borderId="0" xfId="33"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28" xfId="35" applyFont="1" applyBorder="1" applyAlignment="1">
      <alignment vertical="top"/>
    </xf>
    <xf numFmtId="0" fontId="0" fillId="0" borderId="29" xfId="0" applyBorder="1"/>
    <xf numFmtId="0" fontId="0" fillId="0" borderId="11" xfId="33" applyFont="1" applyBorder="1" applyAlignment="1">
      <alignment vertical="top" wrapText="1"/>
    </xf>
    <xf numFmtId="0" fontId="0" fillId="0" borderId="26" xfId="33" applyFont="1" applyBorder="1" applyAlignment="1">
      <alignment vertical="top" wrapText="1"/>
    </xf>
    <xf numFmtId="0" fontId="22" fillId="0" borderId="0" xfId="0" applyFont="1" applyAlignment="1">
      <alignment horizontal="center"/>
    </xf>
    <xf numFmtId="0" fontId="24" fillId="0" borderId="0" xfId="35" applyFont="1" applyAlignment="1">
      <alignment horizontal="center" vertical="top"/>
    </xf>
    <xf numFmtId="0" fontId="24" fillId="0" borderId="28" xfId="35" applyFont="1" applyBorder="1" applyAlignment="1">
      <alignment horizontal="center" vertical="top"/>
    </xf>
    <xf numFmtId="170" fontId="0" fillId="0" borderId="11" xfId="33" applyNumberFormat="1" applyFont="1" applyBorder="1" applyAlignment="1">
      <alignment vertical="top" shrinkToFit="1"/>
    </xf>
    <xf numFmtId="0" fontId="0" fillId="0" borderId="27" xfId="33" applyFont="1" applyBorder="1" applyAlignment="1">
      <alignment horizontal="center" vertical="top" wrapText="1"/>
    </xf>
    <xf numFmtId="0" fontId="0" fillId="0" borderId="11" xfId="33" applyFont="1" applyBorder="1" applyAlignment="1">
      <alignment horizontal="center" vertical="top" wrapText="1"/>
    </xf>
    <xf numFmtId="10" fontId="0" fillId="0" borderId="0" xfId="0" applyNumberFormat="1" applyAlignment="1">
      <alignment vertical="center" wrapText="1"/>
    </xf>
    <xf numFmtId="0" fontId="43" fillId="0" borderId="0" xfId="0" applyFont="1"/>
    <xf numFmtId="0" fontId="22" fillId="0" borderId="11" xfId="0" applyFont="1" applyBorder="1" applyAlignment="1">
      <alignment horizontal="center"/>
    </xf>
    <xf numFmtId="1" fontId="44" fillId="0" borderId="0" xfId="0" applyNumberFormat="1" applyFont="1" applyAlignment="1">
      <alignment horizontal="center" vertical="center"/>
    </xf>
    <xf numFmtId="0" fontId="24" fillId="0" borderId="29"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0" xfId="0" applyFont="1" applyAlignment="1">
      <alignment horizontal="center" vertical="center" wrapText="1"/>
    </xf>
    <xf numFmtId="0" fontId="24" fillId="0" borderId="33" xfId="0" applyFont="1" applyBorder="1" applyAlignment="1">
      <alignment horizontal="center" vertical="center" wrapText="1"/>
    </xf>
    <xf numFmtId="0" fontId="39" fillId="0" borderId="0" xfId="0" applyFont="1" applyAlignment="1">
      <alignment horizontal="center"/>
    </xf>
    <xf numFmtId="0" fontId="8" fillId="16" borderId="34" xfId="0" applyFont="1" applyFill="1" applyBorder="1" applyAlignment="1" applyProtection="1">
      <alignment horizontal="center" vertical="center" wrapText="1"/>
      <protection locked="0"/>
    </xf>
    <xf numFmtId="0" fontId="8" fillId="0" borderId="34" xfId="0" applyFont="1" applyBorder="1" applyAlignment="1">
      <alignment horizontal="center" vertical="center" wrapText="1"/>
    </xf>
    <xf numFmtId="0" fontId="0" fillId="0" borderId="35" xfId="0" applyBorder="1" applyAlignment="1">
      <alignment vertical="center" wrapText="1" shrinkToFit="1"/>
    </xf>
    <xf numFmtId="49" fontId="0" fillId="16" borderId="36" xfId="0" applyNumberFormat="1" applyFill="1" applyBorder="1" applyAlignment="1" applyProtection="1">
      <alignment horizontal="center" vertical="center" wrapText="1"/>
      <protection locked="0"/>
    </xf>
    <xf numFmtId="49" fontId="0" fillId="6" borderId="36" xfId="0" applyNumberFormat="1" applyFill="1" applyBorder="1" applyAlignment="1" applyProtection="1">
      <alignment horizontal="center" vertical="center" wrapText="1"/>
      <protection locked="0"/>
    </xf>
    <xf numFmtId="0" fontId="0" fillId="6" borderId="36" xfId="0" applyFill="1" applyBorder="1" applyAlignment="1" applyProtection="1">
      <alignment horizontal="left" vertical="center" wrapText="1"/>
      <protection locked="0"/>
    </xf>
    <xf numFmtId="0" fontId="0" fillId="6" borderId="36" xfId="0" applyFill="1" applyBorder="1" applyAlignment="1" applyProtection="1">
      <alignment horizontal="center" vertical="center" wrapText="1"/>
      <protection locked="0"/>
    </xf>
    <xf numFmtId="171" fontId="0" fillId="0" borderId="36" xfId="48" applyFont="1" applyFill="1" applyBorder="1" applyAlignment="1" applyProtection="1">
      <alignment vertical="center" shrinkToFit="1"/>
    </xf>
    <xf numFmtId="171" fontId="0" fillId="6" borderId="36" xfId="48" applyFont="1" applyFill="1" applyBorder="1" applyAlignment="1" applyProtection="1">
      <alignment vertical="center" wrapText="1"/>
      <protection locked="0"/>
    </xf>
    <xf numFmtId="10" fontId="0" fillId="16" borderId="36" xfId="37" applyNumberFormat="1" applyFont="1" applyFill="1" applyBorder="1" applyAlignment="1" applyProtection="1">
      <alignment horizontal="center" vertical="center" wrapText="1"/>
      <protection locked="0"/>
    </xf>
    <xf numFmtId="171" fontId="0" fillId="0" borderId="37" xfId="48" applyFont="1" applyFill="1" applyBorder="1" applyAlignment="1" applyProtection="1">
      <alignment horizontal="center" vertical="center" shrinkToFit="1"/>
    </xf>
    <xf numFmtId="10" fontId="39" fillId="16" borderId="38" xfId="37" applyNumberFormat="1" applyFont="1" applyFill="1" applyBorder="1" applyAlignment="1" applyProtection="1">
      <alignment horizontal="center" vertical="center"/>
      <protection locked="0"/>
    </xf>
    <xf numFmtId="0" fontId="0" fillId="0" borderId="39" xfId="0" applyBorder="1"/>
    <xf numFmtId="0" fontId="0" fillId="0" borderId="40" xfId="0" applyBorder="1"/>
    <xf numFmtId="0" fontId="22" fillId="0" borderId="0" xfId="0" applyFont="1"/>
    <xf numFmtId="0" fontId="24" fillId="17" borderId="29" xfId="0" applyFont="1" applyFill="1" applyBorder="1" applyAlignment="1">
      <alignment horizontal="center" vertical="center"/>
    </xf>
    <xf numFmtId="0" fontId="30" fillId="0" borderId="0" xfId="0" applyFont="1"/>
    <xf numFmtId="0" fontId="30" fillId="0" borderId="30"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0" fontId="17" fillId="0" borderId="27" xfId="33" applyFont="1" applyBorder="1" applyAlignment="1">
      <alignment vertical="center"/>
    </xf>
    <xf numFmtId="0" fontId="23" fillId="0" borderId="0" xfId="0" applyFont="1" applyAlignment="1">
      <alignment horizontal="center" vertical="center"/>
    </xf>
    <xf numFmtId="0" fontId="37" fillId="0" borderId="0" xfId="0" applyFont="1" applyAlignment="1">
      <alignment horizontal="center" vertical="center"/>
    </xf>
    <xf numFmtId="0" fontId="24" fillId="0" borderId="30" xfId="35" applyFont="1" applyBorder="1" applyAlignment="1">
      <alignment vertical="top"/>
    </xf>
    <xf numFmtId="0" fontId="24" fillId="0" borderId="0" xfId="35" applyFont="1" applyAlignment="1">
      <alignment vertical="top"/>
    </xf>
    <xf numFmtId="0" fontId="24" fillId="0" borderId="10" xfId="35" applyFont="1" applyBorder="1" applyAlignment="1">
      <alignment vertical="top"/>
    </xf>
    <xf numFmtId="0" fontId="0" fillId="0" borderId="41" xfId="33" applyFont="1" applyBorder="1" applyAlignment="1">
      <alignment vertical="top"/>
    </xf>
    <xf numFmtId="0" fontId="0" fillId="0" borderId="27" xfId="33" applyFont="1" applyBorder="1" applyAlignment="1">
      <alignment vertical="top" wrapText="1"/>
    </xf>
    <xf numFmtId="0" fontId="32" fillId="0" borderId="0" xfId="0" applyFont="1" applyAlignment="1">
      <alignment horizontal="center"/>
    </xf>
    <xf numFmtId="0" fontId="22" fillId="0" borderId="27"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2" xfId="0" applyFill="1" applyBorder="1" applyAlignment="1" applyProtection="1">
      <alignment horizontal="center" textRotation="90" wrapText="1"/>
      <protection locked="0"/>
    </xf>
    <xf numFmtId="0" fontId="0" fillId="6" borderId="43" xfId="0" applyFill="1" applyBorder="1" applyAlignment="1" applyProtection="1">
      <alignment horizontal="center" textRotation="90" wrapText="1"/>
      <protection locked="0"/>
    </xf>
    <xf numFmtId="0" fontId="0" fillId="0" borderId="33" xfId="0" applyBorder="1" applyAlignment="1">
      <alignment horizontal="center" textRotation="90" wrapText="1"/>
    </xf>
    <xf numFmtId="0" fontId="0" fillId="0" borderId="42" xfId="0" applyBorder="1" applyAlignment="1">
      <alignment horizontal="center" textRotation="90" wrapText="1"/>
    </xf>
    <xf numFmtId="0" fontId="0" fillId="0" borderId="43" xfId="0" applyBorder="1" applyAlignment="1">
      <alignment horizontal="center" textRotation="90" wrapText="1"/>
    </xf>
    <xf numFmtId="0" fontId="24" fillId="0" borderId="42" xfId="0" applyFont="1" applyBorder="1" applyAlignment="1">
      <alignment horizontal="center" vertical="center" wrapText="1"/>
    </xf>
    <xf numFmtId="0" fontId="24" fillId="0" borderId="43" xfId="0" applyFont="1" applyBorder="1" applyAlignment="1">
      <alignment horizontal="center" vertical="center" wrapText="1"/>
    </xf>
    <xf numFmtId="0" fontId="0" fillId="0" borderId="36" xfId="0" applyBorder="1" applyAlignment="1">
      <alignment horizontal="left" vertical="center" wrapText="1"/>
    </xf>
    <xf numFmtId="0" fontId="0" fillId="0" borderId="36" xfId="0" applyBorder="1" applyAlignment="1">
      <alignment horizontal="center" vertical="center" wrapText="1"/>
    </xf>
    <xf numFmtId="0" fontId="47" fillId="0" borderId="0" xfId="0" applyFont="1" applyAlignment="1">
      <alignment horizontal="center"/>
    </xf>
    <xf numFmtId="0" fontId="21" fillId="0" borderId="32" xfId="48" applyNumberFormat="1" applyFont="1" applyFill="1" applyBorder="1" applyAlignment="1" applyProtection="1">
      <alignment horizontal="center" vertical="center" wrapText="1" shrinkToFit="1"/>
    </xf>
    <xf numFmtId="0" fontId="21" fillId="0" borderId="38" xfId="48" applyNumberFormat="1" applyFont="1" applyFill="1" applyBorder="1" applyAlignment="1" applyProtection="1">
      <alignment vertical="center" wrapText="1" shrinkToFit="1"/>
    </xf>
    <xf numFmtId="171" fontId="0" fillId="6" borderId="35" xfId="48" applyFont="1" applyFill="1" applyBorder="1" applyAlignment="1" applyProtection="1">
      <alignment vertical="center" shrinkToFit="1"/>
      <protection locked="0"/>
    </xf>
    <xf numFmtId="171" fontId="0" fillId="6" borderId="36" xfId="48" applyFont="1" applyFill="1" applyBorder="1" applyAlignment="1" applyProtection="1">
      <alignment vertical="center" shrinkToFit="1"/>
      <protection locked="0"/>
    </xf>
    <xf numFmtId="171" fontId="0" fillId="6" borderId="37" xfId="48" applyFont="1" applyFill="1" applyBorder="1" applyAlignment="1" applyProtection="1">
      <alignment vertical="center" shrinkToFit="1"/>
      <protection locked="0"/>
    </xf>
    <xf numFmtId="1" fontId="0" fillId="0" borderId="44" xfId="48" applyNumberFormat="1" applyFont="1" applyFill="1" applyBorder="1" applyAlignment="1" applyProtection="1">
      <alignment horizontal="center" vertical="center" shrinkToFit="1"/>
    </xf>
    <xf numFmtId="1" fontId="0" fillId="0" borderId="45" xfId="48" applyNumberFormat="1" applyFont="1" applyFill="1" applyBorder="1" applyAlignment="1" applyProtection="1">
      <alignment horizontal="center" vertical="center" shrinkToFit="1"/>
    </xf>
    <xf numFmtId="0" fontId="24" fillId="17" borderId="29" xfId="0" applyFont="1" applyFill="1" applyBorder="1" applyAlignment="1">
      <alignment horizontal="right" vertical="center"/>
    </xf>
    <xf numFmtId="4" fontId="24" fillId="17" borderId="46" xfId="0" applyNumberFormat="1" applyFont="1" applyFill="1" applyBorder="1" applyAlignment="1">
      <alignment horizontal="right" vertical="center" shrinkToFit="1"/>
    </xf>
    <xf numFmtId="4" fontId="24" fillId="17" borderId="47" xfId="0" applyNumberFormat="1" applyFont="1" applyFill="1" applyBorder="1" applyAlignment="1">
      <alignment horizontal="right" vertical="center" shrinkToFit="1"/>
    </xf>
    <xf numFmtId="4" fontId="24" fillId="17" borderId="48" xfId="0" applyNumberFormat="1" applyFont="1" applyFill="1" applyBorder="1" applyAlignment="1">
      <alignment horizontal="right" vertical="center" shrinkToFit="1"/>
    </xf>
    <xf numFmtId="4" fontId="24" fillId="17" borderId="33" xfId="0" applyNumberFormat="1" applyFont="1" applyFill="1" applyBorder="1" applyAlignment="1">
      <alignment horizontal="right" vertical="center" shrinkToFit="1"/>
    </xf>
    <xf numFmtId="0" fontId="24" fillId="17" borderId="33" xfId="0" applyFont="1" applyFill="1" applyBorder="1" applyAlignment="1">
      <alignment horizontal="right" vertical="center" shrinkToFit="1"/>
    </xf>
    <xf numFmtId="167" fontId="0" fillId="0" borderId="27" xfId="0" applyNumberFormat="1" applyBorder="1"/>
    <xf numFmtId="0" fontId="0" fillId="0" borderId="27" xfId="0" applyBorder="1"/>
    <xf numFmtId="171" fontId="56" fillId="0" borderId="29" xfId="48" applyFill="1" applyBorder="1" applyAlignment="1" applyProtection="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49" xfId="38" applyNumberFormat="1" applyFont="1" applyFill="1" applyBorder="1" applyAlignment="1" applyProtection="1">
      <alignment horizontal="center"/>
    </xf>
    <xf numFmtId="172" fontId="46" fillId="0" borderId="50" xfId="34" applyNumberFormat="1" applyFont="1" applyBorder="1" applyAlignment="1">
      <alignment horizontal="left"/>
    </xf>
    <xf numFmtId="10" fontId="46" fillId="0" borderId="51" xfId="34" applyNumberFormat="1" applyFont="1" applyBorder="1" applyAlignment="1">
      <alignment horizontal="left"/>
    </xf>
    <xf numFmtId="1" fontId="46" fillId="0" borderId="51" xfId="34" applyNumberFormat="1" applyFont="1" applyBorder="1" applyAlignment="1">
      <alignment horizontal="center"/>
    </xf>
    <xf numFmtId="0" fontId="46" fillId="0" borderId="51" xfId="34" applyFont="1" applyBorder="1" applyAlignment="1">
      <alignment horizontal="center"/>
    </xf>
    <xf numFmtId="173" fontId="56" fillId="0" borderId="52" xfId="48" applyNumberFormat="1" applyFill="1" applyBorder="1" applyAlignment="1" applyProtection="1">
      <alignment horizontal="right" shrinkToFit="1"/>
    </xf>
    <xf numFmtId="0" fontId="46" fillId="0" borderId="28" xfId="34" applyFont="1" applyBorder="1" applyAlignment="1">
      <alignment horizontal="center"/>
    </xf>
    <xf numFmtId="0" fontId="46" fillId="0" borderId="53" xfId="34" applyFont="1" applyBorder="1"/>
    <xf numFmtId="0" fontId="32" fillId="0" borderId="53" xfId="34" applyFont="1" applyBorder="1"/>
    <xf numFmtId="0" fontId="46" fillId="0" borderId="53" xfId="34" applyFont="1" applyBorder="1" applyAlignment="1">
      <alignment horizontal="center"/>
    </xf>
    <xf numFmtId="165" fontId="0" fillId="0" borderId="53" xfId="49" applyFont="1" applyFill="1" applyBorder="1" applyAlignment="1" applyProtection="1">
      <alignment horizontal="right" shrinkToFit="1"/>
    </xf>
    <xf numFmtId="173" fontId="0" fillId="0" borderId="28" xfId="48" applyNumberFormat="1" applyFont="1" applyFill="1" applyBorder="1" applyAlignment="1" applyProtection="1">
      <alignment horizontal="center" vertical="center"/>
    </xf>
    <xf numFmtId="165" fontId="48" fillId="0" borderId="54" xfId="49" applyFont="1" applyFill="1" applyBorder="1" applyAlignment="1" applyProtection="1">
      <alignment horizontal="center"/>
    </xf>
    <xf numFmtId="165" fontId="48" fillId="0" borderId="0" xfId="49" applyFont="1" applyFill="1" applyBorder="1" applyAlignment="1" applyProtection="1">
      <alignment horizontal="center"/>
    </xf>
    <xf numFmtId="165" fontId="0" fillId="0" borderId="11" xfId="49" applyFont="1" applyFill="1" applyBorder="1" applyAlignment="1" applyProtection="1">
      <alignment horizontal="center"/>
    </xf>
    <xf numFmtId="165" fontId="23" fillId="0" borderId="0" xfId="49" applyFont="1" applyFill="1" applyBorder="1" applyAlignment="1" applyProtection="1">
      <alignment horizontal="left"/>
    </xf>
    <xf numFmtId="0" fontId="49" fillId="0" borderId="30" xfId="34" applyFont="1" applyBorder="1"/>
    <xf numFmtId="0" fontId="46" fillId="0" borderId="10" xfId="34" applyFont="1" applyBorder="1"/>
    <xf numFmtId="0" fontId="24" fillId="0" borderId="30" xfId="49" applyNumberFormat="1" applyFont="1" applyFill="1" applyBorder="1" applyAlignment="1" applyProtection="1">
      <alignment horizontal="left"/>
    </xf>
    <xf numFmtId="165" fontId="24" fillId="0" borderId="30" xfId="49" applyFont="1" applyFill="1" applyBorder="1" applyAlignment="1" applyProtection="1">
      <alignment horizontal="left"/>
    </xf>
    <xf numFmtId="165" fontId="0" fillId="0" borderId="10" xfId="49" applyFont="1" applyFill="1" applyBorder="1" applyAlignment="1" applyProtection="1">
      <alignment horizontal="center"/>
    </xf>
    <xf numFmtId="0" fontId="46" fillId="0" borderId="41" xfId="34" applyFont="1" applyBorder="1"/>
    <xf numFmtId="0" fontId="46" fillId="16" borderId="29" xfId="34" applyFont="1" applyFill="1" applyBorder="1" applyAlignment="1" applyProtection="1">
      <alignment horizontal="center"/>
      <protection locked="0"/>
    </xf>
    <xf numFmtId="0" fontId="46" fillId="0" borderId="27" xfId="34" applyFont="1" applyBorder="1"/>
    <xf numFmtId="174" fontId="49" fillId="0" borderId="46" xfId="34" applyNumberFormat="1" applyFont="1" applyBorder="1" applyAlignment="1">
      <alignment horizontal="center"/>
    </xf>
    <xf numFmtId="0" fontId="49" fillId="0" borderId="27" xfId="34" applyFont="1" applyBorder="1" applyAlignment="1">
      <alignment horizontal="left" vertical="center" wrapText="1"/>
    </xf>
    <xf numFmtId="0" fontId="46" fillId="0" borderId="27" xfId="34" applyFont="1" applyBorder="1" applyAlignment="1">
      <alignment horizontal="center" vertical="center"/>
    </xf>
    <xf numFmtId="0" fontId="46" fillId="0" borderId="27" xfId="34" applyFont="1" applyBorder="1" applyAlignment="1">
      <alignment horizontal="center" vertical="center" wrapText="1"/>
    </xf>
    <xf numFmtId="174" fontId="49" fillId="0" borderId="47" xfId="34" applyNumberFormat="1" applyFont="1" applyBorder="1" applyAlignment="1" applyProtection="1">
      <alignment horizontal="center"/>
      <protection locked="0"/>
    </xf>
    <xf numFmtId="165" fontId="24" fillId="0" borderId="0" xfId="49" applyFont="1" applyFill="1" applyBorder="1" applyAlignment="1" applyProtection="1">
      <alignment horizontal="center" shrinkToFit="1"/>
    </xf>
    <xf numFmtId="165" fontId="0" fillId="8" borderId="55" xfId="49" applyFont="1" applyFill="1" applyBorder="1" applyAlignment="1" applyProtection="1">
      <alignment horizontal="center"/>
    </xf>
    <xf numFmtId="165" fontId="0" fillId="8" borderId="56" xfId="49" applyFont="1" applyFill="1" applyBorder="1" applyAlignment="1" applyProtection="1">
      <alignment horizontal="right"/>
    </xf>
    <xf numFmtId="171" fontId="56" fillId="0" borderId="36" xfId="48" applyFill="1" applyBorder="1" applyAlignment="1" applyProtection="1">
      <alignment shrinkToFit="1"/>
    </xf>
    <xf numFmtId="0" fontId="46" fillId="8" borderId="28" xfId="34" applyFont="1" applyFill="1" applyBorder="1"/>
    <xf numFmtId="165" fontId="0" fillId="0" borderId="34" xfId="49" applyFont="1" applyFill="1" applyBorder="1" applyAlignment="1" applyProtection="1">
      <alignment horizontal="center"/>
    </xf>
    <xf numFmtId="165" fontId="0" fillId="0" borderId="58" xfId="49" applyFont="1" applyFill="1" applyBorder="1" applyAlignment="1" applyProtection="1">
      <alignment horizontal="right"/>
    </xf>
    <xf numFmtId="0" fontId="49" fillId="0" borderId="0" xfId="34" applyFont="1" applyAlignment="1">
      <alignment horizontal="left"/>
    </xf>
    <xf numFmtId="0" fontId="46" fillId="8" borderId="28" xfId="34" applyFont="1" applyFill="1" applyBorder="1" applyAlignment="1">
      <alignment horizontal="center"/>
    </xf>
    <xf numFmtId="165" fontId="0" fillId="8" borderId="34" xfId="49" applyFont="1" applyFill="1" applyBorder="1" applyAlignment="1" applyProtection="1">
      <alignment horizontal="center"/>
    </xf>
    <xf numFmtId="165" fontId="0" fillId="8" borderId="58" xfId="49" applyFont="1" applyFill="1" applyBorder="1" applyAlignment="1" applyProtection="1">
      <alignment horizontal="right"/>
    </xf>
    <xf numFmtId="171" fontId="56" fillId="0" borderId="39" xfId="48" applyFill="1" applyBorder="1" applyAlignment="1" applyProtection="1">
      <alignment shrinkToFit="1"/>
    </xf>
    <xf numFmtId="165" fontId="0" fillId="0" borderId="50" xfId="49" applyFont="1" applyFill="1" applyBorder="1" applyAlignment="1" applyProtection="1">
      <alignment horizontal="center"/>
    </xf>
    <xf numFmtId="165" fontId="0" fillId="0" borderId="52" xfId="49" applyFont="1" applyFill="1" applyBorder="1" applyAlignment="1" applyProtection="1">
      <alignment horizontal="right"/>
    </xf>
    <xf numFmtId="0" fontId="46" fillId="8" borderId="11" xfId="34" applyFont="1" applyFill="1" applyBorder="1"/>
    <xf numFmtId="165" fontId="24" fillId="8" borderId="61" xfId="49" applyFont="1" applyFill="1" applyBorder="1" applyAlignment="1" applyProtection="1">
      <alignment horizontal="center"/>
    </xf>
    <xf numFmtId="165" fontId="24" fillId="8" borderId="62" xfId="49" applyFont="1" applyFill="1" applyBorder="1" applyAlignment="1" applyProtection="1">
      <alignment horizontal="right"/>
    </xf>
    <xf numFmtId="0" fontId="46" fillId="0" borderId="27" xfId="34" applyFont="1" applyBorder="1" applyAlignment="1">
      <alignment horizontal="center"/>
    </xf>
    <xf numFmtId="165" fontId="0" fillId="0" borderId="27" xfId="49" applyFont="1" applyFill="1" applyBorder="1" applyAlignment="1" applyProtection="1">
      <alignment horizontal="center"/>
    </xf>
    <xf numFmtId="0" fontId="0" fillId="0" borderId="36" xfId="0" applyBorder="1" applyAlignment="1">
      <alignment horizontal="center"/>
    </xf>
    <xf numFmtId="1" fontId="0" fillId="6" borderId="36"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65" xfId="0" applyFont="1" applyFill="1" applyBorder="1"/>
    <xf numFmtId="0" fontId="24" fillId="8" borderId="66" xfId="0" applyFont="1" applyFill="1" applyBorder="1"/>
    <xf numFmtId="0" fontId="24" fillId="8" borderId="67" xfId="0" applyFont="1" applyFill="1" applyBorder="1"/>
    <xf numFmtId="0" fontId="0" fillId="18" borderId="36" xfId="0" applyFill="1" applyBorder="1" applyAlignment="1">
      <alignment horizontal="center"/>
    </xf>
    <xf numFmtId="0" fontId="0" fillId="8" borderId="68" xfId="0" applyFill="1" applyBorder="1"/>
    <xf numFmtId="0" fontId="0" fillId="8" borderId="69" xfId="0" applyFill="1" applyBorder="1"/>
    <xf numFmtId="0" fontId="0" fillId="8" borderId="70" xfId="0" applyFill="1" applyBorder="1"/>
    <xf numFmtId="0" fontId="46" fillId="19" borderId="29" xfId="34" applyFont="1" applyFill="1" applyBorder="1" applyAlignment="1">
      <alignment horizontal="center"/>
    </xf>
    <xf numFmtId="0" fontId="49" fillId="0" borderId="10" xfId="34" applyFont="1" applyBorder="1"/>
    <xf numFmtId="0" fontId="46" fillId="0" borderId="10" xfId="34" applyFont="1" applyBorder="1" applyAlignment="1">
      <alignment horizontal="center"/>
    </xf>
    <xf numFmtId="0" fontId="0" fillId="0" borderId="30" xfId="0" applyBorder="1"/>
    <xf numFmtId="0" fontId="52" fillId="0" borderId="0" xfId="0" applyFont="1"/>
    <xf numFmtId="0" fontId="24" fillId="0" borderId="0" xfId="0" applyFont="1" applyAlignment="1">
      <alignment horizontal="right"/>
    </xf>
    <xf numFmtId="0" fontId="23" fillId="0" borderId="30" xfId="0" applyFont="1" applyBorder="1"/>
    <xf numFmtId="0" fontId="23" fillId="0" borderId="0" xfId="0" applyFont="1" applyAlignment="1">
      <alignment horizontal="left" vertical="center" indent="2"/>
    </xf>
    <xf numFmtId="10" fontId="0" fillId="0" borderId="29" xfId="0" applyNumberFormat="1" applyBorder="1" applyAlignment="1">
      <alignment horizontal="center" vertical="center" wrapText="1"/>
    </xf>
    <xf numFmtId="0" fontId="24" fillId="0" borderId="28" xfId="0" applyFont="1" applyBorder="1"/>
    <xf numFmtId="0" fontId="0" fillId="0" borderId="11" xfId="0" applyBorder="1"/>
    <xf numFmtId="4" fontId="0" fillId="0" borderId="11" xfId="33" applyNumberFormat="1" applyFont="1" applyBorder="1" applyAlignment="1">
      <alignment vertical="top" wrapText="1"/>
    </xf>
    <xf numFmtId="0" fontId="0" fillId="0" borderId="0" xfId="33" applyFont="1" applyAlignment="1">
      <alignment vertical="top" wrapText="1"/>
    </xf>
    <xf numFmtId="178" fontId="0" fillId="0" borderId="41" xfId="0" applyNumberFormat="1" applyBorder="1" applyAlignment="1">
      <alignment horizontal="center" vertical="center"/>
    </xf>
    <xf numFmtId="178" fontId="0" fillId="0" borderId="11" xfId="0" applyNumberFormat="1" applyBorder="1" applyAlignment="1">
      <alignment horizontal="center" vertical="center"/>
    </xf>
    <xf numFmtId="179" fontId="24" fillId="0" borderId="35" xfId="0" applyNumberFormat="1" applyFont="1" applyBorder="1" applyAlignment="1">
      <alignment horizontal="center" vertical="center"/>
    </xf>
    <xf numFmtId="0" fontId="0" fillId="0" borderId="36" xfId="0" applyBorder="1" applyAlignment="1">
      <alignment horizontal="center" vertical="center"/>
    </xf>
    <xf numFmtId="178" fontId="0" fillId="0" borderId="34" xfId="0" applyNumberFormat="1" applyBorder="1" applyAlignment="1">
      <alignment horizontal="center" vertical="center"/>
    </xf>
    <xf numFmtId="178" fontId="0" fillId="0" borderId="68"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38" xfId="0" applyNumberFormat="1" applyBorder="1" applyAlignment="1">
      <alignment horizontal="center" vertical="center"/>
    </xf>
    <xf numFmtId="178" fontId="0" fillId="6" borderId="59" xfId="0" applyNumberFormat="1" applyFill="1" applyBorder="1" applyAlignment="1" applyProtection="1">
      <alignment horizontal="center" vertical="center"/>
      <protection locked="0"/>
    </xf>
    <xf numFmtId="178" fontId="0" fillId="6" borderId="40"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0" fillId="8" borderId="41" xfId="0" applyFill="1" applyBorder="1"/>
    <xf numFmtId="0" fontId="0" fillId="8" borderId="27" xfId="0" applyFill="1" applyBorder="1"/>
    <xf numFmtId="181" fontId="8" fillId="8" borderId="41" xfId="0" applyNumberFormat="1" applyFont="1" applyFill="1" applyBorder="1" applyAlignment="1">
      <alignment horizontal="center"/>
    </xf>
    <xf numFmtId="181" fontId="8" fillId="8" borderId="27" xfId="0" applyNumberFormat="1" applyFont="1" applyFill="1" applyBorder="1" applyAlignment="1">
      <alignment horizontal="center"/>
    </xf>
    <xf numFmtId="181" fontId="8" fillId="8" borderId="26" xfId="0" applyNumberFormat="1" applyFont="1" applyFill="1" applyBorder="1" applyAlignment="1">
      <alignment horizontal="center"/>
    </xf>
    <xf numFmtId="181" fontId="8" fillId="8" borderId="11" xfId="0" applyNumberFormat="1" applyFont="1" applyFill="1" applyBorder="1" applyAlignment="1">
      <alignment horizontal="center"/>
    </xf>
    <xf numFmtId="0" fontId="0" fillId="18" borderId="11" xfId="0" applyFill="1" applyBorder="1"/>
    <xf numFmtId="0" fontId="0" fillId="18" borderId="11" xfId="0" applyFill="1" applyBorder="1" applyAlignment="1">
      <alignment horizontal="center"/>
    </xf>
    <xf numFmtId="0" fontId="0" fillId="18" borderId="41" xfId="0" applyFill="1" applyBorder="1"/>
    <xf numFmtId="0" fontId="0" fillId="18" borderId="27" xfId="0" applyFill="1" applyBorder="1" applyAlignment="1">
      <alignment horizontal="center"/>
    </xf>
    <xf numFmtId="0" fontId="0" fillId="18" borderId="27" xfId="0" applyFill="1" applyBorder="1"/>
    <xf numFmtId="0" fontId="0" fillId="18" borderId="26" xfId="0" applyFill="1" applyBorder="1"/>
    <xf numFmtId="0" fontId="23" fillId="0" borderId="0" xfId="0" applyFont="1" applyAlignment="1">
      <alignment horizontal="left" vertical="center" indent="12"/>
    </xf>
    <xf numFmtId="0" fontId="0" fillId="0" borderId="0" xfId="0" applyAlignment="1">
      <alignment horizontal="center" vertical="top"/>
    </xf>
    <xf numFmtId="0" fontId="37" fillId="0" borderId="0" xfId="0" applyFont="1" applyAlignment="1">
      <alignment horizontal="left" vertical="center" indent="12"/>
    </xf>
    <xf numFmtId="0" fontId="0" fillId="0" borderId="41" xfId="33" applyFont="1" applyBorder="1" applyAlignment="1">
      <alignment vertical="top" wrapText="1"/>
    </xf>
    <xf numFmtId="182" fontId="0" fillId="0" borderId="26" xfId="33" applyNumberFormat="1" applyFont="1" applyBorder="1" applyAlignment="1">
      <alignment horizontal="left" vertical="top" wrapText="1"/>
    </xf>
    <xf numFmtId="0" fontId="0" fillId="0" borderId="28" xfId="0" applyBorder="1"/>
    <xf numFmtId="49" fontId="0" fillId="0" borderId="11" xfId="33" applyNumberFormat="1" applyFont="1" applyBorder="1" applyAlignment="1">
      <alignment vertical="top" wrapText="1"/>
    </xf>
    <xf numFmtId="0" fontId="23" fillId="0" borderId="41" xfId="0" applyFont="1" applyBorder="1"/>
    <xf numFmtId="14" fontId="24" fillId="6" borderId="33" xfId="0" applyNumberFormat="1" applyFont="1" applyFill="1" applyBorder="1" applyAlignment="1" applyProtection="1">
      <alignment horizontal="center" vertical="center" wrapText="1"/>
      <protection locked="0"/>
    </xf>
    <xf numFmtId="14" fontId="24" fillId="6" borderId="42" xfId="0" applyNumberFormat="1" applyFont="1" applyFill="1" applyBorder="1" applyAlignment="1" applyProtection="1">
      <alignment horizontal="center" vertical="center" wrapText="1"/>
      <protection locked="0"/>
    </xf>
    <xf numFmtId="14" fontId="24" fillId="6" borderId="43" xfId="0" applyNumberFormat="1" applyFont="1" applyFill="1" applyBorder="1" applyAlignment="1" applyProtection="1">
      <alignment horizontal="center" vertical="center" wrapText="1"/>
      <protection locked="0"/>
    </xf>
    <xf numFmtId="171" fontId="0" fillId="0" borderId="34" xfId="48" applyFont="1" applyFill="1" applyBorder="1" applyAlignment="1" applyProtection="1">
      <alignment vertical="center" shrinkToFit="1"/>
    </xf>
    <xf numFmtId="171" fontId="0" fillId="0" borderId="58" xfId="48" applyFont="1" applyFill="1" applyBorder="1" applyAlignment="1" applyProtection="1">
      <alignment vertical="center" shrinkToFit="1"/>
    </xf>
    <xf numFmtId="171" fontId="0" fillId="0" borderId="35" xfId="48" applyFont="1" applyFill="1" applyBorder="1" applyAlignment="1" applyProtection="1">
      <alignment horizontal="center" vertical="center" shrinkToFit="1"/>
    </xf>
    <xf numFmtId="171" fontId="0" fillId="0" borderId="36" xfId="48" applyFont="1" applyFill="1" applyBorder="1" applyAlignment="1" applyProtection="1">
      <alignment horizontal="center" vertical="center" shrinkToFit="1"/>
    </xf>
    <xf numFmtId="171" fontId="0" fillId="6" borderId="35" xfId="48" applyFont="1" applyFill="1" applyBorder="1" applyAlignment="1" applyProtection="1">
      <protection locked="0"/>
    </xf>
    <xf numFmtId="171" fontId="0" fillId="6" borderId="37" xfId="48" applyFont="1" applyFill="1" applyBorder="1" applyAlignment="1" applyProtection="1">
      <protection locked="0"/>
    </xf>
    <xf numFmtId="165" fontId="0" fillId="0" borderId="36" xfId="0" applyNumberFormat="1" applyBorder="1"/>
    <xf numFmtId="171" fontId="24" fillId="17" borderId="11" xfId="48" applyFont="1" applyFill="1" applyBorder="1" applyAlignment="1" applyProtection="1">
      <alignment horizontal="center" vertical="center"/>
    </xf>
    <xf numFmtId="171" fontId="24" fillId="17" borderId="11" xfId="48" applyFont="1" applyFill="1" applyBorder="1" applyAlignment="1" applyProtection="1">
      <alignment horizontal="center" vertical="center" shrinkToFit="1"/>
    </xf>
    <xf numFmtId="0" fontId="0" fillId="17" borderId="38" xfId="0" applyFill="1" applyBorder="1"/>
    <xf numFmtId="0" fontId="0" fillId="17" borderId="31" xfId="0" applyFill="1" applyBorder="1"/>
    <xf numFmtId="0" fontId="0" fillId="17" borderId="53" xfId="0" applyFill="1" applyBorder="1"/>
    <xf numFmtId="0" fontId="0" fillId="17" borderId="71" xfId="0" applyFill="1" applyBorder="1"/>
    <xf numFmtId="0" fontId="23" fillId="0" borderId="0" xfId="0" applyFont="1" applyAlignment="1">
      <alignment horizontal="left" vertical="center" indent="15"/>
    </xf>
    <xf numFmtId="0" fontId="24" fillId="0" borderId="29" xfId="0" applyFont="1" applyBorder="1" applyAlignment="1">
      <alignment horizontal="right" vertical="center" wrapText="1"/>
    </xf>
    <xf numFmtId="184" fontId="24" fillId="0" borderId="29" xfId="31" applyNumberFormat="1" applyFont="1" applyFill="1" applyBorder="1" applyAlignment="1" applyProtection="1">
      <alignment horizontal="right" vertical="center" shrinkToFit="1"/>
    </xf>
    <xf numFmtId="0" fontId="24" fillId="0" borderId="10" xfId="35" applyFont="1" applyBorder="1"/>
    <xf numFmtId="0" fontId="0" fillId="0" borderId="26" xfId="0" applyBorder="1" applyAlignment="1">
      <alignment shrinkToFit="1"/>
    </xf>
    <xf numFmtId="0" fontId="0" fillId="0" borderId="28" xfId="33" applyFont="1" applyBorder="1" applyAlignment="1">
      <alignment vertical="top" wrapText="1"/>
    </xf>
    <xf numFmtId="4" fontId="0" fillId="0" borderId="11" xfId="33" applyNumberFormat="1" applyFont="1" applyBorder="1" applyAlignment="1">
      <alignment horizontal="left" vertical="top" wrapText="1"/>
    </xf>
    <xf numFmtId="4" fontId="0" fillId="0" borderId="41" xfId="33" applyNumberFormat="1" applyFont="1" applyBorder="1" applyAlignment="1">
      <alignment horizontal="left" vertical="top" wrapText="1"/>
    </xf>
    <xf numFmtId="0" fontId="22" fillId="0" borderId="0" xfId="0" applyFont="1" applyAlignment="1">
      <alignment wrapText="1"/>
    </xf>
    <xf numFmtId="0" fontId="53" fillId="0" borderId="0" xfId="0" applyFont="1" applyAlignment="1">
      <alignment horizontal="center" vertical="center" wrapText="1"/>
    </xf>
    <xf numFmtId="170" fontId="24" fillId="0" borderId="41" xfId="0" applyNumberFormat="1" applyFont="1" applyBorder="1" applyAlignment="1">
      <alignment horizontal="center"/>
    </xf>
    <xf numFmtId="10" fontId="24" fillId="0" borderId="26" xfId="0" applyNumberFormat="1" applyFont="1" applyBorder="1" applyAlignment="1">
      <alignment horizontal="center" shrinkToFit="1"/>
    </xf>
    <xf numFmtId="178" fontId="0" fillId="0" borderId="27" xfId="0" applyNumberFormat="1" applyBorder="1" applyAlignment="1">
      <alignment horizontal="center" vertical="center"/>
    </xf>
    <xf numFmtId="0" fontId="0" fillId="0" borderId="36" xfId="0" applyBorder="1" applyAlignment="1">
      <alignment horizontal="left" vertical="top"/>
    </xf>
    <xf numFmtId="49" fontId="0" fillId="0" borderId="36" xfId="0" applyNumberFormat="1" applyBorder="1" applyAlignment="1">
      <alignment horizontal="center" vertical="center" wrapText="1"/>
    </xf>
    <xf numFmtId="0" fontId="0" fillId="0" borderId="37" xfId="0" applyBorder="1" applyAlignment="1">
      <alignment horizontal="center" vertical="center"/>
    </xf>
    <xf numFmtId="0" fontId="0" fillId="0" borderId="68" xfId="0" applyBorder="1" applyAlignment="1">
      <alignment horizontal="center" vertical="center"/>
    </xf>
    <xf numFmtId="178" fontId="0" fillId="0" borderId="0" xfId="0" applyNumberFormat="1" applyAlignment="1">
      <alignment horizontal="center" vertical="center"/>
    </xf>
    <xf numFmtId="10" fontId="0" fillId="0" borderId="58" xfId="0" applyNumberFormat="1" applyBorder="1" applyAlignment="1">
      <alignment horizontal="center" vertical="center"/>
    </xf>
    <xf numFmtId="0" fontId="0" fillId="0" borderId="30" xfId="0" applyBorder="1" applyAlignment="1">
      <alignment horizontal="center" vertical="center" wrapText="1"/>
    </xf>
    <xf numFmtId="181" fontId="8" fillId="8" borderId="72" xfId="0" applyNumberFormat="1" applyFont="1" applyFill="1" applyBorder="1" applyAlignment="1">
      <alignment horizontal="center"/>
    </xf>
    <xf numFmtId="181" fontId="8" fillId="8" borderId="73" xfId="0" applyNumberFormat="1" applyFont="1" applyFill="1" applyBorder="1" applyAlignment="1">
      <alignment horizontal="center"/>
    </xf>
    <xf numFmtId="181" fontId="8" fillId="8" borderId="55" xfId="0" applyNumberFormat="1" applyFont="1" applyFill="1" applyBorder="1" applyAlignment="1">
      <alignment horizontal="center"/>
    </xf>
    <xf numFmtId="181" fontId="8" fillId="8" borderId="56" xfId="0" applyNumberFormat="1" applyFont="1" applyFill="1" applyBorder="1" applyAlignment="1">
      <alignment horizontal="center"/>
    </xf>
    <xf numFmtId="0" fontId="0" fillId="18" borderId="30" xfId="0" applyFill="1" applyBorder="1"/>
    <xf numFmtId="0" fontId="0" fillId="18" borderId="0" xfId="0" applyFill="1" applyAlignment="1">
      <alignment horizontal="center"/>
    </xf>
    <xf numFmtId="0" fontId="0" fillId="18" borderId="10" xfId="0" applyFill="1" applyBorder="1" applyAlignment="1">
      <alignment horizontal="center"/>
    </xf>
    <xf numFmtId="0" fontId="21" fillId="0" borderId="0" xfId="0" applyFont="1"/>
    <xf numFmtId="178" fontId="0" fillId="8" borderId="38" xfId="0" applyNumberFormat="1" applyFill="1" applyBorder="1" applyAlignment="1">
      <alignment horizontal="center" vertical="center"/>
    </xf>
    <xf numFmtId="178" fontId="0" fillId="8" borderId="34" xfId="0" applyNumberFormat="1" applyFill="1" applyBorder="1" applyAlignment="1">
      <alignment horizontal="center" vertical="center"/>
    </xf>
    <xf numFmtId="178" fontId="0" fillId="8" borderId="68" xfId="0" applyNumberFormat="1" applyFill="1" applyBorder="1" applyAlignment="1">
      <alignment horizontal="center" vertical="center"/>
    </xf>
    <xf numFmtId="178" fontId="0" fillId="8" borderId="58" xfId="0" applyNumberFormat="1" applyFill="1" applyBorder="1" applyAlignment="1">
      <alignment horizontal="center" vertical="center"/>
    </xf>
    <xf numFmtId="0" fontId="0" fillId="18" borderId="72" xfId="0" applyFill="1" applyBorder="1" applyAlignment="1">
      <alignment horizontal="right"/>
    </xf>
    <xf numFmtId="178" fontId="55" fillId="0" borderId="36" xfId="0" applyNumberFormat="1" applyFont="1" applyBorder="1"/>
    <xf numFmtId="178" fontId="0" fillId="0" borderId="74" xfId="0" applyNumberFormat="1" applyBorder="1" applyAlignment="1">
      <alignment horizontal="center" vertical="center"/>
    </xf>
    <xf numFmtId="178" fontId="0" fillId="0" borderId="50" xfId="0" applyNumberFormat="1" applyBorder="1" applyAlignment="1">
      <alignment horizontal="center" vertical="center"/>
    </xf>
    <xf numFmtId="178" fontId="0" fillId="0" borderId="51" xfId="0" applyNumberFormat="1" applyBorder="1" applyAlignment="1">
      <alignment horizontal="center" vertical="center"/>
    </xf>
    <xf numFmtId="178" fontId="0" fillId="0" borderId="52" xfId="0" applyNumberFormat="1" applyBorder="1" applyAlignment="1">
      <alignment horizontal="center" vertical="center"/>
    </xf>
    <xf numFmtId="0" fontId="0" fillId="18" borderId="75" xfId="0" applyFill="1" applyBorder="1" applyAlignment="1">
      <alignment horizontal="right"/>
    </xf>
    <xf numFmtId="178" fontId="17" fillId="8" borderId="29"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168" fontId="0" fillId="0" borderId="0" xfId="33" applyNumberFormat="1" applyFont="1" applyAlignment="1">
      <alignment horizontal="left"/>
    </xf>
    <xf numFmtId="171" fontId="56" fillId="0" borderId="0" xfId="48" applyFill="1" applyBorder="1" applyAlignment="1" applyProtection="1"/>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6" xfId="48" applyNumberFormat="1" applyFont="1" applyFill="1" applyBorder="1" applyAlignment="1" applyProtection="1">
      <alignment vertical="top" shrinkToFit="1"/>
    </xf>
    <xf numFmtId="180" fontId="24" fillId="0" borderId="60" xfId="48" applyNumberFormat="1" applyFont="1" applyFill="1" applyBorder="1" applyAlignment="1" applyProtection="1">
      <alignment horizontal="right" vertical="top" shrinkToFit="1"/>
    </xf>
    <xf numFmtId="10" fontId="24" fillId="0" borderId="60"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7"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77" xfId="0" applyBorder="1"/>
    <xf numFmtId="0" fontId="0" fillId="0" borderId="78" xfId="0" applyBorder="1"/>
    <xf numFmtId="0" fontId="0" fillId="0" borderId="79" xfId="0" applyBorder="1"/>
    <xf numFmtId="0" fontId="24" fillId="0" borderId="0" xfId="0" applyFont="1" applyAlignment="1">
      <alignment vertical="center"/>
    </xf>
    <xf numFmtId="0" fontId="0" fillId="0" borderId="80" xfId="0" applyBorder="1"/>
    <xf numFmtId="0" fontId="0" fillId="0" borderId="80" xfId="0" applyBorder="1" applyAlignment="1">
      <alignment vertical="center"/>
    </xf>
    <xf numFmtId="0" fontId="0" fillId="0" borderId="81" xfId="0" applyBorder="1"/>
    <xf numFmtId="0" fontId="0" fillId="0" borderId="82" xfId="0" applyBorder="1"/>
    <xf numFmtId="0" fontId="0" fillId="0" borderId="83" xfId="0" applyBorder="1"/>
    <xf numFmtId="0" fontId="0" fillId="21" borderId="29" xfId="0" applyFill="1" applyBorder="1"/>
    <xf numFmtId="0" fontId="0" fillId="21" borderId="29" xfId="0" applyFill="1" applyBorder="1" applyAlignment="1">
      <alignment horizontal="center"/>
    </xf>
    <xf numFmtId="0" fontId="24" fillId="6" borderId="11" xfId="0" applyFont="1" applyFill="1" applyBorder="1" applyAlignment="1" applyProtection="1">
      <alignment horizontal="center" vertical="center" wrapText="1"/>
      <protection locked="0"/>
    </xf>
    <xf numFmtId="0" fontId="24" fillId="6" borderId="26" xfId="0" applyFont="1" applyFill="1" applyBorder="1" applyAlignment="1" applyProtection="1">
      <alignment horizontal="center" vertical="center" wrapText="1"/>
      <protection locked="0"/>
    </xf>
    <xf numFmtId="171" fontId="0" fillId="0" borderId="35" xfId="48" applyFont="1" applyFill="1" applyBorder="1" applyAlignment="1" applyProtection="1">
      <alignment vertical="center" shrinkToFit="1"/>
    </xf>
    <xf numFmtId="10" fontId="0" fillId="0" borderId="37" xfId="48" applyNumberFormat="1" applyFont="1" applyFill="1" applyBorder="1" applyAlignment="1" applyProtection="1">
      <alignment vertical="center" shrinkToFit="1"/>
    </xf>
    <xf numFmtId="10" fontId="24" fillId="17" borderId="11" xfId="48" applyNumberFormat="1" applyFont="1" applyFill="1" applyBorder="1" applyAlignment="1" applyProtection="1">
      <alignment horizontal="center" vertical="center"/>
    </xf>
    <xf numFmtId="171" fontId="0" fillId="6" borderId="38" xfId="48" applyFont="1" applyFill="1" applyBorder="1" applyAlignment="1" applyProtection="1">
      <alignment vertical="center" wrapText="1"/>
      <protection locked="0"/>
    </xf>
    <xf numFmtId="0" fontId="46" fillId="22" borderId="29" xfId="34" applyFont="1" applyFill="1" applyBorder="1" applyAlignment="1">
      <alignment horizontal="center"/>
    </xf>
    <xf numFmtId="0" fontId="0" fillId="21" borderId="33" xfId="0" applyFill="1" applyBorder="1"/>
    <xf numFmtId="0" fontId="0" fillId="21" borderId="42" xfId="0" applyFill="1" applyBorder="1"/>
    <xf numFmtId="0" fontId="0" fillId="21" borderId="43" xfId="0" applyFill="1" applyBorder="1"/>
    <xf numFmtId="171" fontId="0" fillId="6" borderId="36"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5" xfId="48" applyFont="1" applyFill="1" applyBorder="1" applyAlignment="1" applyProtection="1">
      <alignment vertical="center" wrapText="1"/>
      <protection locked="0"/>
    </xf>
    <xf numFmtId="10" fontId="24" fillId="17" borderId="63" xfId="48" applyNumberFormat="1" applyFont="1" applyFill="1" applyBorder="1" applyAlignment="1" applyProtection="1">
      <alignment horizontal="center" vertical="center"/>
    </xf>
    <xf numFmtId="171" fontId="24" fillId="17" borderId="63" xfId="48" applyFont="1" applyFill="1" applyBorder="1" applyAlignment="1" applyProtection="1">
      <alignment horizontal="center" vertical="center"/>
    </xf>
    <xf numFmtId="10" fontId="24" fillId="17" borderId="64"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44" xfId="0" applyNumberFormat="1" applyFill="1" applyBorder="1" applyProtection="1">
      <protection locked="0"/>
    </xf>
    <xf numFmtId="4" fontId="0" fillId="6" borderId="57" xfId="0" applyNumberFormat="1" applyFill="1" applyBorder="1" applyProtection="1">
      <protection locked="0"/>
    </xf>
    <xf numFmtId="4" fontId="0" fillId="6" borderId="63" xfId="0" applyNumberFormat="1" applyFill="1" applyBorder="1" applyProtection="1">
      <protection locked="0"/>
    </xf>
    <xf numFmtId="4" fontId="0" fillId="6" borderId="64" xfId="0" applyNumberFormat="1" applyFill="1" applyBorder="1" applyProtection="1">
      <protection locked="0"/>
    </xf>
    <xf numFmtId="0" fontId="0" fillId="0" borderId="84" xfId="0" applyBorder="1" applyAlignment="1">
      <alignment horizontal="center"/>
    </xf>
    <xf numFmtId="0" fontId="0" fillId="0" borderId="85" xfId="0" applyBorder="1" applyAlignment="1">
      <alignment horizontal="center"/>
    </xf>
    <xf numFmtId="0" fontId="0" fillId="0" borderId="86" xfId="0" applyBorder="1" applyAlignment="1">
      <alignment horizontal="center"/>
    </xf>
    <xf numFmtId="0" fontId="24" fillId="0" borderId="53" xfId="0" applyFont="1" applyBorder="1"/>
    <xf numFmtId="0" fontId="0" fillId="6" borderId="33" xfId="0" applyFill="1" applyBorder="1" applyAlignment="1" applyProtection="1">
      <alignment horizontal="center" textRotation="90" wrapText="1"/>
      <protection locked="0"/>
    </xf>
    <xf numFmtId="171" fontId="0" fillId="0" borderId="33" xfId="48" applyFont="1" applyFill="1" applyBorder="1" applyAlignment="1" applyProtection="1">
      <alignment vertical="center" shrinkToFit="1"/>
    </xf>
    <xf numFmtId="185" fontId="0" fillId="0" borderId="36" xfId="48" applyNumberFormat="1" applyFont="1" applyFill="1" applyBorder="1" applyAlignment="1" applyProtection="1">
      <alignment vertical="center" shrinkToFit="1"/>
    </xf>
    <xf numFmtId="49" fontId="24" fillId="17" borderId="27" xfId="0" applyNumberFormat="1" applyFont="1" applyFill="1" applyBorder="1" applyAlignment="1">
      <alignment horizontal="center" vertical="center"/>
    </xf>
    <xf numFmtId="171" fontId="24" fillId="17" borderId="27" xfId="48" applyFont="1" applyFill="1" applyBorder="1" applyAlignment="1" applyProtection="1">
      <alignment horizontal="center" vertical="center"/>
    </xf>
    <xf numFmtId="171" fontId="24" fillId="17" borderId="26"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0" fontId="17" fillId="0" borderId="82" xfId="33" applyFont="1" applyBorder="1" applyAlignment="1">
      <alignment vertical="center"/>
    </xf>
    <xf numFmtId="0" fontId="0" fillId="0" borderId="82" xfId="0" applyBorder="1" applyAlignment="1">
      <alignment horizontal="center"/>
    </xf>
    <xf numFmtId="0" fontId="46" fillId="0" borderId="82" xfId="34" applyFont="1" applyBorder="1" applyAlignment="1">
      <alignment horizontal="center"/>
    </xf>
    <xf numFmtId="0" fontId="0" fillId="0" borderId="37" xfId="0" applyBorder="1" applyAlignment="1">
      <alignment horizontal="center" vertical="center" wrapText="1"/>
    </xf>
    <xf numFmtId="165" fontId="0" fillId="6" borderId="36" xfId="0" applyNumberFormat="1" applyFill="1" applyBorder="1" applyAlignment="1" applyProtection="1">
      <alignment horizontal="center" vertical="center"/>
      <protection locked="0"/>
    </xf>
    <xf numFmtId="0" fontId="0" fillId="6" borderId="74" xfId="0" applyFill="1" applyBorder="1" applyAlignment="1" applyProtection="1">
      <alignment horizontal="left" vertical="center" wrapText="1"/>
      <protection locked="0"/>
    </xf>
    <xf numFmtId="49" fontId="0" fillId="6" borderId="59" xfId="0" applyNumberFormat="1" applyFill="1" applyBorder="1" applyAlignment="1" applyProtection="1">
      <alignment horizontal="center" vertical="center" wrapText="1"/>
      <protection locked="0"/>
    </xf>
    <xf numFmtId="49" fontId="0" fillId="16" borderId="87" xfId="0" applyNumberFormat="1" applyFill="1" applyBorder="1" applyAlignment="1" applyProtection="1">
      <alignment horizontal="center" vertical="center"/>
      <protection locked="0"/>
    </xf>
    <xf numFmtId="49" fontId="0" fillId="6" borderId="37" xfId="48" applyNumberFormat="1" applyFont="1" applyFill="1" applyBorder="1" applyAlignment="1" applyProtection="1">
      <alignment horizontal="left" vertical="center" wrapText="1" shrinkToFit="1"/>
      <protection locked="0"/>
    </xf>
    <xf numFmtId="49" fontId="24" fillId="17" borderId="29" xfId="0" applyNumberFormat="1" applyFont="1" applyFill="1" applyBorder="1" applyAlignment="1">
      <alignment horizontal="left" vertical="center"/>
    </xf>
    <xf numFmtId="171" fontId="0" fillId="0" borderId="37" xfId="48" applyFont="1" applyFill="1" applyBorder="1" applyAlignment="1" applyProtection="1">
      <alignment vertical="center" shrinkToFit="1"/>
    </xf>
    <xf numFmtId="171" fontId="24" fillId="17" borderId="60" xfId="48" applyFont="1" applyFill="1" applyBorder="1" applyAlignment="1" applyProtection="1">
      <alignment horizontal="center" vertical="center" shrinkToFit="1"/>
    </xf>
    <xf numFmtId="171" fontId="24" fillId="17" borderId="64" xfId="48" applyFont="1" applyFill="1" applyBorder="1" applyAlignment="1" applyProtection="1">
      <alignment horizontal="center" vertical="center"/>
    </xf>
    <xf numFmtId="0" fontId="0" fillId="16" borderId="37" xfId="0" applyFill="1" applyBorder="1" applyAlignment="1" applyProtection="1">
      <alignment shrinkToFit="1"/>
      <protection locked="0"/>
    </xf>
    <xf numFmtId="0" fontId="0" fillId="0" borderId="88" xfId="0" applyBorder="1" applyAlignment="1">
      <alignment vertical="center"/>
    </xf>
    <xf numFmtId="0" fontId="0" fillId="16" borderId="89" xfId="0" applyFill="1" applyBorder="1" applyAlignment="1" applyProtection="1">
      <alignment vertical="center"/>
      <protection locked="0"/>
    </xf>
    <xf numFmtId="43" fontId="0" fillId="0" borderId="0" xfId="0" applyNumberFormat="1"/>
    <xf numFmtId="0" fontId="12" fillId="0" borderId="82" xfId="0" applyFont="1" applyBorder="1" applyAlignment="1">
      <alignment horizontal="left" indent="1"/>
    </xf>
    <xf numFmtId="0" fontId="57" fillId="25" borderId="76" xfId="30" applyFont="1" applyFill="1" applyBorder="1" applyAlignment="1">
      <alignment horizontal="center" vertical="center"/>
    </xf>
    <xf numFmtId="0" fontId="17" fillId="25" borderId="76" xfId="30" applyFont="1" applyFill="1" applyBorder="1" applyAlignment="1">
      <alignment horizontal="center" vertical="center"/>
    </xf>
    <xf numFmtId="0" fontId="23" fillId="25" borderId="76" xfId="30" applyFont="1" applyFill="1" applyBorder="1" applyAlignment="1">
      <alignment horizontal="center" vertical="center"/>
    </xf>
    <xf numFmtId="0" fontId="0" fillId="26" borderId="0" xfId="0" applyFill="1"/>
    <xf numFmtId="0" fontId="24" fillId="25" borderId="76"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0" xfId="0" applyFont="1" applyBorder="1" applyAlignment="1">
      <alignment horizontal="center" wrapText="1"/>
    </xf>
    <xf numFmtId="0" fontId="12" fillId="20" borderId="93" xfId="0" applyFont="1" applyFill="1" applyBorder="1" applyAlignment="1">
      <alignment horizontal="center" vertical="center"/>
    </xf>
    <xf numFmtId="0" fontId="49" fillId="0" borderId="95"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86" xfId="0" applyBorder="1" applyAlignment="1">
      <alignment horizontal="center" wrapText="1"/>
    </xf>
    <xf numFmtId="167" fontId="0" fillId="0" borderId="82" xfId="0" applyNumberFormat="1" applyBorder="1"/>
    <xf numFmtId="186" fontId="0" fillId="0" borderId="82" xfId="0" applyNumberFormat="1" applyBorder="1" applyAlignment="1">
      <alignment horizontal="left"/>
    </xf>
    <xf numFmtId="0" fontId="12" fillId="0" borderId="86" xfId="0" applyFont="1" applyBorder="1" applyAlignment="1">
      <alignment horizontal="center"/>
    </xf>
    <xf numFmtId="0" fontId="31" fillId="0" borderId="0" xfId="0" applyFont="1" applyAlignment="1">
      <alignment horizontal="left" vertical="top" wrapText="1"/>
    </xf>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82" xfId="0" applyFont="1" applyBorder="1" applyAlignment="1">
      <alignment horizontal="left" wrapText="1"/>
    </xf>
    <xf numFmtId="0" fontId="0" fillId="0" borderId="27" xfId="33" applyFont="1" applyBorder="1" applyAlignment="1">
      <alignment horizontal="left" vertical="top" wrapText="1"/>
    </xf>
    <xf numFmtId="0" fontId="65" fillId="0" borderId="28" xfId="35" applyFont="1" applyBorder="1" applyAlignment="1">
      <alignment horizontal="left" vertical="top"/>
    </xf>
    <xf numFmtId="0" fontId="0" fillId="0" borderId="41"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76" xfId="30" applyFont="1" applyFill="1" applyBorder="1" applyAlignment="1">
      <alignment horizontal="center" vertical="center"/>
    </xf>
    <xf numFmtId="0" fontId="62" fillId="0" borderId="0" xfId="0" applyFont="1" applyProtection="1">
      <protection locked="0"/>
    </xf>
    <xf numFmtId="0" fontId="22" fillId="0" borderId="10" xfId="0" applyFont="1" applyBorder="1" applyAlignment="1">
      <alignment horizontal="center" wrapText="1"/>
    </xf>
    <xf numFmtId="0" fontId="22" fillId="0" borderId="0" xfId="0" applyFont="1" applyAlignment="1">
      <alignment horizontal="center" wrapText="1"/>
    </xf>
    <xf numFmtId="49" fontId="0" fillId="6" borderId="59" xfId="0" applyNumberFormat="1" applyFill="1" applyBorder="1" applyAlignment="1" applyProtection="1">
      <alignment horizontal="center" vertical="center"/>
      <protection locked="0"/>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95" xfId="0" applyFont="1" applyBorder="1"/>
    <xf numFmtId="0" fontId="24" fillId="0" borderId="97" xfId="0" applyFont="1" applyBorder="1"/>
    <xf numFmtId="0" fontId="24" fillId="0" borderId="0" xfId="0" applyFont="1" applyAlignment="1">
      <alignment horizontal="left"/>
    </xf>
    <xf numFmtId="4" fontId="0" fillId="6" borderId="42"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02" xfId="49" applyFont="1" applyFill="1" applyBorder="1" applyAlignment="1" applyProtection="1">
      <alignment horizontal="center"/>
    </xf>
    <xf numFmtId="165" fontId="24" fillId="8" borderId="68" xfId="49" applyFont="1" applyFill="1" applyBorder="1" applyAlignment="1" applyProtection="1">
      <alignment horizontal="right"/>
    </xf>
    <xf numFmtId="165" fontId="56" fillId="0" borderId="103" xfId="49" applyFill="1" applyBorder="1" applyAlignment="1" applyProtection="1">
      <alignment horizontal="right"/>
    </xf>
    <xf numFmtId="10" fontId="0" fillId="29" borderId="45" xfId="38" applyNumberFormat="1" applyFont="1" applyFill="1" applyBorder="1" applyAlignment="1" applyProtection="1"/>
    <xf numFmtId="171" fontId="56" fillId="29" borderId="36" xfId="48" applyFill="1" applyBorder="1" applyAlignment="1" applyProtection="1">
      <alignment shrinkToFit="1"/>
    </xf>
    <xf numFmtId="165" fontId="24" fillId="29" borderId="60" xfId="49" applyFont="1" applyFill="1" applyBorder="1" applyAlignment="1" applyProtection="1">
      <alignment shrinkToFit="1"/>
    </xf>
    <xf numFmtId="171" fontId="24" fillId="29" borderId="87" xfId="48" applyFont="1" applyFill="1" applyBorder="1" applyAlignment="1" applyProtection="1">
      <alignment shrinkToFit="1"/>
    </xf>
    <xf numFmtId="10" fontId="56" fillId="0" borderId="104" xfId="37" applyNumberFormat="1" applyFill="1" applyBorder="1" applyAlignment="1" applyProtection="1">
      <alignment shrinkToFit="1"/>
    </xf>
    <xf numFmtId="0" fontId="46" fillId="0" borderId="105" xfId="34" applyFont="1" applyBorder="1" applyAlignment="1">
      <alignment horizontal="center"/>
    </xf>
    <xf numFmtId="0" fontId="46" fillId="0" borderId="79" xfId="34" applyFont="1" applyBorder="1"/>
    <xf numFmtId="0" fontId="69" fillId="0" borderId="0" xfId="34" applyFont="1"/>
    <xf numFmtId="11" fontId="46" fillId="0" borderId="0" xfId="34" applyNumberFormat="1" applyFont="1" applyAlignment="1">
      <alignment horizontal="center"/>
    </xf>
    <xf numFmtId="174" fontId="49" fillId="0" borderId="107" xfId="34" applyNumberFormat="1" applyFont="1" applyBorder="1" applyAlignment="1">
      <alignment horizontal="center"/>
    </xf>
    <xf numFmtId="10" fontId="0" fillId="29" borderId="108" xfId="38" applyNumberFormat="1" applyFont="1" applyFill="1" applyBorder="1" applyAlignment="1" applyProtection="1"/>
    <xf numFmtId="171" fontId="56" fillId="0" borderId="69" xfId="48" applyFill="1" applyBorder="1" applyAlignment="1" applyProtection="1">
      <alignment shrinkToFit="1"/>
    </xf>
    <xf numFmtId="171" fontId="56" fillId="29" borderId="69" xfId="48" applyFill="1" applyBorder="1" applyAlignment="1" applyProtection="1">
      <alignment shrinkToFit="1"/>
    </xf>
    <xf numFmtId="171" fontId="56" fillId="0" borderId="109" xfId="48" applyFill="1" applyBorder="1" applyAlignment="1" applyProtection="1">
      <alignment shrinkToFit="1"/>
    </xf>
    <xf numFmtId="165" fontId="24" fillId="29" borderId="110" xfId="49" applyFont="1" applyFill="1" applyBorder="1" applyAlignment="1" applyProtection="1">
      <alignment shrinkToFit="1"/>
    </xf>
    <xf numFmtId="171" fontId="24" fillId="29" borderId="51" xfId="48" applyFont="1" applyFill="1" applyBorder="1" applyAlignment="1" applyProtection="1">
      <alignment shrinkToFit="1"/>
    </xf>
    <xf numFmtId="10" fontId="56" fillId="0" borderId="111" xfId="37" applyNumberForma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97" xfId="0" applyNumberFormat="1" applyFont="1" applyFill="1" applyBorder="1"/>
    <xf numFmtId="10" fontId="56" fillId="0" borderId="0" xfId="37" applyNumberFormat="1"/>
    <xf numFmtId="171" fontId="56" fillId="31" borderId="26" xfId="48" applyFill="1" applyBorder="1" applyAlignment="1" applyProtection="1"/>
    <xf numFmtId="0" fontId="70" fillId="0" borderId="0" xfId="0" applyFont="1" applyAlignment="1">
      <alignment horizontal="left"/>
    </xf>
    <xf numFmtId="0" fontId="0" fillId="0" borderId="113" xfId="0" applyBorder="1"/>
    <xf numFmtId="0" fontId="0" fillId="0" borderId="114" xfId="0" applyBorder="1"/>
    <xf numFmtId="0" fontId="49" fillId="32" borderId="95" xfId="0" applyFont="1" applyFill="1" applyBorder="1" applyAlignment="1">
      <alignment horizontal="center"/>
    </xf>
    <xf numFmtId="0" fontId="12" fillId="32" borderId="115" xfId="0" applyFont="1" applyFill="1" applyBorder="1" applyAlignment="1">
      <alignment horizontal="right" vertical="center"/>
    </xf>
    <xf numFmtId="1" fontId="0" fillId="6" borderId="36"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0" xfId="0" applyBorder="1" applyProtection="1">
      <protection locked="0"/>
    </xf>
    <xf numFmtId="1" fontId="0" fillId="0" borderId="81"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29" xfId="0" applyFont="1" applyFill="1" applyBorder="1" applyAlignment="1">
      <alignment horizontal="center" vertical="center"/>
    </xf>
    <xf numFmtId="0" fontId="0" fillId="21" borderId="11" xfId="0" applyFill="1" applyBorder="1" applyAlignment="1">
      <alignment horizontal="left"/>
    </xf>
    <xf numFmtId="0" fontId="24" fillId="0" borderId="27" xfId="0" applyFont="1" applyBorder="1" applyAlignment="1">
      <alignment horizontal="center" vertical="center" wrapText="1"/>
    </xf>
    <xf numFmtId="0" fontId="73" fillId="0" borderId="0" xfId="0" applyFont="1" applyAlignment="1">
      <alignment horizontal="center"/>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7" xfId="0" applyFont="1" applyBorder="1" applyAlignment="1">
      <alignment horizontal="right" vertical="center" wrapText="1"/>
    </xf>
    <xf numFmtId="0" fontId="77" fillId="0" borderId="0" xfId="0" applyFont="1" applyAlignment="1">
      <alignment vertical="top"/>
    </xf>
    <xf numFmtId="0" fontId="20" fillId="0" borderId="27" xfId="0" applyFont="1" applyBorder="1" applyAlignment="1">
      <alignment horizontal="center" vertical="center" wrapText="1"/>
    </xf>
    <xf numFmtId="0" fontId="74" fillId="8" borderId="65" xfId="0" applyFont="1" applyFill="1" applyBorder="1"/>
    <xf numFmtId="184" fontId="74" fillId="0" borderId="0" xfId="0" applyNumberFormat="1" applyFont="1"/>
    <xf numFmtId="0" fontId="77" fillId="0" borderId="0" xfId="0" applyFont="1"/>
    <xf numFmtId="178" fontId="0" fillId="6" borderId="59" xfId="0" applyNumberFormat="1" applyFill="1" applyBorder="1" applyAlignment="1" applyProtection="1">
      <alignment horizontal="right" vertical="center"/>
      <protection locked="0"/>
    </xf>
    <xf numFmtId="178" fontId="0" fillId="6" borderId="39" xfId="0" applyNumberFormat="1" applyFill="1" applyBorder="1" applyAlignment="1" applyProtection="1">
      <alignment horizontal="right" vertical="center"/>
      <protection locked="0"/>
    </xf>
    <xf numFmtId="178" fontId="0" fillId="6" borderId="40"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7" xfId="33" applyFont="1" applyBorder="1"/>
    <xf numFmtId="0" fontId="0" fillId="0" borderId="0" xfId="0" quotePrefix="1" applyAlignment="1">
      <alignment horizontal="left" vertical="top"/>
    </xf>
    <xf numFmtId="10" fontId="62" fillId="0" borderId="106" xfId="38" applyNumberFormat="1" applyFont="1" applyFill="1" applyBorder="1" applyAlignment="1" applyProtection="1">
      <alignment horizontal="center"/>
      <protection locked="0"/>
    </xf>
    <xf numFmtId="49" fontId="56" fillId="0" borderId="116" xfId="50" applyNumberFormat="1" applyFont="1" applyBorder="1" applyAlignment="1">
      <alignment horizontal="center" vertical="center" wrapText="1"/>
    </xf>
    <xf numFmtId="49" fontId="56" fillId="0" borderId="116" xfId="50" quotePrefix="1" applyNumberFormat="1" applyFont="1" applyBorder="1" applyAlignment="1">
      <alignment horizontal="center" vertical="center" wrapText="1"/>
    </xf>
    <xf numFmtId="4" fontId="56" fillId="28" borderId="116" xfId="50" applyNumberFormat="1" applyFont="1" applyFill="1" applyBorder="1" applyAlignment="1">
      <alignment horizontal="center" vertical="center"/>
    </xf>
    <xf numFmtId="189" fontId="56" fillId="0" borderId="116" xfId="50" applyNumberFormat="1" applyFont="1" applyBorder="1" applyAlignment="1">
      <alignment horizontal="center" vertical="center"/>
    </xf>
    <xf numFmtId="10" fontId="56" fillId="0" borderId="116" xfId="37" applyNumberFormat="1" applyBorder="1" applyAlignment="1">
      <alignment horizontal="center" vertical="center"/>
    </xf>
    <xf numFmtId="189" fontId="56" fillId="28" borderId="116" xfId="50" applyNumberFormat="1" applyFont="1" applyFill="1" applyBorder="1" applyAlignment="1">
      <alignment horizontal="center" vertical="center"/>
    </xf>
    <xf numFmtId="1" fontId="56" fillId="0" borderId="116" xfId="50" applyNumberFormat="1" applyFont="1" applyBorder="1" applyAlignment="1">
      <alignment horizontal="center" vertical="center" wrapText="1"/>
    </xf>
    <xf numFmtId="4" fontId="56" fillId="0" borderId="116" xfId="50" applyNumberFormat="1" applyFont="1" applyBorder="1" applyAlignment="1">
      <alignment horizontal="center" vertical="center"/>
    </xf>
    <xf numFmtId="2" fontId="56" fillId="0" borderId="116" xfId="50" applyNumberFormat="1" applyFont="1" applyBorder="1" applyAlignment="1">
      <alignment horizontal="center" vertical="center"/>
    </xf>
    <xf numFmtId="189" fontId="56" fillId="28" borderId="116" xfId="50" applyNumberFormat="1" applyFont="1" applyFill="1" applyBorder="1" applyAlignment="1">
      <alignment horizontal="center" vertical="center" wrapText="1"/>
    </xf>
    <xf numFmtId="0" fontId="0" fillId="0" borderId="11" xfId="33" applyFont="1" applyBorder="1" applyAlignment="1">
      <alignment horizontal="left" vertical="top" wrapText="1"/>
    </xf>
    <xf numFmtId="0" fontId="0" fillId="0" borderId="28" xfId="0" applyBorder="1" applyAlignment="1">
      <alignment horizontal="center"/>
    </xf>
    <xf numFmtId="0" fontId="24" fillId="0" borderId="11" xfId="0" applyFont="1" applyBorder="1" applyAlignment="1">
      <alignment horizontal="center"/>
    </xf>
    <xf numFmtId="0" fontId="24" fillId="0" borderId="28" xfId="35" applyFont="1" applyBorder="1" applyAlignment="1">
      <alignment horizontal="left" vertical="top"/>
    </xf>
    <xf numFmtId="0" fontId="33" fillId="0" borderId="0" xfId="0"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9" fillId="0" borderId="0" xfId="0" applyFont="1" applyAlignment="1">
      <alignment horizontal="center" textRotation="90"/>
    </xf>
    <xf numFmtId="167" fontId="0" fillId="0" borderId="27" xfId="0" applyNumberFormat="1" applyBorder="1" applyAlignment="1">
      <alignment horizontal="left"/>
    </xf>
    <xf numFmtId="0" fontId="24" fillId="0" borderId="30" xfId="35" applyFont="1" applyBorder="1" applyAlignment="1">
      <alignment horizontal="left" vertical="top"/>
    </xf>
    <xf numFmtId="0" fontId="23" fillId="0" borderId="0" xfId="0" applyFont="1" applyAlignment="1">
      <alignment horizontal="left" vertical="center" indent="10"/>
    </xf>
    <xf numFmtId="0" fontId="37" fillId="0" borderId="0" xfId="0" applyFont="1" applyAlignment="1">
      <alignment horizontal="left" vertical="center" indent="10"/>
    </xf>
    <xf numFmtId="0" fontId="46" fillId="0" borderId="0" xfId="34" applyFont="1" applyAlignment="1">
      <alignment horizontal="center" wrapText="1"/>
    </xf>
    <xf numFmtId="186" fontId="0" fillId="0" borderId="27" xfId="0" applyNumberFormat="1" applyBorder="1" applyAlignment="1">
      <alignment horizontal="left"/>
    </xf>
    <xf numFmtId="0" fontId="0" fillId="0" borderId="36" xfId="0" applyBorder="1" applyAlignment="1">
      <alignment horizontal="left"/>
    </xf>
    <xf numFmtId="0" fontId="24" fillId="8" borderId="29" xfId="0" applyFont="1" applyFill="1" applyBorder="1" applyAlignment="1">
      <alignment horizontal="center"/>
    </xf>
    <xf numFmtId="0" fontId="0" fillId="18" borderId="36" xfId="0" applyFill="1" applyBorder="1"/>
    <xf numFmtId="0" fontId="49" fillId="0" borderId="28" xfId="34" applyFont="1" applyBorder="1" applyAlignment="1">
      <alignment horizontal="center"/>
    </xf>
    <xf numFmtId="0" fontId="46" fillId="0" borderId="11" xfId="34" applyFont="1" applyBorder="1" applyAlignment="1">
      <alignment horizontal="center"/>
    </xf>
    <xf numFmtId="0" fontId="0" fillId="0" borderId="0" xfId="0" applyAlignment="1">
      <alignment horizontal="left"/>
    </xf>
    <xf numFmtId="0" fontId="24" fillId="0" borderId="29" xfId="0" applyFont="1" applyBorder="1" applyAlignment="1">
      <alignment horizontal="center" vertical="center"/>
    </xf>
    <xf numFmtId="0" fontId="0" fillId="0" borderId="0" xfId="33" applyFont="1" applyAlignment="1">
      <alignment horizontal="left"/>
    </xf>
    <xf numFmtId="0" fontId="0" fillId="0" borderId="0" xfId="33" applyFont="1" applyAlignment="1">
      <alignment horizontal="left" vertical="top" wrapText="1"/>
    </xf>
    <xf numFmtId="0" fontId="0" fillId="0" borderId="0" xfId="33" applyFont="1" applyAlignment="1">
      <alignment vertical="center"/>
    </xf>
    <xf numFmtId="0" fontId="0" fillId="0" borderId="0" xfId="33" applyFont="1" applyAlignment="1">
      <alignment horizontal="left" vertical="top"/>
    </xf>
    <xf numFmtId="0" fontId="28" fillId="0" borderId="117" xfId="0" applyFont="1" applyBorder="1"/>
    <xf numFmtId="0" fontId="27" fillId="0" borderId="118" xfId="0" applyFont="1" applyBorder="1" applyAlignment="1">
      <alignment horizontal="left" indent="1"/>
    </xf>
    <xf numFmtId="0" fontId="0" fillId="0" borderId="118" xfId="0" applyBorder="1" applyAlignment="1">
      <alignment vertical="center" wrapText="1"/>
    </xf>
    <xf numFmtId="0" fontId="28" fillId="0" borderId="119" xfId="0" applyFont="1" applyBorder="1"/>
    <xf numFmtId="0" fontId="47" fillId="0" borderId="0" xfId="0" applyFont="1" applyAlignment="1" applyProtection="1">
      <alignment horizontal="center" vertical="center"/>
      <protection locked="0"/>
    </xf>
    <xf numFmtId="0" fontId="0" fillId="0" borderId="120" xfId="0" applyBorder="1"/>
    <xf numFmtId="0" fontId="0" fillId="0" borderId="118" xfId="0" applyBorder="1"/>
    <xf numFmtId="0" fontId="0" fillId="0" borderId="119" xfId="0" applyBorder="1"/>
    <xf numFmtId="0" fontId="0" fillId="0" borderId="122" xfId="0" applyBorder="1"/>
    <xf numFmtId="0" fontId="24" fillId="0" borderId="121" xfId="33" applyFont="1" applyBorder="1" applyAlignment="1">
      <alignment horizontal="center"/>
    </xf>
    <xf numFmtId="10" fontId="29" fillId="0" borderId="121" xfId="33" applyNumberFormat="1" applyFont="1" applyBorder="1" applyAlignment="1">
      <alignment horizontal="center"/>
    </xf>
    <xf numFmtId="0" fontId="24" fillId="0" borderId="121" xfId="33" applyFont="1" applyBorder="1" applyAlignment="1">
      <alignment horizontal="center" vertical="center" wrapText="1"/>
    </xf>
    <xf numFmtId="0" fontId="30" fillId="0" borderId="121" xfId="33" applyFont="1" applyBorder="1" applyAlignment="1">
      <alignment horizontal="center" vertical="center"/>
    </xf>
    <xf numFmtId="10" fontId="30" fillId="6" borderId="121" xfId="33" applyNumberFormat="1" applyFont="1" applyFill="1" applyBorder="1" applyAlignment="1" applyProtection="1">
      <alignment horizontal="center" vertical="center"/>
      <protection locked="0"/>
    </xf>
    <xf numFmtId="10" fontId="30" fillId="0" borderId="121" xfId="33" applyNumberFormat="1" applyFont="1" applyBorder="1" applyAlignment="1">
      <alignment horizontal="center" vertical="center"/>
    </xf>
    <xf numFmtId="10" fontId="30" fillId="0" borderId="121" xfId="33" applyNumberFormat="1" applyFont="1" applyBorder="1" applyAlignment="1">
      <alignment horizontal="center" vertical="center" wrapText="1"/>
    </xf>
    <xf numFmtId="0" fontId="30" fillId="0" borderId="121" xfId="33" applyFont="1" applyBorder="1" applyAlignment="1">
      <alignment horizontal="center" vertical="center" wrapText="1"/>
    </xf>
    <xf numFmtId="0" fontId="30" fillId="8" borderId="121" xfId="33" applyFont="1" applyFill="1" applyBorder="1" applyAlignment="1">
      <alignment horizontal="center" vertical="center" wrapText="1"/>
    </xf>
    <xf numFmtId="10" fontId="17" fillId="8" borderId="121" xfId="33" applyNumberFormat="1" applyFont="1" applyFill="1" applyBorder="1" applyAlignment="1">
      <alignment horizontal="center" vertical="center"/>
    </xf>
    <xf numFmtId="0" fontId="24" fillId="0" borderId="125" xfId="33" applyFont="1" applyBorder="1" applyAlignment="1">
      <alignment horizontal="left"/>
    </xf>
    <xf numFmtId="0" fontId="0" fillId="0" borderId="125" xfId="33" applyFont="1" applyBorder="1"/>
    <xf numFmtId="0" fontId="0" fillId="0" borderId="125" xfId="33" applyFont="1" applyBorder="1" applyAlignment="1">
      <alignment horizontal="left" vertical="top" wrapText="1"/>
    </xf>
    <xf numFmtId="0" fontId="0" fillId="0" borderId="125" xfId="33" applyFont="1" applyBorder="1" applyAlignment="1">
      <alignment vertical="top" wrapText="1"/>
    </xf>
    <xf numFmtId="0" fontId="0" fillId="0" borderId="121" xfId="0" applyBorder="1"/>
    <xf numFmtId="0" fontId="0" fillId="0" borderId="121" xfId="0" applyBorder="1" applyProtection="1">
      <protection locked="0"/>
    </xf>
    <xf numFmtId="0" fontId="42" fillId="0" borderId="126" xfId="0" applyFont="1" applyBorder="1" applyAlignment="1">
      <alignment horizontal="center" vertical="center" wrapText="1"/>
    </xf>
    <xf numFmtId="0" fontId="24" fillId="0" borderId="121" xfId="0" applyFont="1" applyBorder="1" applyAlignment="1">
      <alignment horizontal="center" vertical="center" wrapText="1"/>
    </xf>
    <xf numFmtId="0" fontId="45" fillId="0" borderId="121" xfId="0" applyFont="1" applyBorder="1" applyAlignment="1">
      <alignment horizontal="center" vertical="center" wrapText="1"/>
    </xf>
    <xf numFmtId="0" fontId="24" fillId="0" borderId="121" xfId="0" applyFont="1" applyBorder="1" applyAlignment="1">
      <alignment horizontal="center" vertical="center"/>
    </xf>
    <xf numFmtId="0" fontId="24" fillId="0" borderId="127" xfId="0" applyFont="1" applyBorder="1" applyAlignment="1">
      <alignment horizontal="center" vertical="center" wrapText="1"/>
    </xf>
    <xf numFmtId="0" fontId="42" fillId="0" borderId="128" xfId="0" applyFont="1" applyBorder="1" applyAlignment="1">
      <alignment horizontal="center" vertical="center" wrapText="1"/>
    </xf>
    <xf numFmtId="0" fontId="24" fillId="0" borderId="126" xfId="0" applyFont="1" applyBorder="1" applyAlignment="1">
      <alignment horizontal="center" vertical="center" wrapText="1"/>
    </xf>
    <xf numFmtId="0" fontId="24" fillId="0" borderId="128" xfId="0" applyFont="1" applyBorder="1" applyAlignment="1">
      <alignment horizontal="center" vertical="center" wrapText="1"/>
    </xf>
    <xf numFmtId="0" fontId="24" fillId="17" borderId="121" xfId="0" applyFont="1" applyFill="1" applyBorder="1" applyAlignment="1">
      <alignment horizontal="center" vertical="center"/>
    </xf>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171" fontId="24" fillId="17" borderId="123" xfId="48" applyFont="1" applyFill="1" applyBorder="1" applyAlignment="1" applyProtection="1">
      <alignment horizontal="center" vertical="center" shrinkToFit="1"/>
    </xf>
    <xf numFmtId="171" fontId="21" fillId="17" borderId="121" xfId="48" applyFont="1" applyFill="1" applyBorder="1" applyAlignment="1" applyProtection="1">
      <alignment horizontal="center" vertical="center" shrinkToFit="1"/>
    </xf>
    <xf numFmtId="171" fontId="21" fillId="17" borderId="123" xfId="48" applyFont="1" applyFill="1" applyBorder="1" applyAlignment="1" applyProtection="1">
      <alignment horizontal="center" vertical="center" shrinkToFit="1"/>
    </xf>
    <xf numFmtId="0" fontId="0" fillId="22" borderId="122" xfId="0" applyFill="1" applyBorder="1"/>
    <xf numFmtId="0" fontId="0" fillId="22" borderId="123" xfId="0" applyFill="1" applyBorder="1"/>
    <xf numFmtId="0" fontId="0" fillId="22" borderId="124" xfId="0" applyFill="1" applyBorder="1"/>
    <xf numFmtId="0" fontId="0" fillId="21" borderId="122" xfId="0" applyFill="1" applyBorder="1"/>
    <xf numFmtId="0" fontId="0" fillId="21" borderId="123" xfId="0" applyFill="1" applyBorder="1"/>
    <xf numFmtId="0" fontId="0" fillId="23" borderId="121" xfId="0" applyFill="1" applyBorder="1"/>
    <xf numFmtId="0" fontId="0" fillId="21" borderId="124" xfId="0" applyFill="1" applyBorder="1"/>
    <xf numFmtId="0" fontId="24" fillId="0" borderId="125" xfId="0" applyFont="1" applyBorder="1"/>
    <xf numFmtId="0" fontId="0" fillId="0" borderId="125" xfId="0" applyBorder="1"/>
    <xf numFmtId="0" fontId="46" fillId="0" borderId="121" xfId="0" applyFont="1" applyBorder="1" applyAlignment="1">
      <alignment horizontal="center" vertical="center"/>
    </xf>
    <xf numFmtId="0" fontId="46" fillId="6" borderId="121" xfId="0" applyFont="1" applyFill="1" applyBorder="1" applyAlignment="1" applyProtection="1">
      <alignment horizontal="left" vertical="center"/>
      <protection locked="0"/>
    </xf>
    <xf numFmtId="171" fontId="56" fillId="0" borderId="116" xfId="48" applyBorder="1" applyAlignment="1" applyProtection="1">
      <alignment shrinkToFit="1"/>
    </xf>
    <xf numFmtId="171" fontId="56" fillId="0" borderId="121" xfId="48" applyFill="1" applyBorder="1" applyAlignment="1" applyProtection="1"/>
    <xf numFmtId="171" fontId="74" fillId="0" borderId="116" xfId="48" applyFont="1" applyBorder="1" applyAlignment="1" applyProtection="1">
      <alignment shrinkToFit="1"/>
    </xf>
    <xf numFmtId="0" fontId="0" fillId="0" borderId="116" xfId="0" applyBorder="1" applyAlignment="1">
      <alignment horizontal="center" wrapText="1"/>
    </xf>
    <xf numFmtId="0" fontId="12" fillId="0" borderId="121" xfId="0" applyFont="1" applyBorder="1"/>
    <xf numFmtId="0" fontId="12" fillId="0" borderId="122" xfId="0" applyFont="1" applyBorder="1"/>
    <xf numFmtId="0" fontId="12" fillId="0" borderId="116" xfId="0" applyFont="1" applyBorder="1" applyAlignment="1">
      <alignment horizontal="center"/>
    </xf>
    <xf numFmtId="0" fontId="12" fillId="0" borderId="129" xfId="0" applyFont="1" applyBorder="1" applyAlignment="1">
      <alignment horizontal="center"/>
    </xf>
    <xf numFmtId="171" fontId="24" fillId="30" borderId="116" xfId="0" applyNumberFormat="1" applyFont="1" applyFill="1" applyBorder="1"/>
    <xf numFmtId="0" fontId="46" fillId="31" borderId="121" xfId="0" applyFont="1" applyFill="1" applyBorder="1" applyAlignment="1">
      <alignment horizontal="center" vertical="center"/>
    </xf>
    <xf numFmtId="0" fontId="46" fillId="31" borderId="122" xfId="0" applyFont="1" applyFill="1" applyBorder="1" applyAlignment="1">
      <alignment horizontal="left" vertical="center"/>
    </xf>
    <xf numFmtId="171" fontId="56" fillId="31" borderId="116" xfId="48" applyFill="1" applyBorder="1" applyAlignment="1" applyProtection="1">
      <alignment horizontal="left" vertical="center" shrinkToFit="1"/>
    </xf>
    <xf numFmtId="171" fontId="56" fillId="18" borderId="116" xfId="48" applyFill="1" applyBorder="1" applyAlignment="1" applyProtection="1">
      <alignment horizontal="left" vertical="center" shrinkToFit="1"/>
    </xf>
    <xf numFmtId="0" fontId="0" fillId="18" borderId="122" xfId="0" applyFill="1" applyBorder="1"/>
    <xf numFmtId="0" fontId="0" fillId="18" borderId="124" xfId="0" applyFill="1" applyBorder="1"/>
    <xf numFmtId="0" fontId="0" fillId="18" borderId="116" xfId="0" applyFill="1" applyBorder="1" applyAlignment="1">
      <alignment horizontal="center"/>
    </xf>
    <xf numFmtId="0" fontId="0" fillId="18" borderId="123" xfId="0" applyFill="1" applyBorder="1"/>
    <xf numFmtId="0" fontId="0" fillId="0" borderId="116" xfId="0" applyBorder="1" applyAlignment="1">
      <alignment horizontal="center"/>
    </xf>
    <xf numFmtId="0" fontId="24" fillId="0" borderId="130" xfId="0" applyFont="1" applyBorder="1" applyAlignment="1">
      <alignment horizontal="center" vertical="center" wrapText="1"/>
    </xf>
    <xf numFmtId="0" fontId="0" fillId="16" borderId="116" xfId="48" applyNumberFormat="1" applyFont="1" applyFill="1" applyBorder="1" applyAlignment="1" applyProtection="1">
      <alignment horizontal="left" vertical="center"/>
      <protection locked="0"/>
    </xf>
    <xf numFmtId="0" fontId="24" fillId="17" borderId="116" xfId="0" applyFont="1" applyFill="1" applyBorder="1" applyAlignment="1">
      <alignment horizontal="left" vertical="center"/>
    </xf>
    <xf numFmtId="0" fontId="47" fillId="21" borderId="122" xfId="0" applyFont="1" applyFill="1" applyBorder="1"/>
    <xf numFmtId="0" fontId="0" fillId="0" borderId="124" xfId="0" applyBorder="1"/>
    <xf numFmtId="0" fontId="0" fillId="4" borderId="122" xfId="0" applyFill="1" applyBorder="1"/>
    <xf numFmtId="0" fontId="0" fillId="4" borderId="124" xfId="0" applyFill="1" applyBorder="1"/>
    <xf numFmtId="0" fontId="0" fillId="4" borderId="123" xfId="0" applyFill="1" applyBorder="1"/>
    <xf numFmtId="0" fontId="46" fillId="21" borderId="122" xfId="34" applyFont="1" applyFill="1" applyBorder="1" applyAlignment="1">
      <alignment horizontal="center"/>
    </xf>
    <xf numFmtId="0" fontId="46" fillId="21" borderId="123" xfId="34" applyFont="1" applyFill="1" applyBorder="1" applyAlignment="1">
      <alignment horizontal="center"/>
    </xf>
    <xf numFmtId="0" fontId="46" fillId="21" borderId="124" xfId="34" applyFont="1" applyFill="1" applyBorder="1" applyAlignment="1">
      <alignment horizontal="center"/>
    </xf>
    <xf numFmtId="10" fontId="46" fillId="0" borderId="126" xfId="34" applyNumberFormat="1" applyFont="1" applyBorder="1" applyAlignment="1">
      <alignment horizontal="center"/>
    </xf>
    <xf numFmtId="173" fontId="0" fillId="0" borderId="126" xfId="48" applyNumberFormat="1" applyFont="1" applyFill="1" applyBorder="1" applyAlignment="1" applyProtection="1">
      <alignment horizontal="center" vertical="center"/>
    </xf>
    <xf numFmtId="0" fontId="49" fillId="0" borderId="130" xfId="34" applyFont="1" applyBorder="1" applyAlignment="1">
      <alignment horizontal="center"/>
    </xf>
    <xf numFmtId="0" fontId="49" fillId="0" borderId="125" xfId="34" applyFont="1" applyBorder="1" applyAlignment="1">
      <alignment horizontal="left" vertical="center" wrapText="1"/>
    </xf>
    <xf numFmtId="0" fontId="46" fillId="0" borderId="125" xfId="34" applyFont="1" applyBorder="1" applyAlignment="1">
      <alignment horizontal="center" vertical="center"/>
    </xf>
    <xf numFmtId="0" fontId="49" fillId="0" borderId="127" xfId="34" applyFont="1" applyBorder="1" applyAlignment="1" applyProtection="1">
      <alignment horizontal="center"/>
      <protection locked="0"/>
    </xf>
    <xf numFmtId="0" fontId="49" fillId="0" borderId="131" xfId="34" applyFont="1" applyBorder="1" applyAlignment="1">
      <alignment horizontal="center"/>
    </xf>
    <xf numFmtId="0" fontId="46" fillId="23" borderId="124" xfId="34" applyFont="1" applyFill="1" applyBorder="1"/>
    <xf numFmtId="0" fontId="46" fillId="22" borderId="122"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46" fillId="8" borderId="126" xfId="34" applyFont="1" applyFill="1" applyBorder="1"/>
    <xf numFmtId="0" fontId="21" fillId="0" borderId="126" xfId="0" applyFont="1" applyBorder="1" applyAlignment="1">
      <alignment horizontal="center"/>
    </xf>
    <xf numFmtId="0" fontId="24" fillId="0" borderId="122" xfId="0" applyFont="1" applyBorder="1" applyAlignment="1">
      <alignment horizontal="center" vertical="center" wrapText="1"/>
    </xf>
    <xf numFmtId="0" fontId="24" fillId="0" borderId="124" xfId="0" applyFont="1" applyBorder="1" applyAlignment="1">
      <alignment horizontal="center" vertical="center" wrapText="1"/>
    </xf>
    <xf numFmtId="0" fontId="24" fillId="0" borderId="123" xfId="0" applyFont="1" applyBorder="1" applyAlignment="1">
      <alignment horizontal="center" vertical="center" wrapText="1"/>
    </xf>
    <xf numFmtId="0" fontId="24" fillId="0" borderId="129" xfId="0" applyFont="1" applyBorder="1" applyAlignment="1">
      <alignment horizontal="center" vertical="center" wrapText="1"/>
    </xf>
    <xf numFmtId="0" fontId="0" fillId="8" borderId="132" xfId="0" applyFill="1" applyBorder="1"/>
    <xf numFmtId="0" fontId="0" fillId="8" borderId="125" xfId="0" applyFill="1" applyBorder="1"/>
    <xf numFmtId="178" fontId="17" fillId="8" borderId="132" xfId="0" applyNumberFormat="1" applyFont="1" applyFill="1" applyBorder="1" applyAlignment="1">
      <alignment horizontal="center" vertical="center"/>
    </xf>
    <xf numFmtId="178" fontId="17" fillId="8" borderId="125" xfId="0" applyNumberFormat="1" applyFont="1" applyFill="1" applyBorder="1" applyAlignment="1">
      <alignment horizontal="center" vertical="center"/>
    </xf>
    <xf numFmtId="178" fontId="17" fillId="8" borderId="129" xfId="0" applyNumberFormat="1" applyFont="1" applyFill="1" applyBorder="1" applyAlignment="1">
      <alignment horizontal="center" vertical="center"/>
    </xf>
    <xf numFmtId="178" fontId="17" fillId="8" borderId="126" xfId="0" applyNumberFormat="1" applyFont="1" applyFill="1" applyBorder="1" applyAlignment="1">
      <alignment horizontal="center" vertical="center"/>
    </xf>
    <xf numFmtId="0" fontId="0" fillId="18" borderId="126" xfId="0" applyFill="1" applyBorder="1"/>
    <xf numFmtId="0" fontId="0" fillId="18" borderId="126" xfId="0" applyFill="1" applyBorder="1" applyAlignment="1">
      <alignment horizontal="center"/>
    </xf>
    <xf numFmtId="0" fontId="0" fillId="18" borderId="132" xfId="0" applyFill="1" applyBorder="1"/>
    <xf numFmtId="0" fontId="0" fillId="18" borderId="125" xfId="0" applyFill="1" applyBorder="1" applyAlignment="1">
      <alignment horizontal="center"/>
    </xf>
    <xf numFmtId="0" fontId="0" fillId="18" borderId="125" xfId="0" applyFill="1" applyBorder="1"/>
    <xf numFmtId="0" fontId="0" fillId="18" borderId="129" xfId="0" applyFill="1" applyBorder="1"/>
    <xf numFmtId="0" fontId="24" fillId="0" borderId="126" xfId="0" applyFont="1" applyBorder="1" applyAlignment="1">
      <alignment horizontal="center"/>
    </xf>
    <xf numFmtId="0" fontId="0" fillId="0" borderId="132" xfId="0" applyBorder="1"/>
    <xf numFmtId="0" fontId="0" fillId="0" borderId="129" xfId="0" applyBorder="1"/>
    <xf numFmtId="0" fontId="0" fillId="0" borderId="126" xfId="0" applyBorder="1"/>
    <xf numFmtId="0" fontId="24" fillId="0" borderId="126" xfId="0" applyFont="1" applyBorder="1" applyAlignment="1">
      <alignment horizontal="center" vertical="center"/>
    </xf>
    <xf numFmtId="183" fontId="24" fillId="8" borderId="126" xfId="0" applyNumberFormat="1" applyFont="1" applyFill="1" applyBorder="1" applyAlignment="1">
      <alignment horizontal="center" vertical="center" wrapText="1"/>
    </xf>
    <xf numFmtId="0" fontId="0" fillId="0" borderId="122" xfId="0" applyBorder="1" applyAlignment="1">
      <alignment horizontal="center" wrapText="1"/>
    </xf>
    <xf numFmtId="0" fontId="0" fillId="0" borderId="123" xfId="0" applyBorder="1" applyAlignment="1">
      <alignment horizontal="center" wrapText="1"/>
    </xf>
    <xf numFmtId="0" fontId="21" fillId="0" borderId="129" xfId="0" applyFont="1" applyBorder="1" applyAlignment="1">
      <alignment horizontal="center"/>
    </xf>
    <xf numFmtId="0" fontId="0" fillId="0" borderId="125" xfId="0" applyBorder="1" applyAlignment="1">
      <alignment wrapText="1"/>
    </xf>
    <xf numFmtId="178" fontId="17" fillId="8" borderId="122"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178" fontId="17" fillId="8" borderId="123" xfId="0" applyNumberFormat="1" applyFont="1" applyFill="1" applyBorder="1" applyAlignment="1">
      <alignment horizontal="center" vertical="center"/>
    </xf>
    <xf numFmtId="0" fontId="0" fillId="0" borderId="125" xfId="0" applyBorder="1" applyAlignment="1">
      <alignment horizontal="right"/>
    </xf>
    <xf numFmtId="0" fontId="56" fillId="0" borderId="133" xfId="50" applyFont="1" applyBorder="1" applyAlignment="1">
      <alignment horizontal="center" vertical="center" wrapText="1"/>
    </xf>
    <xf numFmtId="0" fontId="56" fillId="0" borderId="116" xfId="50" applyFont="1" applyBorder="1" applyAlignment="1">
      <alignment horizontal="center" vertical="center" wrapText="1"/>
    </xf>
    <xf numFmtId="0" fontId="56" fillId="0" borderId="134" xfId="50" applyFont="1" applyBorder="1" applyAlignment="1">
      <alignment horizontal="center" vertical="center" wrapText="1"/>
    </xf>
    <xf numFmtId="0" fontId="18" fillId="0" borderId="121" xfId="0" applyFont="1" applyBorder="1" applyAlignment="1">
      <alignment horizontal="center" vertical="center"/>
    </xf>
    <xf numFmtId="0" fontId="19" fillId="20" borderId="0" xfId="0" applyFont="1" applyFill="1" applyAlignment="1">
      <alignment horizontal="center" vertical="center"/>
    </xf>
    <xf numFmtId="0" fontId="12" fillId="0" borderId="90" xfId="0" applyFont="1" applyBorder="1" applyAlignment="1">
      <alignment horizontal="center" vertical="center"/>
    </xf>
    <xf numFmtId="0" fontId="24" fillId="0" borderId="123" xfId="0" applyFont="1" applyBorder="1" applyAlignment="1">
      <alignment horizontal="center"/>
    </xf>
    <xf numFmtId="0" fontId="0" fillId="0" borderId="125" xfId="33" applyFont="1" applyBorder="1" applyAlignment="1">
      <alignment horizontal="left" vertical="center"/>
    </xf>
    <xf numFmtId="0" fontId="8" fillId="0" borderId="121" xfId="33" applyFont="1" applyBorder="1" applyAlignment="1">
      <alignment horizontal="left" vertical="center" wrapText="1"/>
    </xf>
    <xf numFmtId="49" fontId="0" fillId="6" borderId="121" xfId="33" applyNumberFormat="1" applyFont="1" applyFill="1" applyBorder="1" applyAlignment="1" applyProtection="1">
      <alignment horizontal="left" vertical="top" wrapText="1"/>
      <protection locked="0"/>
    </xf>
    <xf numFmtId="167" fontId="0" fillId="0" borderId="27" xfId="33" applyNumberFormat="1" applyFont="1" applyBorder="1" applyAlignment="1">
      <alignment horizontal="left"/>
    </xf>
    <xf numFmtId="186" fontId="0" fillId="0" borderId="27"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121" xfId="33" applyFont="1" applyBorder="1" applyAlignment="1">
      <alignment horizontal="center" vertical="center" wrapText="1"/>
    </xf>
    <xf numFmtId="4" fontId="30" fillId="0" borderId="122" xfId="33" applyNumberFormat="1" applyFont="1" applyBorder="1" applyAlignment="1">
      <alignment horizontal="center" vertical="center"/>
    </xf>
    <xf numFmtId="4" fontId="30" fillId="0" borderId="124" xfId="33" applyNumberFormat="1" applyFont="1" applyBorder="1" applyAlignment="1">
      <alignment horizontal="center" vertical="center"/>
    </xf>
    <xf numFmtId="4" fontId="30" fillId="0" borderId="123" xfId="33" applyNumberFormat="1" applyFont="1" applyBorder="1" applyAlignment="1">
      <alignment horizontal="center" vertical="center"/>
    </xf>
    <xf numFmtId="4" fontId="17" fillId="0" borderId="121" xfId="33" applyNumberFormat="1" applyFont="1" applyBorder="1" applyAlignment="1">
      <alignment horizontal="center" vertical="center" wrapText="1"/>
    </xf>
    <xf numFmtId="0" fontId="30" fillId="8" borderId="12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121" xfId="33" applyFont="1" applyBorder="1" applyAlignment="1">
      <alignment horizontal="center" vertical="center"/>
    </xf>
    <xf numFmtId="0" fontId="17" fillId="0" borderId="121" xfId="33" applyFont="1" applyBorder="1" applyAlignment="1">
      <alignment horizontal="center" vertical="center"/>
    </xf>
    <xf numFmtId="0" fontId="24" fillId="0" borderId="28" xfId="35" applyFont="1" applyBorder="1" applyAlignment="1">
      <alignment horizontal="left" vertical="top"/>
    </xf>
    <xf numFmtId="164" fontId="8" fillId="16" borderId="11" xfId="32" applyFont="1" applyFill="1" applyBorder="1" applyAlignment="1" applyProtection="1">
      <alignment horizontal="left"/>
      <protection locked="0"/>
    </xf>
    <xf numFmtId="0" fontId="23" fillId="0" borderId="121" xfId="33" applyFont="1" applyBorder="1" applyAlignment="1">
      <alignment horizontal="center"/>
    </xf>
    <xf numFmtId="4" fontId="30" fillId="0" borderId="121" xfId="33" applyNumberFormat="1" applyFont="1" applyBorder="1" applyAlignment="1">
      <alignment horizontal="center" vertical="center"/>
    </xf>
    <xf numFmtId="0" fontId="0" fillId="0" borderId="11" xfId="33" applyFont="1" applyBorder="1" applyAlignment="1">
      <alignment horizontal="left" vertical="top" wrapText="1"/>
    </xf>
    <xf numFmtId="0" fontId="0" fillId="0" borderId="28" xfId="0" applyBorder="1" applyAlignment="1">
      <alignment horizontal="center"/>
    </xf>
    <xf numFmtId="0" fontId="24" fillId="0" borderId="11" xfId="0" applyFont="1" applyBorder="1" applyAlignment="1">
      <alignment horizontal="center"/>
    </xf>
    <xf numFmtId="0" fontId="8" fillId="0" borderId="121" xfId="33" applyFont="1" applyBorder="1" applyAlignment="1">
      <alignment horizontal="left"/>
    </xf>
    <xf numFmtId="10" fontId="8" fillId="6" borderId="121" xfId="33" applyNumberFormat="1" applyFont="1" applyFill="1" applyBorder="1" applyAlignment="1" applyProtection="1">
      <alignment horizontal="center"/>
      <protection locked="0"/>
    </xf>
    <xf numFmtId="0" fontId="8" fillId="0" borderId="11" xfId="32" applyNumberFormat="1" applyFont="1" applyFill="1" applyBorder="1" applyAlignment="1" applyProtection="1">
      <alignment horizontal="left" wrapText="1"/>
    </xf>
    <xf numFmtId="0" fontId="8" fillId="0" borderId="121" xfId="33" applyFont="1" applyBorder="1" applyAlignment="1">
      <alignment horizontal="left" wrapText="1"/>
    </xf>
    <xf numFmtId="0" fontId="0" fillId="0" borderId="121" xfId="0" applyBorder="1" applyAlignment="1">
      <alignment horizontal="center"/>
    </xf>
    <xf numFmtId="0" fontId="24" fillId="0" borderId="30" xfId="35" applyFont="1" applyBorder="1" applyAlignment="1">
      <alignment horizontal="left" vertical="top"/>
    </xf>
    <xf numFmtId="0" fontId="60" fillId="0" borderId="0" xfId="0" applyFont="1" applyAlignment="1">
      <alignment horizontal="center" textRotation="90" wrapText="1"/>
    </xf>
    <xf numFmtId="0" fontId="24" fillId="0" borderId="10"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1" xfId="33" applyFont="1" applyBorder="1" applyAlignment="1">
      <alignment horizontal="left" vertical="top" wrapText="1"/>
    </xf>
    <xf numFmtId="186" fontId="0" fillId="0" borderId="0" xfId="0" applyNumberFormat="1" applyAlignment="1">
      <alignment horizontal="left"/>
    </xf>
    <xf numFmtId="0" fontId="24" fillId="17" borderId="122" xfId="0" applyFont="1" applyFill="1" applyBorder="1" applyAlignment="1">
      <alignment horizontal="left" vertical="center" wrapText="1"/>
    </xf>
    <xf numFmtId="0" fontId="30" fillId="0" borderId="121" xfId="0" applyFont="1" applyBorder="1" applyAlignment="1" applyProtection="1">
      <alignment horizontal="left" vertical="center"/>
      <protection locked="0"/>
    </xf>
    <xf numFmtId="0" fontId="30" fillId="6" borderId="11" xfId="0" applyFont="1" applyFill="1" applyBorder="1" applyAlignment="1" applyProtection="1">
      <alignment horizontal="left" vertical="top" wrapText="1"/>
      <protection locked="0"/>
    </xf>
    <xf numFmtId="0" fontId="17" fillId="0" borderId="121" xfId="0" applyFont="1" applyBorder="1" applyAlignment="1">
      <alignment horizontal="left" wrapText="1"/>
    </xf>
    <xf numFmtId="167" fontId="0" fillId="0" borderId="27" xfId="0" applyNumberFormat="1" applyBorder="1" applyAlignment="1">
      <alignment horizontal="left"/>
    </xf>
    <xf numFmtId="0" fontId="0" fillId="0" borderId="121" xfId="0" applyBorder="1" applyAlignment="1">
      <alignment horizontal="left" wrapText="1"/>
    </xf>
    <xf numFmtId="0" fontId="46" fillId="0" borderId="92" xfId="34" applyFont="1" applyBorder="1" applyAlignment="1">
      <alignment horizontal="left"/>
    </xf>
    <xf numFmtId="0" fontId="46" fillId="0" borderId="82" xfId="34" applyFont="1" applyBorder="1" applyAlignment="1">
      <alignment horizontal="left"/>
    </xf>
    <xf numFmtId="0" fontId="46" fillId="0" borderId="100" xfId="34" applyFont="1" applyBorder="1" applyAlignment="1">
      <alignment horizontal="left"/>
    </xf>
    <xf numFmtId="0" fontId="1" fillId="0" borderId="116" xfId="0" applyFont="1" applyBorder="1" applyAlignment="1">
      <alignment horizontal="center" vertical="center" wrapText="1"/>
    </xf>
    <xf numFmtId="0" fontId="1" fillId="0" borderId="77"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81" xfId="0" applyFont="1" applyBorder="1" applyAlignment="1">
      <alignment horizontal="center" vertical="center" wrapText="1"/>
    </xf>
    <xf numFmtId="0" fontId="0" fillId="16" borderId="98" xfId="0" applyFill="1" applyBorder="1" applyAlignment="1" applyProtection="1">
      <alignment horizontal="left" vertical="center"/>
      <protection locked="0"/>
    </xf>
    <xf numFmtId="0" fontId="0" fillId="16" borderId="99"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29" xfId="0" applyFont="1" applyFill="1" applyBorder="1" applyAlignment="1">
      <alignment horizontal="left" vertical="center" wrapText="1"/>
    </xf>
    <xf numFmtId="0" fontId="23" fillId="0" borderId="0" xfId="0" applyFont="1" applyAlignment="1">
      <alignment horizontal="left" vertical="center" indent="10"/>
    </xf>
    <xf numFmtId="0" fontId="37" fillId="0" borderId="0" xfId="0" applyFont="1" applyAlignment="1">
      <alignment horizontal="left" vertical="center" indent="10"/>
    </xf>
    <xf numFmtId="0" fontId="12" fillId="0" borderId="94" xfId="0" applyFont="1" applyBorder="1" applyAlignment="1">
      <alignment horizontal="right" vertical="center"/>
    </xf>
    <xf numFmtId="0" fontId="12" fillId="0" borderId="112" xfId="0" applyFont="1" applyBorder="1" applyAlignment="1">
      <alignment horizontal="right" vertical="center"/>
    </xf>
    <xf numFmtId="10" fontId="46" fillId="32" borderId="116" xfId="37" applyNumberFormat="1" applyFont="1" applyFill="1" applyBorder="1" applyAlignment="1" applyProtection="1">
      <alignment horizontal="center"/>
    </xf>
    <xf numFmtId="10" fontId="56" fillId="32" borderId="95" xfId="37" applyNumberFormat="1" applyFill="1" applyBorder="1" applyAlignment="1" applyProtection="1">
      <alignment horizontal="center" shrinkToFit="1"/>
    </xf>
    <xf numFmtId="10" fontId="56" fillId="32" borderId="97" xfId="37" applyNumberFormat="1" applyFill="1" applyBorder="1" applyAlignment="1" applyProtection="1">
      <alignment horizontal="center" shrinkToFit="1"/>
    </xf>
    <xf numFmtId="10" fontId="46" fillId="32" borderId="95" xfId="37" applyNumberFormat="1" applyFont="1" applyFill="1" applyBorder="1" applyAlignment="1" applyProtection="1">
      <alignment horizontal="center"/>
    </xf>
    <xf numFmtId="10" fontId="46" fillId="32" borderId="97" xfId="37" applyNumberFormat="1" applyFont="1" applyFill="1" applyBorder="1" applyAlignment="1" applyProtection="1">
      <alignment horizontal="center"/>
    </xf>
    <xf numFmtId="171" fontId="56" fillId="0" borderId="95" xfId="48" applyBorder="1" applyAlignment="1" applyProtection="1">
      <alignment horizontal="center" shrinkToFit="1"/>
    </xf>
    <xf numFmtId="171" fontId="56" fillId="0" borderId="97" xfId="48" applyBorder="1" applyAlignment="1" applyProtection="1">
      <alignment horizontal="center" shrinkToFit="1"/>
    </xf>
    <xf numFmtId="186" fontId="63" fillId="0" borderId="27" xfId="0" applyNumberFormat="1" applyFont="1" applyBorder="1" applyAlignment="1">
      <alignment horizontal="left"/>
    </xf>
    <xf numFmtId="171" fontId="56" fillId="0" borderId="116" xfId="48" applyBorder="1" applyAlignment="1" applyProtection="1">
      <alignment horizontal="center" shrinkToFit="1"/>
    </xf>
    <xf numFmtId="0" fontId="0" fillId="0" borderId="81" xfId="0" applyBorder="1" applyAlignment="1">
      <alignment horizontal="center" wrapText="1"/>
    </xf>
    <xf numFmtId="0" fontId="0" fillId="0" borderId="82" xfId="0" applyBorder="1" applyAlignment="1">
      <alignment horizontal="center" wrapText="1"/>
    </xf>
    <xf numFmtId="0" fontId="0" fillId="0" borderId="83" xfId="0" applyBorder="1" applyAlignment="1">
      <alignment horizontal="center" wrapText="1"/>
    </xf>
    <xf numFmtId="0" fontId="46" fillId="0" borderId="83" xfId="34" applyFont="1" applyBorder="1" applyAlignment="1">
      <alignment horizontal="left"/>
    </xf>
    <xf numFmtId="187" fontId="49" fillId="20" borderId="116"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96" xfId="0" applyFont="1" applyBorder="1" applyAlignment="1">
      <alignment horizontal="right" vertical="center"/>
    </xf>
    <xf numFmtId="188" fontId="46" fillId="0" borderId="116" xfId="48" applyNumberFormat="1" applyFont="1" applyBorder="1" applyAlignment="1" applyProtection="1">
      <alignment horizontal="center" shrinkToFit="1"/>
    </xf>
    <xf numFmtId="188" fontId="46" fillId="0" borderId="95" xfId="48" applyNumberFormat="1" applyFont="1" applyBorder="1" applyAlignment="1" applyProtection="1">
      <alignment horizontal="center" shrinkToFit="1"/>
    </xf>
    <xf numFmtId="188" fontId="46" fillId="0" borderId="97" xfId="48" applyNumberFormat="1" applyFont="1" applyBorder="1" applyAlignment="1" applyProtection="1">
      <alignment horizontal="center" shrinkToFit="1"/>
    </xf>
    <xf numFmtId="173" fontId="24" fillId="0" borderId="29" xfId="48" applyNumberFormat="1" applyFont="1" applyFill="1" applyBorder="1" applyAlignment="1" applyProtection="1">
      <alignment horizontal="center" vertical="center"/>
    </xf>
    <xf numFmtId="165" fontId="0" fillId="0" borderId="11" xfId="49" applyFont="1" applyFill="1" applyBorder="1" applyAlignment="1" applyProtection="1">
      <alignment horizontal="left"/>
    </xf>
    <xf numFmtId="0" fontId="46" fillId="0" borderId="11" xfId="34" applyFont="1" applyBorder="1" applyAlignment="1">
      <alignment horizontal="left"/>
    </xf>
    <xf numFmtId="0" fontId="22" fillId="0" borderId="27" xfId="34" applyFont="1" applyBorder="1" applyAlignment="1">
      <alignment horizontal="center" vertical="center" wrapText="1"/>
    </xf>
    <xf numFmtId="0" fontId="50" fillId="0" borderId="129" xfId="34" applyFont="1" applyBorder="1" applyAlignment="1">
      <alignment horizontal="left" vertical="top"/>
    </xf>
    <xf numFmtId="0" fontId="46" fillId="0" borderId="29" xfId="34" applyFont="1" applyBorder="1" applyAlignment="1">
      <alignment horizontal="center" wrapText="1"/>
    </xf>
    <xf numFmtId="0" fontId="49" fillId="0" borderId="122"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7" xfId="0" applyNumberFormat="1" applyBorder="1" applyAlignment="1">
      <alignment horizontal="left"/>
    </xf>
    <xf numFmtId="0" fontId="0" fillId="16" borderId="101" xfId="0" applyFill="1" applyBorder="1" applyAlignment="1" applyProtection="1">
      <alignment horizontal="left" vertical="center"/>
      <protection locked="0"/>
    </xf>
    <xf numFmtId="165" fontId="24" fillId="0" borderId="123"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1"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123" xfId="0" applyFont="1" applyFill="1" applyBorder="1" applyAlignment="1">
      <alignment horizontal="center" vertical="center"/>
    </xf>
    <xf numFmtId="0" fontId="53" fillId="0" borderId="122" xfId="0" applyFont="1" applyBorder="1" applyAlignment="1">
      <alignment horizontal="center" vertical="center" wrapText="1"/>
    </xf>
    <xf numFmtId="0" fontId="22" fillId="0" borderId="0" xfId="0" applyFont="1" applyAlignment="1">
      <alignment horizontal="center" vertical="center" wrapText="1"/>
    </xf>
    <xf numFmtId="4" fontId="24" fillId="0" borderId="30" xfId="0" applyNumberFormat="1" applyFont="1" applyBorder="1" applyAlignment="1">
      <alignment horizontal="left"/>
    </xf>
    <xf numFmtId="0" fontId="24" fillId="0" borderId="28" xfId="35" applyFont="1" applyBorder="1" applyAlignment="1">
      <alignment horizontal="center"/>
    </xf>
    <xf numFmtId="49" fontId="0" fillId="0" borderId="41" xfId="0" applyNumberFormat="1" applyBorder="1" applyAlignment="1">
      <alignment horizontal="left"/>
    </xf>
    <xf numFmtId="177" fontId="56" fillId="0" borderId="27" xfId="48" applyNumberFormat="1" applyFill="1" applyBorder="1" applyAlignment="1" applyProtection="1">
      <alignment horizontal="center" shrinkToFit="1"/>
    </xf>
    <xf numFmtId="10" fontId="56" fillId="0" borderId="28"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77" fontId="56" fillId="0" borderId="11" xfId="48" applyNumberFormat="1" applyFill="1" applyBorder="1" applyAlignment="1" applyProtection="1">
      <alignment horizontal="center" shrinkToFit="1"/>
    </xf>
    <xf numFmtId="0" fontId="24" fillId="0" borderId="29" xfId="0" applyFont="1" applyBorder="1" applyAlignment="1">
      <alignment horizontal="right" vertical="center"/>
    </xf>
    <xf numFmtId="177" fontId="56" fillId="0" borderId="41"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0" fontId="0" fillId="0" borderId="0" xfId="0" applyAlignment="1">
      <alignment horizontal="center"/>
    </xf>
    <xf numFmtId="10" fontId="56" fillId="0" borderId="126" xfId="37" applyNumberFormat="1" applyFill="1" applyBorder="1" applyAlignment="1" applyProtection="1">
      <alignment horizontal="center"/>
    </xf>
    <xf numFmtId="10" fontId="56" fillId="0" borderId="125" xfId="37" applyNumberFormat="1" applyFill="1" applyBorder="1" applyAlignment="1" applyProtection="1">
      <alignment horizontal="center"/>
    </xf>
    <xf numFmtId="0" fontId="0" fillId="0" borderId="36" xfId="0" applyBorder="1" applyAlignment="1">
      <alignment horizontal="left"/>
    </xf>
    <xf numFmtId="0" fontId="31" fillId="0" borderId="91" xfId="0" applyFont="1" applyBorder="1" applyAlignment="1">
      <alignment horizontal="center" vertical="top" wrapText="1"/>
    </xf>
    <xf numFmtId="0" fontId="49" fillId="0" borderId="28" xfId="34" applyFont="1" applyBorder="1" applyAlignment="1">
      <alignment horizontal="center"/>
    </xf>
    <xf numFmtId="0" fontId="46" fillId="0" borderId="11" xfId="34" applyFont="1" applyBorder="1" applyAlignment="1">
      <alignment horizontal="center"/>
    </xf>
    <xf numFmtId="10" fontId="23" fillId="0" borderId="11" xfId="37" applyNumberFormat="1" applyFont="1" applyFill="1" applyBorder="1" applyAlignment="1" applyProtection="1">
      <alignment horizontal="center"/>
    </xf>
    <xf numFmtId="0" fontId="23" fillId="6" borderId="11" xfId="0" applyFont="1" applyFill="1" applyBorder="1" applyAlignment="1" applyProtection="1">
      <alignment horizontal="center"/>
      <protection locked="0"/>
    </xf>
    <xf numFmtId="0" fontId="23" fillId="0" borderId="11" xfId="0" applyFont="1" applyBorder="1" applyAlignment="1">
      <alignment horizontal="center"/>
    </xf>
    <xf numFmtId="14" fontId="0" fillId="6" borderId="42" xfId="0" applyNumberFormat="1" applyFill="1" applyBorder="1" applyAlignment="1" applyProtection="1">
      <alignment horizontal="center"/>
      <protection locked="0"/>
    </xf>
    <xf numFmtId="176" fontId="24" fillId="8" borderId="29" xfId="0" applyNumberFormat="1" applyFont="1" applyFill="1" applyBorder="1" applyAlignment="1">
      <alignment horizontal="center" shrinkToFit="1"/>
    </xf>
    <xf numFmtId="0" fontId="0" fillId="18" borderId="36" xfId="0" applyFill="1" applyBorder="1"/>
    <xf numFmtId="10" fontId="56" fillId="0" borderId="132" xfId="37" applyNumberFormat="1" applyFill="1" applyBorder="1" applyAlignment="1" applyProtection="1">
      <alignment horizontal="center"/>
    </xf>
    <xf numFmtId="0" fontId="24" fillId="8" borderId="29" xfId="0" applyFont="1" applyFill="1" applyBorder="1" applyAlignment="1">
      <alignment horizontal="center"/>
    </xf>
    <xf numFmtId="14" fontId="0" fillId="6" borderId="33" xfId="0" applyNumberFormat="1" applyFill="1" applyBorder="1" applyAlignment="1" applyProtection="1">
      <alignment horizontal="center"/>
      <protection locked="0"/>
    </xf>
    <xf numFmtId="14" fontId="0" fillId="6" borderId="43"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7" xfId="33" applyFont="1" applyBorder="1" applyAlignment="1">
      <alignment horizontal="center" vertical="center"/>
    </xf>
    <xf numFmtId="0" fontId="17" fillId="0" borderId="29" xfId="0" applyFont="1" applyBorder="1" applyAlignment="1">
      <alignment horizontal="left" wrapText="1"/>
    </xf>
    <xf numFmtId="0" fontId="0" fillId="0" borderId="0" xfId="0" applyAlignment="1">
      <alignment horizontal="left" wrapText="1"/>
    </xf>
    <xf numFmtId="171" fontId="24" fillId="8" borderId="11" xfId="48" applyFont="1" applyFill="1" applyBorder="1" applyAlignment="1" applyProtection="1">
      <alignment horizontal="center" vertical="center" shrinkToFit="1"/>
    </xf>
    <xf numFmtId="0" fontId="30" fillId="0" borderId="28" xfId="0" applyFont="1" applyBorder="1" applyAlignment="1">
      <alignment horizontal="left" vertical="center"/>
    </xf>
    <xf numFmtId="0" fontId="0" fillId="0" borderId="28" xfId="0" applyBorder="1" applyAlignment="1">
      <alignment horizontal="left"/>
    </xf>
    <xf numFmtId="0" fontId="0" fillId="6" borderId="11" xfId="0" applyFill="1" applyBorder="1" applyAlignment="1" applyProtection="1">
      <alignment horizontal="left" vertical="top"/>
      <protection locked="0"/>
    </xf>
    <xf numFmtId="0" fontId="24" fillId="17" borderId="41" xfId="0" applyFont="1" applyFill="1" applyBorder="1" applyAlignment="1">
      <alignment horizontal="left" vertical="center" wrapText="1"/>
    </xf>
    <xf numFmtId="0" fontId="23" fillId="6" borderId="30" xfId="0" applyFont="1" applyFill="1" applyBorder="1" applyAlignment="1">
      <alignment horizontal="left"/>
    </xf>
    <xf numFmtId="0" fontId="31" fillId="0" borderId="0" xfId="0" applyFont="1" applyAlignment="1">
      <alignment horizontal="center" vertical="center" wrapText="1"/>
    </xf>
    <xf numFmtId="0" fontId="0" fillId="0" borderId="11" xfId="0" applyBorder="1" applyAlignment="1">
      <alignment horizontal="center"/>
    </xf>
    <xf numFmtId="0" fontId="24" fillId="0" borderId="30" xfId="35" applyFont="1" applyBorder="1" applyAlignment="1">
      <alignment horizontal="center"/>
    </xf>
    <xf numFmtId="0" fontId="24" fillId="0" borderId="0" xfId="35" applyFont="1" applyAlignment="1">
      <alignment horizontal="center"/>
    </xf>
    <xf numFmtId="0" fontId="24" fillId="0" borderId="10" xfId="35" applyFont="1" applyBorder="1" applyAlignment="1">
      <alignment horizontal="center"/>
    </xf>
    <xf numFmtId="0" fontId="30" fillId="6" borderId="30"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0" xfId="0" applyFont="1" applyFill="1" applyBorder="1" applyAlignment="1" applyProtection="1">
      <alignment horizontal="left" vertical="top" wrapText="1"/>
      <protection locked="0"/>
    </xf>
    <xf numFmtId="0" fontId="30" fillId="6" borderId="41" xfId="0" applyFont="1" applyFill="1" applyBorder="1" applyAlignment="1" applyProtection="1">
      <alignment horizontal="left" vertical="top" wrapText="1"/>
      <protection locked="0"/>
    </xf>
    <xf numFmtId="0" fontId="30" fillId="6" borderId="27" xfId="0" applyFont="1" applyFill="1" applyBorder="1" applyAlignment="1" applyProtection="1">
      <alignment horizontal="left" vertical="top" wrapText="1"/>
      <protection locked="0"/>
    </xf>
    <xf numFmtId="0" fontId="30" fillId="6" borderId="26" xfId="0" applyFont="1" applyFill="1" applyBorder="1" applyAlignment="1" applyProtection="1">
      <alignment horizontal="left" vertical="top" wrapText="1"/>
      <protection locked="0"/>
    </xf>
    <xf numFmtId="0" fontId="0" fillId="8" borderId="72" xfId="0" applyFill="1" applyBorder="1" applyAlignment="1">
      <alignment horizontal="center" vertical="center"/>
    </xf>
    <xf numFmtId="0" fontId="0" fillId="8" borderId="56" xfId="0" applyFill="1" applyBorder="1" applyAlignment="1">
      <alignment horizontal="center" vertical="center"/>
    </xf>
    <xf numFmtId="10" fontId="24" fillId="8" borderId="29" xfId="0" applyNumberFormat="1" applyFont="1" applyFill="1" applyBorder="1" applyAlignment="1">
      <alignment horizontal="center" vertical="center"/>
    </xf>
    <xf numFmtId="0" fontId="0" fillId="0" borderId="38" xfId="0" applyBorder="1" applyAlignment="1">
      <alignment horizontal="center" vertical="center"/>
    </xf>
    <xf numFmtId="0" fontId="0" fillId="0" borderId="58" xfId="0" applyBorder="1" applyAlignment="1">
      <alignment horizontal="center" vertical="center"/>
    </xf>
    <xf numFmtId="0" fontId="0" fillId="8" borderId="38" xfId="0" applyFill="1" applyBorder="1" applyAlignment="1">
      <alignment horizontal="center" vertical="center"/>
    </xf>
    <xf numFmtId="0" fontId="0" fillId="8" borderId="58" xfId="0" applyFill="1" applyBorder="1" applyAlignment="1">
      <alignment horizontal="center" vertical="center"/>
    </xf>
    <xf numFmtId="0" fontId="0" fillId="0" borderId="75" xfId="0" applyBorder="1" applyAlignment="1">
      <alignment horizontal="center" vertical="center"/>
    </xf>
    <xf numFmtId="0" fontId="0" fillId="0" borderId="62" xfId="0" applyBorder="1" applyAlignment="1">
      <alignment horizontal="center" vertical="center"/>
    </xf>
    <xf numFmtId="0" fontId="17" fillId="8" borderId="29" xfId="0" applyFont="1" applyFill="1" applyBorder="1" applyAlignment="1">
      <alignment horizontal="center" vertical="center"/>
    </xf>
    <xf numFmtId="0" fontId="17" fillId="8" borderId="123" xfId="0" applyFont="1" applyFill="1" applyBorder="1" applyAlignment="1">
      <alignment horizontal="center" vertical="center"/>
    </xf>
    <xf numFmtId="0" fontId="8" fillId="0" borderId="125" xfId="0" applyFont="1" applyBorder="1" applyAlignment="1">
      <alignment horizontal="right"/>
    </xf>
    <xf numFmtId="0" fontId="24" fillId="0" borderId="29" xfId="0" applyFont="1" applyBorder="1" applyAlignment="1">
      <alignment horizontal="center"/>
    </xf>
    <xf numFmtId="0" fontId="24" fillId="0" borderId="53" xfId="0" applyFont="1" applyBorder="1" applyAlignment="1">
      <alignment horizontal="center"/>
    </xf>
    <xf numFmtId="0" fontId="24" fillId="0" borderId="29" xfId="0" applyFont="1" applyBorder="1" applyAlignment="1">
      <alignment horizontal="center" vertical="center"/>
    </xf>
    <xf numFmtId="49" fontId="0" fillId="0" borderId="11" xfId="0" applyNumberFormat="1" applyBorder="1" applyAlignment="1">
      <alignment horizontal="left"/>
    </xf>
    <xf numFmtId="0" fontId="24" fillId="0" borderId="126" xfId="0" applyFont="1" applyBorder="1" applyAlignment="1">
      <alignment horizontal="center"/>
    </xf>
    <xf numFmtId="0" fontId="53" fillId="0" borderId="29" xfId="0" applyFont="1" applyBorder="1" applyAlignment="1">
      <alignment horizontal="center" vertical="center" wrapText="1"/>
    </xf>
    <xf numFmtId="4" fontId="24" fillId="0" borderId="28"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5" xfId="33" applyFont="1" applyBorder="1" applyAlignment="1">
      <alignment horizontal="right"/>
    </xf>
    <xf numFmtId="180" fontId="24" fillId="0" borderId="37" xfId="48" applyNumberFormat="1" applyFont="1" applyFill="1" applyBorder="1" applyAlignment="1" applyProtection="1">
      <alignment vertical="top" shrinkToFit="1"/>
    </xf>
    <xf numFmtId="0" fontId="0" fillId="0" borderId="63" xfId="33" applyFont="1" applyBorder="1" applyAlignment="1">
      <alignment horizontal="right"/>
    </xf>
    <xf numFmtId="10" fontId="24" fillId="0" borderId="64"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44"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45" xfId="33" applyFont="1" applyBorder="1" applyAlignment="1">
      <alignment horizontal="center" vertical="center" wrapText="1"/>
    </xf>
    <xf numFmtId="0" fontId="0" fillId="0" borderId="57"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00000000-0005-0000-0000-000023000000}"/>
    <cellStyle name="Normal_FICHA DE VERIFICAÇÃO PRELIMINAR - Plano R" xfId="35" xr:uid="{00000000-0005-0000-0000-000024000000}"/>
    <cellStyle name="Nota" xfId="36" builtinId="10" customBuiltin="1"/>
    <cellStyle name="Porcentagem" xfId="37" builtinId="5"/>
    <cellStyle name="Porcentagem 2" xfId="38" xr:uid="{00000000-0005-0000-0000-000027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F000000}"/>
    <cellStyle name="Total" xfId="47" builtinId="25" customBuiltin="1"/>
    <cellStyle name="Vírgula" xfId="48" builtinId="3"/>
    <cellStyle name="Vírgula 2" xfId="49" xr:uid="{00000000-0005-0000-0000-000032000000}"/>
  </cellStyles>
  <dxfs count="49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94360" y="967740"/>
              <a:ext cx="1257300" cy="487680"/>
              <a:chOff x="523878" y="971534"/>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8" y="971534"/>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50720" y="967740"/>
              <a:ext cx="1303020" cy="487680"/>
              <a:chOff x="1790702" y="971526"/>
              <a:chExt cx="1304927"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2" y="971526"/>
                <a:ext cx="1304927"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60960</xdr:rowOff>
        </xdr:from>
        <xdr:to>
          <xdr:col>13</xdr:col>
          <xdr:colOff>2385060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121920</xdr:rowOff>
        </xdr:from>
        <xdr:to>
          <xdr:col>19</xdr:col>
          <xdr:colOff>899160</xdr:colOff>
          <xdr:row>11</xdr:row>
          <xdr:rowOff>38100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449580</xdr:colOff>
          <xdr:row>9</xdr:row>
          <xdr:rowOff>121920</xdr:rowOff>
        </xdr:from>
        <xdr:to>
          <xdr:col>20</xdr:col>
          <xdr:colOff>876300</xdr:colOff>
          <xdr:row>11</xdr:row>
          <xdr:rowOff>38100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289560</xdr:colOff>
          <xdr:row>9</xdr:row>
          <xdr:rowOff>121920</xdr:rowOff>
        </xdr:from>
        <xdr:to>
          <xdr:col>21</xdr:col>
          <xdr:colOff>708660</xdr:colOff>
          <xdr:row>11</xdr:row>
          <xdr:rowOff>38100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365760</xdr:colOff>
          <xdr:row>9</xdr:row>
          <xdr:rowOff>121920</xdr:rowOff>
        </xdr:from>
        <xdr:to>
          <xdr:col>22</xdr:col>
          <xdr:colOff>792480</xdr:colOff>
          <xdr:row>11</xdr:row>
          <xdr:rowOff>38100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449580</xdr:colOff>
          <xdr:row>9</xdr:row>
          <xdr:rowOff>106680</xdr:rowOff>
        </xdr:from>
        <xdr:to>
          <xdr:col>23</xdr:col>
          <xdr:colOff>876300</xdr:colOff>
          <xdr:row>11</xdr:row>
          <xdr:rowOff>30480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26660</xdr:rowOff>
    </xdr:from>
    <xdr:to>
      <xdr:col>15</xdr:col>
      <xdr:colOff>397034</xdr:colOff>
      <xdr:row>10</xdr:row>
      <xdr:rowOff>161285</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2559" y="1322060"/>
          <a:ext cx="126000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22850</xdr:rowOff>
    </xdr:from>
    <xdr:to>
      <xdr:col>17</xdr:col>
      <xdr:colOff>1025684</xdr:colOff>
      <xdr:row>11</xdr:row>
      <xdr:rowOff>1265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208144" y="1318250"/>
          <a:ext cx="1265715" cy="48324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19040</xdr:rowOff>
    </xdr:from>
    <xdr:to>
      <xdr:col>16</xdr:col>
      <xdr:colOff>717074</xdr:colOff>
      <xdr:row>11</xdr:row>
      <xdr:rowOff>1265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823209" y="1314440"/>
          <a:ext cx="1265715" cy="4870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19040</xdr:rowOff>
    </xdr:from>
    <xdr:to>
      <xdr:col>17</xdr:col>
      <xdr:colOff>3765071</xdr:colOff>
      <xdr:row>11</xdr:row>
      <xdr:rowOff>1265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983726" y="1314440"/>
          <a:ext cx="1229520" cy="4870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20945</xdr:rowOff>
    </xdr:from>
    <xdr:to>
      <xdr:col>18</xdr:col>
      <xdr:colOff>640662</xdr:colOff>
      <xdr:row>10</xdr:row>
      <xdr:rowOff>151760</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337972" y="1316345"/>
          <a:ext cx="125619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22850</xdr:rowOff>
    </xdr:from>
    <xdr:to>
      <xdr:col>17</xdr:col>
      <xdr:colOff>2391357</xdr:colOff>
      <xdr:row>11</xdr:row>
      <xdr:rowOff>1265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610012" y="1318250"/>
          <a:ext cx="1229520" cy="48324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213360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Z:\01%20-%20CONV&#202;NIOS\01%20-%20EM%20EXECU&#199;&#195;O\PROPOSTA%206%20MILH&#213;ES\PLANILHA%20OR&#199;AMENT&#193;RIA\MEMORIA%20DE%20CALCULO%20PAVIMENTA&#199;&#195;O%20DE%20VIAS%20NO%20MUNIC&#205;PIO%20DE%20URUAR&#193;-PAR&#193;.xlsx" TargetMode="External"/><Relationship Id="rId2" Type="http://schemas.microsoft.com/office/2019/04/relationships/externalLinkLongPath" Target="MEMORIA%20DE%20CALCULO%20PAVIMENTA&#199;&#195;O%20DE%20VIAS%20NO%20MUNIC&#205;PIO%20DE%20URUAR&#193;-PAR&#193;.xlsx?2A8433E6" TargetMode="External"/><Relationship Id="rId1" Type="http://schemas.openxmlformats.org/officeDocument/2006/relationships/externalLinkPath" Target="file:///\\2A8433E6\MEMORIA%20DE%20CALCULO%20PAVIMENTA&#199;&#195;O%20DE%20VIAS%20NO%20MUNIC&#205;PIO%20DE%20URUAR&#193;-PAR&#19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LANILHA"/>
      <sheetName val="ADM"/>
      <sheetName val="PLACA"/>
      <sheetName val="BARRACÃO"/>
      <sheetName val="MOB"/>
      <sheetName val="DESMOB"/>
      <sheetName val="VIAS"/>
      <sheetName val="1.6.1...."/>
      <sheetName val="1.14.1."/>
      <sheetName val="1.14.2."/>
      <sheetName val="1.14.3."/>
      <sheetName val="1.14.4."/>
      <sheetName val="1.14.5."/>
      <sheetName val="1.14.6."/>
      <sheetName val="1.14.7."/>
      <sheetName val="Planilha5"/>
      <sheetName val="Planilha6"/>
      <sheetName val="1.13.5."/>
      <sheetName val="1.15.1."/>
      <sheetName val="1.15.2."/>
      <sheetName val="1.15.3."/>
      <sheetName val="1.10.4."/>
      <sheetName val="1.15.4."/>
      <sheetName val="1.11.4."/>
      <sheetName val="1.16.1."/>
      <sheetName val="1.17.1."/>
      <sheetName val="1.17.2."/>
      <sheetName val="1.18.1."/>
      <sheetName val="1.18.2."/>
      <sheetName val="1.18.3."/>
      <sheetName val="1.18.4."/>
      <sheetName val="1.19.1."/>
      <sheetName val="1.19.2."/>
      <sheetName val="1.19.3."/>
      <sheetName val="1.20.1."/>
      <sheetName val="1.20.2."/>
      <sheetName val="1.21.1."/>
      <sheetName val="1.21.2."/>
      <sheetName val="1.21.3."/>
      <sheetName val="1.21.4."/>
      <sheetName val="1.21.5."/>
      <sheetName val="1.25.3."/>
      <sheetName val="1.21.6."/>
      <sheetName val="1.21.7."/>
      <sheetName val="1.22.1."/>
      <sheetName val="1.22.2."/>
      <sheetName val="1.22.3."/>
      <sheetName val="1.22.4."/>
      <sheetName val="1.23.1."/>
      <sheetName val="1.24.1."/>
      <sheetName val="1.24.2."/>
      <sheetName val="1.25.1."/>
      <sheetName val="1.25.2."/>
      <sheetName val="1.25.4."/>
      <sheetName val="1.26.1."/>
      <sheetName val="1.26.2."/>
      <sheetName val="1.26.3."/>
      <sheetName val="1.27.1."/>
      <sheetName val="1.27.2."/>
      <sheetName val="1.28.1."/>
      <sheetName val="1.28.2."/>
      <sheetName val="1.28.3."/>
      <sheetName val="1.28.4."/>
      <sheetName val="1.28.5."/>
      <sheetName val="1.28.6."/>
      <sheetName val="1.28.7."/>
      <sheetName val="1.29.1."/>
      <sheetName val="1.29.2."/>
      <sheetName val="1.29.3."/>
      <sheetName val="1.29.4."/>
      <sheetName val="1.30.1."/>
      <sheetName val="1.31.1."/>
      <sheetName val="1.31.2."/>
      <sheetName val="1.32.1."/>
      <sheetName val="1.32.2."/>
      <sheetName val="1.32.3."/>
      <sheetName val="1.32.4."/>
      <sheetName val="1.33.1."/>
      <sheetName val="1.33.2."/>
      <sheetName val="1.33.3."/>
      <sheetName val="1.34.1."/>
      <sheetName val="1.34.2."/>
      <sheetName val="1.35.1"/>
      <sheetName val="1.35.2"/>
      <sheetName val="1.35.3"/>
      <sheetName val="1.35.4"/>
      <sheetName val="1.35.5"/>
      <sheetName val="1.35.6"/>
      <sheetName val="1.35.7"/>
      <sheetName val="1.36.1"/>
      <sheetName val="1.36.2"/>
      <sheetName val="1.36.3"/>
      <sheetName val="1.36.4"/>
      <sheetName val="1.37.1"/>
      <sheetName val="1.38.1"/>
      <sheetName val="1.38.2"/>
      <sheetName val="1.39.1"/>
      <sheetName val="1.39.2"/>
      <sheetName val="1.39.3"/>
      <sheetName val="1.39.4"/>
      <sheetName val="1.40.1"/>
      <sheetName val="1.40.2"/>
      <sheetName val="1.40.3"/>
      <sheetName val="1.41.1"/>
      <sheetName val="1.41.2"/>
      <sheetName val="1.42.1"/>
      <sheetName val="1.42.2"/>
      <sheetName val="1.42.3"/>
      <sheetName val="1.42.4"/>
      <sheetName val="1.42.6"/>
      <sheetName val="1.42.7"/>
      <sheetName val="1.43.1"/>
      <sheetName val="1.43.2"/>
      <sheetName val="1.43.3"/>
      <sheetName val="1.43.4"/>
      <sheetName val="1.44.1"/>
      <sheetName val="1.45.1"/>
      <sheetName val="1.45.2"/>
      <sheetName val="1.46.1"/>
      <sheetName val="1.46.2"/>
      <sheetName val="1.46.3"/>
      <sheetName val="1.46.4"/>
      <sheetName val="1.47.1"/>
      <sheetName val="1.47.2"/>
      <sheetName val="1.47.3"/>
      <sheetName val="1.48.1"/>
      <sheetName val="1.48.2"/>
      <sheetName val="1.49.1"/>
      <sheetName val="1.49.2"/>
      <sheetName val="1.50.1"/>
    </sheetNames>
    <sheetDataSet>
      <sheetData sheetId="0"/>
      <sheetData sheetId="1"/>
      <sheetData sheetId="2"/>
      <sheetData sheetId="3"/>
      <sheetData sheetId="4"/>
      <sheetData sheetId="5"/>
      <sheetData sheetId="6">
        <row r="32">
          <cell r="M32">
            <v>30312</v>
          </cell>
        </row>
        <row r="48">
          <cell r="M48">
            <v>30312</v>
          </cell>
        </row>
        <row r="64">
          <cell r="M64">
            <v>1060.92</v>
          </cell>
        </row>
        <row r="80">
          <cell r="M80">
            <v>1060.92</v>
          </cell>
        </row>
        <row r="96">
          <cell r="M96">
            <v>31827.599999999999</v>
          </cell>
        </row>
        <row r="112">
          <cell r="M112">
            <v>168686.28</v>
          </cell>
        </row>
        <row r="130">
          <cell r="M130">
            <v>8532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3:E117"/>
  <sheetViews>
    <sheetView showGridLines="0" zoomScaleNormal="100" workbookViewId="0">
      <pane ySplit="3" topLeftCell="A72" activePane="bottomLeft" state="frozen"/>
      <selection pane="bottomLeft"/>
    </sheetView>
  </sheetViews>
  <sheetFormatPr defaultRowHeight="13.2" x14ac:dyDescent="0.25"/>
  <cols>
    <col min="1" max="1" width="8.6640625" customWidth="1"/>
    <col min="2" max="2" width="5.6640625" customWidth="1"/>
    <col min="3" max="3" width="3.6640625" customWidth="1"/>
    <col min="4" max="4" width="130.6640625" customWidth="1"/>
  </cols>
  <sheetData>
    <row r="3" spans="1:4" ht="36.75" customHeight="1" x14ac:dyDescent="0.45">
      <c r="B3" s="37" t="s">
        <v>0</v>
      </c>
    </row>
    <row r="5" spans="1:4" ht="18" x14ac:dyDescent="0.35">
      <c r="A5" s="38"/>
      <c r="B5" s="39"/>
      <c r="C5" s="39"/>
      <c r="D5" s="40"/>
    </row>
    <row r="6" spans="1:4" ht="18" x14ac:dyDescent="0.35">
      <c r="A6" s="41" t="s">
        <v>1</v>
      </c>
      <c r="B6" s="42"/>
      <c r="C6" s="42"/>
      <c r="D6" s="1"/>
    </row>
    <row r="7" spans="1:4" ht="14.4" x14ac:dyDescent="0.3">
      <c r="A7" s="2"/>
      <c r="B7" s="43" t="s">
        <v>2</v>
      </c>
      <c r="C7" s="43"/>
      <c r="D7" s="1"/>
    </row>
    <row r="8" spans="1:4" ht="14.4" x14ac:dyDescent="0.3">
      <c r="A8" s="2"/>
      <c r="B8" s="43"/>
      <c r="C8" s="44" t="str">
        <f>IF(D8&lt;&gt;"","▪","")</f>
        <v>▪</v>
      </c>
      <c r="D8" s="408" t="s">
        <v>3</v>
      </c>
    </row>
    <row r="9" spans="1:4" ht="14.4" x14ac:dyDescent="0.3">
      <c r="A9" s="2"/>
      <c r="B9" s="43"/>
      <c r="C9" s="44" t="str">
        <f>IF(D9&lt;&gt;"","▪","")</f>
        <v/>
      </c>
      <c r="D9" s="408"/>
    </row>
    <row r="10" spans="1:4" ht="18" x14ac:dyDescent="0.35">
      <c r="A10" s="537" t="s">
        <v>4</v>
      </c>
      <c r="B10" s="538"/>
      <c r="C10" s="538"/>
      <c r="D10" s="539"/>
    </row>
    <row r="11" spans="1:4" ht="14.4" x14ac:dyDescent="0.3">
      <c r="A11" s="2"/>
      <c r="B11" s="43" t="s">
        <v>2</v>
      </c>
      <c r="C11" s="43"/>
      <c r="D11" s="408"/>
    </row>
    <row r="12" spans="1:4" ht="14.4" x14ac:dyDescent="0.3">
      <c r="A12" s="2"/>
      <c r="B12" s="43"/>
      <c r="C12" s="44" t="str">
        <f>IF(D12&lt;&gt;"","▪","")</f>
        <v>▪</v>
      </c>
      <c r="D12" s="408" t="s">
        <v>5</v>
      </c>
    </row>
    <row r="13" spans="1:4" ht="14.4" x14ac:dyDescent="0.3">
      <c r="A13" s="2"/>
      <c r="B13" s="43" t="s">
        <v>6</v>
      </c>
      <c r="C13" s="43"/>
      <c r="D13" s="408"/>
    </row>
    <row r="14" spans="1:4" ht="14.4" x14ac:dyDescent="0.3">
      <c r="A14" s="332"/>
      <c r="B14" s="43"/>
      <c r="C14" s="44" t="str">
        <f>IF(D14&lt;&gt;"","▪","")</f>
        <v>▪</v>
      </c>
      <c r="D14" s="408" t="s">
        <v>7</v>
      </c>
    </row>
    <row r="15" spans="1:4" ht="14.4" x14ac:dyDescent="0.25">
      <c r="A15" s="332"/>
      <c r="C15" s="44" t="str">
        <f>IF(D15&lt;&gt;"","▪","")</f>
        <v>▪</v>
      </c>
      <c r="D15" s="408" t="s">
        <v>8</v>
      </c>
    </row>
    <row r="16" spans="1:4" x14ac:dyDescent="0.25">
      <c r="A16" s="336"/>
      <c r="D16" s="64"/>
    </row>
    <row r="17" spans="1:4" ht="18" x14ac:dyDescent="0.35">
      <c r="A17" s="537" t="s">
        <v>9</v>
      </c>
      <c r="B17" s="538"/>
      <c r="C17" s="538"/>
      <c r="D17" s="539"/>
    </row>
    <row r="18" spans="1:4" ht="14.4" x14ac:dyDescent="0.3">
      <c r="A18" s="2"/>
      <c r="B18" s="43" t="s">
        <v>2</v>
      </c>
      <c r="C18" s="43"/>
      <c r="D18" s="408"/>
    </row>
    <row r="19" spans="1:4" ht="14.4" x14ac:dyDescent="0.3">
      <c r="A19" s="2"/>
      <c r="B19" s="43"/>
      <c r="C19" s="44" t="str">
        <f>IF(D19&lt;&gt;"","▪","")</f>
        <v>▪</v>
      </c>
      <c r="D19" s="408" t="s">
        <v>5</v>
      </c>
    </row>
    <row r="20" spans="1:4" ht="14.4" x14ac:dyDescent="0.3">
      <c r="A20" s="2"/>
      <c r="B20" s="43"/>
      <c r="C20" s="44" t="str">
        <f>IF(D20&lt;&gt;"","▪","")</f>
        <v>▪</v>
      </c>
      <c r="D20" s="408" t="s">
        <v>10</v>
      </c>
    </row>
    <row r="21" spans="1:4" ht="14.4" x14ac:dyDescent="0.3">
      <c r="A21" s="332"/>
      <c r="B21" s="43" t="s">
        <v>11</v>
      </c>
      <c r="C21" s="43"/>
      <c r="D21" s="408"/>
    </row>
    <row r="22" spans="1:4" ht="14.4" x14ac:dyDescent="0.3">
      <c r="A22" s="332"/>
      <c r="B22" s="43"/>
      <c r="C22" s="44" t="str">
        <f>IF(D22&lt;&gt;"","▪","")</f>
        <v>▪</v>
      </c>
      <c r="D22" s="408" t="s">
        <v>12</v>
      </c>
    </row>
    <row r="23" spans="1:4" ht="14.4" x14ac:dyDescent="0.3">
      <c r="A23" s="332"/>
      <c r="B23" s="43" t="s">
        <v>13</v>
      </c>
      <c r="C23" s="43"/>
      <c r="D23" s="408"/>
    </row>
    <row r="24" spans="1:4" ht="14.4" x14ac:dyDescent="0.3">
      <c r="A24" s="332"/>
      <c r="B24" s="43"/>
      <c r="C24" s="44" t="str">
        <f>IF(D24&lt;&gt;"","▪","")</f>
        <v>▪</v>
      </c>
      <c r="D24" s="408" t="s">
        <v>14</v>
      </c>
    </row>
    <row r="25" spans="1:4" ht="14.4" x14ac:dyDescent="0.3">
      <c r="A25" s="332"/>
      <c r="B25" s="43" t="s">
        <v>15</v>
      </c>
      <c r="C25" s="43"/>
      <c r="D25" s="408"/>
    </row>
    <row r="26" spans="1:4" ht="14.4" x14ac:dyDescent="0.3">
      <c r="A26" s="332"/>
      <c r="B26" s="43"/>
      <c r="C26" s="44" t="str">
        <f>IF(D26&lt;&gt;"","▪","")</f>
        <v>▪</v>
      </c>
      <c r="D26" s="408" t="s">
        <v>16</v>
      </c>
    </row>
    <row r="27" spans="1:4" ht="14.4" x14ac:dyDescent="0.3">
      <c r="A27" s="332"/>
      <c r="B27" s="43" t="s">
        <v>17</v>
      </c>
      <c r="C27" s="43"/>
      <c r="D27" s="408"/>
    </row>
    <row r="28" spans="1:4" ht="14.4" x14ac:dyDescent="0.3">
      <c r="A28" s="332"/>
      <c r="B28" s="43"/>
      <c r="C28" s="44" t="str">
        <f>IF(D28&lt;&gt;"","▪","")</f>
        <v>▪</v>
      </c>
      <c r="D28" s="408" t="s">
        <v>18</v>
      </c>
    </row>
    <row r="29" spans="1:4" x14ac:dyDescent="0.25">
      <c r="A29" s="336"/>
      <c r="D29" s="64"/>
    </row>
    <row r="30" spans="1:4" ht="18" x14ac:dyDescent="0.35">
      <c r="A30" s="537" t="s">
        <v>19</v>
      </c>
      <c r="B30" s="538"/>
      <c r="C30" s="538"/>
      <c r="D30" s="539"/>
    </row>
    <row r="31" spans="1:4" ht="14.4" x14ac:dyDescent="0.3">
      <c r="A31" s="2"/>
      <c r="B31" s="43" t="s">
        <v>2</v>
      </c>
      <c r="C31" s="43"/>
      <c r="D31" s="408"/>
    </row>
    <row r="32" spans="1:4" ht="14.4" x14ac:dyDescent="0.3">
      <c r="A32" s="2"/>
      <c r="B32" s="43"/>
      <c r="C32" s="44" t="str">
        <f>IF(D32&lt;&gt;"","▪","")</f>
        <v>▪</v>
      </c>
      <c r="D32" s="408" t="s">
        <v>10</v>
      </c>
    </row>
    <row r="33" spans="1:5" ht="14.4" x14ac:dyDescent="0.3">
      <c r="A33" s="2"/>
      <c r="B33" s="43" t="s">
        <v>20</v>
      </c>
      <c r="C33" s="44"/>
      <c r="D33" s="408"/>
    </row>
    <row r="34" spans="1:5" ht="14.4" x14ac:dyDescent="0.3">
      <c r="A34" s="2"/>
      <c r="B34" s="43"/>
      <c r="C34" s="44" t="str">
        <f>IF(D34&lt;&gt;"","▪","")</f>
        <v>▪</v>
      </c>
      <c r="D34" s="408" t="s">
        <v>21</v>
      </c>
    </row>
    <row r="35" spans="1:5" ht="14.4" x14ac:dyDescent="0.3">
      <c r="A35" s="2"/>
      <c r="B35" s="43"/>
      <c r="C35" s="43"/>
      <c r="D35" s="409"/>
      <c r="E35" s="43"/>
    </row>
    <row r="36" spans="1:5" x14ac:dyDescent="0.25">
      <c r="A36" s="336"/>
      <c r="D36" s="64"/>
    </row>
    <row r="37" spans="1:5" ht="18" x14ac:dyDescent="0.35">
      <c r="A37" s="537" t="s">
        <v>22</v>
      </c>
      <c r="B37" s="538"/>
      <c r="C37" s="538"/>
      <c r="D37" s="539"/>
    </row>
    <row r="38" spans="1:5" ht="14.4" x14ac:dyDescent="0.3">
      <c r="A38" s="2"/>
      <c r="B38" s="43" t="s">
        <v>23</v>
      </c>
      <c r="C38" s="43"/>
      <c r="D38" s="408"/>
    </row>
    <row r="39" spans="1:5" ht="14.4" x14ac:dyDescent="0.3">
      <c r="A39" s="2"/>
      <c r="B39" s="43"/>
      <c r="C39" s="44" t="str">
        <f>IF(D39&lt;&gt;"","▪","")</f>
        <v>▪</v>
      </c>
      <c r="D39" s="408" t="s">
        <v>24</v>
      </c>
    </row>
    <row r="40" spans="1:5" ht="14.4" x14ac:dyDescent="0.3">
      <c r="A40" s="2"/>
      <c r="B40" s="43" t="s">
        <v>13</v>
      </c>
      <c r="C40" s="43"/>
      <c r="D40" s="408"/>
    </row>
    <row r="41" spans="1:5" ht="14.4" x14ac:dyDescent="0.3">
      <c r="A41" s="2"/>
      <c r="B41" s="43"/>
      <c r="C41" s="44" t="str">
        <f>IF(D41&lt;&gt;"","▪","")</f>
        <v>▪</v>
      </c>
      <c r="D41" s="408" t="s">
        <v>25</v>
      </c>
    </row>
    <row r="42" spans="1:5" ht="14.4" x14ac:dyDescent="0.3">
      <c r="A42" s="2"/>
      <c r="B42" s="43" t="s">
        <v>15</v>
      </c>
      <c r="C42" s="43"/>
      <c r="D42" s="408"/>
      <c r="E42" s="43"/>
    </row>
    <row r="43" spans="1:5" ht="14.4" x14ac:dyDescent="0.3">
      <c r="A43" s="2"/>
      <c r="B43" s="43"/>
      <c r="C43" s="44" t="str">
        <f>IF(D43&lt;&gt;"","▪","")</f>
        <v>▪</v>
      </c>
      <c r="D43" s="408" t="s">
        <v>26</v>
      </c>
    </row>
    <row r="44" spans="1:5" ht="14.4" x14ac:dyDescent="0.3">
      <c r="A44" s="2"/>
      <c r="B44" s="43"/>
      <c r="C44" s="43"/>
      <c r="D44" s="409"/>
    </row>
    <row r="45" spans="1:5" ht="18" x14ac:dyDescent="0.35">
      <c r="A45" s="537" t="s">
        <v>27</v>
      </c>
      <c r="B45" s="538"/>
      <c r="C45" s="538"/>
      <c r="D45" s="539"/>
    </row>
    <row r="46" spans="1:5" ht="14.4" x14ac:dyDescent="0.3">
      <c r="A46" s="2"/>
      <c r="B46" s="43" t="s">
        <v>2</v>
      </c>
      <c r="C46" s="43"/>
      <c r="D46" s="408"/>
    </row>
    <row r="47" spans="1:5" ht="14.4" x14ac:dyDescent="0.3">
      <c r="A47" s="2"/>
      <c r="B47" s="43"/>
      <c r="C47" s="44" t="str">
        <f>IF(D47&lt;&gt;"","▪","")</f>
        <v>▪</v>
      </c>
      <c r="D47" s="408" t="s">
        <v>28</v>
      </c>
    </row>
    <row r="48" spans="1:5" ht="14.4" x14ac:dyDescent="0.3">
      <c r="A48" s="2"/>
      <c r="B48" s="43"/>
      <c r="C48" s="43"/>
      <c r="D48" s="409"/>
    </row>
    <row r="49" spans="1:4" ht="18" x14ac:dyDescent="0.35">
      <c r="A49" s="537" t="s">
        <v>29</v>
      </c>
      <c r="B49" s="538"/>
      <c r="C49" s="538"/>
      <c r="D49" s="539"/>
    </row>
    <row r="50" spans="1:4" ht="14.4" x14ac:dyDescent="0.3">
      <c r="A50" s="2"/>
      <c r="B50" s="43" t="s">
        <v>2</v>
      </c>
      <c r="C50" s="43"/>
      <c r="D50" s="408"/>
    </row>
    <row r="51" spans="1:4" ht="14.4" x14ac:dyDescent="0.3">
      <c r="A51" s="2"/>
      <c r="B51" s="43"/>
      <c r="C51" s="44" t="str">
        <f>IF(D51&lt;&gt;"","▪","")</f>
        <v>▪</v>
      </c>
      <c r="D51" s="408" t="s">
        <v>30</v>
      </c>
    </row>
    <row r="52" spans="1:4" ht="14.4" x14ac:dyDescent="0.3">
      <c r="A52" s="2"/>
      <c r="B52" s="43"/>
      <c r="C52" s="44" t="str">
        <f>IF(D52&lt;&gt;"","▪","")</f>
        <v>▪</v>
      </c>
      <c r="D52" s="408" t="s">
        <v>31</v>
      </c>
    </row>
    <row r="53" spans="1:4" ht="14.4" x14ac:dyDescent="0.3">
      <c r="A53" s="2"/>
      <c r="B53" s="43"/>
      <c r="C53" s="43"/>
      <c r="D53" s="409"/>
    </row>
    <row r="54" spans="1:4" ht="18" x14ac:dyDescent="0.35">
      <c r="A54" s="540" t="s">
        <v>32</v>
      </c>
      <c r="B54" s="538"/>
      <c r="C54" s="538"/>
      <c r="D54" s="539"/>
    </row>
    <row r="55" spans="1:4" ht="14.4" x14ac:dyDescent="0.3">
      <c r="A55" s="332"/>
      <c r="B55" s="43" t="s">
        <v>2</v>
      </c>
      <c r="C55" s="43"/>
      <c r="D55" s="408"/>
    </row>
    <row r="56" spans="1:4" ht="14.4" x14ac:dyDescent="0.3">
      <c r="A56" s="332"/>
      <c r="B56" s="43"/>
      <c r="C56" s="44" t="str">
        <f t="shared" ref="C56" si="0">IF(D56&lt;&gt;"","▪","")</f>
        <v>▪</v>
      </c>
      <c r="D56" s="408" t="s">
        <v>33</v>
      </c>
    </row>
    <row r="57" spans="1:4" ht="30" customHeight="1" x14ac:dyDescent="0.3">
      <c r="A57" s="332"/>
      <c r="B57" s="43"/>
      <c r="C57" s="44" t="str">
        <f t="shared" ref="C57:C62" si="1">IF(D57&lt;&gt;"","▪","")</f>
        <v>▪</v>
      </c>
      <c r="D57" s="408" t="s">
        <v>34</v>
      </c>
    </row>
    <row r="58" spans="1:4" ht="30" customHeight="1" x14ac:dyDescent="0.3">
      <c r="A58" s="332"/>
      <c r="B58" s="43"/>
      <c r="C58" s="44" t="str">
        <f t="shared" si="1"/>
        <v>▪</v>
      </c>
      <c r="D58" s="408" t="s">
        <v>35</v>
      </c>
    </row>
    <row r="59" spans="1:4" ht="30" customHeight="1" x14ac:dyDescent="0.3">
      <c r="A59" s="332"/>
      <c r="B59" s="43"/>
      <c r="C59" s="44" t="str">
        <f t="shared" si="1"/>
        <v>▪</v>
      </c>
      <c r="D59" s="408" t="s">
        <v>36</v>
      </c>
    </row>
    <row r="60" spans="1:4" ht="14.4" x14ac:dyDescent="0.3">
      <c r="A60" s="332"/>
      <c r="B60" s="43"/>
      <c r="C60" s="44" t="str">
        <f t="shared" si="1"/>
        <v>▪</v>
      </c>
      <c r="D60" s="408" t="s">
        <v>37</v>
      </c>
    </row>
    <row r="61" spans="1:4" ht="14.4" x14ac:dyDescent="0.3">
      <c r="A61" s="332"/>
      <c r="B61" s="43"/>
      <c r="C61" s="44" t="str">
        <f t="shared" si="1"/>
        <v>▪</v>
      </c>
      <c r="D61" s="408" t="s">
        <v>38</v>
      </c>
    </row>
    <row r="62" spans="1:4" ht="30" customHeight="1" x14ac:dyDescent="0.3">
      <c r="A62" s="332"/>
      <c r="B62" s="43"/>
      <c r="C62" s="44" t="str">
        <f t="shared" si="1"/>
        <v>▪</v>
      </c>
      <c r="D62" s="408" t="s">
        <v>39</v>
      </c>
    </row>
    <row r="63" spans="1:4" ht="14.4" x14ac:dyDescent="0.3">
      <c r="A63" s="332"/>
      <c r="B63" s="43" t="s">
        <v>40</v>
      </c>
      <c r="C63" s="43"/>
      <c r="D63" s="408"/>
    </row>
    <row r="64" spans="1:4" ht="14.4" x14ac:dyDescent="0.3">
      <c r="A64" s="332"/>
      <c r="B64" s="43"/>
      <c r="C64" s="44" t="str">
        <f>IF(D64&lt;&gt;"","▪","")</f>
        <v>▪</v>
      </c>
      <c r="D64" s="408" t="s">
        <v>41</v>
      </c>
    </row>
    <row r="65" spans="1:4" ht="14.4" x14ac:dyDescent="0.3">
      <c r="A65" s="332"/>
      <c r="B65" s="43"/>
      <c r="C65" s="44" t="str">
        <f>IF(D65&lt;&gt;"","▪","")</f>
        <v>▪</v>
      </c>
      <c r="D65" s="408" t="s">
        <v>42</v>
      </c>
    </row>
    <row r="66" spans="1:4" ht="14.4" x14ac:dyDescent="0.3">
      <c r="A66" s="332"/>
      <c r="B66" s="43"/>
      <c r="C66" s="44"/>
      <c r="D66" s="410" t="s">
        <v>43</v>
      </c>
    </row>
    <row r="67" spans="1:4" ht="14.4" x14ac:dyDescent="0.3">
      <c r="A67" s="332"/>
      <c r="B67" s="43"/>
      <c r="C67" s="44" t="str">
        <f>IF(D67&lt;&gt;"","▪","")</f>
        <v>▪</v>
      </c>
      <c r="D67" s="408" t="s">
        <v>44</v>
      </c>
    </row>
    <row r="68" spans="1:4" ht="14.4" x14ac:dyDescent="0.3">
      <c r="A68" s="332"/>
      <c r="B68" s="43"/>
      <c r="C68" s="44"/>
      <c r="D68" s="410" t="s">
        <v>45</v>
      </c>
    </row>
    <row r="69" spans="1:4" ht="14.4" x14ac:dyDescent="0.3">
      <c r="A69" s="332"/>
      <c r="B69" s="43"/>
      <c r="C69" s="44" t="str">
        <f>IF(D69&lt;&gt;"","▪","")</f>
        <v>▪</v>
      </c>
      <c r="D69" s="408" t="s">
        <v>46</v>
      </c>
    </row>
    <row r="70" spans="1:4" ht="14.4" x14ac:dyDescent="0.3">
      <c r="A70" s="332"/>
      <c r="B70" s="43"/>
      <c r="C70" s="44" t="str">
        <f>IF(D70&lt;&gt;"","▪","")</f>
        <v>▪</v>
      </c>
      <c r="D70" s="408" t="s">
        <v>47</v>
      </c>
    </row>
    <row r="71" spans="1:4" ht="14.4" x14ac:dyDescent="0.3">
      <c r="A71" s="332"/>
      <c r="B71" s="43" t="s">
        <v>23</v>
      </c>
      <c r="C71" s="43"/>
      <c r="D71" s="408"/>
    </row>
    <row r="72" spans="1:4" ht="14.4" x14ac:dyDescent="0.3">
      <c r="A72" s="332"/>
      <c r="B72" s="43"/>
      <c r="C72" s="44" t="str">
        <f>IF(D72&lt;&gt;"","▪","")</f>
        <v>▪</v>
      </c>
      <c r="D72" s="408" t="s">
        <v>48</v>
      </c>
    </row>
    <row r="73" spans="1:4" ht="14.4" x14ac:dyDescent="0.3">
      <c r="A73" s="332"/>
      <c r="B73" s="43" t="s">
        <v>49</v>
      </c>
      <c r="C73" s="43"/>
      <c r="D73" s="408"/>
    </row>
    <row r="74" spans="1:4" ht="14.4" x14ac:dyDescent="0.3">
      <c r="A74" s="332"/>
      <c r="B74" s="43"/>
      <c r="C74" s="44" t="str">
        <f>IF(D74&lt;&gt;"","▪","")</f>
        <v>▪</v>
      </c>
      <c r="D74" s="408" t="s">
        <v>50</v>
      </c>
    </row>
    <row r="75" spans="1:4" ht="14.4" x14ac:dyDescent="0.3">
      <c r="A75" s="332"/>
      <c r="B75" s="43"/>
      <c r="C75" s="44" t="str">
        <f>IF(D75&lt;&gt;"","▪","")</f>
        <v>▪</v>
      </c>
      <c r="D75" s="408" t="s">
        <v>51</v>
      </c>
    </row>
    <row r="76" spans="1:4" ht="14.4" x14ac:dyDescent="0.3">
      <c r="A76" s="332"/>
      <c r="B76" s="43"/>
      <c r="C76" s="44" t="str">
        <f>IF(D76&lt;&gt;"","▪","")</f>
        <v>▪</v>
      </c>
      <c r="D76" s="408" t="s">
        <v>52</v>
      </c>
    </row>
    <row r="77" spans="1:4" ht="14.4" x14ac:dyDescent="0.3">
      <c r="A77" s="332"/>
      <c r="B77" s="43"/>
      <c r="C77" s="44" t="str">
        <f>IF(D77&lt;&gt;"","▪","")</f>
        <v>▪</v>
      </c>
      <c r="D77" s="408" t="s">
        <v>53</v>
      </c>
    </row>
    <row r="78" spans="1:4" ht="14.4" x14ac:dyDescent="0.3">
      <c r="A78" s="332"/>
      <c r="B78" s="43" t="s">
        <v>54</v>
      </c>
      <c r="C78" s="43"/>
      <c r="D78" s="408"/>
    </row>
    <row r="79" spans="1:4" ht="14.4" x14ac:dyDescent="0.3">
      <c r="A79" s="332"/>
      <c r="B79" s="43"/>
      <c r="C79" s="44" t="str">
        <f>IF(D79&lt;&gt;"","▪","")</f>
        <v>▪</v>
      </c>
      <c r="D79" s="408" t="s">
        <v>50</v>
      </c>
    </row>
    <row r="80" spans="1:4" ht="14.4" x14ac:dyDescent="0.3">
      <c r="A80" s="332"/>
      <c r="B80" s="43"/>
      <c r="C80" s="44" t="str">
        <f>IF(D80&lt;&gt;"","▪","")</f>
        <v>▪</v>
      </c>
      <c r="D80" s="408" t="s">
        <v>55</v>
      </c>
    </row>
    <row r="81" spans="1:4" ht="14.4" x14ac:dyDescent="0.3">
      <c r="A81" s="332"/>
      <c r="B81" s="43"/>
      <c r="C81" s="44" t="str">
        <f>IF(D81&lt;&gt;"","▪","")</f>
        <v>▪</v>
      </c>
      <c r="D81" s="408" t="s">
        <v>52</v>
      </c>
    </row>
    <row r="82" spans="1:4" ht="14.4" x14ac:dyDescent="0.3">
      <c r="A82" s="332"/>
      <c r="B82" s="43"/>
      <c r="C82" s="44" t="str">
        <f>IF(D82&lt;&gt;"","▪","")</f>
        <v>▪</v>
      </c>
      <c r="D82" s="408" t="s">
        <v>53</v>
      </c>
    </row>
    <row r="83" spans="1:4" ht="14.4" x14ac:dyDescent="0.3">
      <c r="A83" s="332"/>
      <c r="B83" s="43" t="s">
        <v>17</v>
      </c>
      <c r="C83" s="43"/>
      <c r="D83" s="408"/>
    </row>
    <row r="84" spans="1:4" ht="20.100000000000001" customHeight="1" x14ac:dyDescent="0.3">
      <c r="A84" s="332"/>
      <c r="B84" s="43"/>
      <c r="C84" s="44" t="str">
        <f>IF(D84&lt;&gt;"","▪","")</f>
        <v>▪</v>
      </c>
      <c r="D84" s="408" t="s">
        <v>56</v>
      </c>
    </row>
    <row r="85" spans="1:4" ht="14.4" x14ac:dyDescent="0.3">
      <c r="A85" s="332"/>
      <c r="B85" s="43" t="s">
        <v>57</v>
      </c>
      <c r="C85" s="43"/>
      <c r="D85" s="408"/>
    </row>
    <row r="86" spans="1:4" ht="20.100000000000001" customHeight="1" x14ac:dyDescent="0.3">
      <c r="A86" s="332"/>
      <c r="B86" s="43"/>
      <c r="C86" s="44" t="str">
        <f>IF(D86&lt;&gt;"","▪","")</f>
        <v>▪</v>
      </c>
      <c r="D86" s="408" t="s">
        <v>58</v>
      </c>
    </row>
    <row r="87" spans="1:4" ht="14.4" x14ac:dyDescent="0.3">
      <c r="A87" s="336"/>
      <c r="B87" s="388"/>
      <c r="C87" s="388"/>
      <c r="D87" s="411"/>
    </row>
    <row r="88" spans="1:4" ht="18" x14ac:dyDescent="0.35">
      <c r="A88" s="537" t="s">
        <v>59</v>
      </c>
      <c r="B88" s="538"/>
      <c r="C88" s="538"/>
      <c r="D88" s="539"/>
    </row>
    <row r="89" spans="1:4" ht="14.4" x14ac:dyDescent="0.3">
      <c r="A89" s="2"/>
      <c r="B89" s="43" t="s">
        <v>2</v>
      </c>
      <c r="C89" s="43"/>
      <c r="D89" s="408"/>
    </row>
    <row r="90" spans="1:4" ht="14.4" x14ac:dyDescent="0.3">
      <c r="A90" s="2"/>
      <c r="B90" s="43"/>
      <c r="C90" s="44" t="str">
        <f>IF(D90&lt;&gt;"","▪","")</f>
        <v>▪</v>
      </c>
      <c r="D90" s="408" t="s">
        <v>60</v>
      </c>
    </row>
    <row r="91" spans="1:4" ht="14.4" x14ac:dyDescent="0.3">
      <c r="A91" s="2"/>
      <c r="B91" s="43" t="s">
        <v>40</v>
      </c>
      <c r="C91" s="43"/>
      <c r="D91" s="408"/>
    </row>
    <row r="92" spans="1:4" ht="39.6" x14ac:dyDescent="0.3">
      <c r="A92" s="2"/>
      <c r="B92" s="43"/>
      <c r="C92" s="44" t="str">
        <f>IF(D92&lt;&gt;"","▪","")</f>
        <v>▪</v>
      </c>
      <c r="D92" s="408" t="s">
        <v>61</v>
      </c>
    </row>
    <row r="93" spans="1:4" ht="26.4" x14ac:dyDescent="0.3">
      <c r="A93" s="2"/>
      <c r="B93" s="43"/>
      <c r="C93" s="44" t="str">
        <f>IF(D93&lt;&gt;"","▪","")</f>
        <v>▪</v>
      </c>
      <c r="D93" s="408" t="s">
        <v>62</v>
      </c>
    </row>
    <row r="94" spans="1:4" ht="14.4" x14ac:dyDescent="0.3">
      <c r="A94" s="2"/>
      <c r="B94" s="43"/>
      <c r="C94" s="44" t="str">
        <f>IF(D94&lt;&gt;"","▪","")</f>
        <v>▪</v>
      </c>
      <c r="D94" s="408" t="s">
        <v>63</v>
      </c>
    </row>
    <row r="95" spans="1:4" ht="14.4" x14ac:dyDescent="0.3">
      <c r="A95" s="2"/>
      <c r="B95" s="43" t="s">
        <v>23</v>
      </c>
      <c r="C95" s="43"/>
      <c r="D95" s="408"/>
    </row>
    <row r="96" spans="1:4" ht="14.4" x14ac:dyDescent="0.3">
      <c r="A96" s="2"/>
      <c r="B96" s="43"/>
      <c r="C96" s="44" t="str">
        <f>IF(D96&lt;&gt;"","▪","")</f>
        <v>▪</v>
      </c>
      <c r="D96" s="408" t="s">
        <v>64</v>
      </c>
    </row>
    <row r="97" spans="1:4" ht="14.4" x14ac:dyDescent="0.3">
      <c r="A97" s="2"/>
      <c r="B97" s="43" t="s">
        <v>11</v>
      </c>
      <c r="C97" s="43"/>
      <c r="D97" s="408"/>
    </row>
    <row r="98" spans="1:4" ht="14.4" x14ac:dyDescent="0.3">
      <c r="A98" s="2"/>
      <c r="B98" s="43"/>
      <c r="C98" s="44" t="str">
        <f>IF(D98&lt;&gt;"","▪","")</f>
        <v>▪</v>
      </c>
      <c r="D98" s="408" t="s">
        <v>65</v>
      </c>
    </row>
    <row r="99" spans="1:4" ht="14.4" x14ac:dyDescent="0.3">
      <c r="A99" s="332"/>
      <c r="B99" s="43" t="s">
        <v>49</v>
      </c>
      <c r="C99" s="43"/>
      <c r="D99" s="408"/>
    </row>
    <row r="100" spans="1:4" ht="26.4" x14ac:dyDescent="0.3">
      <c r="A100" s="332"/>
      <c r="B100" s="43"/>
      <c r="C100" s="44" t="str">
        <f>IF(D100&lt;&gt;"","▪","")</f>
        <v>▪</v>
      </c>
      <c r="D100" s="408" t="s">
        <v>66</v>
      </c>
    </row>
    <row r="101" spans="1:4" ht="14.4" x14ac:dyDescent="0.3">
      <c r="A101" s="332"/>
      <c r="B101" s="43"/>
      <c r="C101" s="44" t="str">
        <f>IF(D101&lt;&gt;"","▪","")</f>
        <v>▪</v>
      </c>
      <c r="D101" s="408" t="s">
        <v>67</v>
      </c>
    </row>
    <row r="102" spans="1:4" ht="14.4" x14ac:dyDescent="0.3">
      <c r="A102" s="332"/>
      <c r="B102" s="43" t="s">
        <v>20</v>
      </c>
      <c r="C102" s="43"/>
      <c r="D102" s="408"/>
    </row>
    <row r="103" spans="1:4" ht="14.4" x14ac:dyDescent="0.3">
      <c r="A103" s="332"/>
      <c r="B103" s="43"/>
      <c r="C103" s="44" t="str">
        <f>IF(D103&lt;&gt;"","▪","")</f>
        <v>▪</v>
      </c>
      <c r="D103" s="408" t="s">
        <v>68</v>
      </c>
    </row>
    <row r="104" spans="1:4" ht="14.4" x14ac:dyDescent="0.3">
      <c r="A104" s="2"/>
      <c r="B104" s="43" t="s">
        <v>54</v>
      </c>
      <c r="C104" s="43"/>
      <c r="D104" s="408"/>
    </row>
    <row r="105" spans="1:4" ht="14.4" x14ac:dyDescent="0.3">
      <c r="A105" s="2"/>
      <c r="B105" s="43"/>
      <c r="C105" s="44" t="str">
        <f>IF(D105&lt;&gt;"","▪","")</f>
        <v>▪</v>
      </c>
      <c r="D105" s="408" t="s">
        <v>69</v>
      </c>
    </row>
    <row r="106" spans="1:4" ht="14.4" x14ac:dyDescent="0.3">
      <c r="A106" s="2"/>
      <c r="B106" s="43"/>
      <c r="C106" s="44" t="str">
        <f>IF(D106&lt;&gt;"","▪","")</f>
        <v>▪</v>
      </c>
      <c r="D106" s="408" t="s">
        <v>70</v>
      </c>
    </row>
    <row r="107" spans="1:4" ht="14.4" x14ac:dyDescent="0.3">
      <c r="A107" s="2"/>
      <c r="B107" s="43" t="s">
        <v>71</v>
      </c>
      <c r="C107" s="43"/>
      <c r="D107" s="408"/>
    </row>
    <row r="108" spans="1:4" ht="14.4" x14ac:dyDescent="0.3">
      <c r="A108" s="2"/>
      <c r="B108" s="43"/>
      <c r="C108" s="44" t="str">
        <f>IF(D108&lt;&gt;"","▪","")</f>
        <v>▪</v>
      </c>
      <c r="D108" s="408" t="s">
        <v>72</v>
      </c>
    </row>
    <row r="109" spans="1:4" ht="14.4" x14ac:dyDescent="0.3">
      <c r="A109" s="2"/>
      <c r="B109" s="43"/>
      <c r="C109" s="44" t="str">
        <f>IF(D109&lt;&gt;"","▪","")</f>
        <v>▪</v>
      </c>
      <c r="D109" s="408" t="s">
        <v>73</v>
      </c>
    </row>
    <row r="110" spans="1:4" ht="14.4" x14ac:dyDescent="0.3">
      <c r="A110" s="2"/>
      <c r="B110" s="43"/>
      <c r="C110" s="44" t="str">
        <f>IF(D110&lt;&gt;"","▪","")</f>
        <v>▪</v>
      </c>
      <c r="D110" s="408" t="s">
        <v>74</v>
      </c>
    </row>
    <row r="111" spans="1:4" ht="14.4" x14ac:dyDescent="0.3">
      <c r="A111" s="2"/>
      <c r="B111" s="43" t="s">
        <v>17</v>
      </c>
      <c r="C111" s="43"/>
      <c r="D111" s="408"/>
    </row>
    <row r="112" spans="1:4" ht="14.4" x14ac:dyDescent="0.3">
      <c r="A112" s="2"/>
      <c r="B112" s="43"/>
      <c r="C112" s="44" t="str">
        <f>IF(D112&lt;&gt;"","▪","")</f>
        <v>▪</v>
      </c>
      <c r="D112" s="408" t="s">
        <v>75</v>
      </c>
    </row>
    <row r="113" spans="1:4" ht="14.4" x14ac:dyDescent="0.3">
      <c r="A113" s="2"/>
      <c r="B113" s="43" t="s">
        <v>76</v>
      </c>
      <c r="C113" s="43"/>
      <c r="D113" s="408"/>
    </row>
    <row r="114" spans="1:4" ht="14.4" x14ac:dyDescent="0.3">
      <c r="A114" s="2"/>
      <c r="B114" s="43"/>
      <c r="C114" s="44" t="str">
        <f>IF(D114&lt;&gt;"","▪","")</f>
        <v>▪</v>
      </c>
      <c r="D114" s="408" t="s">
        <v>77</v>
      </c>
    </row>
    <row r="115" spans="1:4" ht="14.4" x14ac:dyDescent="0.3">
      <c r="A115" s="2"/>
      <c r="B115" s="43" t="s">
        <v>78</v>
      </c>
      <c r="C115" s="43"/>
      <c r="D115" s="408"/>
    </row>
    <row r="116" spans="1:4" ht="14.4" x14ac:dyDescent="0.3">
      <c r="A116" s="2"/>
      <c r="B116" s="43"/>
      <c r="C116" s="44" t="str">
        <f>IF(D116&lt;&gt;"","▪","")</f>
        <v>▪</v>
      </c>
      <c r="D116" s="408" t="s">
        <v>79</v>
      </c>
    </row>
    <row r="117" spans="1:4" ht="14.4" x14ac:dyDescent="0.3">
      <c r="A117" s="336"/>
      <c r="B117" s="388"/>
      <c r="C117" s="388"/>
      <c r="D117" s="411"/>
    </row>
  </sheetData>
  <sheetProtection algorithmName="SHA-512" hashValue="9US5qTCbiMCiyFrGKbQ0zq1AUojBPbGWaQ8Q+F0k0oVKLV0CovGbAHeAFL1mTihvE9gDWxkB7/NiCPqC4bD9Lg==" saltValue="0BlXbKVSRZauYIvsjz5PRQ=="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r:id="rId1"/>
  <headerFooter alignWithMargins="0">
    <oddHeader>&amp;L_</oddHeader>
    <oddFooter>&amp;LPMv3.08&amp;R&amp;P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zoomScaleNormal="100" zoomScaleSheetLayoutView="85" workbookViewId="0">
      <selection activeCell="E6" sqref="E6"/>
    </sheetView>
  </sheetViews>
  <sheetFormatPr defaultRowHeight="13.2" x14ac:dyDescent="0.25"/>
  <cols>
    <col min="1" max="1" width="2.88671875" customWidth="1"/>
    <col min="2" max="2" width="5.6640625" customWidth="1"/>
    <col min="3" max="3" width="38.5546875" customWidth="1"/>
    <col min="4" max="4" width="5.6640625" customWidth="1"/>
    <col min="5" max="5" width="38.5546875" customWidth="1"/>
    <col min="6" max="6" width="5.6640625" customWidth="1"/>
    <col min="7" max="7" width="38.5546875" customWidth="1"/>
    <col min="8" max="8" width="5.664062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322"/>
      <c r="B1" s="322"/>
      <c r="C1" s="322"/>
      <c r="D1" s="322"/>
      <c r="E1" s="322"/>
      <c r="F1" s="322"/>
      <c r="G1" s="322"/>
      <c r="H1" s="322"/>
      <c r="I1" s="322"/>
      <c r="J1" s="402" t="s">
        <v>80</v>
      </c>
      <c r="K1" s="419" t="b">
        <v>1</v>
      </c>
    </row>
    <row r="2" spans="1:15" ht="22.5" customHeight="1" x14ac:dyDescent="0.25">
      <c r="A2" s="322"/>
      <c r="B2" s="324"/>
      <c r="C2" s="324"/>
      <c r="D2" s="324"/>
      <c r="E2" s="665" t="str">
        <f>CHOOSE(MATCH(Objeto,{"PM","PO"}),"PLANILHA MÚLTIPLA ","PLANILHA ORÇAMENTÁRIA ")&amp; Versao</f>
        <v>PLANILHA MÚLTIPLA v3.08</v>
      </c>
      <c r="F2" s="665"/>
      <c r="G2" s="665"/>
      <c r="H2" s="326"/>
      <c r="I2" s="324"/>
      <c r="J2" s="402" t="s">
        <v>81</v>
      </c>
      <c r="K2" s="419" t="b">
        <v>1</v>
      </c>
    </row>
    <row r="3" spans="1:15" ht="22.5" customHeight="1" x14ac:dyDescent="0.25">
      <c r="A3" s="322"/>
      <c r="B3" s="324"/>
      <c r="C3" s="324"/>
      <c r="D3" s="324"/>
      <c r="E3" s="665"/>
      <c r="F3" s="665"/>
      <c r="G3" s="665"/>
      <c r="H3" s="326"/>
      <c r="I3" s="324"/>
      <c r="O3" s="541">
        <v>1</v>
      </c>
    </row>
    <row r="4" spans="1:15" ht="17.100000000000001" customHeight="1" x14ac:dyDescent="0.25">
      <c r="A4" s="322"/>
      <c r="B4" s="324"/>
      <c r="C4" s="324"/>
      <c r="D4" s="324"/>
      <c r="E4" s="324"/>
      <c r="F4" s="325"/>
      <c r="G4" s="326"/>
      <c r="H4" s="326"/>
      <c r="I4" s="324"/>
      <c r="O4" s="541">
        <v>2</v>
      </c>
    </row>
    <row r="5" spans="1:15" ht="17.100000000000001" customHeight="1" thickBot="1" x14ac:dyDescent="0.3">
      <c r="A5" s="322"/>
      <c r="B5" s="324"/>
      <c r="C5" s="324"/>
      <c r="D5" s="324"/>
      <c r="E5" s="324"/>
      <c r="F5" s="325"/>
      <c r="G5" s="326"/>
      <c r="H5" s="326"/>
      <c r="I5" s="324"/>
      <c r="J5" s="116" t="s">
        <v>82</v>
      </c>
    </row>
    <row r="6" spans="1:15" ht="21" customHeight="1" thickBot="1" x14ac:dyDescent="0.3">
      <c r="A6" s="322"/>
      <c r="B6" s="322"/>
      <c r="C6" s="322"/>
      <c r="D6" s="322"/>
      <c r="E6" s="418" t="s">
        <v>83</v>
      </c>
      <c r="F6" s="323"/>
      <c r="G6" s="418" t="s">
        <v>84</v>
      </c>
      <c r="H6" s="322"/>
      <c r="I6" s="322"/>
      <c r="J6" s="116" t="s">
        <v>85</v>
      </c>
    </row>
    <row r="7" spans="1:15" x14ac:dyDescent="0.25">
      <c r="A7" s="322"/>
      <c r="B7" s="322"/>
      <c r="C7" s="322"/>
      <c r="D7" s="322"/>
      <c r="E7" s="322"/>
      <c r="F7" s="322"/>
      <c r="G7" s="322"/>
      <c r="H7" s="322"/>
      <c r="I7" s="322"/>
      <c r="J7" s="116" t="s">
        <v>76</v>
      </c>
      <c r="K7" s="542"/>
      <c r="L7" s="543"/>
      <c r="M7" s="543"/>
      <c r="N7" s="544"/>
    </row>
    <row r="8" spans="1:15" ht="21" customHeight="1" x14ac:dyDescent="0.25">
      <c r="A8" s="324"/>
      <c r="B8" s="664" t="str">
        <f>IF($O$3&lt;&gt;2,"DOCUMENTAÇÃO DA PROPOSTA","PROPOSTA: Para visualizar/preencher esta seção, altere o TIPO DE ORÇAMENTO para 'Proposto'")</f>
        <v>DOCUMENTAÇÃO DA PROPOSTA</v>
      </c>
      <c r="C8" s="664"/>
      <c r="D8" s="664"/>
      <c r="E8" s="664"/>
      <c r="F8" s="664"/>
      <c r="G8" s="664"/>
      <c r="H8" s="664"/>
      <c r="I8" s="322"/>
      <c r="J8" s="116" t="s">
        <v>78</v>
      </c>
      <c r="K8" s="330"/>
      <c r="L8" s="331" t="s">
        <v>86</v>
      </c>
      <c r="M8" s="331"/>
      <c r="N8" s="332"/>
    </row>
    <row r="9" spans="1:15" ht="13.8" thickBot="1" x14ac:dyDescent="0.3">
      <c r="A9" s="322"/>
      <c r="B9" s="322"/>
      <c r="C9" s="322"/>
      <c r="D9" s="322"/>
      <c r="E9" s="322"/>
      <c r="F9" s="322"/>
      <c r="G9" s="322"/>
      <c r="H9" s="322"/>
      <c r="I9" s="322"/>
      <c r="K9" s="330"/>
      <c r="L9" t="s">
        <v>87</v>
      </c>
      <c r="N9" s="332"/>
    </row>
    <row r="10" spans="1:15" ht="21" customHeight="1" thickBot="1" x14ac:dyDescent="0.3">
      <c r="A10" s="322"/>
      <c r="B10" s="322"/>
      <c r="C10" s="389" t="str">
        <f>IF(TIPOORCAMENTO&lt;&gt;"Proposto","","                    BDI                    ")</f>
        <v xml:space="preserve">                    BDI                    </v>
      </c>
      <c r="D10" s="323"/>
      <c r="E10" s="389" t="str">
        <f>IF(TIPOORCAMENTO&lt;&gt;"Proposto","","             ORÇAMENTO             ")</f>
        <v xml:space="preserve">             ORÇAMENTO             </v>
      </c>
      <c r="F10" s="323"/>
      <c r="G10" s="391" t="str">
        <f>IF(TIPOORCAMENTO&lt;&gt;"Proposto","","MEMÓRIA DE CÁLCULO / PLQ")</f>
        <v>MEMÓRIA DE CÁLCULO / PLQ</v>
      </c>
      <c r="H10" s="322"/>
      <c r="I10" s="322"/>
      <c r="K10" s="330"/>
      <c r="L10" s="3"/>
      <c r="M10" s="1"/>
      <c r="N10" s="333" t="s">
        <v>88</v>
      </c>
    </row>
    <row r="11" spans="1:15" ht="13.8" thickBot="1" x14ac:dyDescent="0.3">
      <c r="A11" s="322"/>
      <c r="B11" s="322"/>
      <c r="C11" s="323"/>
      <c r="D11" s="323"/>
      <c r="E11" s="323"/>
      <c r="F11" s="323"/>
      <c r="G11" s="323"/>
      <c r="H11" s="322"/>
      <c r="I11" s="322"/>
      <c r="K11" s="330"/>
      <c r="N11" s="332"/>
    </row>
    <row r="12" spans="1:15" ht="21" customHeight="1" thickBot="1" x14ac:dyDescent="0.3">
      <c r="A12" s="322"/>
      <c r="B12" s="322"/>
      <c r="C12" s="389" t="str">
        <f>IF(TIPOORCAMENTO&lt;&gt;"Proposto","","                    QCI                    ")</f>
        <v xml:space="preserve">                    QCI                    </v>
      </c>
      <c r="D12" s="323"/>
      <c r="E12" s="390" t="str">
        <f>IF(TIPOORCAMENTO&lt;&gt;"Proposto","","CRONOGRAMA FÍSICO-FINANCEIRO")</f>
        <v>CRONOGRAMA FÍSICO-FINANCEIRO</v>
      </c>
      <c r="F12" s="323"/>
      <c r="G12" s="323"/>
      <c r="H12" s="322"/>
      <c r="I12" s="322"/>
      <c r="K12" s="330"/>
      <c r="L12" s="4"/>
      <c r="M12" s="1"/>
      <c r="N12" s="333" t="s">
        <v>89</v>
      </c>
    </row>
    <row r="13" spans="1:15" x14ac:dyDescent="0.25">
      <c r="A13" s="322"/>
      <c r="B13" s="322"/>
      <c r="C13" s="322"/>
      <c r="D13" s="322"/>
      <c r="E13" s="322"/>
      <c r="F13" s="322"/>
      <c r="G13" s="322"/>
      <c r="H13" s="322"/>
      <c r="I13" s="322"/>
      <c r="K13" s="330"/>
      <c r="N13" s="332"/>
    </row>
    <row r="14" spans="1:15" x14ac:dyDescent="0.25">
      <c r="A14" s="322"/>
      <c r="B14" s="322"/>
      <c r="C14" s="322"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04-2026.xlsm.</v>
      </c>
      <c r="D14" s="322"/>
      <c r="E14" s="322"/>
      <c r="F14" s="322"/>
      <c r="G14" s="322"/>
      <c r="H14" s="322"/>
      <c r="I14" s="322"/>
      <c r="K14" s="330"/>
      <c r="N14" s="332"/>
    </row>
    <row r="15" spans="1:15" x14ac:dyDescent="0.25">
      <c r="A15" s="322"/>
      <c r="B15" s="322"/>
      <c r="C15" s="322"/>
      <c r="D15" s="322"/>
      <c r="E15" s="322"/>
      <c r="F15" s="322"/>
      <c r="G15" s="322"/>
      <c r="H15" s="322"/>
      <c r="I15" s="322"/>
      <c r="K15" s="330"/>
      <c r="L15" t="s">
        <v>90</v>
      </c>
      <c r="N15" s="332"/>
    </row>
    <row r="16" spans="1:15" ht="21" customHeight="1" x14ac:dyDescent="0.25">
      <c r="A16" s="322"/>
      <c r="B16" s="664" t="str">
        <f>IF($O$3&lt;&gt;2,"PÓS-LICITADO: Para visualizar/preencher esta seção, altere o TIPO DE ORÇAMENTO para 'Licitado'","RESULTADO DO PROCESSO LICITATÓRIO")</f>
        <v>PÓS-LICITADO: Para visualizar/preencher esta seção, altere o TIPO DE ORÇAMENTO para 'Licitado'</v>
      </c>
      <c r="C16" s="664"/>
      <c r="D16" s="664"/>
      <c r="E16" s="664"/>
      <c r="F16" s="664"/>
      <c r="G16" s="664"/>
      <c r="H16" s="664"/>
      <c r="I16" s="322"/>
      <c r="K16" s="330"/>
      <c r="L16" s="392"/>
      <c r="M16" s="1"/>
      <c r="N16" s="333" t="s">
        <v>91</v>
      </c>
    </row>
    <row r="17" spans="1:14" ht="13.8" thickBot="1" x14ac:dyDescent="0.3">
      <c r="A17" s="322"/>
      <c r="B17" s="322"/>
      <c r="C17" s="322"/>
      <c r="D17" s="322"/>
      <c r="E17" s="322"/>
      <c r="F17" s="322"/>
      <c r="G17" s="322"/>
      <c r="H17" s="322"/>
      <c r="I17" s="322"/>
      <c r="K17" s="330"/>
      <c r="N17" s="332"/>
    </row>
    <row r="18" spans="1:14" ht="21" customHeight="1" thickBot="1" x14ac:dyDescent="0.3">
      <c r="A18" s="322"/>
      <c r="B18" s="322"/>
      <c r="C18" s="389" t="str">
        <f>IF(TIPOORCAMENTO&lt;&gt;"Licitado","","             ORÇAMENTO             ")</f>
        <v/>
      </c>
      <c r="D18" s="323"/>
      <c r="E18" s="389" t="str">
        <f>IF(TIPOORCAMENTO&lt;&gt;"Licitado","","                    QCI                    ")</f>
        <v/>
      </c>
      <c r="F18" s="323"/>
      <c r="G18" s="390" t="str">
        <f>IF(TIPOORCAMENTO&lt;&gt;"Licitado","","CRONOGRAMA FÍSICO-FINANCEIRO")</f>
        <v/>
      </c>
      <c r="H18" s="322"/>
      <c r="I18" s="322"/>
      <c r="K18" s="330"/>
      <c r="L18" s="327"/>
      <c r="M18" s="1"/>
      <c r="N18" s="333" t="s">
        <v>92</v>
      </c>
    </row>
    <row r="19" spans="1:14" x14ac:dyDescent="0.25">
      <c r="A19" s="322"/>
      <c r="B19" s="322"/>
      <c r="C19" s="322"/>
      <c r="D19" s="322"/>
      <c r="E19" s="322"/>
      <c r="F19" s="322"/>
      <c r="G19" s="322"/>
      <c r="H19" s="322"/>
      <c r="I19" s="322"/>
      <c r="K19" s="334"/>
      <c r="L19" s="335"/>
      <c r="M19" s="335"/>
      <c r="N19" s="336"/>
    </row>
    <row r="20" spans="1:14" ht="21" customHeight="1" x14ac:dyDescent="0.25">
      <c r="A20" s="324"/>
      <c r="B20" s="664" t="str">
        <f>IF($O$3&lt;&gt;2,"ACOMPANHAMENTO: Para visualizar/preencher esta seção, altere o TIPO DE ORÇAMENTO para 'Licitado'","ACOMPANHAMENTO DO EMPREENDIMENTO")</f>
        <v>ACOMPANHAMENTO: Para visualizar/preencher esta seção, altere o TIPO DE ORÇAMENTO para 'Licitado'</v>
      </c>
      <c r="C20" s="664"/>
      <c r="D20" s="664"/>
      <c r="E20" s="664"/>
      <c r="F20" s="664"/>
      <c r="G20" s="664"/>
      <c r="H20" s="664"/>
      <c r="I20" s="322"/>
    </row>
    <row r="21" spans="1:14" ht="13.8" thickBot="1" x14ac:dyDescent="0.3">
      <c r="A21" s="322"/>
      <c r="B21" s="322"/>
      <c r="C21" s="322"/>
      <c r="D21" s="322"/>
      <c r="E21" s="322"/>
      <c r="F21" s="322"/>
      <c r="G21" s="322"/>
      <c r="H21" s="322"/>
      <c r="I21" s="322"/>
    </row>
    <row r="22" spans="1:14" ht="21" customHeight="1" thickBot="1" x14ac:dyDescent="0.3">
      <c r="A22" s="322"/>
      <c r="B22" s="322"/>
      <c r="C22" s="393" t="str">
        <f>IF(OR(TIPOORCAMENTO&lt;&gt;"Licitado",ACOMPANHAMENTO&lt;&gt;"PLE"),"","PLAN. DE LEVANT. DE EVENTOS - PLE")</f>
        <v/>
      </c>
      <c r="D22" s="323"/>
      <c r="E22" s="389" t="str">
        <f>IF(TIPOORCAMENTO&lt;&gt;"Licitado","","                    RRE                    ")</f>
        <v/>
      </c>
      <c r="F22" s="323"/>
      <c r="G22" s="391" t="str">
        <f>IF(OR(TIPOORCAMENTO&lt;&gt;"Licitado",ACOMPANHAMENTO&lt;&gt;"BM"),"","  BOLETIM DE MEDIÇÃO - BM  ")</f>
        <v/>
      </c>
      <c r="H22" s="322"/>
      <c r="I22" s="322"/>
    </row>
    <row r="23" spans="1:14" ht="13.8" thickBot="1" x14ac:dyDescent="0.3">
      <c r="A23" s="322"/>
      <c r="B23" s="322"/>
      <c r="C23" s="323"/>
      <c r="D23" s="323"/>
      <c r="E23" s="323"/>
      <c r="F23" s="323"/>
      <c r="G23" s="323"/>
      <c r="H23" s="322"/>
      <c r="I23" s="322"/>
    </row>
    <row r="24" spans="1:14" ht="21" customHeight="1" thickBot="1" x14ac:dyDescent="0.3">
      <c r="A24" s="322"/>
      <c r="B24" s="322"/>
      <c r="C24" s="323"/>
      <c r="D24" s="323"/>
      <c r="E24" s="393" t="str">
        <f>IF(TIPOORCAMENTO&lt;&gt;"Licitado","","OF. DE SOLICITAÇÃO DE DESBLOQUEIO")</f>
        <v/>
      </c>
      <c r="F24" s="323"/>
      <c r="G24" s="323"/>
      <c r="H24" s="322"/>
      <c r="I24" s="322"/>
    </row>
    <row r="25" spans="1:14" x14ac:dyDescent="0.25">
      <c r="A25" s="322"/>
      <c r="B25" s="322"/>
      <c r="C25" s="322"/>
      <c r="D25" s="322"/>
      <c r="E25" s="322"/>
      <c r="F25" s="322"/>
      <c r="G25" s="322"/>
      <c r="H25" s="322"/>
      <c r="I25" s="322"/>
    </row>
  </sheetData>
  <sheetProtection algorithmName="SHA-512" hashValue="tLSjD0de4LpubcxgRTIBIwdJp3SSfxENGLV3EC9HXXXYpxhGI0befXzxNAeut79xGdg9tF2+ld3BNEUQ495Axg==" saltValue="4KdY+V8QybT1sJL3dFvGCw==" spinCount="100000" sheet="1" objects="1" scenarios="1" autoFilter="0"/>
  <mergeCells count="4">
    <mergeCell ref="B20:H20"/>
    <mergeCell ref="B8:H8"/>
    <mergeCell ref="E2:G3"/>
    <mergeCell ref="B16:H16"/>
  </mergeCells>
  <phoneticPr fontId="38" type="noConversion"/>
  <conditionalFormatting sqref="C10:G14">
    <cfRule type="expression" dxfId="491" priority="70" stopIfTrue="1">
      <formula>TIPOORCAMENTO="Licitado"</formula>
    </cfRule>
  </conditionalFormatting>
  <conditionalFormatting sqref="C18:G18 E22:E24">
    <cfRule type="expression" dxfId="490" priority="71" stopIfTrue="1">
      <formula>TIPOORCAMENTO&lt;&gt;"Licitado"</formula>
    </cfRule>
  </conditionalFormatting>
  <conditionalFormatting sqref="C22">
    <cfRule type="expression" dxfId="489" priority="73" stopIfTrue="1">
      <formula>OR(TIPOORCAMENTO&lt;&gt;"Licitado",ACOMPANHAMENTO&lt;&gt;"PLE")</formula>
    </cfRule>
  </conditionalFormatting>
  <conditionalFormatting sqref="G22">
    <cfRule type="expression" dxfId="488" priority="74" stopIfTrue="1">
      <formula>OR(TIPOORCAMENTO&lt;&gt;"Licitado",ACOMPANHAMENTO&lt;&gt;"BM")</formula>
    </cfRule>
  </conditionalFormatting>
  <conditionalFormatting sqref="B16:H16 B20:H20">
    <cfRule type="expression" dxfId="487" priority="599" stopIfTrue="1">
      <formula>$O$3&lt;&gt;2</formula>
    </cfRule>
  </conditionalFormatting>
  <conditionalFormatting sqref="B8:H8">
    <cfRule type="expression" dxfId="486"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r:id="rId1"/>
  <headerFooter alignWithMargins="0">
    <oddHeader>&amp;L_</oddHeader>
    <oddFooter>&amp;LPMv3.08&amp;R&amp;P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60960</xdr:rowOff>
                  </from>
                  <to>
                    <xdr:col>13</xdr:col>
                    <xdr:colOff>2385060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B1:AR222"/>
  <sheetViews>
    <sheetView showGridLines="0" zoomScaleNormal="100" workbookViewId="0">
      <pane ySplit="2" topLeftCell="A11" activePane="bottomLeft" state="frozen"/>
      <selection pane="bottomLeft" activeCell="C8" sqref="C8"/>
    </sheetView>
  </sheetViews>
  <sheetFormatPr defaultRowHeight="13.2" x14ac:dyDescent="0.25"/>
  <cols>
    <col min="1" max="1" width="10.6640625" customWidth="1"/>
    <col min="2" max="2" width="42.6640625" style="1" customWidth="1"/>
    <col min="3" max="3" width="53.33203125" style="1" customWidth="1"/>
    <col min="4" max="4" width="80.6640625" customWidth="1"/>
    <col min="5" max="6" width="9.109375" customWidth="1"/>
    <col min="7" max="7" width="14.33203125" hidden="1" customWidth="1"/>
    <col min="8" max="10" width="9.109375" hidden="1" customWidth="1"/>
    <col min="11" max="11" width="9.109375" style="5" hidden="1" customWidth="1"/>
    <col min="12" max="43" width="9.109375" hidden="1" customWidth="1"/>
    <col min="44" max="44" width="15.6640625" hidden="1" customWidth="1"/>
    <col min="45" max="45" width="9.109375" customWidth="1"/>
  </cols>
  <sheetData>
    <row r="1" spans="2:44" ht="15.75" customHeight="1" x14ac:dyDescent="0.3">
      <c r="B1" s="6" t="s">
        <v>93</v>
      </c>
      <c r="C1" s="476"/>
      <c r="D1" s="43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Responsável pelo Orçamento</v>
      </c>
      <c r="H1" s="545"/>
      <c r="I1" s="667" t="s">
        <v>94</v>
      </c>
      <c r="J1" s="667"/>
      <c r="K1" s="667"/>
      <c r="L1" s="667"/>
      <c r="M1" s="667"/>
      <c r="N1" s="667"/>
      <c r="O1" s="667"/>
      <c r="P1" s="667"/>
      <c r="Q1" s="667"/>
      <c r="R1" s="667"/>
      <c r="S1" s="667"/>
      <c r="T1" s="667"/>
      <c r="U1" s="667"/>
      <c r="V1" s="667"/>
      <c r="W1" s="667"/>
      <c r="X1" s="667"/>
      <c r="Y1" s="667"/>
      <c r="Z1" s="667"/>
      <c r="AA1" s="667"/>
      <c r="AB1" s="667"/>
      <c r="AC1" s="667"/>
      <c r="AD1" s="667"/>
      <c r="AE1" s="667"/>
      <c r="AF1" s="667"/>
      <c r="AG1" s="667"/>
      <c r="AH1" s="667"/>
      <c r="AI1" s="667"/>
      <c r="AJ1" s="667"/>
      <c r="AK1" s="667"/>
      <c r="AL1" s="667"/>
      <c r="AM1" s="667"/>
      <c r="AN1" s="667"/>
      <c r="AO1" s="667"/>
      <c r="AQ1" s="427" t="s">
        <v>95</v>
      </c>
      <c r="AR1" s="428"/>
    </row>
    <row r="2" spans="2:44" ht="12.75" customHeight="1" thickBot="1" x14ac:dyDescent="0.3">
      <c r="B2" s="6"/>
      <c r="G2" s="7" t="s">
        <v>96</v>
      </c>
      <c r="H2" s="8" t="s">
        <v>97</v>
      </c>
      <c r="I2" s="514">
        <f>COUNTA(H:H)-1</f>
        <v>3</v>
      </c>
      <c r="J2" s="8" t="s">
        <v>98</v>
      </c>
      <c r="K2" s="514">
        <f>COUNTA(J:J)-1</f>
        <v>6</v>
      </c>
      <c r="L2" s="8" t="s">
        <v>99</v>
      </c>
      <c r="M2" s="514">
        <f>COUNTA(L:L)-1</f>
        <v>6</v>
      </c>
      <c r="N2" s="8" t="s">
        <v>100</v>
      </c>
      <c r="O2" s="514">
        <f>COUNTA(N:N)-1</f>
        <v>6</v>
      </c>
      <c r="P2" s="8" t="s">
        <v>101</v>
      </c>
      <c r="Q2" s="514">
        <f>COUNTA(P:P)-1</f>
        <v>11</v>
      </c>
      <c r="R2" s="8" t="s">
        <v>102</v>
      </c>
      <c r="S2" s="514">
        <f>COUNTA(R:R)-1</f>
        <v>8</v>
      </c>
      <c r="T2" s="8" t="s">
        <v>103</v>
      </c>
      <c r="U2" s="514">
        <f>COUNTA(T:T)-1</f>
        <v>4</v>
      </c>
      <c r="V2" s="8" t="s">
        <v>104</v>
      </c>
      <c r="W2" s="514">
        <f>COUNTA(V:V)-1</f>
        <v>6</v>
      </c>
      <c r="X2" s="8" t="s">
        <v>105</v>
      </c>
      <c r="Y2" s="514">
        <f>COUNTA(X:X)-1</f>
        <v>2</v>
      </c>
      <c r="Z2" s="8" t="s">
        <v>106</v>
      </c>
      <c r="AA2" s="514">
        <f>COUNTA(Z:Z)-1</f>
        <v>2</v>
      </c>
      <c r="AB2" s="8" t="s">
        <v>107</v>
      </c>
      <c r="AC2" s="514">
        <f>COUNTA(AB:AB)-1</f>
        <v>2</v>
      </c>
      <c r="AD2" s="8" t="s">
        <v>108</v>
      </c>
      <c r="AE2" s="514">
        <f>COUNTA(AD:AD)-1</f>
        <v>1</v>
      </c>
      <c r="AF2" s="8" t="s">
        <v>109</v>
      </c>
      <c r="AG2" s="514">
        <f>COUNTA(AF:AF)-1</f>
        <v>1</v>
      </c>
      <c r="AH2" s="8" t="s">
        <v>110</v>
      </c>
      <c r="AI2" s="514">
        <f>COUNTA(AH:AH)-1</f>
        <v>1</v>
      </c>
      <c r="AJ2" s="8" t="s">
        <v>111</v>
      </c>
      <c r="AK2" s="514">
        <f>COUNTA(AJ:AJ)-1</f>
        <v>3</v>
      </c>
      <c r="AL2" s="8" t="s">
        <v>112</v>
      </c>
      <c r="AM2" s="514">
        <f>COUNTA(AL:AL)-1</f>
        <v>1</v>
      </c>
      <c r="AN2" s="8" t="s">
        <v>113</v>
      </c>
      <c r="AO2" s="514">
        <f>COUNTA(AN:AN)-1</f>
        <v>4</v>
      </c>
      <c r="AQ2" s="429" t="s">
        <v>114</v>
      </c>
      <c r="AR2" s="62" t="s">
        <v>115</v>
      </c>
    </row>
    <row r="3" spans="2:44" ht="15" thickBot="1" x14ac:dyDescent="0.3">
      <c r="B3" s="666" t="s">
        <v>116</v>
      </c>
      <c r="C3" s="666"/>
      <c r="D3" s="474" t="str">
        <f ca="1">IF(COUNTIF(D4:D13,"◄")=0,"","Falta preencher a linha "&amp;MATCH("◄",D4:D13,0)+ROW(D3))</f>
        <v/>
      </c>
      <c r="G3" s="531" t="s">
        <v>97</v>
      </c>
      <c r="H3" t="s">
        <v>117</v>
      </c>
      <c r="I3" s="5" t="s">
        <v>118</v>
      </c>
      <c r="J3" s="531" t="s">
        <v>119</v>
      </c>
      <c r="K3" s="5" t="s">
        <v>120</v>
      </c>
      <c r="L3" t="s">
        <v>121</v>
      </c>
      <c r="M3" s="5" t="s">
        <v>120</v>
      </c>
      <c r="N3" t="s">
        <v>122</v>
      </c>
      <c r="O3" s="5" t="s">
        <v>123</v>
      </c>
      <c r="P3" t="s">
        <v>124</v>
      </c>
      <c r="Q3" s="5" t="s">
        <v>125</v>
      </c>
      <c r="R3" t="s">
        <v>126</v>
      </c>
      <c r="S3" s="5" t="s">
        <v>118</v>
      </c>
      <c r="T3" t="s">
        <v>127</v>
      </c>
      <c r="U3" s="5" t="s">
        <v>118</v>
      </c>
      <c r="V3" t="s">
        <v>128</v>
      </c>
      <c r="W3" s="5" t="s">
        <v>118</v>
      </c>
      <c r="X3" t="s">
        <v>129</v>
      </c>
      <c r="Y3" s="5" t="s">
        <v>120</v>
      </c>
      <c r="Z3" t="s">
        <v>130</v>
      </c>
      <c r="AA3" s="5" t="s">
        <v>120</v>
      </c>
      <c r="AB3" t="s">
        <v>107</v>
      </c>
      <c r="AC3" s="5" t="s">
        <v>120</v>
      </c>
      <c r="AD3" t="s">
        <v>108</v>
      </c>
      <c r="AE3" s="5" t="s">
        <v>118</v>
      </c>
      <c r="AF3" t="s">
        <v>109</v>
      </c>
      <c r="AG3" s="5" t="s">
        <v>118</v>
      </c>
      <c r="AH3" t="s">
        <v>110</v>
      </c>
      <c r="AI3" s="5" t="s">
        <v>118</v>
      </c>
      <c r="AJ3" t="s">
        <v>131</v>
      </c>
      <c r="AK3" s="5" t="s">
        <v>118</v>
      </c>
      <c r="AL3" t="s">
        <v>112</v>
      </c>
      <c r="AM3" s="5" t="s">
        <v>132</v>
      </c>
      <c r="AN3" t="s">
        <v>133</v>
      </c>
      <c r="AO3" s="5" t="s">
        <v>134</v>
      </c>
      <c r="AQ3" t="s">
        <v>132</v>
      </c>
      <c r="AR3" t="s">
        <v>132</v>
      </c>
    </row>
    <row r="4" spans="2:44" x14ac:dyDescent="0.25">
      <c r="B4" s="9" t="s">
        <v>135</v>
      </c>
      <c r="C4" s="10" t="s">
        <v>136</v>
      </c>
      <c r="D4" s="475" t="str">
        <f ca="1">IF(OR(OFFSET(D4,0,-1)="",OFFSET(D4,0,-1)="(SELECIONAR)"),"◄","")</f>
        <v/>
      </c>
      <c r="G4" s="531" t="s">
        <v>98</v>
      </c>
      <c r="H4" t="s">
        <v>137</v>
      </c>
      <c r="I4" s="5" t="s">
        <v>118</v>
      </c>
      <c r="J4" t="s">
        <v>138</v>
      </c>
      <c r="K4" s="5" t="s">
        <v>120</v>
      </c>
      <c r="L4" t="s">
        <v>139</v>
      </c>
      <c r="M4" s="5" t="s">
        <v>120</v>
      </c>
      <c r="N4" t="s">
        <v>140</v>
      </c>
      <c r="O4" s="5" t="s">
        <v>123</v>
      </c>
      <c r="P4" t="s">
        <v>141</v>
      </c>
      <c r="Q4" s="5" t="s">
        <v>125</v>
      </c>
      <c r="R4" t="s">
        <v>142</v>
      </c>
      <c r="S4" s="5" t="s">
        <v>123</v>
      </c>
      <c r="T4" t="s">
        <v>143</v>
      </c>
      <c r="U4" s="5" t="s">
        <v>118</v>
      </c>
      <c r="V4" t="s">
        <v>144</v>
      </c>
      <c r="W4" s="5" t="s">
        <v>145</v>
      </c>
      <c r="X4" t="s">
        <v>146</v>
      </c>
      <c r="Y4" s="5" t="s">
        <v>120</v>
      </c>
      <c r="Z4" t="s">
        <v>147</v>
      </c>
      <c r="AA4" s="5" t="s">
        <v>120</v>
      </c>
      <c r="AB4" t="s">
        <v>148</v>
      </c>
      <c r="AC4" s="5" t="s">
        <v>120</v>
      </c>
      <c r="AE4" s="5"/>
      <c r="AG4" s="5"/>
      <c r="AI4" s="5"/>
      <c r="AJ4" t="s">
        <v>149</v>
      </c>
      <c r="AK4" s="5" t="s">
        <v>118</v>
      </c>
      <c r="AN4" t="s">
        <v>150</v>
      </c>
      <c r="AO4" s="5" t="s">
        <v>134</v>
      </c>
      <c r="AQ4" t="s">
        <v>151</v>
      </c>
      <c r="AR4" t="s">
        <v>152</v>
      </c>
    </row>
    <row r="5" spans="2:44" x14ac:dyDescent="0.25">
      <c r="B5" s="11" t="s">
        <v>153</v>
      </c>
      <c r="C5" s="12" t="s">
        <v>154</v>
      </c>
      <c r="D5" s="475" t="str">
        <f t="shared" ref="D5:D11" ca="1" si="0">IF(OFFSET(D5,0,-1)="","◄","")</f>
        <v/>
      </c>
      <c r="G5" s="531" t="s">
        <v>99</v>
      </c>
      <c r="H5" t="s">
        <v>155</v>
      </c>
      <c r="I5" s="5" t="s">
        <v>118</v>
      </c>
      <c r="J5" t="s">
        <v>156</v>
      </c>
      <c r="K5" s="5" t="s">
        <v>120</v>
      </c>
      <c r="L5" t="s">
        <v>157</v>
      </c>
      <c r="M5" s="5" t="s">
        <v>123</v>
      </c>
      <c r="N5" t="s">
        <v>158</v>
      </c>
      <c r="O5" s="5" t="s">
        <v>123</v>
      </c>
      <c r="P5" t="s">
        <v>159</v>
      </c>
      <c r="Q5" s="5" t="s">
        <v>125</v>
      </c>
      <c r="R5" t="s">
        <v>160</v>
      </c>
      <c r="S5" s="5" t="s">
        <v>123</v>
      </c>
      <c r="T5" t="s">
        <v>161</v>
      </c>
      <c r="U5" s="5" t="s">
        <v>123</v>
      </c>
      <c r="V5" t="s">
        <v>162</v>
      </c>
      <c r="W5" s="5" t="s">
        <v>145</v>
      </c>
      <c r="Y5" s="5"/>
      <c r="AA5" s="5"/>
      <c r="AC5" s="5"/>
      <c r="AE5" s="5"/>
      <c r="AG5" s="5"/>
      <c r="AI5" s="5"/>
      <c r="AJ5" t="s">
        <v>163</v>
      </c>
      <c r="AK5" s="5" t="s">
        <v>118</v>
      </c>
      <c r="AN5" t="s">
        <v>164</v>
      </c>
      <c r="AO5" s="5" t="s">
        <v>134</v>
      </c>
      <c r="AQ5" t="s">
        <v>165</v>
      </c>
      <c r="AR5" t="s">
        <v>166</v>
      </c>
    </row>
    <row r="6" spans="2:44" x14ac:dyDescent="0.25">
      <c r="B6" s="11" t="s">
        <v>167</v>
      </c>
      <c r="C6" s="12" t="s">
        <v>168</v>
      </c>
      <c r="D6" s="475" t="str">
        <f t="shared" ca="1" si="0"/>
        <v/>
      </c>
      <c r="G6" s="531" t="s">
        <v>100</v>
      </c>
      <c r="J6" t="s">
        <v>169</v>
      </c>
      <c r="K6" s="5" t="s">
        <v>120</v>
      </c>
      <c r="L6" t="s">
        <v>170</v>
      </c>
      <c r="M6" s="5" t="s">
        <v>120</v>
      </c>
      <c r="N6" t="s">
        <v>171</v>
      </c>
      <c r="O6" s="5" t="s">
        <v>120</v>
      </c>
      <c r="P6" t="s">
        <v>172</v>
      </c>
      <c r="Q6" s="5" t="s">
        <v>123</v>
      </c>
      <c r="R6" t="s">
        <v>173</v>
      </c>
      <c r="S6" s="5" t="s">
        <v>123</v>
      </c>
      <c r="T6" t="s">
        <v>174</v>
      </c>
      <c r="U6" s="5" t="s">
        <v>123</v>
      </c>
      <c r="V6" t="s">
        <v>175</v>
      </c>
      <c r="W6" s="5" t="s">
        <v>118</v>
      </c>
      <c r="AN6" t="s">
        <v>176</v>
      </c>
      <c r="AO6" s="5" t="s">
        <v>134</v>
      </c>
      <c r="AQ6" t="s">
        <v>177</v>
      </c>
      <c r="AR6" t="s">
        <v>178</v>
      </c>
    </row>
    <row r="7" spans="2:44" x14ac:dyDescent="0.25">
      <c r="B7" s="13" t="s">
        <v>179</v>
      </c>
      <c r="C7" s="14" t="s">
        <v>962</v>
      </c>
      <c r="D7" s="475" t="str">
        <f t="shared" ca="1" si="0"/>
        <v/>
      </c>
      <c r="G7" s="531" t="s">
        <v>101</v>
      </c>
      <c r="J7" t="s">
        <v>180</v>
      </c>
      <c r="K7" s="5" t="s">
        <v>120</v>
      </c>
      <c r="L7" t="s">
        <v>181</v>
      </c>
      <c r="M7" s="5" t="s">
        <v>120</v>
      </c>
      <c r="N7" t="s">
        <v>182</v>
      </c>
      <c r="O7" s="5" t="s">
        <v>145</v>
      </c>
      <c r="P7" t="s">
        <v>183</v>
      </c>
      <c r="Q7" s="5" t="s">
        <v>125</v>
      </c>
      <c r="R7" t="s">
        <v>184</v>
      </c>
      <c r="S7" s="5" t="s">
        <v>125</v>
      </c>
      <c r="V7" t="s">
        <v>185</v>
      </c>
      <c r="W7" s="5" t="s">
        <v>118</v>
      </c>
      <c r="AQ7" t="s">
        <v>186</v>
      </c>
      <c r="AR7" t="s">
        <v>187</v>
      </c>
    </row>
    <row r="8" spans="2:44" x14ac:dyDescent="0.25">
      <c r="B8" s="13" t="s">
        <v>188</v>
      </c>
      <c r="C8" s="14" t="s">
        <v>962</v>
      </c>
      <c r="D8" s="475" t="str">
        <f ca="1">IF(AND(Import.TipoArredondamento="TransfereGOV",OFFSET(D8,0,-1)=""),"◄","")</f>
        <v/>
      </c>
      <c r="G8" s="531" t="s">
        <v>102</v>
      </c>
      <c r="J8" t="s">
        <v>189</v>
      </c>
      <c r="K8" s="5" t="s">
        <v>120</v>
      </c>
      <c r="L8" t="s">
        <v>190</v>
      </c>
      <c r="M8" s="5" t="s">
        <v>120</v>
      </c>
      <c r="N8" t="s">
        <v>191</v>
      </c>
      <c r="O8" s="5" t="s">
        <v>125</v>
      </c>
      <c r="P8" t="s">
        <v>192</v>
      </c>
      <c r="Q8" s="5" t="s">
        <v>125</v>
      </c>
      <c r="R8" t="s">
        <v>193</v>
      </c>
      <c r="S8" s="5" t="s">
        <v>125</v>
      </c>
      <c r="V8" t="s">
        <v>194</v>
      </c>
      <c r="W8" s="5" t="s">
        <v>120</v>
      </c>
      <c r="AQ8" t="s">
        <v>195</v>
      </c>
      <c r="AR8" t="s">
        <v>196</v>
      </c>
    </row>
    <row r="9" spans="2:44" x14ac:dyDescent="0.25">
      <c r="B9" s="13" t="str">
        <f>IF(C4="FGTS","Valor de Financiamento Contratado (R$):","Valor do Repasse Contratado (R$):")</f>
        <v>Valor do Repasse Contratado (R$):</v>
      </c>
      <c r="C9" s="15">
        <v>6000000</v>
      </c>
      <c r="D9" s="475" t="str">
        <f t="shared" ca="1" si="0"/>
        <v/>
      </c>
      <c r="G9" s="531" t="s">
        <v>103</v>
      </c>
      <c r="P9" t="s">
        <v>197</v>
      </c>
      <c r="Q9" s="5" t="s">
        <v>123</v>
      </c>
      <c r="R9" t="s">
        <v>198</v>
      </c>
      <c r="S9" s="5" t="s">
        <v>125</v>
      </c>
      <c r="AQ9" t="s">
        <v>199</v>
      </c>
      <c r="AR9" t="s">
        <v>200</v>
      </c>
    </row>
    <row r="10" spans="2:44" x14ac:dyDescent="0.25">
      <c r="B10" s="13" t="s">
        <v>201</v>
      </c>
      <c r="C10" s="15">
        <v>241069.2</v>
      </c>
      <c r="D10" s="475" t="str">
        <f t="shared" ca="1" si="0"/>
        <v/>
      </c>
      <c r="G10" s="531" t="s">
        <v>104</v>
      </c>
      <c r="P10" t="s">
        <v>202</v>
      </c>
      <c r="Q10" s="5" t="s">
        <v>145</v>
      </c>
      <c r="R10" t="s">
        <v>203</v>
      </c>
      <c r="S10" s="5" t="s">
        <v>118</v>
      </c>
      <c r="AQ10" t="s">
        <v>204</v>
      </c>
      <c r="AR10" t="s">
        <v>205</v>
      </c>
    </row>
    <row r="11" spans="2:44" x14ac:dyDescent="0.25">
      <c r="B11" s="13" t="s">
        <v>206</v>
      </c>
      <c r="C11" s="16">
        <v>0.01</v>
      </c>
      <c r="D11" s="475" t="str">
        <f t="shared" ca="1" si="0"/>
        <v/>
      </c>
      <c r="G11" s="531" t="s">
        <v>105</v>
      </c>
      <c r="P11" t="s">
        <v>207</v>
      </c>
      <c r="Q11" s="5" t="s">
        <v>123</v>
      </c>
      <c r="AQ11" t="s">
        <v>208</v>
      </c>
      <c r="AR11" t="s">
        <v>209</v>
      </c>
    </row>
    <row r="12" spans="2:44" x14ac:dyDescent="0.25">
      <c r="B12" s="13" t="s">
        <v>210</v>
      </c>
      <c r="C12" s="15"/>
      <c r="G12" s="531" t="s">
        <v>106</v>
      </c>
      <c r="P12" t="s">
        <v>126</v>
      </c>
      <c r="Q12" s="5" t="s">
        <v>118</v>
      </c>
      <c r="AQ12" t="s">
        <v>211</v>
      </c>
      <c r="AR12" t="s">
        <v>212</v>
      </c>
    </row>
    <row r="13" spans="2:44" ht="13.8" thickBot="1" x14ac:dyDescent="0.3">
      <c r="B13" s="17" t="s">
        <v>213</v>
      </c>
      <c r="C13" s="18"/>
      <c r="G13" s="531" t="s">
        <v>107</v>
      </c>
      <c r="P13" t="s">
        <v>214</v>
      </c>
      <c r="Q13" s="5" t="s">
        <v>123</v>
      </c>
      <c r="AQ13" t="s">
        <v>215</v>
      </c>
      <c r="AR13" t="s">
        <v>216</v>
      </c>
    </row>
    <row r="14" spans="2:44" ht="13.8" thickBot="1" x14ac:dyDescent="0.3">
      <c r="C14" s="19"/>
      <c r="G14" s="531" t="s">
        <v>108</v>
      </c>
      <c r="AQ14" t="s">
        <v>217</v>
      </c>
      <c r="AR14" t="s">
        <v>218</v>
      </c>
    </row>
    <row r="15" spans="2:44" ht="15" thickBot="1" x14ac:dyDescent="0.3">
      <c r="B15" s="666" t="s">
        <v>219</v>
      </c>
      <c r="C15" s="666"/>
      <c r="D15" s="474" t="str">
        <f ca="1">IF(COUNTIF(D16:D19,"◄")=0,"","Falta preencher a linha "&amp;MATCH("◄",D16:D19,0)+ROW(D15))</f>
        <v/>
      </c>
      <c r="G15" s="531" t="s">
        <v>109</v>
      </c>
      <c r="AQ15" t="s">
        <v>220</v>
      </c>
      <c r="AR15" t="s">
        <v>221</v>
      </c>
    </row>
    <row r="16" spans="2:44" ht="26.4" x14ac:dyDescent="0.25">
      <c r="B16" s="20" t="s">
        <v>222</v>
      </c>
      <c r="C16" s="21" t="s">
        <v>961</v>
      </c>
      <c r="D16" s="475" t="str">
        <f t="shared" ref="D16:D19" ca="1" si="1">IF(OFFSET(D16,0,-1)="","◄","")</f>
        <v/>
      </c>
      <c r="G16" s="531" t="s">
        <v>110</v>
      </c>
      <c r="AQ16" t="s">
        <v>223</v>
      </c>
      <c r="AR16" t="s">
        <v>224</v>
      </c>
    </row>
    <row r="17" spans="2:44" ht="26.4" x14ac:dyDescent="0.25">
      <c r="B17" s="13" t="s">
        <v>225</v>
      </c>
      <c r="C17" s="22" t="s">
        <v>961</v>
      </c>
      <c r="D17" s="475" t="str">
        <f t="shared" ca="1" si="1"/>
        <v/>
      </c>
      <c r="G17" s="531" t="s">
        <v>111</v>
      </c>
      <c r="AQ17" t="s">
        <v>226</v>
      </c>
      <c r="AR17" t="s">
        <v>227</v>
      </c>
    </row>
    <row r="18" spans="2:44" x14ac:dyDescent="0.25">
      <c r="B18" s="13" t="s">
        <v>228</v>
      </c>
      <c r="C18" s="23" t="s">
        <v>229</v>
      </c>
      <c r="D18" s="475" t="str">
        <f ca="1">IF(OR(OFFSET(D18,0,-1)="",OFFSET(D18,0,-1)="(SELECIONAR)"),"◄","")</f>
        <v/>
      </c>
      <c r="G18" s="531" t="s">
        <v>112</v>
      </c>
      <c r="AQ18" t="s">
        <v>230</v>
      </c>
      <c r="AR18" t="s">
        <v>231</v>
      </c>
    </row>
    <row r="19" spans="2:44" ht="13.8" thickBot="1" x14ac:dyDescent="0.3">
      <c r="B19" s="24" t="s">
        <v>232</v>
      </c>
      <c r="C19" s="25">
        <v>46113</v>
      </c>
      <c r="D19" s="475" t="str">
        <f t="shared" ca="1" si="1"/>
        <v/>
      </c>
      <c r="G19" s="531" t="s">
        <v>113</v>
      </c>
      <c r="AQ19" t="s">
        <v>233</v>
      </c>
      <c r="AR19" t="s">
        <v>234</v>
      </c>
    </row>
    <row r="20" spans="2:44" ht="13.8" thickBot="1" x14ac:dyDescent="0.3">
      <c r="C20" s="26"/>
      <c r="G20" s="531"/>
      <c r="AQ20" t="s">
        <v>235</v>
      </c>
      <c r="AR20" t="s">
        <v>236</v>
      </c>
    </row>
    <row r="21" spans="2:44" ht="15" thickBot="1" x14ac:dyDescent="0.3">
      <c r="B21" s="666" t="s">
        <v>237</v>
      </c>
      <c r="C21" s="666"/>
      <c r="D21" s="474" t="str">
        <f ca="1">IF(COUNTIF(D22:D25,"◄")=0,"","Falta preencher a linha "&amp;MATCH("◄",D22:D25,0)+ROW(D21))</f>
        <v>Falta preencher a linha 24</v>
      </c>
      <c r="G21" s="531"/>
      <c r="AQ21" t="s">
        <v>238</v>
      </c>
      <c r="AR21" t="s">
        <v>239</v>
      </c>
    </row>
    <row r="22" spans="2:44" x14ac:dyDescent="0.25">
      <c r="B22" s="11" t="s">
        <v>240</v>
      </c>
      <c r="C22" s="27" t="s">
        <v>241</v>
      </c>
      <c r="D22" s="475" t="str">
        <f t="shared" ref="D22:D24" ca="1" si="2">IF(OFFSET(D22,0,-1)="","◄","")</f>
        <v/>
      </c>
      <c r="AQ22" t="s">
        <v>242</v>
      </c>
      <c r="AR22" t="s">
        <v>243</v>
      </c>
    </row>
    <row r="23" spans="2:44" x14ac:dyDescent="0.25">
      <c r="B23" s="13" t="s">
        <v>244</v>
      </c>
      <c r="C23" s="14" t="s">
        <v>245</v>
      </c>
      <c r="D23" s="475" t="str">
        <f t="shared" ca="1" si="2"/>
        <v/>
      </c>
      <c r="AQ23" t="s">
        <v>246</v>
      </c>
      <c r="AR23" t="s">
        <v>247</v>
      </c>
    </row>
    <row r="24" spans="2:44" x14ac:dyDescent="0.25">
      <c r="B24" s="13" t="s">
        <v>248</v>
      </c>
      <c r="C24" s="14"/>
      <c r="D24" s="475" t="str">
        <f t="shared" ca="1" si="2"/>
        <v>◄</v>
      </c>
      <c r="AQ24" t="s">
        <v>249</v>
      </c>
      <c r="AR24" t="s">
        <v>250</v>
      </c>
    </row>
    <row r="25" spans="2:44" ht="13.8" thickBot="1" x14ac:dyDescent="0.3">
      <c r="B25" s="17" t="s">
        <v>251</v>
      </c>
      <c r="C25" s="28">
        <v>46144</v>
      </c>
      <c r="D25" s="475" t="s">
        <v>252</v>
      </c>
      <c r="AQ25" t="s">
        <v>253</v>
      </c>
      <c r="AR25" t="s">
        <v>254</v>
      </c>
    </row>
    <row r="26" spans="2:44" ht="13.8" thickBot="1" x14ac:dyDescent="0.3">
      <c r="AQ26" t="s">
        <v>255</v>
      </c>
      <c r="AR26" t="s">
        <v>256</v>
      </c>
    </row>
    <row r="27" spans="2:44" ht="15" thickBot="1" x14ac:dyDescent="0.3">
      <c r="B27" s="666" t="s">
        <v>257</v>
      </c>
      <c r="C27" s="666"/>
      <c r="D27" s="474" t="str">
        <f ca="1">IF(COUNTIF(D28:D29,"◄")=0,"","Falta preencher a linha "&amp;MATCH("◄",D28:D29,0)+ROW(D27))</f>
        <v/>
      </c>
      <c r="AQ27" t="s">
        <v>258</v>
      </c>
      <c r="AR27" t="s">
        <v>259</v>
      </c>
    </row>
    <row r="28" spans="2:44" x14ac:dyDescent="0.25">
      <c r="B28" s="9" t="s">
        <v>240</v>
      </c>
      <c r="C28" s="29" t="s">
        <v>260</v>
      </c>
      <c r="D28" s="475" t="str">
        <f t="shared" ref="D28:D29" ca="1" si="3">IF(OFFSET(D28,0,-1)="","◄","")</f>
        <v/>
      </c>
      <c r="AQ28" t="s">
        <v>261</v>
      </c>
      <c r="AR28" t="s">
        <v>262</v>
      </c>
    </row>
    <row r="29" spans="2:44" ht="13.8" thickBot="1" x14ac:dyDescent="0.3">
      <c r="B29" s="17" t="s">
        <v>263</v>
      </c>
      <c r="C29" s="30" t="s">
        <v>264</v>
      </c>
      <c r="D29" s="475" t="str">
        <f t="shared" ca="1" si="3"/>
        <v/>
      </c>
      <c r="AQ29" t="s">
        <v>265</v>
      </c>
      <c r="AR29" t="s">
        <v>266</v>
      </c>
    </row>
    <row r="30" spans="2:44" ht="16.2" thickBot="1" x14ac:dyDescent="0.3">
      <c r="B30" s="6"/>
      <c r="AQ30" t="s">
        <v>267</v>
      </c>
      <c r="AR30" t="s">
        <v>266</v>
      </c>
    </row>
    <row r="31" spans="2:44" ht="13.8" thickBot="1" x14ac:dyDescent="0.3">
      <c r="B31" s="385" t="s">
        <v>268</v>
      </c>
      <c r="C31" s="386" t="s">
        <v>269</v>
      </c>
      <c r="D31" s="475" t="str">
        <f ca="1">IF(OFFSET(D31,0,-1)="","◄ Falta definir o método de arredondamento.","")</f>
        <v/>
      </c>
      <c r="AQ31" t="s">
        <v>270</v>
      </c>
      <c r="AR31" t="s">
        <v>271</v>
      </c>
    </row>
    <row r="32" spans="2:44" ht="12.75" customHeight="1" x14ac:dyDescent="0.25">
      <c r="B32" s="6"/>
      <c r="AQ32" t="s">
        <v>272</v>
      </c>
      <c r="AR32" t="s">
        <v>273</v>
      </c>
    </row>
    <row r="33" spans="2:44" ht="12.75" customHeight="1" x14ac:dyDescent="0.25">
      <c r="B33" s="6" t="s">
        <v>274</v>
      </c>
      <c r="AQ33" t="s">
        <v>275</v>
      </c>
      <c r="AR33" t="s">
        <v>276</v>
      </c>
    </row>
    <row r="34" spans="2:44" ht="16.2" thickBot="1" x14ac:dyDescent="0.3">
      <c r="B34" s="6"/>
      <c r="AQ34" t="s">
        <v>277</v>
      </c>
      <c r="AR34" t="s">
        <v>275</v>
      </c>
    </row>
    <row r="35" spans="2:44" ht="12.75" customHeight="1" thickBot="1" x14ac:dyDescent="0.3">
      <c r="B35" s="666" t="s">
        <v>278</v>
      </c>
      <c r="C35" s="666"/>
      <c r="D35" s="474" t="str">
        <f ca="1">IF(COUNTIF(D36:D39,"◄")=0,"","Falta preencher a linha "&amp;MATCH("◄",D36:D39,0)+ROW(D35))</f>
        <v/>
      </c>
      <c r="AQ35" t="s">
        <v>279</v>
      </c>
      <c r="AR35" t="s">
        <v>280</v>
      </c>
    </row>
    <row r="36" spans="2:44" x14ac:dyDescent="0.25">
      <c r="B36" s="9" t="s">
        <v>281</v>
      </c>
      <c r="C36" s="31"/>
      <c r="D36" s="475" t="str">
        <f ca="1">IF(AND(TIPOORCAMENTO="Licitado",OFFSET(D36,0,-1)=""),"◄","")</f>
        <v/>
      </c>
      <c r="AQ36" t="s">
        <v>282</v>
      </c>
      <c r="AR36" t="s">
        <v>283</v>
      </c>
    </row>
    <row r="37" spans="2:44" x14ac:dyDescent="0.25">
      <c r="B37" s="11" t="s">
        <v>284</v>
      </c>
      <c r="C37" s="12"/>
      <c r="D37" s="475" t="str">
        <f ca="1">IF(AND(TIPOORCAMENTO="Licitado",OFFSET(D37,0,-1)=""),"◄","")</f>
        <v/>
      </c>
      <c r="AQ37" t="s">
        <v>285</v>
      </c>
      <c r="AR37" t="s">
        <v>286</v>
      </c>
    </row>
    <row r="38" spans="2:44" x14ac:dyDescent="0.25">
      <c r="B38" s="13" t="s">
        <v>287</v>
      </c>
      <c r="C38" s="14"/>
      <c r="D38" s="475" t="str">
        <f ca="1">IF(AND(TIPOORCAMENTO="Licitado",OFFSET(D38,0,-1)=""),"◄","")</f>
        <v/>
      </c>
      <c r="AQ38" t="s">
        <v>288</v>
      </c>
      <c r="AR38" t="s">
        <v>289</v>
      </c>
    </row>
    <row r="39" spans="2:44" x14ac:dyDescent="0.25">
      <c r="B39" s="13" t="s">
        <v>290</v>
      </c>
      <c r="C39" s="14"/>
      <c r="D39" s="475" t="str">
        <f ca="1">IF(AND(TIPOORCAMENTO="Licitado",OFFSET(D39,0,-1)=""),"◄","")</f>
        <v/>
      </c>
      <c r="AQ39" t="s">
        <v>291</v>
      </c>
      <c r="AR39" t="s">
        <v>292</v>
      </c>
    </row>
    <row r="40" spans="2:44" x14ac:dyDescent="0.25">
      <c r="B40" s="13" t="s">
        <v>293</v>
      </c>
      <c r="C40" s="23" t="s">
        <v>294</v>
      </c>
      <c r="D40" s="475" t="str">
        <f ca="1">IF(AND(TIPOORCAMENTO="Licitado",OR(OFFSET(D40,0,-1)="",OFFSET(D40,0,-1)="(SELECIONAR)")),"◄","")</f>
        <v/>
      </c>
      <c r="AQ40" t="s">
        <v>295</v>
      </c>
      <c r="AR40" t="s">
        <v>296</v>
      </c>
    </row>
    <row r="41" spans="2:44" ht="13.8" thickBot="1" x14ac:dyDescent="0.3">
      <c r="B41" s="24" t="s">
        <v>297</v>
      </c>
      <c r="C41" s="32"/>
      <c r="D41" s="475" t="str">
        <f ca="1">IF(AND(TIPOORCAMENTO="Licitado",OFFSET(D41,0,-1)=""),"◄","")</f>
        <v/>
      </c>
      <c r="AQ41" t="s">
        <v>298</v>
      </c>
      <c r="AR41" t="s">
        <v>299</v>
      </c>
    </row>
    <row r="42" spans="2:44" ht="15.6" x14ac:dyDescent="0.25">
      <c r="B42" s="6"/>
      <c r="AQ42" t="s">
        <v>300</v>
      </c>
      <c r="AR42" t="s">
        <v>301</v>
      </c>
    </row>
    <row r="43" spans="2:44" ht="12.75" customHeight="1" x14ac:dyDescent="0.25">
      <c r="B43" s="6"/>
      <c r="AQ43" t="s">
        <v>302</v>
      </c>
      <c r="AR43" t="s">
        <v>303</v>
      </c>
    </row>
    <row r="44" spans="2:44" ht="12.75" customHeight="1" x14ac:dyDescent="0.25">
      <c r="B44" s="6" t="s">
        <v>304</v>
      </c>
      <c r="AQ44" t="s">
        <v>305</v>
      </c>
      <c r="AR44" t="s">
        <v>306</v>
      </c>
    </row>
    <row r="45" spans="2:44" ht="16.2" thickBot="1" x14ac:dyDescent="0.3">
      <c r="B45" s="6"/>
      <c r="AQ45" t="s">
        <v>307</v>
      </c>
      <c r="AR45" t="s">
        <v>308</v>
      </c>
    </row>
    <row r="46" spans="2:44" ht="12.75" customHeight="1" thickBot="1" x14ac:dyDescent="0.3">
      <c r="B46" s="666" t="s">
        <v>309</v>
      </c>
      <c r="C46" s="666"/>
      <c r="D46" s="474" t="str">
        <f ca="1">IF(COUNTIF(D47:D48,"◄")=0,"","Falta preencher a linha "&amp;MATCH("◄",D47:D48,0)+ROW(D46))</f>
        <v/>
      </c>
      <c r="AQ46" t="s">
        <v>310</v>
      </c>
      <c r="AR46" t="s">
        <v>311</v>
      </c>
    </row>
    <row r="47" spans="2:44" x14ac:dyDescent="0.25">
      <c r="B47" s="9" t="s">
        <v>312</v>
      </c>
      <c r="C47" s="31"/>
      <c r="D47" s="475" t="str">
        <f ca="1">IF(AND(TIPOORCAMENTO="Licitado",OFFSET(D47,0,-1)="",IFERROR(RRE!$O$28,0)&gt;0),"◄","")</f>
        <v/>
      </c>
      <c r="AQ47" t="s">
        <v>313</v>
      </c>
      <c r="AR47" t="s">
        <v>314</v>
      </c>
    </row>
    <row r="48" spans="2:44" ht="13.8" thickBot="1" x14ac:dyDescent="0.3">
      <c r="B48" s="24" t="s">
        <v>315</v>
      </c>
      <c r="C48" s="33"/>
      <c r="D48" s="475" t="str">
        <f ca="1">IF(AND(TIPOORCAMENTO="Licitado",OFFSET(D48,0,-1)="",IFERROR(RRE!$O$28,0)&gt;0),"◄","")</f>
        <v/>
      </c>
      <c r="AQ48" t="s">
        <v>316</v>
      </c>
      <c r="AR48" t="s">
        <v>317</v>
      </c>
    </row>
    <row r="49" spans="2:44" ht="16.2" thickBot="1" x14ac:dyDescent="0.3">
      <c r="B49" s="6"/>
      <c r="AQ49" t="s">
        <v>318</v>
      </c>
      <c r="AR49" t="s">
        <v>319</v>
      </c>
    </row>
    <row r="50" spans="2:44" ht="12.75" customHeight="1" thickBot="1" x14ac:dyDescent="0.3">
      <c r="B50" s="666" t="s">
        <v>320</v>
      </c>
      <c r="C50" s="666"/>
      <c r="D50" s="474" t="str">
        <f ca="1">IF(COUNTIF(D51:D54,"◄")=0,"","Falta preencher a linha "&amp;MATCH("◄",D51:D54,0)+ROW(D50))</f>
        <v/>
      </c>
      <c r="AQ50" t="s">
        <v>321</v>
      </c>
      <c r="AR50" t="s">
        <v>322</v>
      </c>
    </row>
    <row r="51" spans="2:44" x14ac:dyDescent="0.25">
      <c r="B51" s="9" t="s">
        <v>240</v>
      </c>
      <c r="C51" s="34"/>
      <c r="D51" s="475" t="str">
        <f ca="1">IF(AND(TIPOORCAMENTO="Licitado",OFFSET(D51,0,-1)="",IFERROR(RRE!$O$28,0)&gt;0),"◄","")</f>
        <v/>
      </c>
      <c r="AQ51" t="s">
        <v>323</v>
      </c>
      <c r="AR51" t="s">
        <v>324</v>
      </c>
    </row>
    <row r="52" spans="2:44" x14ac:dyDescent="0.25">
      <c r="B52" s="13" t="s">
        <v>325</v>
      </c>
      <c r="C52" s="14"/>
      <c r="D52" s="475" t="str">
        <f ca="1">IF(AND(TIPOORCAMENTO="Licitado",OFFSET(D52,0,-1)="",IFERROR(RRE!$O$28,0)&gt;0),"◄","")</f>
        <v/>
      </c>
      <c r="AQ52" t="s">
        <v>326</v>
      </c>
      <c r="AR52" t="s">
        <v>327</v>
      </c>
    </row>
    <row r="53" spans="2:44" x14ac:dyDescent="0.25">
      <c r="B53" s="13" t="s">
        <v>328</v>
      </c>
      <c r="C53" s="14"/>
      <c r="D53" s="475" t="str">
        <f ca="1">IF(AND(TIPOORCAMENTO="Licitado",OFFSET(D53,0,-1)="",IFERROR(RRE!$O$28,0)&gt;0),"◄","")</f>
        <v/>
      </c>
      <c r="AQ53" t="s">
        <v>329</v>
      </c>
      <c r="AR53" t="s">
        <v>330</v>
      </c>
    </row>
    <row r="54" spans="2:44" ht="13.8" thickBot="1" x14ac:dyDescent="0.3">
      <c r="B54" s="17" t="s">
        <v>331</v>
      </c>
      <c r="C54" s="35"/>
      <c r="D54" s="475" t="str">
        <f ca="1">IF(AND(TIPOORCAMENTO="Licitado",OFFSET(D54,0,-1)="",IFERROR(RRE!$O$28,0)&gt;0),"◄","")</f>
        <v/>
      </c>
      <c r="AQ54" t="s">
        <v>332</v>
      </c>
      <c r="AR54" t="s">
        <v>333</v>
      </c>
    </row>
    <row r="55" spans="2:44" x14ac:dyDescent="0.25">
      <c r="C55" s="26"/>
      <c r="AQ55" t="s">
        <v>334</v>
      </c>
      <c r="AR55" t="s">
        <v>335</v>
      </c>
    </row>
    <row r="56" spans="2:44" x14ac:dyDescent="0.25">
      <c r="AQ56" t="s">
        <v>336</v>
      </c>
      <c r="AR56" t="s">
        <v>337</v>
      </c>
    </row>
    <row r="57" spans="2:44" ht="15.6" x14ac:dyDescent="0.25">
      <c r="B57" s="6" t="s">
        <v>338</v>
      </c>
      <c r="AQ57" t="s">
        <v>339</v>
      </c>
      <c r="AR57" t="s">
        <v>340</v>
      </c>
    </row>
    <row r="58" spans="2:44" ht="16.2" thickBot="1" x14ac:dyDescent="0.3">
      <c r="B58" s="6"/>
      <c r="AQ58" t="s">
        <v>341</v>
      </c>
      <c r="AR58" t="s">
        <v>342</v>
      </c>
    </row>
    <row r="59" spans="2:44" ht="15" thickBot="1" x14ac:dyDescent="0.3">
      <c r="B59" s="666" t="s">
        <v>343</v>
      </c>
      <c r="C59" s="666"/>
      <c r="AQ59" t="s">
        <v>344</v>
      </c>
      <c r="AR59" t="s">
        <v>345</v>
      </c>
    </row>
    <row r="60" spans="2:44" x14ac:dyDescent="0.25">
      <c r="B60" s="9" t="s">
        <v>240</v>
      </c>
      <c r="C60" s="34"/>
      <c r="AQ60" t="s">
        <v>346</v>
      </c>
      <c r="AR60" t="s">
        <v>347</v>
      </c>
    </row>
    <row r="61" spans="2:44" ht="13.8" thickBot="1" x14ac:dyDescent="0.3">
      <c r="B61" s="24" t="s">
        <v>348</v>
      </c>
      <c r="C61" s="36"/>
      <c r="AQ61" t="s">
        <v>349</v>
      </c>
      <c r="AR61" t="s">
        <v>350</v>
      </c>
    </row>
    <row r="62" spans="2:44" x14ac:dyDescent="0.25">
      <c r="AQ62" t="s">
        <v>351</v>
      </c>
      <c r="AR62" t="s">
        <v>352</v>
      </c>
    </row>
    <row r="63" spans="2:44" x14ac:dyDescent="0.25">
      <c r="AQ63" t="s">
        <v>353</v>
      </c>
      <c r="AR63" t="s">
        <v>354</v>
      </c>
    </row>
    <row r="64" spans="2:44" x14ac:dyDescent="0.25">
      <c r="AQ64" t="s">
        <v>355</v>
      </c>
      <c r="AR64" t="s">
        <v>356</v>
      </c>
    </row>
    <row r="65" spans="43:44" x14ac:dyDescent="0.25">
      <c r="AQ65" t="s">
        <v>357</v>
      </c>
      <c r="AR65" t="s">
        <v>358</v>
      </c>
    </row>
    <row r="66" spans="43:44" x14ac:dyDescent="0.25">
      <c r="AQ66" t="s">
        <v>359</v>
      </c>
      <c r="AR66" t="s">
        <v>360</v>
      </c>
    </row>
    <row r="67" spans="43:44" x14ac:dyDescent="0.25">
      <c r="AQ67" t="s">
        <v>361</v>
      </c>
      <c r="AR67" t="s">
        <v>362</v>
      </c>
    </row>
    <row r="68" spans="43:44" x14ac:dyDescent="0.25">
      <c r="AQ68" t="s">
        <v>363</v>
      </c>
      <c r="AR68" t="s">
        <v>364</v>
      </c>
    </row>
    <row r="69" spans="43:44" x14ac:dyDescent="0.25">
      <c r="AQ69" t="s">
        <v>365</v>
      </c>
      <c r="AR69" t="s">
        <v>366</v>
      </c>
    </row>
    <row r="70" spans="43:44" x14ac:dyDescent="0.25">
      <c r="AQ70" t="s">
        <v>367</v>
      </c>
      <c r="AR70" t="s">
        <v>368</v>
      </c>
    </row>
    <row r="71" spans="43:44" x14ac:dyDescent="0.25">
      <c r="AQ71" t="s">
        <v>369</v>
      </c>
      <c r="AR71" t="s">
        <v>370</v>
      </c>
    </row>
    <row r="72" spans="43:44" x14ac:dyDescent="0.25">
      <c r="AQ72" t="s">
        <v>371</v>
      </c>
      <c r="AR72" t="s">
        <v>372</v>
      </c>
    </row>
    <row r="73" spans="43:44" x14ac:dyDescent="0.25">
      <c r="AQ73" t="s">
        <v>373</v>
      </c>
      <c r="AR73" t="s">
        <v>374</v>
      </c>
    </row>
    <row r="74" spans="43:44" x14ac:dyDescent="0.25">
      <c r="AQ74" t="s">
        <v>375</v>
      </c>
      <c r="AR74" t="s">
        <v>376</v>
      </c>
    </row>
    <row r="75" spans="43:44" x14ac:dyDescent="0.25">
      <c r="AQ75" t="s">
        <v>377</v>
      </c>
      <c r="AR75" t="s">
        <v>378</v>
      </c>
    </row>
    <row r="76" spans="43:44" x14ac:dyDescent="0.25">
      <c r="AQ76" t="s">
        <v>379</v>
      </c>
      <c r="AR76" t="s">
        <v>380</v>
      </c>
    </row>
    <row r="77" spans="43:44" x14ac:dyDescent="0.25">
      <c r="AQ77" t="s">
        <v>381</v>
      </c>
      <c r="AR77" t="s">
        <v>382</v>
      </c>
    </row>
    <row r="78" spans="43:44" x14ac:dyDescent="0.25">
      <c r="AQ78" t="s">
        <v>383</v>
      </c>
      <c r="AR78" t="s">
        <v>384</v>
      </c>
    </row>
    <row r="79" spans="43:44" x14ac:dyDescent="0.25">
      <c r="AQ79" t="s">
        <v>385</v>
      </c>
      <c r="AR79" t="s">
        <v>386</v>
      </c>
    </row>
    <row r="80" spans="43:44" x14ac:dyDescent="0.25">
      <c r="AQ80" t="s">
        <v>387</v>
      </c>
      <c r="AR80" t="s">
        <v>388</v>
      </c>
    </row>
    <row r="81" spans="43:44" x14ac:dyDescent="0.25">
      <c r="AQ81" t="s">
        <v>389</v>
      </c>
      <c r="AR81" t="s">
        <v>390</v>
      </c>
    </row>
    <row r="82" spans="43:44" x14ac:dyDescent="0.25">
      <c r="AQ82" t="s">
        <v>391</v>
      </c>
      <c r="AR82" t="s">
        <v>392</v>
      </c>
    </row>
    <row r="83" spans="43:44" x14ac:dyDescent="0.25">
      <c r="AQ83" t="s">
        <v>393</v>
      </c>
      <c r="AR83" t="s">
        <v>394</v>
      </c>
    </row>
    <row r="84" spans="43:44" x14ac:dyDescent="0.25">
      <c r="AQ84" t="s">
        <v>395</v>
      </c>
      <c r="AR84" t="s">
        <v>396</v>
      </c>
    </row>
    <row r="85" spans="43:44" x14ac:dyDescent="0.25">
      <c r="AQ85" t="s">
        <v>397</v>
      </c>
      <c r="AR85" t="s">
        <v>398</v>
      </c>
    </row>
    <row r="86" spans="43:44" x14ac:dyDescent="0.25">
      <c r="AQ86" t="s">
        <v>399</v>
      </c>
      <c r="AR86" t="s">
        <v>400</v>
      </c>
    </row>
    <row r="87" spans="43:44" x14ac:dyDescent="0.25">
      <c r="AQ87" t="s">
        <v>401</v>
      </c>
      <c r="AR87" t="s">
        <v>402</v>
      </c>
    </row>
    <row r="88" spans="43:44" x14ac:dyDescent="0.25">
      <c r="AQ88" t="s">
        <v>403</v>
      </c>
      <c r="AR88" t="s">
        <v>404</v>
      </c>
    </row>
    <row r="89" spans="43:44" x14ac:dyDescent="0.25">
      <c r="AQ89" t="s">
        <v>405</v>
      </c>
      <c r="AR89" t="s">
        <v>406</v>
      </c>
    </row>
    <row r="90" spans="43:44" x14ac:dyDescent="0.25">
      <c r="AQ90" t="s">
        <v>407</v>
      </c>
      <c r="AR90" t="s">
        <v>408</v>
      </c>
    </row>
    <row r="91" spans="43:44" x14ac:dyDescent="0.25">
      <c r="AQ91" t="s">
        <v>409</v>
      </c>
      <c r="AR91" t="s">
        <v>410</v>
      </c>
    </row>
    <row r="92" spans="43:44" x14ac:dyDescent="0.25">
      <c r="AQ92" t="s">
        <v>411</v>
      </c>
      <c r="AR92" t="s">
        <v>412</v>
      </c>
    </row>
    <row r="93" spans="43:44" x14ac:dyDescent="0.25">
      <c r="AQ93" t="s">
        <v>413</v>
      </c>
      <c r="AR93" t="s">
        <v>414</v>
      </c>
    </row>
    <row r="94" spans="43:44" x14ac:dyDescent="0.25">
      <c r="AQ94" t="s">
        <v>415</v>
      </c>
      <c r="AR94" t="s">
        <v>416</v>
      </c>
    </row>
    <row r="95" spans="43:44" x14ac:dyDescent="0.25">
      <c r="AQ95" t="s">
        <v>417</v>
      </c>
      <c r="AR95" t="s">
        <v>417</v>
      </c>
    </row>
    <row r="96" spans="43:44" x14ac:dyDescent="0.25">
      <c r="AQ96" t="s">
        <v>418</v>
      </c>
      <c r="AR96" t="s">
        <v>419</v>
      </c>
    </row>
    <row r="97" spans="43:44" x14ac:dyDescent="0.25">
      <c r="AQ97" t="s">
        <v>420</v>
      </c>
      <c r="AR97" t="s">
        <v>421</v>
      </c>
    </row>
    <row r="98" spans="43:44" x14ac:dyDescent="0.25">
      <c r="AQ98" t="s">
        <v>422</v>
      </c>
      <c r="AR98" t="s">
        <v>422</v>
      </c>
    </row>
    <row r="99" spans="43:44" x14ac:dyDescent="0.25">
      <c r="AQ99" t="s">
        <v>423</v>
      </c>
      <c r="AR99" t="s">
        <v>423</v>
      </c>
    </row>
    <row r="100" spans="43:44" x14ac:dyDescent="0.25">
      <c r="AQ100" t="s">
        <v>423</v>
      </c>
      <c r="AR100" t="s">
        <v>423</v>
      </c>
    </row>
    <row r="101" spans="43:44" x14ac:dyDescent="0.25">
      <c r="AQ101" t="s">
        <v>424</v>
      </c>
      <c r="AR101" t="s">
        <v>425</v>
      </c>
    </row>
    <row r="102" spans="43:44" x14ac:dyDescent="0.25">
      <c r="AQ102" t="s">
        <v>426</v>
      </c>
      <c r="AR102" t="s">
        <v>427</v>
      </c>
    </row>
    <row r="103" spans="43:44" x14ac:dyDescent="0.25">
      <c r="AQ103" t="s">
        <v>428</v>
      </c>
      <c r="AR103" t="s">
        <v>429</v>
      </c>
    </row>
    <row r="104" spans="43:44" x14ac:dyDescent="0.25">
      <c r="AQ104" t="s">
        <v>430</v>
      </c>
      <c r="AR104" t="s">
        <v>431</v>
      </c>
    </row>
    <row r="105" spans="43:44" x14ac:dyDescent="0.25">
      <c r="AQ105" t="s">
        <v>432</v>
      </c>
      <c r="AR105" t="s">
        <v>433</v>
      </c>
    </row>
    <row r="106" spans="43:44" x14ac:dyDescent="0.25">
      <c r="AQ106" t="s">
        <v>434</v>
      </c>
      <c r="AR106" t="s">
        <v>435</v>
      </c>
    </row>
    <row r="107" spans="43:44" x14ac:dyDescent="0.25">
      <c r="AQ107" t="s">
        <v>436</v>
      </c>
      <c r="AR107" t="s">
        <v>437</v>
      </c>
    </row>
    <row r="108" spans="43:44" x14ac:dyDescent="0.25">
      <c r="AQ108" t="s">
        <v>438</v>
      </c>
      <c r="AR108" t="s">
        <v>439</v>
      </c>
    </row>
    <row r="109" spans="43:44" x14ac:dyDescent="0.25">
      <c r="AQ109" t="s">
        <v>440</v>
      </c>
      <c r="AR109" t="s">
        <v>441</v>
      </c>
    </row>
    <row r="110" spans="43:44" x14ac:dyDescent="0.25">
      <c r="AQ110" t="s">
        <v>442</v>
      </c>
      <c r="AR110" t="s">
        <v>443</v>
      </c>
    </row>
    <row r="111" spans="43:44" x14ac:dyDescent="0.25">
      <c r="AQ111" t="s">
        <v>444</v>
      </c>
      <c r="AR111" t="s">
        <v>445</v>
      </c>
    </row>
    <row r="112" spans="43:44" x14ac:dyDescent="0.25">
      <c r="AQ112" t="s">
        <v>446</v>
      </c>
      <c r="AR112" t="s">
        <v>447</v>
      </c>
    </row>
    <row r="113" spans="43:44" x14ac:dyDescent="0.25">
      <c r="AQ113" t="s">
        <v>448</v>
      </c>
      <c r="AR113" t="s">
        <v>449</v>
      </c>
    </row>
    <row r="114" spans="43:44" x14ac:dyDescent="0.25">
      <c r="AQ114" t="s">
        <v>450</v>
      </c>
      <c r="AR114" t="s">
        <v>451</v>
      </c>
    </row>
    <row r="115" spans="43:44" x14ac:dyDescent="0.25">
      <c r="AQ115" t="s">
        <v>452</v>
      </c>
      <c r="AR115" t="s">
        <v>453</v>
      </c>
    </row>
    <row r="116" spans="43:44" x14ac:dyDescent="0.25">
      <c r="AQ116" t="s">
        <v>454</v>
      </c>
      <c r="AR116" t="s">
        <v>455</v>
      </c>
    </row>
    <row r="117" spans="43:44" x14ac:dyDescent="0.25">
      <c r="AQ117" t="s">
        <v>456</v>
      </c>
      <c r="AR117" t="s">
        <v>457</v>
      </c>
    </row>
    <row r="118" spans="43:44" x14ac:dyDescent="0.25">
      <c r="AQ118" t="s">
        <v>458</v>
      </c>
      <c r="AR118" t="s">
        <v>459</v>
      </c>
    </row>
    <row r="119" spans="43:44" x14ac:dyDescent="0.25">
      <c r="AQ119" t="s">
        <v>460</v>
      </c>
      <c r="AR119" t="s">
        <v>460</v>
      </c>
    </row>
    <row r="120" spans="43:44" x14ac:dyDescent="0.25">
      <c r="AQ120" t="s">
        <v>461</v>
      </c>
      <c r="AR120" t="s">
        <v>461</v>
      </c>
    </row>
    <row r="121" spans="43:44" x14ac:dyDescent="0.25">
      <c r="AQ121" t="s">
        <v>462</v>
      </c>
      <c r="AR121" t="s">
        <v>463</v>
      </c>
    </row>
    <row r="122" spans="43:44" x14ac:dyDescent="0.25">
      <c r="AQ122" t="s">
        <v>464</v>
      </c>
      <c r="AR122" t="s">
        <v>465</v>
      </c>
    </row>
    <row r="123" spans="43:44" x14ac:dyDescent="0.25">
      <c r="AQ123" t="s">
        <v>466</v>
      </c>
      <c r="AR123" t="s">
        <v>467</v>
      </c>
    </row>
    <row r="124" spans="43:44" x14ac:dyDescent="0.25">
      <c r="AQ124" t="s">
        <v>468</v>
      </c>
      <c r="AR124" t="s">
        <v>469</v>
      </c>
    </row>
    <row r="125" spans="43:44" x14ac:dyDescent="0.25">
      <c r="AQ125" t="s">
        <v>470</v>
      </c>
      <c r="AR125" t="s">
        <v>471</v>
      </c>
    </row>
    <row r="126" spans="43:44" x14ac:dyDescent="0.25">
      <c r="AQ126" t="s">
        <v>472</v>
      </c>
      <c r="AR126" t="s">
        <v>473</v>
      </c>
    </row>
    <row r="127" spans="43:44" x14ac:dyDescent="0.25">
      <c r="AQ127" t="s">
        <v>474</v>
      </c>
      <c r="AR127" t="s">
        <v>475</v>
      </c>
    </row>
    <row r="128" spans="43:44" x14ac:dyDescent="0.25">
      <c r="AQ128" t="s">
        <v>476</v>
      </c>
      <c r="AR128" t="s">
        <v>477</v>
      </c>
    </row>
    <row r="129" spans="43:44" x14ac:dyDescent="0.25">
      <c r="AQ129" t="s">
        <v>478</v>
      </c>
      <c r="AR129" t="s">
        <v>479</v>
      </c>
    </row>
    <row r="130" spans="43:44" x14ac:dyDescent="0.25">
      <c r="AQ130" t="s">
        <v>480</v>
      </c>
      <c r="AR130" t="s">
        <v>481</v>
      </c>
    </row>
    <row r="131" spans="43:44" x14ac:dyDescent="0.25">
      <c r="AQ131" t="s">
        <v>482</v>
      </c>
      <c r="AR131" t="s">
        <v>483</v>
      </c>
    </row>
    <row r="132" spans="43:44" x14ac:dyDescent="0.25">
      <c r="AQ132" t="s">
        <v>484</v>
      </c>
      <c r="AR132" t="s">
        <v>485</v>
      </c>
    </row>
    <row r="133" spans="43:44" x14ac:dyDescent="0.25">
      <c r="AQ133" t="s">
        <v>486</v>
      </c>
      <c r="AR133" t="s">
        <v>487</v>
      </c>
    </row>
    <row r="134" spans="43:44" x14ac:dyDescent="0.25">
      <c r="AQ134" t="s">
        <v>488</v>
      </c>
      <c r="AR134" t="s">
        <v>489</v>
      </c>
    </row>
    <row r="135" spans="43:44" x14ac:dyDescent="0.25">
      <c r="AQ135" t="s">
        <v>490</v>
      </c>
      <c r="AR135" t="s">
        <v>491</v>
      </c>
    </row>
    <row r="136" spans="43:44" x14ac:dyDescent="0.25">
      <c r="AQ136" t="s">
        <v>492</v>
      </c>
      <c r="AR136" t="s">
        <v>493</v>
      </c>
    </row>
    <row r="137" spans="43:44" x14ac:dyDescent="0.25">
      <c r="AQ137" t="s">
        <v>494</v>
      </c>
      <c r="AR137" t="s">
        <v>495</v>
      </c>
    </row>
    <row r="138" spans="43:44" x14ac:dyDescent="0.25">
      <c r="AQ138" t="s">
        <v>496</v>
      </c>
      <c r="AR138" t="s">
        <v>497</v>
      </c>
    </row>
    <row r="139" spans="43:44" x14ac:dyDescent="0.25">
      <c r="AQ139" t="s">
        <v>498</v>
      </c>
      <c r="AR139" t="s">
        <v>499</v>
      </c>
    </row>
    <row r="140" spans="43:44" x14ac:dyDescent="0.25">
      <c r="AQ140" t="s">
        <v>500</v>
      </c>
      <c r="AR140" t="s">
        <v>501</v>
      </c>
    </row>
    <row r="141" spans="43:44" x14ac:dyDescent="0.25">
      <c r="AQ141" t="s">
        <v>502</v>
      </c>
      <c r="AR141" t="s">
        <v>503</v>
      </c>
    </row>
    <row r="142" spans="43:44" x14ac:dyDescent="0.25">
      <c r="AQ142" t="s">
        <v>504</v>
      </c>
      <c r="AR142" t="s">
        <v>505</v>
      </c>
    </row>
    <row r="143" spans="43:44" x14ac:dyDescent="0.25">
      <c r="AQ143" t="s">
        <v>489</v>
      </c>
      <c r="AR143" t="s">
        <v>489</v>
      </c>
    </row>
    <row r="144" spans="43:44" x14ac:dyDescent="0.25">
      <c r="AQ144" t="s">
        <v>506</v>
      </c>
      <c r="AR144" t="s">
        <v>506</v>
      </c>
    </row>
    <row r="145" spans="43:44" x14ac:dyDescent="0.25">
      <c r="AQ145" t="s">
        <v>507</v>
      </c>
      <c r="AR145" t="s">
        <v>507</v>
      </c>
    </row>
    <row r="146" spans="43:44" x14ac:dyDescent="0.25">
      <c r="AQ146" t="s">
        <v>508</v>
      </c>
      <c r="AR146" t="s">
        <v>493</v>
      </c>
    </row>
    <row r="147" spans="43:44" x14ac:dyDescent="0.25">
      <c r="AQ147" t="s">
        <v>509</v>
      </c>
      <c r="AR147" t="s">
        <v>510</v>
      </c>
    </row>
    <row r="148" spans="43:44" x14ac:dyDescent="0.25">
      <c r="AQ148" t="s">
        <v>511</v>
      </c>
      <c r="AR148" t="s">
        <v>512</v>
      </c>
    </row>
    <row r="149" spans="43:44" x14ac:dyDescent="0.25">
      <c r="AQ149" t="s">
        <v>513</v>
      </c>
      <c r="AR149" t="s">
        <v>514</v>
      </c>
    </row>
    <row r="150" spans="43:44" x14ac:dyDescent="0.25">
      <c r="AQ150" t="s">
        <v>513</v>
      </c>
      <c r="AR150" t="s">
        <v>514</v>
      </c>
    </row>
    <row r="151" spans="43:44" x14ac:dyDescent="0.25">
      <c r="AQ151" t="s">
        <v>515</v>
      </c>
      <c r="AR151" t="s">
        <v>515</v>
      </c>
    </row>
    <row r="152" spans="43:44" x14ac:dyDescent="0.25">
      <c r="AQ152" t="s">
        <v>516</v>
      </c>
      <c r="AR152" t="s">
        <v>517</v>
      </c>
    </row>
    <row r="153" spans="43:44" x14ac:dyDescent="0.25">
      <c r="AQ153" t="s">
        <v>518</v>
      </c>
      <c r="AR153" t="s">
        <v>519</v>
      </c>
    </row>
    <row r="154" spans="43:44" x14ac:dyDescent="0.25">
      <c r="AQ154" t="s">
        <v>520</v>
      </c>
      <c r="AR154" t="s">
        <v>521</v>
      </c>
    </row>
    <row r="155" spans="43:44" x14ac:dyDescent="0.25">
      <c r="AQ155" t="s">
        <v>522</v>
      </c>
      <c r="AR155" t="s">
        <v>523</v>
      </c>
    </row>
    <row r="156" spans="43:44" x14ac:dyDescent="0.25">
      <c r="AQ156" t="s">
        <v>524</v>
      </c>
      <c r="AR156" t="s">
        <v>525</v>
      </c>
    </row>
    <row r="157" spans="43:44" x14ac:dyDescent="0.25">
      <c r="AQ157" t="s">
        <v>526</v>
      </c>
      <c r="AR157" t="s">
        <v>527</v>
      </c>
    </row>
    <row r="158" spans="43:44" x14ac:dyDescent="0.25">
      <c r="AQ158" t="s">
        <v>528</v>
      </c>
      <c r="AR158" t="s">
        <v>529</v>
      </c>
    </row>
    <row r="159" spans="43:44" x14ac:dyDescent="0.25">
      <c r="AQ159" t="s">
        <v>530</v>
      </c>
      <c r="AR159" t="s">
        <v>531</v>
      </c>
    </row>
    <row r="160" spans="43:44" x14ac:dyDescent="0.25">
      <c r="AQ160" t="s">
        <v>532</v>
      </c>
      <c r="AR160" t="s">
        <v>533</v>
      </c>
    </row>
    <row r="161" spans="43:44" x14ac:dyDescent="0.25">
      <c r="AQ161" t="s">
        <v>534</v>
      </c>
      <c r="AR161" t="s">
        <v>535</v>
      </c>
    </row>
    <row r="162" spans="43:44" x14ac:dyDescent="0.25">
      <c r="AQ162" t="s">
        <v>536</v>
      </c>
      <c r="AR162" t="s">
        <v>537</v>
      </c>
    </row>
    <row r="163" spans="43:44" x14ac:dyDescent="0.25">
      <c r="AQ163" t="s">
        <v>538</v>
      </c>
      <c r="AR163" t="s">
        <v>539</v>
      </c>
    </row>
    <row r="164" spans="43:44" x14ac:dyDescent="0.25">
      <c r="AQ164" t="s">
        <v>540</v>
      </c>
      <c r="AR164" t="s">
        <v>541</v>
      </c>
    </row>
    <row r="165" spans="43:44" x14ac:dyDescent="0.25">
      <c r="AQ165" t="s">
        <v>542</v>
      </c>
      <c r="AR165" t="s">
        <v>543</v>
      </c>
    </row>
    <row r="166" spans="43:44" x14ac:dyDescent="0.25">
      <c r="AQ166" t="s">
        <v>544</v>
      </c>
      <c r="AR166" t="s">
        <v>544</v>
      </c>
    </row>
    <row r="167" spans="43:44" x14ac:dyDescent="0.25">
      <c r="AQ167" t="s">
        <v>545</v>
      </c>
      <c r="AR167" t="s">
        <v>546</v>
      </c>
    </row>
    <row r="168" spans="43:44" x14ac:dyDescent="0.25">
      <c r="AQ168" t="s">
        <v>547</v>
      </c>
      <c r="AR168" t="s">
        <v>548</v>
      </c>
    </row>
    <row r="169" spans="43:44" x14ac:dyDescent="0.25">
      <c r="AQ169" t="s">
        <v>549</v>
      </c>
      <c r="AR169" t="s">
        <v>550</v>
      </c>
    </row>
    <row r="170" spans="43:44" x14ac:dyDescent="0.25">
      <c r="AQ170" t="s">
        <v>551</v>
      </c>
      <c r="AR170" t="s">
        <v>552</v>
      </c>
    </row>
    <row r="171" spans="43:44" x14ac:dyDescent="0.25">
      <c r="AQ171" t="s">
        <v>553</v>
      </c>
      <c r="AR171" t="s">
        <v>554</v>
      </c>
    </row>
    <row r="172" spans="43:44" x14ac:dyDescent="0.25">
      <c r="AQ172" t="s">
        <v>555</v>
      </c>
      <c r="AR172" t="s">
        <v>556</v>
      </c>
    </row>
    <row r="173" spans="43:44" x14ac:dyDescent="0.25">
      <c r="AQ173" t="s">
        <v>557</v>
      </c>
      <c r="AR173" t="s">
        <v>558</v>
      </c>
    </row>
    <row r="174" spans="43:44" x14ac:dyDescent="0.25">
      <c r="AQ174" t="s">
        <v>559</v>
      </c>
      <c r="AR174" t="s">
        <v>560</v>
      </c>
    </row>
    <row r="175" spans="43:44" x14ac:dyDescent="0.25">
      <c r="AQ175" t="s">
        <v>561</v>
      </c>
      <c r="AR175" t="s">
        <v>562</v>
      </c>
    </row>
    <row r="176" spans="43:44" x14ac:dyDescent="0.25">
      <c r="AQ176" t="s">
        <v>563</v>
      </c>
      <c r="AR176" t="s">
        <v>564</v>
      </c>
    </row>
    <row r="177" spans="43:44" x14ac:dyDescent="0.25">
      <c r="AQ177" t="s">
        <v>565</v>
      </c>
      <c r="AR177" t="s">
        <v>566</v>
      </c>
    </row>
    <row r="178" spans="43:44" x14ac:dyDescent="0.25">
      <c r="AQ178" t="s">
        <v>567</v>
      </c>
      <c r="AR178" t="s">
        <v>568</v>
      </c>
    </row>
    <row r="179" spans="43:44" x14ac:dyDescent="0.25">
      <c r="AQ179" t="s">
        <v>569</v>
      </c>
      <c r="AR179" t="s">
        <v>570</v>
      </c>
    </row>
    <row r="180" spans="43:44" x14ac:dyDescent="0.25">
      <c r="AQ180" t="s">
        <v>571</v>
      </c>
      <c r="AR180" t="s">
        <v>572</v>
      </c>
    </row>
    <row r="181" spans="43:44" x14ac:dyDescent="0.25">
      <c r="AQ181" t="s">
        <v>573</v>
      </c>
      <c r="AR181" t="s">
        <v>574</v>
      </c>
    </row>
    <row r="182" spans="43:44" x14ac:dyDescent="0.25">
      <c r="AQ182" t="s">
        <v>575</v>
      </c>
      <c r="AR182" t="s">
        <v>576</v>
      </c>
    </row>
    <row r="183" spans="43:44" x14ac:dyDescent="0.25">
      <c r="AQ183" t="s">
        <v>577</v>
      </c>
      <c r="AR183" t="s">
        <v>578</v>
      </c>
    </row>
    <row r="184" spans="43:44" x14ac:dyDescent="0.25">
      <c r="AQ184" t="s">
        <v>579</v>
      </c>
      <c r="AR184" t="s">
        <v>580</v>
      </c>
    </row>
    <row r="185" spans="43:44" x14ac:dyDescent="0.25">
      <c r="AQ185" t="s">
        <v>581</v>
      </c>
      <c r="AR185" t="s">
        <v>582</v>
      </c>
    </row>
    <row r="186" spans="43:44" x14ac:dyDescent="0.25">
      <c r="AQ186" t="s">
        <v>583</v>
      </c>
      <c r="AR186" t="s">
        <v>584</v>
      </c>
    </row>
    <row r="187" spans="43:44" x14ac:dyDescent="0.25">
      <c r="AQ187" t="s">
        <v>585</v>
      </c>
      <c r="AR187" t="s">
        <v>586</v>
      </c>
    </row>
    <row r="188" spans="43:44" x14ac:dyDescent="0.25">
      <c r="AQ188" t="s">
        <v>587</v>
      </c>
      <c r="AR188" t="s">
        <v>588</v>
      </c>
    </row>
    <row r="189" spans="43:44" x14ac:dyDescent="0.25">
      <c r="AQ189" t="s">
        <v>589</v>
      </c>
      <c r="AR189" t="s">
        <v>590</v>
      </c>
    </row>
    <row r="190" spans="43:44" x14ac:dyDescent="0.25">
      <c r="AQ190" t="s">
        <v>591</v>
      </c>
      <c r="AR190" t="s">
        <v>592</v>
      </c>
    </row>
    <row r="191" spans="43:44" x14ac:dyDescent="0.25">
      <c r="AQ191" t="s">
        <v>593</v>
      </c>
      <c r="AR191" t="s">
        <v>594</v>
      </c>
    </row>
    <row r="192" spans="43:44" x14ac:dyDescent="0.25">
      <c r="AQ192" t="s">
        <v>595</v>
      </c>
      <c r="AR192" t="s">
        <v>596</v>
      </c>
    </row>
    <row r="193" spans="43:44" x14ac:dyDescent="0.25">
      <c r="AQ193" t="s">
        <v>597</v>
      </c>
      <c r="AR193" t="s">
        <v>598</v>
      </c>
    </row>
    <row r="194" spans="43:44" x14ac:dyDescent="0.25">
      <c r="AQ194" t="s">
        <v>599</v>
      </c>
      <c r="AR194" t="s">
        <v>600</v>
      </c>
    </row>
    <row r="195" spans="43:44" x14ac:dyDescent="0.25">
      <c r="AQ195" t="s">
        <v>601</v>
      </c>
      <c r="AR195" t="s">
        <v>602</v>
      </c>
    </row>
    <row r="196" spans="43:44" x14ac:dyDescent="0.25">
      <c r="AQ196" t="s">
        <v>603</v>
      </c>
      <c r="AR196" t="s">
        <v>604</v>
      </c>
    </row>
    <row r="197" spans="43:44" x14ac:dyDescent="0.25">
      <c r="AQ197" t="s">
        <v>605</v>
      </c>
      <c r="AR197" t="s">
        <v>606</v>
      </c>
    </row>
    <row r="198" spans="43:44" x14ac:dyDescent="0.25">
      <c r="AQ198" t="s">
        <v>607</v>
      </c>
      <c r="AR198" t="s">
        <v>608</v>
      </c>
    </row>
    <row r="199" spans="43:44" x14ac:dyDescent="0.25">
      <c r="AQ199" t="s">
        <v>609</v>
      </c>
      <c r="AR199" t="s">
        <v>610</v>
      </c>
    </row>
    <row r="200" spans="43:44" x14ac:dyDescent="0.25">
      <c r="AQ200" t="s">
        <v>611</v>
      </c>
      <c r="AR200" t="s">
        <v>612</v>
      </c>
    </row>
    <row r="201" spans="43:44" x14ac:dyDescent="0.25">
      <c r="AQ201" t="s">
        <v>613</v>
      </c>
      <c r="AR201" t="s">
        <v>614</v>
      </c>
    </row>
    <row r="202" spans="43:44" x14ac:dyDescent="0.25">
      <c r="AQ202" t="s">
        <v>615</v>
      </c>
      <c r="AR202" t="s">
        <v>616</v>
      </c>
    </row>
    <row r="203" spans="43:44" x14ac:dyDescent="0.25">
      <c r="AQ203" t="s">
        <v>617</v>
      </c>
      <c r="AR203" t="s">
        <v>618</v>
      </c>
    </row>
    <row r="204" spans="43:44" x14ac:dyDescent="0.25">
      <c r="AQ204" t="s">
        <v>619</v>
      </c>
      <c r="AR204" t="s">
        <v>620</v>
      </c>
    </row>
    <row r="205" spans="43:44" x14ac:dyDescent="0.25">
      <c r="AQ205" t="s">
        <v>621</v>
      </c>
      <c r="AR205" t="s">
        <v>622</v>
      </c>
    </row>
    <row r="206" spans="43:44" x14ac:dyDescent="0.25">
      <c r="AQ206" t="s">
        <v>623</v>
      </c>
      <c r="AR206" t="s">
        <v>624</v>
      </c>
    </row>
    <row r="207" spans="43:44" x14ac:dyDescent="0.25">
      <c r="AQ207" t="s">
        <v>625</v>
      </c>
      <c r="AR207" t="s">
        <v>626</v>
      </c>
    </row>
    <row r="208" spans="43:44" x14ac:dyDescent="0.25">
      <c r="AQ208" t="s">
        <v>627</v>
      </c>
      <c r="AR208" t="s">
        <v>628</v>
      </c>
    </row>
    <row r="209" spans="43:44" x14ac:dyDescent="0.25">
      <c r="AQ209" t="s">
        <v>629</v>
      </c>
      <c r="AR209" t="s">
        <v>630</v>
      </c>
    </row>
    <row r="210" spans="43:44" x14ac:dyDescent="0.25">
      <c r="AQ210" t="s">
        <v>631</v>
      </c>
      <c r="AR210" t="s">
        <v>632</v>
      </c>
    </row>
    <row r="211" spans="43:44" x14ac:dyDescent="0.25">
      <c r="AQ211" t="s">
        <v>633</v>
      </c>
      <c r="AR211" t="s">
        <v>633</v>
      </c>
    </row>
    <row r="212" spans="43:44" x14ac:dyDescent="0.25">
      <c r="AQ212" t="s">
        <v>634</v>
      </c>
      <c r="AR212" t="s">
        <v>634</v>
      </c>
    </row>
    <row r="213" spans="43:44" x14ac:dyDescent="0.25">
      <c r="AQ213" t="s">
        <v>635</v>
      </c>
      <c r="AR213" t="s">
        <v>636</v>
      </c>
    </row>
    <row r="214" spans="43:44" x14ac:dyDescent="0.25">
      <c r="AQ214" t="s">
        <v>637</v>
      </c>
      <c r="AR214" t="s">
        <v>636</v>
      </c>
    </row>
    <row r="215" spans="43:44" x14ac:dyDescent="0.25">
      <c r="AQ215" t="s">
        <v>638</v>
      </c>
      <c r="AR215" t="s">
        <v>638</v>
      </c>
    </row>
    <row r="216" spans="43:44" x14ac:dyDescent="0.25">
      <c r="AQ216" t="s">
        <v>639</v>
      </c>
      <c r="AR216" t="s">
        <v>639</v>
      </c>
    </row>
    <row r="217" spans="43:44" x14ac:dyDescent="0.25">
      <c r="AQ217" t="s">
        <v>640</v>
      </c>
      <c r="AR217" t="s">
        <v>641</v>
      </c>
    </row>
    <row r="218" spans="43:44" x14ac:dyDescent="0.25">
      <c r="AQ218" t="s">
        <v>642</v>
      </c>
      <c r="AR218" t="s">
        <v>643</v>
      </c>
    </row>
    <row r="219" spans="43:44" x14ac:dyDescent="0.25">
      <c r="AQ219" t="s">
        <v>644</v>
      </c>
      <c r="AR219" t="s">
        <v>644</v>
      </c>
    </row>
    <row r="220" spans="43:44" x14ac:dyDescent="0.25">
      <c r="AQ220" t="s">
        <v>645</v>
      </c>
      <c r="AR220" t="s">
        <v>646</v>
      </c>
    </row>
    <row r="222" spans="43:44" x14ac:dyDescent="0.25">
      <c r="AQ222" s="429"/>
      <c r="AR222" s="62"/>
    </row>
  </sheetData>
  <sheetProtection algorithmName="SHA-512" hashValue="T7mD8uKMVJffjh0Uik7dD7XtYbwN6/0k9Hd38LMWsL5+qDRb7IFl2lnp4dcs9rbyhxNxw/aqSDimuMsWB4gF8g==" saltValue="r1fJGHRa9nGcl7LgHyaRlQ=="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485" priority="2" stopIfTrue="1">
      <formula>CAIXA.Modo=FALSE</formula>
    </cfRule>
  </conditionalFormatting>
  <conditionalFormatting sqref="B59:C61">
    <cfRule type="expression" dxfId="484"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200-000000000000}">
      <formula1>36526</formula1>
      <formula2>72686</formula2>
    </dataValidation>
    <dataValidation type="list" allowBlank="1" showErrorMessage="1" sqref="C18" xr:uid="{00000000-0002-0000-02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200-000002000000}">
      <formula1>0</formula1>
      <formula2>1</formula2>
    </dataValidation>
    <dataValidation type="list" allowBlank="1" showErrorMessage="1" sqref="C4" xr:uid="{00000000-0002-0000-0200-000003000000}">
      <formula1>"(SELECIONAR),OGU,FGTS"</formula1>
      <formula2>0</formula2>
    </dataValidation>
    <dataValidation type="decimal" operator="greaterThan" allowBlank="1" showErrorMessage="1" error="Digite um valor maior do que 0." sqref="C12" xr:uid="{00000000-0002-0000-0200-000004000000}">
      <formula1>0</formula1>
      <formula2>0</formula2>
    </dataValidation>
    <dataValidation type="list" allowBlank="1" showErrorMessage="1" sqref="C40" xr:uid="{00000000-0002-0000-02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200-000006000000}">
      <formula1>"Tradicional,TransfereGOV"</formula1>
    </dataValidation>
  </dataValidations>
  <pageMargins left="0.78740157480314998" right="0.78740157480314998" top="0.78740157480314998" bottom="0.78740157480314998" header="5.7086614173228396" footer="0.59055118110236204"/>
  <pageSetup paperSize="9" scale="46" firstPageNumber="0" fitToHeight="0" orientation="portrait" r:id="rId1"/>
  <headerFooter alignWithMargins="0">
    <oddHeader>&amp;L_</oddHeader>
    <oddFooter>&amp;LPMv3.08&amp;R&amp;P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activeCell="S61" sqref="S61:S66"/>
    </sheetView>
  </sheetViews>
  <sheetFormatPr defaultRowHeight="13.2" x14ac:dyDescent="0.25"/>
  <cols>
    <col min="1" max="4" width="5.6640625" style="45" hidden="1" customWidth="1"/>
    <col min="5" max="5" width="11.33203125" style="45" hidden="1" customWidth="1"/>
    <col min="6" max="6" width="11.44140625" style="45" hidden="1" customWidth="1"/>
    <col min="7" max="7" width="11.88671875" style="45" hidden="1" customWidth="1"/>
    <col min="8" max="8" width="10.6640625" customWidth="1"/>
    <col min="9" max="9" width="3.6640625" customWidth="1"/>
    <col min="10" max="15" width="10.6640625" style="45" customWidth="1"/>
    <col min="16" max="16" width="12.88671875" style="45" customWidth="1"/>
    <col min="17" max="19" width="10.6640625" style="45" customWidth="1"/>
  </cols>
  <sheetData>
    <row r="1" spans="1:21" ht="15.6" x14ac:dyDescent="0.3">
      <c r="E1" s="46" t="s">
        <v>647</v>
      </c>
      <c r="F1" s="46" t="s">
        <v>648</v>
      </c>
      <c r="G1" s="46" t="s">
        <v>649</v>
      </c>
      <c r="O1" s="47" t="str">
        <f>"Quadro de Composição do BDI"</f>
        <v>Quadro de Composição do BDI</v>
      </c>
      <c r="R1" s="695" t="s">
        <v>650</v>
      </c>
      <c r="S1" s="695"/>
    </row>
    <row r="2" spans="1:21" x14ac:dyDescent="0.25">
      <c r="A2" s="45" t="s">
        <v>651</v>
      </c>
      <c r="B2" s="546" t="s">
        <v>652</v>
      </c>
      <c r="C2" s="45" t="str">
        <f t="shared" ref="C2:C49" si="0">CONCATENATE(A2,"-",B2)</f>
        <v>Construção e Reforma de Edifícios-AC</v>
      </c>
      <c r="E2" s="547">
        <v>0.03</v>
      </c>
      <c r="F2" s="547">
        <v>0.04</v>
      </c>
      <c r="G2" s="547">
        <v>5.5E-2</v>
      </c>
      <c r="R2" s="696" t="s">
        <v>653</v>
      </c>
      <c r="S2" s="696"/>
    </row>
    <row r="3" spans="1:21" x14ac:dyDescent="0.25">
      <c r="A3" s="45" t="str">
        <f>A2</f>
        <v>Construção e Reforma de Edifícios</v>
      </c>
      <c r="B3" s="546" t="s">
        <v>654</v>
      </c>
      <c r="C3" s="45" t="str">
        <f t="shared" si="0"/>
        <v>Construção e Reforma de Edifícios-SG</v>
      </c>
      <c r="E3" s="547">
        <v>8.0000000000000002E-3</v>
      </c>
      <c r="F3" s="547">
        <v>8.0000000000000002E-3</v>
      </c>
      <c r="G3" s="547">
        <v>0.01</v>
      </c>
    </row>
    <row r="4" spans="1:21" x14ac:dyDescent="0.25">
      <c r="A4" s="45" t="str">
        <f>A3</f>
        <v>Construção e Reforma de Edifícios</v>
      </c>
      <c r="B4" s="546" t="s">
        <v>655</v>
      </c>
      <c r="C4" s="45" t="str">
        <f t="shared" si="0"/>
        <v>Construção e Reforma de Edifícios-R</v>
      </c>
      <c r="E4" s="547">
        <v>9.7000000000000003E-3</v>
      </c>
      <c r="F4" s="547">
        <v>1.2699999999999999E-2</v>
      </c>
      <c r="G4" s="547">
        <v>1.2699999999999999E-2</v>
      </c>
      <c r="J4" s="690" t="s">
        <v>656</v>
      </c>
      <c r="K4" s="690"/>
      <c r="L4" s="690" t="s">
        <v>657</v>
      </c>
      <c r="M4" s="690"/>
      <c r="N4" s="690" t="s">
        <v>658</v>
      </c>
      <c r="O4" s="690"/>
      <c r="P4" s="690"/>
      <c r="Q4" s="690"/>
      <c r="R4" s="690"/>
      <c r="S4" s="690"/>
    </row>
    <row r="5" spans="1:21" ht="12.75" customHeight="1" x14ac:dyDescent="0.25">
      <c r="A5" s="45" t="str">
        <f>A4</f>
        <v>Construção e Reforma de Edifícios</v>
      </c>
      <c r="B5" s="546" t="s">
        <v>659</v>
      </c>
      <c r="C5" s="45" t="str">
        <f t="shared" si="0"/>
        <v>Construção e Reforma de Edifícios-DF</v>
      </c>
      <c r="E5" s="547">
        <v>5.8999999999999999E-3</v>
      </c>
      <c r="F5" s="547">
        <v>1.23E-2</v>
      </c>
      <c r="G5" s="547">
        <v>1.3899999999999999E-2</v>
      </c>
      <c r="J5" s="694" t="str">
        <f>Import.CR</f>
        <v>S/ INFORMAÇÃO</v>
      </c>
      <c r="K5" s="694"/>
      <c r="L5" s="694" t="str">
        <f>Import.TransfereGOV</f>
        <v>S/ INFORMAÇÃO</v>
      </c>
      <c r="M5" s="694"/>
      <c r="N5" s="694" t="str">
        <f>Import.Proponente</f>
        <v>PREFEITURA MUNICIPAL DE URUARÁ</v>
      </c>
      <c r="O5" s="694"/>
      <c r="P5" s="694"/>
      <c r="Q5" s="694"/>
      <c r="R5" s="694"/>
      <c r="S5" s="694"/>
    </row>
    <row r="6" spans="1:21" x14ac:dyDescent="0.25">
      <c r="A6" s="45" t="str">
        <f>A5</f>
        <v>Construção e Reforma de Edifícios</v>
      </c>
      <c r="B6" s="546" t="s">
        <v>660</v>
      </c>
      <c r="C6" s="45" t="str">
        <f t="shared" si="0"/>
        <v>Construção e Reforma de Edifícios-L</v>
      </c>
      <c r="E6" s="547">
        <v>6.1600000000000002E-2</v>
      </c>
      <c r="F6" s="547">
        <v>7.400000000000001E-2</v>
      </c>
      <c r="G6" s="547">
        <v>8.9600000000000013E-2</v>
      </c>
      <c r="I6" s="683" t="s">
        <v>661</v>
      </c>
      <c r="J6" s="48"/>
      <c r="K6" s="48"/>
      <c r="L6" s="48"/>
      <c r="M6" s="48"/>
      <c r="N6" s="48"/>
      <c r="O6" s="48"/>
      <c r="P6" s="48"/>
      <c r="Q6" s="48"/>
      <c r="R6" s="48"/>
      <c r="S6" s="48"/>
    </row>
    <row r="7" spans="1:21" ht="26.4" x14ac:dyDescent="0.3">
      <c r="A7" s="45" t="str">
        <f>A6</f>
        <v>Construção e Reforma de Edifícios</v>
      </c>
      <c r="B7" s="548" t="s">
        <v>662</v>
      </c>
      <c r="C7" s="45" t="str">
        <f t="shared" si="0"/>
        <v>Construção e Reforma de Edifícios-BDI PAD</v>
      </c>
      <c r="E7" s="547">
        <v>0.2034</v>
      </c>
      <c r="F7" s="547">
        <v>0.22120000000000001</v>
      </c>
      <c r="G7" s="547">
        <v>0.25</v>
      </c>
      <c r="I7" s="683"/>
      <c r="J7" s="690" t="s">
        <v>663</v>
      </c>
      <c r="K7" s="690"/>
      <c r="L7" s="690"/>
      <c r="M7" s="690"/>
      <c r="N7" s="690"/>
      <c r="O7" s="690"/>
      <c r="P7" s="690"/>
      <c r="Q7" s="690"/>
      <c r="R7" s="690"/>
      <c r="S7" s="690"/>
      <c r="U7" s="431" t="str">
        <f ca="1">IF(OR(U10&lt;&gt;"",U11&lt;&gt;""),"Falta preencher os percentuais do ISS",IF(U14&lt;&gt;"","Falta preencher o BDI 1",IF(U54&lt;&gt;"","Falta preencher o BDI 2",IF(U94&lt;&gt;"","Falta preencher o BDI 3",""))))</f>
        <v/>
      </c>
    </row>
    <row r="8" spans="1:21" ht="15.6" x14ac:dyDescent="0.3">
      <c r="A8" s="45" t="s">
        <v>664</v>
      </c>
      <c r="B8" s="546" t="s">
        <v>652</v>
      </c>
      <c r="C8" s="45" t="str">
        <f t="shared" si="0"/>
        <v>Construção de Praças Urbanas, Rodovias, Ferrovias e recapeamento e pavimentação de vias urbanas-AC</v>
      </c>
      <c r="E8" s="547">
        <v>3.7999999999999999E-2</v>
      </c>
      <c r="F8" s="547">
        <v>4.0099999999999997E-2</v>
      </c>
      <c r="G8" s="547">
        <v>4.6699999999999998E-2</v>
      </c>
      <c r="I8" s="683"/>
      <c r="J8" s="699" t="str">
        <f>Import.Apelido&amp;" / "&amp;Import.DescLote</f>
        <v>PAVIMENTAÇÃO DE VIAS NO MUNICÍPIO DE URUARÁ - PARÁ / PAVIMENTAÇÃO DE VIAS NO MUNICÍPIO DE URUARÁ - PARÁ</v>
      </c>
      <c r="K8" s="699"/>
      <c r="L8" s="699"/>
      <c r="M8" s="699"/>
      <c r="N8" s="699"/>
      <c r="O8" s="699"/>
      <c r="P8" s="699"/>
      <c r="Q8" s="699"/>
      <c r="R8" s="699"/>
      <c r="S8" s="699"/>
      <c r="U8" s="431" t="str">
        <f ca="1">IF(U29="FORA DO INTERVALO","BDI 1 fora do intervalo",IF(U69="FORA DO INTERVALO","BDI 2 fora do intervalo",IF(U109="FORA DO INTERVALO","BDI 3 fora do intervalo","")))</f>
        <v>BDI 2 fora do intervalo</v>
      </c>
    </row>
    <row r="9" spans="1:21" x14ac:dyDescent="0.25">
      <c r="A9" s="45" t="s">
        <v>664</v>
      </c>
      <c r="B9" s="546" t="s">
        <v>654</v>
      </c>
      <c r="C9" s="45" t="str">
        <f t="shared" si="0"/>
        <v>Construção de Praças Urbanas, Rodovias, Ferrovias e recapeamento e pavimentação de vias urbanas-SG</v>
      </c>
      <c r="E9" s="547">
        <v>3.2000000000000002E-3</v>
      </c>
      <c r="F9" s="547">
        <v>4.0000000000000001E-3</v>
      </c>
      <c r="G9" s="547">
        <v>7.4000000000000003E-3</v>
      </c>
      <c r="I9" s="683"/>
      <c r="J9" s="48"/>
      <c r="K9" s="48"/>
      <c r="L9" s="48"/>
      <c r="M9" s="48"/>
      <c r="N9" s="48"/>
      <c r="O9" s="48"/>
      <c r="P9" s="48"/>
      <c r="Q9" s="48"/>
      <c r="R9" s="48"/>
      <c r="S9" s="48"/>
    </row>
    <row r="10" spans="1:21" ht="12.75" customHeight="1" x14ac:dyDescent="0.25">
      <c r="A10" s="45" t="s">
        <v>664</v>
      </c>
      <c r="B10" s="546" t="s">
        <v>655</v>
      </c>
      <c r="C10" s="45" t="str">
        <f t="shared" si="0"/>
        <v>Construção de Praças Urbanas, Rodovias, Ferrovias e recapeamento e pavimentação de vias urbanas-R</v>
      </c>
      <c r="E10" s="547">
        <v>5.0000000000000001E-3</v>
      </c>
      <c r="F10" s="547">
        <v>5.6000000000000008E-3</v>
      </c>
      <c r="G10" s="547">
        <v>9.7000000000000003E-3</v>
      </c>
      <c r="I10" s="683"/>
      <c r="J10" s="700" t="s">
        <v>665</v>
      </c>
      <c r="K10" s="700"/>
      <c r="L10" s="700"/>
      <c r="M10" s="700"/>
      <c r="N10" s="700"/>
      <c r="O10" s="700"/>
      <c r="P10" s="700"/>
      <c r="Q10" s="700"/>
      <c r="R10" s="698">
        <v>1</v>
      </c>
      <c r="S10" s="698"/>
      <c r="U10" s="484" t="str">
        <f>IF(R10=0,"Falta definir a base de cálculo para o ISS","")</f>
        <v/>
      </c>
    </row>
    <row r="11" spans="1:21" ht="12.75" customHeight="1" x14ac:dyDescent="0.25">
      <c r="A11" s="45" t="s">
        <v>664</v>
      </c>
      <c r="B11" s="546" t="s">
        <v>659</v>
      </c>
      <c r="C11" s="45" t="str">
        <f t="shared" si="0"/>
        <v>Construção de Praças Urbanas, Rodovias, Ferrovias e recapeamento e pavimentação de vias urbanas-DF</v>
      </c>
      <c r="E11" s="547">
        <v>1.0200000000000001E-2</v>
      </c>
      <c r="F11" s="547">
        <v>1.11E-2</v>
      </c>
      <c r="G11" s="547">
        <v>1.21E-2</v>
      </c>
      <c r="I11" s="79" t="s">
        <v>666</v>
      </c>
      <c r="J11" s="697" t="s">
        <v>667</v>
      </c>
      <c r="K11" s="697"/>
      <c r="L11" s="697"/>
      <c r="M11" s="697"/>
      <c r="N11" s="697"/>
      <c r="O11" s="697"/>
      <c r="P11" s="697"/>
      <c r="Q11" s="697"/>
      <c r="R11" s="698">
        <v>0.05</v>
      </c>
      <c r="S11" s="698"/>
      <c r="U11" s="484" t="str">
        <f>IF(R11=0,"Falta definir a alíquota do ISS","")</f>
        <v/>
      </c>
    </row>
    <row r="12" spans="1:21" x14ac:dyDescent="0.25">
      <c r="A12" s="45" t="s">
        <v>664</v>
      </c>
      <c r="B12" s="546" t="s">
        <v>660</v>
      </c>
      <c r="C12" s="45" t="str">
        <f t="shared" si="0"/>
        <v>Construção de Praças Urbanas, Rodovias, Ferrovias e recapeamento e pavimentação de vias urbanas-L</v>
      </c>
      <c r="E12" s="547">
        <v>6.6400000000000001E-2</v>
      </c>
      <c r="F12" s="547">
        <v>7.2999999999999995E-2</v>
      </c>
      <c r="G12" s="547">
        <v>8.6899999999999991E-2</v>
      </c>
      <c r="I12" s="5" t="s">
        <v>542</v>
      </c>
      <c r="J12" s="49"/>
      <c r="K12" s="49"/>
      <c r="L12" s="49"/>
      <c r="M12" s="49"/>
      <c r="N12" s="49"/>
      <c r="O12" s="49"/>
      <c r="P12" s="49"/>
      <c r="Q12" s="49"/>
      <c r="R12" s="49"/>
      <c r="S12" s="49"/>
    </row>
    <row r="13" spans="1:21" ht="15" customHeight="1" x14ac:dyDescent="0.25">
      <c r="A13" s="45" t="s">
        <v>664</v>
      </c>
      <c r="B13" s="548" t="s">
        <v>662</v>
      </c>
      <c r="C13" s="45" t="str">
        <f t="shared" si="0"/>
        <v>Construção de Praças Urbanas, Rodovias, Ferrovias e recapeamento e pavimentação de vias urbanas-BDI PAD</v>
      </c>
      <c r="E13" s="547">
        <v>0.19600000000000001</v>
      </c>
      <c r="F13" s="547">
        <v>0.2097</v>
      </c>
      <c r="G13" s="547">
        <v>0.24230000000000002</v>
      </c>
      <c r="I13" s="5" t="s">
        <v>542</v>
      </c>
    </row>
    <row r="14" spans="1:21" ht="15.6" x14ac:dyDescent="0.3">
      <c r="A14" s="45" t="s">
        <v>668</v>
      </c>
      <c r="B14" s="546" t="s">
        <v>652</v>
      </c>
      <c r="C14" s="45" t="str">
        <f t="shared" si="0"/>
        <v>Construção de Redes de Abastecimento de Água, Coleta de Esgoto-AC</v>
      </c>
      <c r="E14" s="547">
        <v>3.4300000000000004E-2</v>
      </c>
      <c r="F14" s="547">
        <v>4.9299999999999997E-2</v>
      </c>
      <c r="G14" s="547">
        <v>6.7099999999999993E-2</v>
      </c>
      <c r="I14" s="5" t="s">
        <v>542</v>
      </c>
      <c r="J14" s="692" t="s">
        <v>669</v>
      </c>
      <c r="K14" s="692"/>
      <c r="L14" s="692"/>
      <c r="M14" s="692"/>
      <c r="N14" s="692"/>
      <c r="O14" s="692"/>
      <c r="P14" s="692"/>
      <c r="Q14" s="692"/>
      <c r="R14" s="692"/>
      <c r="S14" s="692"/>
      <c r="U14" s="431" t="str">
        <f ca="1">IF(COUNTIF(ORÇAMENTO!$V$15:$V$36,BDI_1.Título)=0,"",IF(OR(Import.BDI.Tipo1="(SELECIONAR)",Import.BDI.Tipo1="",U17&lt;&gt;"",S21=0,S22=0,S23=0,S24=0,S25=0,S26=0),"Falta preencher o BDI 1",""))</f>
        <v/>
      </c>
    </row>
    <row r="15" spans="1:21" x14ac:dyDescent="0.25">
      <c r="A15" s="45" t="str">
        <f>A14</f>
        <v>Construção de Redes de Abastecimento de Água, Coleta de Esgoto</v>
      </c>
      <c r="B15" s="546" t="s">
        <v>654</v>
      </c>
      <c r="C15" s="45" t="str">
        <f t="shared" si="0"/>
        <v>Construção de Redes de Abastecimento de Água, Coleta de Esgoto-SG</v>
      </c>
      <c r="E15" s="547">
        <v>2.8000000000000004E-3</v>
      </c>
      <c r="F15" s="547">
        <v>4.8999999999999998E-3</v>
      </c>
      <c r="G15" s="547">
        <v>7.4999999999999997E-3</v>
      </c>
      <c r="I15" s="5" t="s">
        <v>542</v>
      </c>
    </row>
    <row r="16" spans="1:21" x14ac:dyDescent="0.25">
      <c r="A16" s="45" t="str">
        <f>A15</f>
        <v>Construção de Redes de Abastecimento de Água, Coleta de Esgoto</v>
      </c>
      <c r="B16" s="546" t="s">
        <v>655</v>
      </c>
      <c r="C16" s="45" t="str">
        <f t="shared" si="0"/>
        <v>Construção de Redes de Abastecimento de Água, Coleta de Esgoto-R</v>
      </c>
      <c r="E16" s="547">
        <v>0.01</v>
      </c>
      <c r="F16" s="547">
        <v>1.3899999999999999E-2</v>
      </c>
      <c r="G16" s="547">
        <v>1.7399999999999999E-2</v>
      </c>
      <c r="I16" s="5" t="s">
        <v>542</v>
      </c>
      <c r="J16" s="690" t="s">
        <v>670</v>
      </c>
      <c r="K16" s="690"/>
      <c r="L16" s="690"/>
      <c r="M16" s="690"/>
      <c r="N16" s="690"/>
      <c r="O16" s="690"/>
      <c r="P16" s="690"/>
      <c r="Q16" s="690"/>
      <c r="R16" s="690"/>
      <c r="S16" s="690"/>
    </row>
    <row r="17" spans="1:26" ht="13.8" x14ac:dyDescent="0.25">
      <c r="A17" s="45" t="str">
        <f>A16</f>
        <v>Construção de Redes de Abastecimento de Água, Coleta de Esgoto</v>
      </c>
      <c r="B17" s="546" t="s">
        <v>659</v>
      </c>
      <c r="C17" s="45" t="str">
        <f t="shared" si="0"/>
        <v>Construção de Redes de Abastecimento de Água, Coleta de Esgoto-DF</v>
      </c>
      <c r="E17" s="547">
        <v>9.3999999999999986E-3</v>
      </c>
      <c r="F17" s="547">
        <v>9.8999999999999991E-3</v>
      </c>
      <c r="G17" s="547">
        <v>1.1699999999999999E-2</v>
      </c>
      <c r="I17" s="5" t="s">
        <v>542</v>
      </c>
      <c r="J17" s="691" t="s">
        <v>664</v>
      </c>
      <c r="K17" s="691"/>
      <c r="L17" s="691"/>
      <c r="M17" s="691"/>
      <c r="N17" s="691"/>
      <c r="O17" s="691"/>
      <c r="P17" s="691"/>
      <c r="Q17" s="691"/>
      <c r="R17" s="691"/>
      <c r="S17" s="691"/>
      <c r="T17" s="475" t="str">
        <f ca="1">IF(U17="","","◄")</f>
        <v/>
      </c>
      <c r="U17" s="474" t="str">
        <f ca="1">IF(AND(OR(S29&gt;0,COUNTIF(ORÇAMENTO!$V$15:$V$36,BDI_1.Título)&gt;0),OR(Import.BDI.Tipo1="(SELECIONAR)",Import.BDI.Tipo1="")),"Selecione o Tipo de obra","")</f>
        <v/>
      </c>
    </row>
    <row r="18" spans="1:26" x14ac:dyDescent="0.25">
      <c r="A18" s="45" t="str">
        <f>A17</f>
        <v>Construção de Redes de Abastecimento de Água, Coleta de Esgoto</v>
      </c>
      <c r="B18" s="546" t="s">
        <v>660</v>
      </c>
      <c r="C18" s="45" t="str">
        <f t="shared" si="0"/>
        <v>Construção de Redes de Abastecimento de Água, Coleta de Esgoto-L</v>
      </c>
      <c r="E18" s="547">
        <v>6.7400000000000002E-2</v>
      </c>
      <c r="F18" s="547">
        <v>8.0399999999999985E-2</v>
      </c>
      <c r="G18" s="547">
        <v>9.4E-2</v>
      </c>
      <c r="I18" s="5" t="s">
        <v>542</v>
      </c>
    </row>
    <row r="19" spans="1:26" ht="12.75" customHeight="1" x14ac:dyDescent="0.25">
      <c r="A19" s="45" t="str">
        <f>A18</f>
        <v>Construção de Redes de Abastecimento de Água, Coleta de Esgoto</v>
      </c>
      <c r="B19" s="548" t="s">
        <v>662</v>
      </c>
      <c r="C19" s="45" t="str">
        <f t="shared" si="0"/>
        <v>Construção de Redes de Abastecimento de Água, Coleta de Esgoto-BDI PAD</v>
      </c>
      <c r="E19" s="547">
        <v>0.20760000000000001</v>
      </c>
      <c r="F19" s="547">
        <v>0.24179999999999999</v>
      </c>
      <c r="G19" s="547">
        <v>0.26440000000000002</v>
      </c>
      <c r="I19" s="5" t="s">
        <v>542</v>
      </c>
      <c r="J19" s="689" t="s">
        <v>671</v>
      </c>
      <c r="K19" s="689"/>
      <c r="L19" s="689"/>
      <c r="M19" s="689"/>
      <c r="N19" s="689"/>
      <c r="O19" s="689"/>
      <c r="P19" s="689"/>
      <c r="Q19" s="689"/>
      <c r="R19" s="689" t="s">
        <v>672</v>
      </c>
      <c r="S19" s="680" t="s">
        <v>673</v>
      </c>
      <c r="U19" s="680" t="s">
        <v>674</v>
      </c>
      <c r="V19" s="680"/>
      <c r="W19" s="680"/>
      <c r="X19" s="688" t="s">
        <v>675</v>
      </c>
      <c r="Y19" s="688" t="s">
        <v>676</v>
      </c>
      <c r="Z19" s="688" t="s">
        <v>677</v>
      </c>
    </row>
    <row r="20" spans="1:26" ht="12.75" customHeight="1" x14ac:dyDescent="0.25">
      <c r="A20" s="45" t="s">
        <v>678</v>
      </c>
      <c r="B20" s="546" t="s">
        <v>652</v>
      </c>
      <c r="C20" s="45" t="str">
        <f t="shared" si="0"/>
        <v>Construção e Manutenção de Estações e Redes de Distribuição de Energia Elétrica-AC</v>
      </c>
      <c r="E20" s="547">
        <v>5.2900000000000003E-2</v>
      </c>
      <c r="F20" s="547">
        <v>5.9200000000000003E-2</v>
      </c>
      <c r="G20" s="547">
        <v>7.9299999999999995E-2</v>
      </c>
      <c r="I20" s="5" t="s">
        <v>542</v>
      </c>
      <c r="J20" s="689"/>
      <c r="K20" s="689"/>
      <c r="L20" s="689"/>
      <c r="M20" s="689"/>
      <c r="N20" s="689"/>
      <c r="O20" s="689"/>
      <c r="P20" s="689"/>
      <c r="Q20" s="689"/>
      <c r="R20" s="689"/>
      <c r="S20" s="680"/>
      <c r="U20" s="680"/>
      <c r="V20" s="680"/>
      <c r="W20" s="680"/>
      <c r="X20" s="688"/>
      <c r="Y20" s="688"/>
      <c r="Z20" s="688"/>
    </row>
    <row r="21" spans="1:26" ht="15" customHeight="1" x14ac:dyDescent="0.25">
      <c r="A21" s="45" t="str">
        <f>A20</f>
        <v>Construção e Manutenção de Estações e Redes de Distribuição de Energia Elétrica</v>
      </c>
      <c r="B21" s="546" t="s">
        <v>654</v>
      </c>
      <c r="C21" s="45" t="str">
        <f t="shared" si="0"/>
        <v>Construção e Manutenção de Estações e Redes de Distribuição de Energia Elétrica-SG</v>
      </c>
      <c r="E21" s="547">
        <v>2.5000000000000001E-3</v>
      </c>
      <c r="F21" s="547">
        <v>5.1000000000000004E-3</v>
      </c>
      <c r="G21" s="547">
        <v>5.6000000000000008E-3</v>
      </c>
      <c r="I21" s="5" t="s">
        <v>542</v>
      </c>
      <c r="J21" s="676" t="str">
        <f>IF($J$17=$A$146,"Encargos Sociais incidentes sobre a mão de obra","Administração Central")</f>
        <v>Administração Central</v>
      </c>
      <c r="K21" s="676"/>
      <c r="L21" s="676"/>
      <c r="M21" s="676"/>
      <c r="N21" s="676"/>
      <c r="O21" s="676"/>
      <c r="P21" s="676"/>
      <c r="Q21" s="676"/>
      <c r="R21" s="549" t="str">
        <f>IF($J17=$A$146,"K1","AC")</f>
        <v>AC</v>
      </c>
      <c r="S21" s="550">
        <v>3.7999999999999999E-2</v>
      </c>
      <c r="T21" s="485" t="str">
        <f ca="1">IF(AND($U$14&lt;&gt;"",S21=""),"◄","")</f>
        <v/>
      </c>
      <c r="U21" s="693" t="str">
        <f>IFERROR(IF(AND(S21&gt;=X21,S21&lt;=Z21),"OK","FORA DO INTERVALO"),"-")</f>
        <v>OK</v>
      </c>
      <c r="V21" s="693"/>
      <c r="W21" s="693"/>
      <c r="X21" s="551">
        <f>VLOOKUP(CONCATENATE(J17,"-",R21),$C$2:$G$136,3,FALSE)</f>
        <v>3.7999999999999999E-2</v>
      </c>
      <c r="Y21" s="551">
        <f>VLOOKUP(CONCATENATE(J17,"-",R21),$C$2:$G$136,4,FALSE)</f>
        <v>4.0099999999999997E-2</v>
      </c>
      <c r="Z21" s="551">
        <f>VLOOKUP(CONCATENATE(J17,"-",R21),$C$2:$G$136,5,FALSE)</f>
        <v>4.6699999999999998E-2</v>
      </c>
    </row>
    <row r="22" spans="1:26" ht="15" customHeight="1" x14ac:dyDescent="0.25">
      <c r="A22" s="45" t="str">
        <f>A21</f>
        <v>Construção e Manutenção de Estações e Redes de Distribuição de Energia Elétrica</v>
      </c>
      <c r="B22" s="546" t="s">
        <v>655</v>
      </c>
      <c r="C22" s="45" t="str">
        <f t="shared" si="0"/>
        <v>Construção e Manutenção de Estações e Redes de Distribuição de Energia Elétrica-R</v>
      </c>
      <c r="E22" s="547">
        <v>0.01</v>
      </c>
      <c r="F22" s="547">
        <v>1.4800000000000001E-2</v>
      </c>
      <c r="G22" s="547">
        <v>1.9699999999999999E-2</v>
      </c>
      <c r="I22" s="5" t="s">
        <v>542</v>
      </c>
      <c r="J22" s="676" t="str">
        <f>IF($J$17=$A$146,"Administração Central da empresa ou consultoria - overhead","Seguro e Garantia")</f>
        <v>Seguro e Garantia</v>
      </c>
      <c r="K22" s="676"/>
      <c r="L22" s="676"/>
      <c r="M22" s="676"/>
      <c r="N22" s="676"/>
      <c r="O22" s="676"/>
      <c r="P22" s="676"/>
      <c r="Q22" s="676"/>
      <c r="R22" s="549" t="str">
        <f>IF($J17=$A$146,"K2","SG")</f>
        <v>SG</v>
      </c>
      <c r="S22" s="550">
        <v>3.2000000000000002E-3</v>
      </c>
      <c r="T22" s="485" t="str">
        <f t="shared" ref="T22:T26" ca="1" si="1">IF(AND($U$14&lt;&gt;"",S22=""),"◄","")</f>
        <v/>
      </c>
      <c r="U22" s="677" t="str">
        <f t="shared" ref="U22:U27" si="2">IFERROR(IF(AND(S22&gt;=X22,S22&lt;=Z22),"OK","FORA DO INTERVALO"),"-")</f>
        <v>OK</v>
      </c>
      <c r="V22" s="678"/>
      <c r="W22" s="679"/>
      <c r="X22" s="551">
        <f>VLOOKUP(CONCATENATE(J17,"-",R22),$C$2:$G$136,3,FALSE)</f>
        <v>3.2000000000000002E-3</v>
      </c>
      <c r="Y22" s="551">
        <f>VLOOKUP(CONCATENATE(J17,"-",R22),$C$2:$G$136,4,FALSE)</f>
        <v>4.0000000000000001E-3</v>
      </c>
      <c r="Z22" s="551">
        <f>VLOOKUP(CONCATENATE(J17,"-",R22),$C$2:$G$136,5,FALSE)</f>
        <v>7.4000000000000003E-3</v>
      </c>
    </row>
    <row r="23" spans="1:26" ht="15" customHeight="1" x14ac:dyDescent="0.25">
      <c r="A23" s="45" t="str">
        <f>A22</f>
        <v>Construção e Manutenção de Estações e Redes de Distribuição de Energia Elétrica</v>
      </c>
      <c r="B23" s="546" t="s">
        <v>659</v>
      </c>
      <c r="C23" s="45" t="str">
        <f t="shared" si="0"/>
        <v>Construção e Manutenção de Estações e Redes de Distribuição de Energia Elétrica-DF</v>
      </c>
      <c r="E23" s="547">
        <v>1.01E-2</v>
      </c>
      <c r="F23" s="547">
        <v>1.0700000000000001E-2</v>
      </c>
      <c r="G23" s="547">
        <v>1.11E-2</v>
      </c>
      <c r="I23" s="5" t="s">
        <v>542</v>
      </c>
      <c r="J23" s="676" t="str">
        <f>IF($J$17=$A$146,"","Risco")</f>
        <v>Risco</v>
      </c>
      <c r="K23" s="676"/>
      <c r="L23" s="676"/>
      <c r="M23" s="676"/>
      <c r="N23" s="676"/>
      <c r="O23" s="676"/>
      <c r="P23" s="676"/>
      <c r="Q23" s="676"/>
      <c r="R23" s="549" t="str">
        <f>IF($J17=$A$146,"","R")</f>
        <v>R</v>
      </c>
      <c r="S23" s="550">
        <v>5.0000000000000001E-3</v>
      </c>
      <c r="T23" s="485" t="str">
        <f t="shared" ca="1" si="1"/>
        <v/>
      </c>
      <c r="U23" s="677" t="str">
        <f t="shared" si="2"/>
        <v>OK</v>
      </c>
      <c r="V23" s="678"/>
      <c r="W23" s="679"/>
      <c r="X23" s="551">
        <f>VLOOKUP(CONCATENATE(J17,"-",R23),$C$2:$G$136,3,FALSE)</f>
        <v>5.0000000000000001E-3</v>
      </c>
      <c r="Y23" s="551">
        <f>VLOOKUP(CONCATENATE(J17,"-",R23),$C$2:$G$136,4,FALSE)</f>
        <v>5.6000000000000008E-3</v>
      </c>
      <c r="Z23" s="551">
        <f>VLOOKUP(CONCATENATE(J17,"-",R23),$C$2:$G$136,5,FALSE)</f>
        <v>9.7000000000000003E-3</v>
      </c>
    </row>
    <row r="24" spans="1:26" ht="15" customHeight="1" x14ac:dyDescent="0.25">
      <c r="A24" s="45" t="str">
        <f>A23</f>
        <v>Construção e Manutenção de Estações e Redes de Distribuição de Energia Elétrica</v>
      </c>
      <c r="B24" s="546" t="s">
        <v>660</v>
      </c>
      <c r="C24" s="45" t="str">
        <f t="shared" si="0"/>
        <v>Construção e Manutenção de Estações e Redes de Distribuição de Energia Elétrica-L</v>
      </c>
      <c r="E24" s="547">
        <v>0.08</v>
      </c>
      <c r="F24" s="547">
        <v>8.3100000000000007E-2</v>
      </c>
      <c r="G24" s="547">
        <v>9.5100000000000004E-2</v>
      </c>
      <c r="I24" s="5" t="s">
        <v>542</v>
      </c>
      <c r="J24" s="676" t="str">
        <f>IF($J$17=$A$146,"","Despesas Financeiras")</f>
        <v>Despesas Financeiras</v>
      </c>
      <c r="K24" s="676"/>
      <c r="L24" s="676"/>
      <c r="M24" s="676"/>
      <c r="N24" s="676"/>
      <c r="O24" s="676"/>
      <c r="P24" s="676"/>
      <c r="Q24" s="676"/>
      <c r="R24" s="549" t="str">
        <f>IF($J17=$A$146,"","DF")</f>
        <v>DF</v>
      </c>
      <c r="S24" s="550">
        <v>1.0200000000000001E-2</v>
      </c>
      <c r="T24" s="485" t="str">
        <f t="shared" ca="1" si="1"/>
        <v/>
      </c>
      <c r="U24" s="677" t="str">
        <f t="shared" si="2"/>
        <v>OK</v>
      </c>
      <c r="V24" s="678"/>
      <c r="W24" s="679"/>
      <c r="X24" s="551">
        <f>VLOOKUP(CONCATENATE(J17,"-",R24),$C$2:$G$136,3,FALSE)</f>
        <v>1.0200000000000001E-2</v>
      </c>
      <c r="Y24" s="551">
        <f>VLOOKUP(CONCATENATE(J17,"-",R24),$C$2:$G$136,4,FALSE)</f>
        <v>1.11E-2</v>
      </c>
      <c r="Z24" s="551">
        <f>VLOOKUP(CONCATENATE(J17,"-",R24),$C$2:$G$136,5,FALSE)</f>
        <v>1.21E-2</v>
      </c>
    </row>
    <row r="25" spans="1:26" ht="15" customHeight="1" x14ac:dyDescent="0.25">
      <c r="A25" s="45" t="str">
        <f>A24</f>
        <v>Construção e Manutenção de Estações e Redes de Distribuição de Energia Elétrica</v>
      </c>
      <c r="B25" s="548" t="s">
        <v>662</v>
      </c>
      <c r="C25" s="45" t="str">
        <f t="shared" si="0"/>
        <v>Construção e Manutenção de Estações e Redes de Distribuição de Energia Elétrica-BDI PAD</v>
      </c>
      <c r="E25" s="547">
        <v>0.24</v>
      </c>
      <c r="F25" s="547">
        <v>0.25840000000000002</v>
      </c>
      <c r="G25" s="547">
        <v>0.27860000000000001</v>
      </c>
      <c r="I25" s="5" t="s">
        <v>542</v>
      </c>
      <c r="J25" s="676" t="str">
        <f>IF($J$17=$A$146,"Margem bruta da empresa de consultoria","Lucro")</f>
        <v>Lucro</v>
      </c>
      <c r="K25" s="676"/>
      <c r="L25" s="676"/>
      <c r="M25" s="676"/>
      <c r="N25" s="676"/>
      <c r="O25" s="676"/>
      <c r="P25" s="676"/>
      <c r="Q25" s="676"/>
      <c r="R25" s="549" t="str">
        <f>IF($J17=$A$146,"K3","L")</f>
        <v>L</v>
      </c>
      <c r="S25" s="550">
        <v>6.6400000000000001E-2</v>
      </c>
      <c r="T25" s="485" t="str">
        <f t="shared" ca="1" si="1"/>
        <v/>
      </c>
      <c r="U25" s="677" t="str">
        <f t="shared" si="2"/>
        <v>OK</v>
      </c>
      <c r="V25" s="678"/>
      <c r="W25" s="679"/>
      <c r="X25" s="551">
        <f>VLOOKUP(CONCATENATE(J17,"-",R25),$C$2:$G$136,3,FALSE)</f>
        <v>6.6400000000000001E-2</v>
      </c>
      <c r="Y25" s="551">
        <f>VLOOKUP(CONCATENATE(J17,"-",R25),$C$2:$G$136,4,FALSE)</f>
        <v>7.2999999999999995E-2</v>
      </c>
      <c r="Z25" s="551">
        <f>VLOOKUP(CONCATENATE(J17,"-",R25),$C$2:$G$136,5,FALSE)</f>
        <v>8.6899999999999991E-2</v>
      </c>
    </row>
    <row r="26" spans="1:26" ht="15" customHeight="1" x14ac:dyDescent="0.25">
      <c r="A26" s="45" t="s">
        <v>679</v>
      </c>
      <c r="B26" s="546" t="s">
        <v>652</v>
      </c>
      <c r="C26" s="45" t="str">
        <f t="shared" si="0"/>
        <v>Obras Portuárias, Marítimas e Fluviais-AC</v>
      </c>
      <c r="E26" s="547">
        <v>0.04</v>
      </c>
      <c r="F26" s="547">
        <v>5.5199999999999999E-2</v>
      </c>
      <c r="G26" s="547">
        <v>7.85E-2</v>
      </c>
      <c r="I26" s="5" t="s">
        <v>542</v>
      </c>
      <c r="J26" s="676" t="s">
        <v>680</v>
      </c>
      <c r="K26" s="676"/>
      <c r="L26" s="676"/>
      <c r="M26" s="676"/>
      <c r="N26" s="676"/>
      <c r="O26" s="676"/>
      <c r="P26" s="676"/>
      <c r="Q26" s="676"/>
      <c r="R26" s="549" t="s">
        <v>462</v>
      </c>
      <c r="S26" s="550">
        <v>3.6499999999999998E-2</v>
      </c>
      <c r="T26" s="485" t="str">
        <f t="shared" ca="1" si="1"/>
        <v/>
      </c>
      <c r="U26" s="677" t="str">
        <f t="shared" si="2"/>
        <v>OK</v>
      </c>
      <c r="V26" s="678"/>
      <c r="W26" s="679"/>
      <c r="X26" s="551">
        <v>3.6499999999999998E-2</v>
      </c>
      <c r="Y26" s="551">
        <v>3.6499999999999998E-2</v>
      </c>
      <c r="Z26" s="551">
        <v>3.6499999999999998E-2</v>
      </c>
    </row>
    <row r="27" spans="1:26" ht="15" customHeight="1" x14ac:dyDescent="0.25">
      <c r="A27" s="45" t="str">
        <f>A26</f>
        <v>Obras Portuárias, Marítimas e Fluviais</v>
      </c>
      <c r="B27" s="546" t="s">
        <v>654</v>
      </c>
      <c r="C27" s="45" t="str">
        <f t="shared" si="0"/>
        <v>Obras Portuárias, Marítimas e Fluviais-SG</v>
      </c>
      <c r="E27" s="547">
        <v>8.1000000000000013E-3</v>
      </c>
      <c r="F27" s="547">
        <v>1.2199999999999999E-2</v>
      </c>
      <c r="G27" s="547">
        <v>1.9900000000000001E-2</v>
      </c>
      <c r="I27" s="5" t="s">
        <v>542</v>
      </c>
      <c r="J27" s="676" t="s">
        <v>681</v>
      </c>
      <c r="K27" s="676"/>
      <c r="L27" s="676"/>
      <c r="M27" s="676"/>
      <c r="N27" s="676"/>
      <c r="O27" s="676"/>
      <c r="P27" s="676"/>
      <c r="Q27" s="676"/>
      <c r="R27" s="549" t="s">
        <v>682</v>
      </c>
      <c r="S27" s="551">
        <f ca="1">IF(AND($J17&lt;&gt;$A$145,COUNTA(OFFSET(S20,1,0,6))&gt;0),$R$11*$R$10,0)</f>
        <v>0.05</v>
      </c>
      <c r="U27" s="677" t="str">
        <f t="shared" ca="1" si="2"/>
        <v>OK</v>
      </c>
      <c r="V27" s="678"/>
      <c r="W27" s="679"/>
      <c r="X27" s="551">
        <v>0</v>
      </c>
      <c r="Y27" s="551">
        <v>2.5000000000000001E-2</v>
      </c>
      <c r="Z27" s="551">
        <v>0.05</v>
      </c>
    </row>
    <row r="28" spans="1:26" ht="15" customHeight="1" x14ac:dyDescent="0.25">
      <c r="A28" s="45" t="str">
        <f>A27</f>
        <v>Obras Portuárias, Marítimas e Fluviais</v>
      </c>
      <c r="B28" s="546" t="s">
        <v>655</v>
      </c>
      <c r="C28" s="45" t="str">
        <f t="shared" si="0"/>
        <v>Obras Portuárias, Marítimas e Fluviais-R</v>
      </c>
      <c r="E28" s="547">
        <v>1.46E-2</v>
      </c>
      <c r="F28" s="547">
        <v>2.3199999999999998E-2</v>
      </c>
      <c r="G28" s="547">
        <v>3.1600000000000003E-2</v>
      </c>
      <c r="I28" s="5" t="s">
        <v>542</v>
      </c>
      <c r="J28" s="676" t="s">
        <v>683</v>
      </c>
      <c r="K28" s="676"/>
      <c r="L28" s="676"/>
      <c r="M28" s="676"/>
      <c r="N28" s="676"/>
      <c r="O28" s="676"/>
      <c r="P28" s="676"/>
      <c r="Q28" s="676"/>
      <c r="R28" s="549" t="s">
        <v>684</v>
      </c>
      <c r="S28" s="551" cm="1">
        <f t="array" aca="1" ref="S28" ca="1">IF(BDI.Opcao&lt;&gt;"Desonerado",0,IF(AND($J17&lt;&gt;$A$145,COUNTA(OFFSET(S20,1,0,6))&gt;0),IF(YEAR(Import.DataBase)&lt;2025,4.5%,IF(YEAR(Import.DataBase)=2025,3.6%,IF(YEAR(Import.DataBase)=2026,2.7%,IF(YEAR(Import.DataBase)=2027,1.8%,0%)))),0%))</f>
        <v>0</v>
      </c>
      <c r="U28" s="693" t="s">
        <v>685</v>
      </c>
      <c r="V28" s="693"/>
      <c r="W28" s="693"/>
      <c r="X28" s="552">
        <f ca="1">$S28</f>
        <v>0</v>
      </c>
      <c r="Y28" s="552">
        <f ca="1">$S28</f>
        <v>0</v>
      </c>
      <c r="Z28" s="552">
        <f ca="1">$S28</f>
        <v>0</v>
      </c>
    </row>
    <row r="29" spans="1:26" ht="15" customHeight="1" x14ac:dyDescent="0.25">
      <c r="A29" s="45" t="str">
        <f>A28</f>
        <v>Obras Portuárias, Marítimas e Fluviais</v>
      </c>
      <c r="B29" s="546" t="s">
        <v>659</v>
      </c>
      <c r="C29" s="45" t="str">
        <f t="shared" si="0"/>
        <v>Obras Portuárias, Marítimas e Fluviais-DF</v>
      </c>
      <c r="E29" s="547">
        <v>9.3999999999999986E-3</v>
      </c>
      <c r="F29" s="547">
        <v>1.0200000000000001E-2</v>
      </c>
      <c r="G29" s="547">
        <v>1.3300000000000001E-2</v>
      </c>
      <c r="I29" s="5" t="s">
        <v>542</v>
      </c>
      <c r="J29" s="676" t="s">
        <v>686</v>
      </c>
      <c r="K29" s="676"/>
      <c r="L29" s="676"/>
      <c r="M29" s="676"/>
      <c r="N29" s="676"/>
      <c r="O29" s="676"/>
      <c r="P29" s="676"/>
      <c r="Q29" s="676"/>
      <c r="R29" s="553" t="s">
        <v>662</v>
      </c>
      <c r="S29" s="551">
        <f ca="1">IF($J17=$A$145,0,ROUND((((1+S21+S22+S23)*(1+S24)*(1+S25)/(1-(S26+S27)))-1),4))</f>
        <v>0.23380000000000001</v>
      </c>
      <c r="U29" s="680" t="str">
        <f ca="1">IFERROR(IF(OR($J$17=$A$146,$J$17=$A$145,AND(S29&gt;=X29,S29&lt;=Z29)),"OK","FORA DO INTERVALO"),IF(S29=0,"OK","Selecione o Tipo de obra"))</f>
        <v>OK</v>
      </c>
      <c r="V29" s="680"/>
      <c r="W29" s="680"/>
      <c r="X29" s="551">
        <f>IF($J17=$A$145,0,VLOOKUP(CONCATENATE($J17,"-",$R29),$C$2:$G$136,3,FALSE))</f>
        <v>0.19600000000000001</v>
      </c>
      <c r="Y29" s="551">
        <f>IF($J17=$A$145,0,VLOOKUP(CONCATENATE($J17,"-",$R29),$C$2:$G$136,4,FALSE))</f>
        <v>0.2097</v>
      </c>
      <c r="Z29" s="551">
        <f>IF($J17=$A$145,0,VLOOKUP(CONCATENATE($J17,"-",$R29),$C$2:$G$136,5,FALSE))</f>
        <v>0.24230000000000002</v>
      </c>
    </row>
    <row r="30" spans="1:26" ht="15" customHeight="1" x14ac:dyDescent="0.25">
      <c r="A30" s="45" t="str">
        <f>A29</f>
        <v>Obras Portuárias, Marítimas e Fluviais</v>
      </c>
      <c r="B30" s="546" t="s">
        <v>660</v>
      </c>
      <c r="C30" s="45" t="str">
        <f t="shared" si="0"/>
        <v>Obras Portuárias, Marítimas e Fluviais-L</v>
      </c>
      <c r="E30" s="547">
        <v>7.1399999999999991E-2</v>
      </c>
      <c r="F30" s="547">
        <v>8.4000000000000005E-2</v>
      </c>
      <c r="G30" s="547">
        <v>0.1043</v>
      </c>
      <c r="I30" s="5" t="s">
        <v>542</v>
      </c>
      <c r="J30" s="681" t="s">
        <v>687</v>
      </c>
      <c r="K30" s="681"/>
      <c r="L30" s="681"/>
      <c r="M30" s="681"/>
      <c r="N30" s="681"/>
      <c r="O30" s="681"/>
      <c r="P30" s="681"/>
      <c r="Q30" s="681"/>
      <c r="R30" s="554" t="s">
        <v>688</v>
      </c>
      <c r="S30" s="555">
        <f ca="1">IF($J17=$A$145,0,ROUND((((1+S21+S22+S23)*(1+S24)*(1+S25)/(1-(S26+S27+S28)))-1),4))</f>
        <v>0.23380000000000001</v>
      </c>
    </row>
    <row r="31" spans="1:26" ht="15" customHeight="1" x14ac:dyDescent="0.25">
      <c r="A31" s="45" t="str">
        <f>A30</f>
        <v>Obras Portuárias, Marítimas e Fluviais</v>
      </c>
      <c r="B31" s="548" t="s">
        <v>662</v>
      </c>
      <c r="C31" s="45" t="str">
        <f t="shared" si="0"/>
        <v>Obras Portuárias, Marítimas e Fluviais-BDI PAD</v>
      </c>
      <c r="E31" s="547">
        <v>0.22800000000000001</v>
      </c>
      <c r="F31" s="547">
        <v>0.27479999999999999</v>
      </c>
      <c r="G31" s="547">
        <v>0.3095</v>
      </c>
      <c r="I31" s="5" t="s">
        <v>542</v>
      </c>
    </row>
    <row r="32" spans="1:26" ht="15.6" x14ac:dyDescent="0.25">
      <c r="A32" s="45" t="s">
        <v>689</v>
      </c>
      <c r="B32" s="546" t="s">
        <v>652</v>
      </c>
      <c r="C32" s="45" t="str">
        <f t="shared" si="0"/>
        <v>Fornecimento de Materiais e Equipamentos (aquisição indireta - em conjunto com licitação de obras)-AC</v>
      </c>
      <c r="E32" s="547">
        <v>1.4999999999999999E-2</v>
      </c>
      <c r="F32" s="547">
        <v>3.4500000000000003E-2</v>
      </c>
      <c r="G32" s="547">
        <v>4.4900000000000002E-2</v>
      </c>
      <c r="I32" s="5" t="s">
        <v>542</v>
      </c>
      <c r="J32" s="50" t="str">
        <f ca="1">IF(U29&lt;&gt;"ok","X","")</f>
        <v/>
      </c>
      <c r="K32" s="682" t="str">
        <f ca="1">IF(U29&lt;&gt;"ok","Anexo: Relatório Técnico Circunstanciado justificando a adoção do percentual de cada parcela do BDI.","")</f>
        <v/>
      </c>
      <c r="L32" s="682"/>
      <c r="M32" s="682"/>
      <c r="N32" s="682"/>
      <c r="O32" s="682"/>
      <c r="P32" s="682"/>
      <c r="Q32" s="682"/>
      <c r="R32" s="682"/>
      <c r="S32" s="682"/>
    </row>
    <row r="33" spans="1:19" x14ac:dyDescent="0.25">
      <c r="A33" s="45" t="str">
        <f>A32</f>
        <v>Fornecimento de Materiais e Equipamentos (aquisição indireta - em conjunto com licitação de obras)</v>
      </c>
      <c r="B33" s="546" t="s">
        <v>654</v>
      </c>
      <c r="C33" s="45" t="str">
        <f t="shared" si="0"/>
        <v>Fornecimento de Materiais e Equipamentos (aquisição indireta - em conjunto com licitação de obras)-SG</v>
      </c>
      <c r="E33" s="547">
        <v>3.0000000000000001E-3</v>
      </c>
      <c r="F33" s="547">
        <v>4.7999999999999996E-3</v>
      </c>
      <c r="G33" s="547">
        <v>8.199999999999999E-3</v>
      </c>
      <c r="I33" s="5" t="s">
        <v>542</v>
      </c>
    </row>
    <row r="34" spans="1:19" x14ac:dyDescent="0.25">
      <c r="A34" s="45" t="str">
        <f>A33</f>
        <v>Fornecimento de Materiais e Equipamentos (aquisição indireta - em conjunto com licitação de obras)</v>
      </c>
      <c r="B34" s="546" t="s">
        <v>655</v>
      </c>
      <c r="C34" s="45" t="str">
        <f t="shared" si="0"/>
        <v>Fornecimento de Materiais e Equipamentos (aquisição indireta - em conjunto com licitação de obras)-R</v>
      </c>
      <c r="E34" s="547">
        <v>5.6000000000000008E-3</v>
      </c>
      <c r="F34" s="547">
        <v>8.5000000000000006E-3</v>
      </c>
      <c r="G34" s="547">
        <v>8.8999999999999999E-3</v>
      </c>
      <c r="I34" s="5" t="s">
        <v>542</v>
      </c>
      <c r="J34" s="684" t="s">
        <v>690</v>
      </c>
      <c r="K34" s="684"/>
      <c r="L34" s="684"/>
      <c r="M34" s="684"/>
      <c r="N34" s="684"/>
      <c r="O34" s="684"/>
      <c r="P34" s="684"/>
      <c r="Q34" s="684"/>
      <c r="R34" s="684"/>
      <c r="S34" s="684"/>
    </row>
    <row r="35" spans="1:19" ht="15.6" x14ac:dyDescent="0.3">
      <c r="A35" s="45" t="str">
        <f>A34</f>
        <v>Fornecimento de Materiais e Equipamentos (aquisição indireta - em conjunto com licitação de obras)</v>
      </c>
      <c r="B35" s="546" t="s">
        <v>659</v>
      </c>
      <c r="C35" s="45" t="str">
        <f t="shared" si="0"/>
        <v>Fornecimento de Materiais e Equipamentos (aquisição indireta - em conjunto com licitação de obras)-DF</v>
      </c>
      <c r="E35" s="547">
        <v>8.5000000000000006E-3</v>
      </c>
      <c r="F35" s="547">
        <v>8.5000000000000006E-3</v>
      </c>
      <c r="G35" s="547">
        <v>1.11E-2</v>
      </c>
      <c r="I35" s="5" t="s">
        <v>542</v>
      </c>
      <c r="J35" s="51"/>
      <c r="K35" s="51"/>
      <c r="L35" s="51"/>
      <c r="M35" s="685" t="s">
        <v>691</v>
      </c>
      <c r="N35" s="686" t="str">
        <f>IF($J17=$A$146,"(1+K1+K2)*(1+K3)","(1+AC + S + R + G)*(1 + DF)*(1+L)")</f>
        <v>(1+AC + S + R + G)*(1 + DF)*(1+L)</v>
      </c>
      <c r="O35" s="686"/>
      <c r="P35" s="686"/>
      <c r="Q35" s="687" t="s">
        <v>692</v>
      </c>
      <c r="R35" s="51"/>
      <c r="S35" s="51"/>
    </row>
    <row r="36" spans="1:19" ht="15.6" x14ac:dyDescent="0.25">
      <c r="A36" s="45" t="str">
        <f>A35</f>
        <v>Fornecimento de Materiais e Equipamentos (aquisição indireta - em conjunto com licitação de obras)</v>
      </c>
      <c r="B36" s="546" t="s">
        <v>660</v>
      </c>
      <c r="C36" s="45" t="str">
        <f t="shared" si="0"/>
        <v>Fornecimento de Materiais e Equipamentos (aquisição indireta - em conjunto com licitação de obras)-L</v>
      </c>
      <c r="E36" s="547">
        <v>3.5000000000000003E-2</v>
      </c>
      <c r="F36" s="547">
        <v>5.1100000000000007E-2</v>
      </c>
      <c r="G36" s="547">
        <v>6.2199999999999998E-2</v>
      </c>
      <c r="I36" s="5" t="s">
        <v>542</v>
      </c>
      <c r="J36" s="51"/>
      <c r="K36" s="51"/>
      <c r="L36" s="51"/>
      <c r="M36" s="685"/>
      <c r="N36" s="675" t="s">
        <v>693</v>
      </c>
      <c r="O36" s="675"/>
      <c r="P36" s="675"/>
      <c r="Q36" s="687"/>
      <c r="R36" s="51"/>
      <c r="S36" s="51"/>
    </row>
    <row r="37" spans="1:19" ht="15" customHeight="1" x14ac:dyDescent="0.25">
      <c r="A37" s="45" t="str">
        <f>A36</f>
        <v>Fornecimento de Materiais e Equipamentos (aquisição indireta - em conjunto com licitação de obras)</v>
      </c>
      <c r="B37" s="548" t="s">
        <v>662</v>
      </c>
      <c r="C37" s="45" t="str">
        <f t="shared" si="0"/>
        <v>Fornecimento de Materiais e Equipamentos (aquisição indireta - em conjunto com licitação de obras)-BDI PAD</v>
      </c>
      <c r="E37" s="547">
        <v>0.111</v>
      </c>
      <c r="F37" s="547">
        <v>0.14019999999999999</v>
      </c>
      <c r="G37" s="547">
        <v>0.16800000000000001</v>
      </c>
      <c r="I37" s="5" t="s">
        <v>542</v>
      </c>
      <c r="J37" s="52"/>
      <c r="K37" s="52"/>
      <c r="L37" s="52"/>
      <c r="M37" s="52"/>
      <c r="N37" s="52"/>
      <c r="O37" s="52"/>
      <c r="P37" s="52"/>
      <c r="Q37" s="52"/>
      <c r="R37" s="52"/>
      <c r="S37" s="52"/>
    </row>
    <row r="38" spans="1:19" ht="50.1" customHeight="1" x14ac:dyDescent="0.25">
      <c r="A38" s="45" t="s">
        <v>694</v>
      </c>
      <c r="B38" s="548" t="s">
        <v>652</v>
      </c>
      <c r="C38" s="45" t="str">
        <f t="shared" si="0"/>
        <v>Fornecimento de Materiais e Equipamentos (aquisição direta)-AC</v>
      </c>
      <c r="E38" s="547" t="s">
        <v>695</v>
      </c>
      <c r="F38" s="547" t="s">
        <v>695</v>
      </c>
      <c r="G38" s="547" t="s">
        <v>695</v>
      </c>
      <c r="I38" t="s">
        <v>542</v>
      </c>
      <c r="J38" s="66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69"/>
      <c r="L38" s="669"/>
      <c r="M38" s="669"/>
      <c r="N38" s="669"/>
      <c r="O38" s="669"/>
      <c r="P38" s="669"/>
      <c r="Q38" s="669"/>
      <c r="R38" s="669"/>
      <c r="S38" s="669"/>
    </row>
    <row r="39" spans="1:19" x14ac:dyDescent="0.25">
      <c r="A39" s="45" t="s">
        <v>694</v>
      </c>
      <c r="B39" s="548" t="s">
        <v>654</v>
      </c>
      <c r="C39" s="45" t="str">
        <f t="shared" si="0"/>
        <v>Fornecimento de Materiais e Equipamentos (aquisição direta)-SG</v>
      </c>
      <c r="E39" s="547" t="s">
        <v>695</v>
      </c>
      <c r="F39" s="547" t="s">
        <v>695</v>
      </c>
      <c r="G39" s="547" t="s">
        <v>695</v>
      </c>
      <c r="I39" t="s">
        <v>542</v>
      </c>
    </row>
    <row r="40" spans="1:19" ht="50.1" customHeight="1" x14ac:dyDescent="0.25">
      <c r="A40" s="45" t="s">
        <v>694</v>
      </c>
      <c r="B40" s="548" t="s">
        <v>655</v>
      </c>
      <c r="C40" s="45" t="str">
        <f t="shared" si="0"/>
        <v>Fornecimento de Materiais e Equipamentos (aquisição direta)-R</v>
      </c>
      <c r="E40" s="547" t="s">
        <v>695</v>
      </c>
      <c r="F40" s="547" t="s">
        <v>695</v>
      </c>
      <c r="G40" s="547" t="s">
        <v>695</v>
      </c>
      <c r="I40" t="s">
        <v>542</v>
      </c>
      <c r="J40" s="66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69"/>
      <c r="L40" s="669"/>
      <c r="M40" s="669"/>
      <c r="N40" s="669"/>
      <c r="O40" s="669"/>
      <c r="P40" s="669"/>
      <c r="Q40" s="669"/>
      <c r="R40" s="669"/>
      <c r="S40" s="669"/>
    </row>
    <row r="41" spans="1:19" x14ac:dyDescent="0.25">
      <c r="A41" s="45" t="s">
        <v>694</v>
      </c>
      <c r="B41" s="548" t="s">
        <v>659</v>
      </c>
      <c r="C41" s="45" t="str">
        <f t="shared" si="0"/>
        <v>Fornecimento de Materiais e Equipamentos (aquisição direta)-DF</v>
      </c>
      <c r="E41" s="547" t="s">
        <v>695</v>
      </c>
      <c r="F41" s="547" t="s">
        <v>695</v>
      </c>
      <c r="G41" s="547" t="s">
        <v>695</v>
      </c>
      <c r="I41" t="s">
        <v>542</v>
      </c>
    </row>
    <row r="42" spans="1:19" x14ac:dyDescent="0.25">
      <c r="A42" s="45" t="s">
        <v>694</v>
      </c>
      <c r="B42" s="548" t="s">
        <v>660</v>
      </c>
      <c r="C42" s="45" t="str">
        <f t="shared" si="0"/>
        <v>Fornecimento de Materiais e Equipamentos (aquisição direta)-L</v>
      </c>
      <c r="E42" s="547" t="s">
        <v>695</v>
      </c>
      <c r="F42" s="547" t="s">
        <v>695</v>
      </c>
      <c r="G42" s="547" t="s">
        <v>695</v>
      </c>
      <c r="I42" t="s">
        <v>542</v>
      </c>
      <c r="J42" s="45" t="s">
        <v>696</v>
      </c>
    </row>
    <row r="43" spans="1:19" ht="99.9" customHeight="1" x14ac:dyDescent="0.25">
      <c r="A43" s="45" t="s">
        <v>694</v>
      </c>
      <c r="B43" s="548" t="s">
        <v>662</v>
      </c>
      <c r="C43" s="45" t="str">
        <f t="shared" si="0"/>
        <v>Fornecimento de Materiais e Equipamentos (aquisição direta)-BDI PAD</v>
      </c>
      <c r="E43" s="547" t="s">
        <v>695</v>
      </c>
      <c r="F43" s="547" t="s">
        <v>695</v>
      </c>
      <c r="G43" s="547" t="s">
        <v>695</v>
      </c>
      <c r="I43" t="s">
        <v>542</v>
      </c>
      <c r="J43" s="670"/>
      <c r="K43" s="670"/>
      <c r="L43" s="670"/>
      <c r="M43" s="670"/>
      <c r="N43" s="670"/>
      <c r="O43" s="670"/>
      <c r="P43" s="670"/>
      <c r="Q43" s="670"/>
      <c r="R43" s="670"/>
      <c r="S43" s="670"/>
    </row>
    <row r="44" spans="1:19" x14ac:dyDescent="0.25">
      <c r="A44" s="45" t="s">
        <v>697</v>
      </c>
      <c r="B44" s="546" t="s">
        <v>698</v>
      </c>
      <c r="C44" s="45" t="str">
        <f t="shared" si="0"/>
        <v>Estudos e Projetos, Planos e Gerenciamento e outros correlatos-K1</v>
      </c>
      <c r="E44" s="547" t="s">
        <v>695</v>
      </c>
      <c r="F44" s="547" t="s">
        <v>695</v>
      </c>
      <c r="G44" s="547" t="s">
        <v>695</v>
      </c>
      <c r="I44" t="s">
        <v>542</v>
      </c>
    </row>
    <row r="45" spans="1:19" x14ac:dyDescent="0.25">
      <c r="A45" s="45" t="str">
        <f>A44</f>
        <v>Estudos e Projetos, Planos e Gerenciamento e outros correlatos</v>
      </c>
      <c r="B45" s="546" t="s">
        <v>699</v>
      </c>
      <c r="C45" s="45" t="str">
        <f t="shared" si="0"/>
        <v>Estudos e Projetos, Planos e Gerenciamento e outros correlatos-K2</v>
      </c>
      <c r="E45" s="547" t="s">
        <v>695</v>
      </c>
      <c r="F45" s="547">
        <v>0.2</v>
      </c>
      <c r="G45" s="547" t="s">
        <v>695</v>
      </c>
      <c r="I45" t="s">
        <v>542</v>
      </c>
      <c r="J45" s="671" t="str">
        <f>Import.Município</f>
        <v>URUARÁ-PARÁ</v>
      </c>
      <c r="K45" s="671"/>
      <c r="L45" s="671"/>
      <c r="M45" s="671"/>
      <c r="P45" s="672">
        <f>DADOS!$C$25</f>
        <v>46144</v>
      </c>
      <c r="Q45" s="672"/>
      <c r="R45" s="672"/>
      <c r="S45" s="672"/>
    </row>
    <row r="46" spans="1:19" x14ac:dyDescent="0.25">
      <c r="A46" s="45" t="str">
        <f>A45</f>
        <v>Estudos e Projetos, Planos e Gerenciamento e outros correlatos</v>
      </c>
      <c r="B46" s="546"/>
      <c r="C46" s="45" t="str">
        <f t="shared" si="0"/>
        <v>Estudos e Projetos, Planos e Gerenciamento e outros correlatos-</v>
      </c>
      <c r="E46" s="547" t="s">
        <v>695</v>
      </c>
      <c r="F46" s="547" t="s">
        <v>695</v>
      </c>
      <c r="G46" s="547" t="s">
        <v>695</v>
      </c>
      <c r="I46" t="s">
        <v>542</v>
      </c>
      <c r="J46" s="673" t="s">
        <v>700</v>
      </c>
      <c r="K46" s="673"/>
      <c r="L46" s="673"/>
      <c r="M46" s="673"/>
      <c r="O46" s="53"/>
      <c r="P46" s="556" t="s">
        <v>701</v>
      </c>
      <c r="Q46" s="557"/>
      <c r="R46" s="557"/>
      <c r="S46" s="557"/>
    </row>
    <row r="47" spans="1:19" ht="30" customHeight="1" x14ac:dyDescent="0.25">
      <c r="A47" s="45" t="str">
        <f>A46</f>
        <v>Estudos e Projetos, Planos e Gerenciamento e outros correlatos</v>
      </c>
      <c r="B47" s="546"/>
      <c r="C47" s="45" t="str">
        <f t="shared" si="0"/>
        <v>Estudos e Projetos, Planos e Gerenciamento e outros correlatos-</v>
      </c>
      <c r="E47" s="547" t="s">
        <v>695</v>
      </c>
      <c r="F47" s="547" t="s">
        <v>695</v>
      </c>
      <c r="G47" s="547" t="s">
        <v>695</v>
      </c>
      <c r="I47" t="s">
        <v>542</v>
      </c>
    </row>
    <row r="48" spans="1:19" ht="13.8" x14ac:dyDescent="0.25">
      <c r="A48" s="45" t="str">
        <f>A47</f>
        <v>Estudos e Projetos, Planos e Gerenciamento e outros correlatos</v>
      </c>
      <c r="B48" s="546" t="s">
        <v>702</v>
      </c>
      <c r="C48" s="45" t="str">
        <f t="shared" si="0"/>
        <v>Estudos e Projetos, Planos e Gerenciamento e outros correlatos-K3</v>
      </c>
      <c r="E48" s="547" t="s">
        <v>695</v>
      </c>
      <c r="F48" s="547">
        <v>0.12</v>
      </c>
      <c r="G48" s="547" t="s">
        <v>695</v>
      </c>
      <c r="I48" t="s">
        <v>542</v>
      </c>
      <c r="J48" s="674"/>
      <c r="K48" s="674"/>
      <c r="L48" s="674"/>
      <c r="M48" s="674"/>
      <c r="N48" s="54"/>
    </row>
    <row r="49" spans="1:26" ht="12.75" customHeight="1" x14ac:dyDescent="0.25">
      <c r="A49" s="45" t="str">
        <f>A48</f>
        <v>Estudos e Projetos, Planos e Gerenciamento e outros correlatos</v>
      </c>
      <c r="B49" s="548" t="s">
        <v>662</v>
      </c>
      <c r="C49" s="45" t="str">
        <f t="shared" si="0"/>
        <v>Estudos e Projetos, Planos e Gerenciamento e outros correlatos-BDI PAD</v>
      </c>
      <c r="E49" s="547" t="s">
        <v>695</v>
      </c>
      <c r="F49" s="547" t="s">
        <v>695</v>
      </c>
      <c r="G49" s="547" t="s">
        <v>695</v>
      </c>
      <c r="I49" t="s">
        <v>542</v>
      </c>
      <c r="J49" s="668" t="s">
        <v>703</v>
      </c>
      <c r="K49" s="668"/>
      <c r="L49" s="668"/>
      <c r="M49" s="668"/>
    </row>
    <row r="50" spans="1:26" ht="13.8" x14ac:dyDescent="0.25">
      <c r="B50" s="548"/>
      <c r="E50" s="547"/>
      <c r="F50" s="547"/>
      <c r="G50" s="547"/>
      <c r="I50" t="s">
        <v>542</v>
      </c>
      <c r="J50" s="55" t="s">
        <v>240</v>
      </c>
      <c r="K50" s="56" t="str">
        <f t="array" ref="K50:K52">Import.RespOrçamento</f>
        <v>DOUGLAS NASCIMENTO DOS SANTOS</v>
      </c>
      <c r="L50" s="57"/>
      <c r="M50" s="57"/>
      <c r="N50" s="54"/>
    </row>
    <row r="51" spans="1:26" ht="13.8" x14ac:dyDescent="0.25">
      <c r="A51"/>
      <c r="B51"/>
      <c r="C51"/>
      <c r="D51"/>
      <c r="E51"/>
      <c r="F51"/>
      <c r="G51"/>
      <c r="I51" t="s">
        <v>542</v>
      </c>
      <c r="J51" s="55" t="s">
        <v>244</v>
      </c>
      <c r="K51" s="56" t="str">
        <v>151536623-5</v>
      </c>
      <c r="L51" s="57"/>
      <c r="M51" s="57"/>
      <c r="N51" s="54"/>
    </row>
    <row r="52" spans="1:26" ht="13.8" x14ac:dyDescent="0.25">
      <c r="A52"/>
      <c r="B52"/>
      <c r="C52"/>
      <c r="D52"/>
      <c r="E52"/>
      <c r="F52"/>
      <c r="G52"/>
      <c r="I52" t="s">
        <v>542</v>
      </c>
      <c r="J52" s="55" t="s">
        <v>248</v>
      </c>
      <c r="K52" s="56">
        <v>0</v>
      </c>
      <c r="L52" s="57"/>
      <c r="M52" s="57"/>
      <c r="N52" s="54"/>
    </row>
    <row r="53" spans="1:26" ht="13.8" x14ac:dyDescent="0.25">
      <c r="A53"/>
      <c r="B53"/>
      <c r="C53"/>
      <c r="D53"/>
      <c r="E53"/>
      <c r="F53"/>
      <c r="G53"/>
      <c r="I53" t="s">
        <v>542</v>
      </c>
      <c r="J53" s="55"/>
      <c r="K53" s="58"/>
      <c r="L53" s="57"/>
      <c r="M53" s="57"/>
      <c r="N53" s="54"/>
    </row>
    <row r="54" spans="1:26" ht="15.6" hidden="1" x14ac:dyDescent="0.3">
      <c r="A54"/>
      <c r="B54"/>
      <c r="C54"/>
      <c r="D54"/>
      <c r="E54"/>
      <c r="F54"/>
      <c r="G54"/>
      <c r="I54" t="str">
        <f ca="1">IF($S$69=0,"","F")</f>
        <v/>
      </c>
      <c r="J54" s="692" t="s">
        <v>704</v>
      </c>
      <c r="K54" s="692"/>
      <c r="L54" s="692"/>
      <c r="M54" s="692"/>
      <c r="N54" s="692"/>
      <c r="O54" s="692"/>
      <c r="P54" s="692"/>
      <c r="Q54" s="692"/>
      <c r="R54" s="692"/>
      <c r="S54" s="692"/>
      <c r="U54" s="431" t="str">
        <f>IF(COUNTIF(ORÇAMENTO!$V$15:$V$36,BDI_2.Título)=0,"",IF(OR(Import.BDI.Tipo2="(SELECIONAR)",Import.BDI.Tipo2="",U57&lt;&gt;"",S61=0,S62=0,S63=0,S64=0,S65=0,S66=0),"Falta preencher o BDI 2",""))</f>
        <v/>
      </c>
    </row>
    <row r="55" spans="1:26" hidden="1" x14ac:dyDescent="0.25">
      <c r="A55"/>
      <c r="B55"/>
      <c r="C55"/>
      <c r="D55"/>
      <c r="E55"/>
      <c r="F55"/>
      <c r="G55"/>
      <c r="I55" t="str">
        <f t="shared" ref="I55:I93" ca="1" si="3">IF($S$69=0,"","F")</f>
        <v/>
      </c>
    </row>
    <row r="56" spans="1:26" hidden="1" x14ac:dyDescent="0.25">
      <c r="A56"/>
      <c r="B56"/>
      <c r="C56"/>
      <c r="D56"/>
      <c r="E56"/>
      <c r="F56"/>
      <c r="G56"/>
      <c r="I56" t="str">
        <f t="shared" ca="1" si="3"/>
        <v/>
      </c>
      <c r="J56" s="690" t="s">
        <v>670</v>
      </c>
      <c r="K56" s="690"/>
      <c r="L56" s="690"/>
      <c r="M56" s="690"/>
      <c r="N56" s="690"/>
      <c r="O56" s="690"/>
      <c r="P56" s="690"/>
      <c r="Q56" s="690"/>
      <c r="R56" s="690"/>
      <c r="S56" s="690"/>
    </row>
    <row r="57" spans="1:26" ht="13.8" hidden="1" x14ac:dyDescent="0.25">
      <c r="A57"/>
      <c r="B57"/>
      <c r="C57"/>
      <c r="D57"/>
      <c r="E57"/>
      <c r="F57"/>
      <c r="G57"/>
      <c r="I57" t="str">
        <f t="shared" ca="1" si="3"/>
        <v/>
      </c>
      <c r="J57" s="691" t="s">
        <v>689</v>
      </c>
      <c r="K57" s="691"/>
      <c r="L57" s="691"/>
      <c r="M57" s="691"/>
      <c r="N57" s="691"/>
      <c r="O57" s="691"/>
      <c r="P57" s="691"/>
      <c r="Q57" s="691"/>
      <c r="R57" s="691"/>
      <c r="S57" s="691"/>
      <c r="T57" s="475" t="str">
        <f ca="1">IF(U57="","","◄")</f>
        <v/>
      </c>
      <c r="U57" s="474" t="str">
        <f ca="1">IF(AND(OR(S69&gt;0,COUNTIF(ORÇAMENTO!$V$15:$V$36,BDI_2.Título)&gt;0),OR(Import.BDI.Tipo2="(SELECIONAR)",Import.BDI.Tipo2="")),"Selecione o Tipo de obra","")</f>
        <v/>
      </c>
    </row>
    <row r="58" spans="1:26" hidden="1" x14ac:dyDescent="0.25">
      <c r="A58"/>
      <c r="B58"/>
      <c r="C58"/>
      <c r="D58"/>
      <c r="E58"/>
      <c r="F58"/>
      <c r="G58"/>
      <c r="I58" t="str">
        <f t="shared" ca="1" si="3"/>
        <v/>
      </c>
    </row>
    <row r="59" spans="1:26" ht="12.75" hidden="1" customHeight="1" x14ac:dyDescent="0.25">
      <c r="A59"/>
      <c r="B59"/>
      <c r="C59"/>
      <c r="D59"/>
      <c r="E59"/>
      <c r="F59"/>
      <c r="G59"/>
      <c r="I59" t="str">
        <f t="shared" ca="1" si="3"/>
        <v/>
      </c>
      <c r="J59" s="689" t="s">
        <v>671</v>
      </c>
      <c r="K59" s="689"/>
      <c r="L59" s="689"/>
      <c r="M59" s="689"/>
      <c r="N59" s="689"/>
      <c r="O59" s="689"/>
      <c r="P59" s="689"/>
      <c r="Q59" s="689"/>
      <c r="R59" s="689" t="s">
        <v>672</v>
      </c>
      <c r="S59" s="680" t="s">
        <v>673</v>
      </c>
      <c r="U59" s="680" t="s">
        <v>674</v>
      </c>
      <c r="V59" s="680"/>
      <c r="W59" s="680"/>
      <c r="X59" s="688" t="s">
        <v>675</v>
      </c>
      <c r="Y59" s="688" t="s">
        <v>676</v>
      </c>
      <c r="Z59" s="688" t="s">
        <v>677</v>
      </c>
    </row>
    <row r="60" spans="1:26" ht="12.75" hidden="1" customHeight="1" x14ac:dyDescent="0.25">
      <c r="A60"/>
      <c r="B60"/>
      <c r="C60"/>
      <c r="D60"/>
      <c r="E60"/>
      <c r="F60"/>
      <c r="G60"/>
      <c r="I60" t="str">
        <f t="shared" ca="1" si="3"/>
        <v/>
      </c>
      <c r="J60" s="689"/>
      <c r="K60" s="689"/>
      <c r="L60" s="689"/>
      <c r="M60" s="689"/>
      <c r="N60" s="689"/>
      <c r="O60" s="689"/>
      <c r="P60" s="689"/>
      <c r="Q60" s="689"/>
      <c r="R60" s="689"/>
      <c r="S60" s="680"/>
      <c r="U60" s="680"/>
      <c r="V60" s="680"/>
      <c r="W60" s="680"/>
      <c r="X60" s="688"/>
      <c r="Y60" s="688"/>
      <c r="Z60" s="688"/>
    </row>
    <row r="61" spans="1:26" ht="15" hidden="1" customHeight="1" x14ac:dyDescent="0.25">
      <c r="A61"/>
      <c r="B61"/>
      <c r="C61"/>
      <c r="D61"/>
      <c r="E61"/>
      <c r="F61"/>
      <c r="G61"/>
      <c r="I61" t="str">
        <f t="shared" ca="1" si="3"/>
        <v/>
      </c>
      <c r="J61" s="676" t="str">
        <f>IF($J$17=$A$146,"Encargos Sociais incidentes sobre a mão de obra","Administração Central")</f>
        <v>Administração Central</v>
      </c>
      <c r="K61" s="676"/>
      <c r="L61" s="676"/>
      <c r="M61" s="676"/>
      <c r="N61" s="676"/>
      <c r="O61" s="676"/>
      <c r="P61" s="676"/>
      <c r="Q61" s="676"/>
      <c r="R61" s="549" t="str">
        <f>IF($J57=$A$146,"K1","AC")</f>
        <v>AC</v>
      </c>
      <c r="S61" s="550"/>
      <c r="T61" s="485" t="str">
        <f ca="1">IF(AND($U$14&lt;&gt;"",S61=""),"◄","")</f>
        <v/>
      </c>
      <c r="U61" s="677" t="str">
        <f>IFERROR(IF(AND(S61&gt;=X61,S61&lt;=Z61),"OK","FORA DO INTERVALO"),"-")</f>
        <v>FORA DO INTERVALO</v>
      </c>
      <c r="V61" s="678"/>
      <c r="W61" s="679"/>
      <c r="X61" s="551">
        <f>VLOOKUP(CONCATENATE(J57,"-",R61),$C$2:$G$136,3,FALSE)</f>
        <v>1.4999999999999999E-2</v>
      </c>
      <c r="Y61" s="551">
        <f>VLOOKUP(CONCATENATE(J57,"-",R61),$C$2:$G$136,4,FALSE)</f>
        <v>3.4500000000000003E-2</v>
      </c>
      <c r="Z61" s="551">
        <f>VLOOKUP(CONCATENATE(J57,"-",R61),$C$2:$G$136,5,FALSE)</f>
        <v>4.4900000000000002E-2</v>
      </c>
    </row>
    <row r="62" spans="1:26" ht="15" hidden="1" customHeight="1" x14ac:dyDescent="0.25">
      <c r="A62"/>
      <c r="B62"/>
      <c r="C62"/>
      <c r="D62"/>
      <c r="E62"/>
      <c r="F62"/>
      <c r="G62"/>
      <c r="I62" t="str">
        <f t="shared" ca="1" si="3"/>
        <v/>
      </c>
      <c r="J62" s="676" t="str">
        <f>IF($J$17=$A$146,"Administração Central da empresa ou consultoria - overhead","Seguro e Garantia")</f>
        <v>Seguro e Garantia</v>
      </c>
      <c r="K62" s="676"/>
      <c r="L62" s="676"/>
      <c r="M62" s="676"/>
      <c r="N62" s="676"/>
      <c r="O62" s="676"/>
      <c r="P62" s="676"/>
      <c r="Q62" s="676"/>
      <c r="R62" s="549" t="str">
        <f>IF($J57=$A$146,"K2","SG")</f>
        <v>SG</v>
      </c>
      <c r="S62" s="550"/>
      <c r="T62" s="485" t="str">
        <f t="shared" ref="T62:T66" ca="1" si="4">IF(AND($U$14&lt;&gt;"",S62=""),"◄","")</f>
        <v/>
      </c>
      <c r="U62" s="677" t="str">
        <f t="shared" ref="U62:U67" si="5">IFERROR(IF(AND(S62&gt;=X62,S62&lt;=Z62),"OK","FORA DO INTERVALO"),"-")</f>
        <v>FORA DO INTERVALO</v>
      </c>
      <c r="V62" s="678"/>
      <c r="W62" s="679"/>
      <c r="X62" s="551">
        <f>VLOOKUP(CONCATENATE(J57,"-",R62),$C$2:$G$136,3,FALSE)</f>
        <v>3.0000000000000001E-3</v>
      </c>
      <c r="Y62" s="551">
        <f>VLOOKUP(CONCATENATE(J57,"-",R62),$C$2:$G$136,4,FALSE)</f>
        <v>4.7999999999999996E-3</v>
      </c>
      <c r="Z62" s="551">
        <f>VLOOKUP(CONCATENATE(J57,"-",R62),$C$2:$G$136,5,FALSE)</f>
        <v>8.199999999999999E-3</v>
      </c>
    </row>
    <row r="63" spans="1:26" ht="15" hidden="1" customHeight="1" x14ac:dyDescent="0.25">
      <c r="A63"/>
      <c r="B63"/>
      <c r="C63"/>
      <c r="D63"/>
      <c r="E63"/>
      <c r="F63"/>
      <c r="G63"/>
      <c r="I63" t="str">
        <f t="shared" ca="1" si="3"/>
        <v/>
      </c>
      <c r="J63" s="676" t="str">
        <f>IF($J$17=$A$146,"","Risco")</f>
        <v>Risco</v>
      </c>
      <c r="K63" s="676"/>
      <c r="L63" s="676"/>
      <c r="M63" s="676"/>
      <c r="N63" s="676"/>
      <c r="O63" s="676"/>
      <c r="P63" s="676"/>
      <c r="Q63" s="676"/>
      <c r="R63" s="549" t="str">
        <f>IF($J57=$A$146,"","R")</f>
        <v>R</v>
      </c>
      <c r="S63" s="550"/>
      <c r="T63" s="485" t="str">
        <f t="shared" ca="1" si="4"/>
        <v/>
      </c>
      <c r="U63" s="677" t="str">
        <f t="shared" si="5"/>
        <v>FORA DO INTERVALO</v>
      </c>
      <c r="V63" s="678"/>
      <c r="W63" s="679"/>
      <c r="X63" s="551">
        <f>VLOOKUP(CONCATENATE(J57,"-",R63),$C$2:$G$136,3,FALSE)</f>
        <v>5.6000000000000008E-3</v>
      </c>
      <c r="Y63" s="551">
        <f>VLOOKUP(CONCATENATE(J57,"-",R63),$C$2:$G$136,4,FALSE)</f>
        <v>8.5000000000000006E-3</v>
      </c>
      <c r="Z63" s="551">
        <f>VLOOKUP(CONCATENATE(J57,"-",R63),$C$2:$G$136,5,FALSE)</f>
        <v>8.8999999999999999E-3</v>
      </c>
    </row>
    <row r="64" spans="1:26" ht="15" hidden="1" customHeight="1" x14ac:dyDescent="0.25">
      <c r="A64"/>
      <c r="B64"/>
      <c r="C64"/>
      <c r="D64"/>
      <c r="E64"/>
      <c r="F64"/>
      <c r="G64"/>
      <c r="I64" t="str">
        <f t="shared" ca="1" si="3"/>
        <v/>
      </c>
      <c r="J64" s="676" t="str">
        <f>IF($J$17=$A$146,"","Despesas Financeiras")</f>
        <v>Despesas Financeiras</v>
      </c>
      <c r="K64" s="676"/>
      <c r="L64" s="676"/>
      <c r="M64" s="676"/>
      <c r="N64" s="676"/>
      <c r="O64" s="676"/>
      <c r="P64" s="676"/>
      <c r="Q64" s="676"/>
      <c r="R64" s="549" t="str">
        <f>IF($J57=$A$146,"","DF")</f>
        <v>DF</v>
      </c>
      <c r="S64" s="550"/>
      <c r="T64" s="485" t="str">
        <f t="shared" ca="1" si="4"/>
        <v/>
      </c>
      <c r="U64" s="677" t="str">
        <f t="shared" si="5"/>
        <v>FORA DO INTERVALO</v>
      </c>
      <c r="V64" s="678"/>
      <c r="W64" s="679"/>
      <c r="X64" s="551">
        <f>VLOOKUP(CONCATENATE(J57,"-",R64),$C$2:$G$136,3,FALSE)</f>
        <v>8.5000000000000006E-3</v>
      </c>
      <c r="Y64" s="551">
        <f>VLOOKUP(CONCATENATE(J57,"-",R64),$C$2:$G$136,4,FALSE)</f>
        <v>8.5000000000000006E-3</v>
      </c>
      <c r="Z64" s="551">
        <f>VLOOKUP(CONCATENATE(J57,"-",R64),$C$2:$G$136,5,FALSE)</f>
        <v>1.11E-2</v>
      </c>
    </row>
    <row r="65" spans="1:26" ht="15" hidden="1" customHeight="1" x14ac:dyDescent="0.25">
      <c r="A65"/>
      <c r="B65"/>
      <c r="C65"/>
      <c r="D65"/>
      <c r="E65"/>
      <c r="F65"/>
      <c r="G65"/>
      <c r="I65" t="str">
        <f t="shared" ca="1" si="3"/>
        <v/>
      </c>
      <c r="J65" s="676" t="str">
        <f>IF($J$17=$A$146,"Margem bruta da empresa de consultoria","Lucro")</f>
        <v>Lucro</v>
      </c>
      <c r="K65" s="676"/>
      <c r="L65" s="676"/>
      <c r="M65" s="676"/>
      <c r="N65" s="676"/>
      <c r="O65" s="676"/>
      <c r="P65" s="676"/>
      <c r="Q65" s="676"/>
      <c r="R65" s="549" t="str">
        <f>IF($J57=$A$146,"K3","L")</f>
        <v>L</v>
      </c>
      <c r="S65" s="550"/>
      <c r="T65" s="485" t="str">
        <f t="shared" ca="1" si="4"/>
        <v/>
      </c>
      <c r="U65" s="677" t="str">
        <f t="shared" si="5"/>
        <v>FORA DO INTERVALO</v>
      </c>
      <c r="V65" s="678"/>
      <c r="W65" s="679"/>
      <c r="X65" s="551">
        <f>VLOOKUP(CONCATENATE(J57,"-",R65),$C$2:$G$136,3,FALSE)</f>
        <v>3.5000000000000003E-2</v>
      </c>
      <c r="Y65" s="551">
        <f>VLOOKUP(CONCATENATE(J57,"-",R65),$C$2:$G$136,4,FALSE)</f>
        <v>5.1100000000000007E-2</v>
      </c>
      <c r="Z65" s="551">
        <f>VLOOKUP(CONCATENATE(J57,"-",R65),$C$2:$G$136,5,FALSE)</f>
        <v>6.2199999999999998E-2</v>
      </c>
    </row>
    <row r="66" spans="1:26" ht="15" hidden="1" customHeight="1" x14ac:dyDescent="0.25">
      <c r="A66"/>
      <c r="B66"/>
      <c r="C66"/>
      <c r="D66"/>
      <c r="E66"/>
      <c r="F66"/>
      <c r="G66"/>
      <c r="I66" t="str">
        <f t="shared" ca="1" si="3"/>
        <v/>
      </c>
      <c r="J66" s="676" t="s">
        <v>680</v>
      </c>
      <c r="K66" s="676"/>
      <c r="L66" s="676"/>
      <c r="M66" s="676"/>
      <c r="N66" s="676"/>
      <c r="O66" s="676"/>
      <c r="P66" s="676"/>
      <c r="Q66" s="676"/>
      <c r="R66" s="549" t="s">
        <v>462</v>
      </c>
      <c r="S66" s="550"/>
      <c r="T66" s="485" t="str">
        <f t="shared" ca="1" si="4"/>
        <v/>
      </c>
      <c r="U66" s="677" t="str">
        <f t="shared" si="5"/>
        <v>FORA DO INTERVALO</v>
      </c>
      <c r="V66" s="678"/>
      <c r="W66" s="679"/>
      <c r="X66" s="551">
        <v>3.6499999999999998E-2</v>
      </c>
      <c r="Y66" s="551">
        <v>3.6499999999999998E-2</v>
      </c>
      <c r="Z66" s="551">
        <v>3.6499999999999998E-2</v>
      </c>
    </row>
    <row r="67" spans="1:26" ht="15" hidden="1" customHeight="1" x14ac:dyDescent="0.25">
      <c r="A67"/>
      <c r="B67"/>
      <c r="C67"/>
      <c r="D67"/>
      <c r="E67"/>
      <c r="F67"/>
      <c r="G67"/>
      <c r="I67" t="str">
        <f t="shared" ca="1" si="3"/>
        <v/>
      </c>
      <c r="J67" s="676" t="s">
        <v>681</v>
      </c>
      <c r="K67" s="676"/>
      <c r="L67" s="676"/>
      <c r="M67" s="676"/>
      <c r="N67" s="676"/>
      <c r="O67" s="676"/>
      <c r="P67" s="676"/>
      <c r="Q67" s="676"/>
      <c r="R67" s="549" t="s">
        <v>682</v>
      </c>
      <c r="S67" s="551">
        <f ca="1">IF(AND($J57&lt;&gt;$A$145,COUNTA(OFFSET(S60,1,0,6))&gt;0),$R$11*$R$10,0)</f>
        <v>0</v>
      </c>
      <c r="U67" s="677" t="str">
        <f t="shared" ca="1" si="5"/>
        <v>OK</v>
      </c>
      <c r="V67" s="678"/>
      <c r="W67" s="679"/>
      <c r="X67" s="551">
        <v>0</v>
      </c>
      <c r="Y67" s="551">
        <v>2.5000000000000001E-2</v>
      </c>
      <c r="Z67" s="551">
        <v>0.05</v>
      </c>
    </row>
    <row r="68" spans="1:26" ht="15" hidden="1" customHeight="1" x14ac:dyDescent="0.25">
      <c r="A68"/>
      <c r="B68"/>
      <c r="C68"/>
      <c r="D68"/>
      <c r="E68"/>
      <c r="F68"/>
      <c r="G68"/>
      <c r="I68" t="str">
        <f t="shared" ca="1" si="3"/>
        <v/>
      </c>
      <c r="J68" s="676" t="s">
        <v>683</v>
      </c>
      <c r="K68" s="676"/>
      <c r="L68" s="676"/>
      <c r="M68" s="676"/>
      <c r="N68" s="676"/>
      <c r="O68" s="676"/>
      <c r="P68" s="676"/>
      <c r="Q68" s="676"/>
      <c r="R68" s="549" t="s">
        <v>684</v>
      </c>
      <c r="S68" s="551" cm="1">
        <f t="array" aca="1" ref="S68" ca="1">IF(BDI.Opcao&lt;&gt;"Desonerado",0,IF(AND($J57&lt;&gt;$A$145,COUNTA(OFFSET(S60,1,0,6))&gt;0),IF(YEAR(Import.DataBase)&lt;2025,4.5%,IF(YEAR(Import.DataBase)=2025,3.6%,IF(YEAR(Import.DataBase)=2026,2.7%,IF(YEAR(Import.DataBase)=2027,1.8%,0%)))),0%))</f>
        <v>0</v>
      </c>
      <c r="U68" s="677" t="s">
        <v>685</v>
      </c>
      <c r="V68" s="678"/>
      <c r="W68" s="679"/>
      <c r="X68" s="552">
        <f ca="1">$S68</f>
        <v>0</v>
      </c>
      <c r="Y68" s="552">
        <f ca="1">$S68</f>
        <v>0</v>
      </c>
      <c r="Z68" s="552">
        <f ca="1">$S68</f>
        <v>0</v>
      </c>
    </row>
    <row r="69" spans="1:26" ht="15" hidden="1" customHeight="1" x14ac:dyDescent="0.25">
      <c r="A69"/>
      <c r="B69"/>
      <c r="C69"/>
      <c r="D69"/>
      <c r="E69"/>
      <c r="F69"/>
      <c r="G69"/>
      <c r="I69" t="str">
        <f t="shared" ca="1" si="3"/>
        <v/>
      </c>
      <c r="J69" s="676" t="s">
        <v>686</v>
      </c>
      <c r="K69" s="676"/>
      <c r="L69" s="676"/>
      <c r="M69" s="676"/>
      <c r="N69" s="676"/>
      <c r="O69" s="676"/>
      <c r="P69" s="676"/>
      <c r="Q69" s="676"/>
      <c r="R69" s="553" t="s">
        <v>662</v>
      </c>
      <c r="S69" s="551">
        <f ca="1">IF($J57=$A$145,0,ROUND((((1+S61+S62+S63)*(1+S64)*(1+S65)/(1-(S66+S67)))-1),4))</f>
        <v>0</v>
      </c>
      <c r="U69" s="680" t="str">
        <f ca="1">IFERROR(IF(OR($J$17=$A$146,$J$17=$A$145,AND(S69&gt;=X69,S69&lt;=Z69)),"OK","FORA DO INTERVALO"),IF(S69=0,"OK","Selecione o Tipo de obra"))</f>
        <v>FORA DO INTERVALO</v>
      </c>
      <c r="V69" s="680"/>
      <c r="W69" s="680"/>
      <c r="X69" s="551">
        <f>IF($J57=$A$145,0,VLOOKUP(CONCATENATE($J57,"-",$R69),$C$2:$G$136,3,FALSE))</f>
        <v>0.111</v>
      </c>
      <c r="Y69" s="551">
        <f>IF($J57=$A$145,0,VLOOKUP(CONCATENATE($J57,"-",$R69),$C$2:$G$136,4,FALSE))</f>
        <v>0.14019999999999999</v>
      </c>
      <c r="Z69" s="551">
        <f>IF($J57=$A$145,0,VLOOKUP(CONCATENATE($J57,"-",$R69),$C$2:$G$136,5,FALSE))</f>
        <v>0.16800000000000001</v>
      </c>
    </row>
    <row r="70" spans="1:26" ht="15" hidden="1" customHeight="1" x14ac:dyDescent="0.25">
      <c r="A70"/>
      <c r="B70"/>
      <c r="C70"/>
      <c r="D70"/>
      <c r="E70"/>
      <c r="F70"/>
      <c r="G70"/>
      <c r="I70" t="str">
        <f t="shared" ca="1" si="3"/>
        <v/>
      </c>
      <c r="J70" s="681" t="s">
        <v>687</v>
      </c>
      <c r="K70" s="681"/>
      <c r="L70" s="681"/>
      <c r="M70" s="681"/>
      <c r="N70" s="681"/>
      <c r="O70" s="681"/>
      <c r="P70" s="681"/>
      <c r="Q70" s="681"/>
      <c r="R70" s="554" t="s">
        <v>688</v>
      </c>
      <c r="S70" s="555">
        <f ca="1">IF($J57=$A$145,0,ROUND((((1+S61+S62+S63)*(1+S64)*(1+S65)/(1-(S66+S67+S68)))-1),4))</f>
        <v>0</v>
      </c>
    </row>
    <row r="71" spans="1:26" ht="15" hidden="1" customHeight="1" x14ac:dyDescent="0.25">
      <c r="A71"/>
      <c r="B71"/>
      <c r="C71"/>
      <c r="D71"/>
      <c r="E71"/>
      <c r="F71"/>
      <c r="G71"/>
      <c r="I71" t="str">
        <f t="shared" ca="1" si="3"/>
        <v/>
      </c>
    </row>
    <row r="72" spans="1:26" ht="15.6" hidden="1" x14ac:dyDescent="0.25">
      <c r="A72"/>
      <c r="B72"/>
      <c r="C72"/>
      <c r="D72"/>
      <c r="E72"/>
      <c r="F72"/>
      <c r="G72"/>
      <c r="I72" t="str">
        <f t="shared" ca="1" si="3"/>
        <v/>
      </c>
      <c r="J72" s="50" t="str">
        <f ca="1">IF(U69&lt;&gt;"ok","X","")</f>
        <v>X</v>
      </c>
      <c r="K72" s="682" t="str">
        <f ca="1">IF(U69&lt;&gt;"ok","Anexo: Relatório Técnico Circunstanciado justificando a adoção do percentual de cada parcela do BDI.","")</f>
        <v>Anexo: Relatório Técnico Circunstanciado justificando a adoção do percentual de cada parcela do BDI.</v>
      </c>
      <c r="L72" s="682"/>
      <c r="M72" s="682"/>
      <c r="N72" s="682"/>
      <c r="O72" s="682"/>
      <c r="P72" s="682"/>
      <c r="Q72" s="682"/>
      <c r="R72" s="682"/>
      <c r="S72" s="682"/>
    </row>
    <row r="73" spans="1:26" hidden="1" x14ac:dyDescent="0.25">
      <c r="A73"/>
      <c r="B73"/>
      <c r="C73"/>
      <c r="D73"/>
      <c r="E73"/>
      <c r="F73"/>
      <c r="G73"/>
      <c r="I73" t="str">
        <f t="shared" ca="1" si="3"/>
        <v/>
      </c>
    </row>
    <row r="74" spans="1:26" hidden="1" x14ac:dyDescent="0.25">
      <c r="A74"/>
      <c r="B74"/>
      <c r="C74"/>
      <c r="D74"/>
      <c r="E74"/>
      <c r="F74"/>
      <c r="G74"/>
      <c r="I74" t="str">
        <f t="shared" ca="1" si="3"/>
        <v/>
      </c>
      <c r="J74" s="684" t="s">
        <v>690</v>
      </c>
      <c r="K74" s="684"/>
      <c r="L74" s="684"/>
      <c r="M74" s="684"/>
      <c r="N74" s="684"/>
      <c r="O74" s="684"/>
      <c r="P74" s="684"/>
      <c r="Q74" s="684"/>
      <c r="R74" s="684"/>
      <c r="S74" s="684"/>
    </row>
    <row r="75" spans="1:26" ht="15.6" hidden="1" x14ac:dyDescent="0.3">
      <c r="A75"/>
      <c r="B75"/>
      <c r="C75"/>
      <c r="D75"/>
      <c r="E75"/>
      <c r="F75"/>
      <c r="G75"/>
      <c r="I75" t="str">
        <f t="shared" ca="1" si="3"/>
        <v/>
      </c>
      <c r="J75" s="51"/>
      <c r="K75" s="51"/>
      <c r="L75" s="51"/>
      <c r="M75" s="685" t="s">
        <v>691</v>
      </c>
      <c r="N75" s="686" t="str">
        <f>IF($J57=$A$146,"(1+K1+K2)*(1+K3)","(1+AC + S + R + G)*(1 + DF)*(1+L)")</f>
        <v>(1+AC + S + R + G)*(1 + DF)*(1+L)</v>
      </c>
      <c r="O75" s="686"/>
      <c r="P75" s="686"/>
      <c r="Q75" s="687" t="s">
        <v>692</v>
      </c>
      <c r="R75" s="51"/>
      <c r="S75" s="51"/>
    </row>
    <row r="76" spans="1:26" ht="15.6" hidden="1" x14ac:dyDescent="0.25">
      <c r="A76"/>
      <c r="B76"/>
      <c r="C76"/>
      <c r="D76"/>
      <c r="E76"/>
      <c r="F76"/>
      <c r="G76"/>
      <c r="I76" t="str">
        <f t="shared" ca="1" si="3"/>
        <v/>
      </c>
      <c r="J76" s="51"/>
      <c r="K76" s="51"/>
      <c r="L76" s="51"/>
      <c r="M76" s="685"/>
      <c r="N76" s="675" t="s">
        <v>693</v>
      </c>
      <c r="O76" s="675"/>
      <c r="P76" s="675"/>
      <c r="Q76" s="687"/>
      <c r="R76" s="51"/>
      <c r="S76" s="51"/>
    </row>
    <row r="77" spans="1:26" ht="15" hidden="1" customHeight="1" x14ac:dyDescent="0.25">
      <c r="A77"/>
      <c r="B77"/>
      <c r="C77"/>
      <c r="D77"/>
      <c r="E77"/>
      <c r="F77"/>
      <c r="G77"/>
      <c r="I77" t="str">
        <f t="shared" ca="1" si="3"/>
        <v/>
      </c>
      <c r="J77" s="51"/>
      <c r="K77" s="51"/>
      <c r="L77" s="51"/>
      <c r="M77" s="517"/>
      <c r="N77" s="516"/>
      <c r="O77" s="516"/>
      <c r="P77" s="516"/>
      <c r="Q77" s="518"/>
      <c r="R77" s="51"/>
      <c r="S77" s="51"/>
    </row>
    <row r="78" spans="1:26" ht="50.1" hidden="1" customHeight="1" x14ac:dyDescent="0.25">
      <c r="A78"/>
      <c r="B78"/>
      <c r="C78"/>
      <c r="D78"/>
      <c r="E78"/>
      <c r="F78"/>
      <c r="G78"/>
      <c r="I78" t="str">
        <f t="shared" ca="1" si="3"/>
        <v/>
      </c>
      <c r="J78" s="66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69"/>
      <c r="L78" s="669"/>
      <c r="M78" s="669"/>
      <c r="N78" s="669"/>
      <c r="O78" s="669"/>
      <c r="P78" s="669"/>
      <c r="Q78" s="669"/>
      <c r="R78" s="669"/>
      <c r="S78" s="669"/>
    </row>
    <row r="79" spans="1:26" hidden="1" x14ac:dyDescent="0.25">
      <c r="A79"/>
      <c r="B79"/>
      <c r="C79"/>
      <c r="D79"/>
      <c r="E79"/>
      <c r="F79"/>
      <c r="G79"/>
      <c r="I79" t="str">
        <f t="shared" ca="1" si="3"/>
        <v/>
      </c>
    </row>
    <row r="80" spans="1:26" ht="50.1" hidden="1" customHeight="1" x14ac:dyDescent="0.25">
      <c r="A80"/>
      <c r="B80"/>
      <c r="C80"/>
      <c r="D80"/>
      <c r="E80"/>
      <c r="F80"/>
      <c r="G80"/>
      <c r="I80" t="str">
        <f t="shared" ca="1" si="3"/>
        <v/>
      </c>
      <c r="J80" s="66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69"/>
      <c r="L80" s="669"/>
      <c r="M80" s="669"/>
      <c r="N80" s="669"/>
      <c r="O80" s="669"/>
      <c r="P80" s="669"/>
      <c r="Q80" s="669"/>
      <c r="R80" s="669"/>
      <c r="S80" s="669"/>
    </row>
    <row r="81" spans="1:21" hidden="1" x14ac:dyDescent="0.25">
      <c r="A81"/>
      <c r="B81"/>
      <c r="C81"/>
      <c r="D81"/>
      <c r="E81"/>
      <c r="F81"/>
      <c r="G81"/>
      <c r="I81" t="str">
        <f t="shared" ca="1" si="3"/>
        <v/>
      </c>
    </row>
    <row r="82" spans="1:21" hidden="1" x14ac:dyDescent="0.25">
      <c r="A82"/>
      <c r="B82"/>
      <c r="C82"/>
      <c r="D82"/>
      <c r="E82"/>
      <c r="F82"/>
      <c r="G82"/>
      <c r="I82" t="str">
        <f t="shared" ca="1" si="3"/>
        <v/>
      </c>
      <c r="J82" s="45" t="s">
        <v>696</v>
      </c>
    </row>
    <row r="83" spans="1:21" ht="99.9" hidden="1" customHeight="1" x14ac:dyDescent="0.25">
      <c r="A83"/>
      <c r="B83"/>
      <c r="C83"/>
      <c r="D83"/>
      <c r="E83"/>
      <c r="F83"/>
      <c r="G83"/>
      <c r="I83" t="str">
        <f t="shared" ca="1" si="3"/>
        <v/>
      </c>
      <c r="J83" s="670"/>
      <c r="K83" s="670"/>
      <c r="L83" s="670"/>
      <c r="M83" s="670"/>
      <c r="N83" s="670"/>
      <c r="O83" s="670"/>
      <c r="P83" s="670"/>
      <c r="Q83" s="670"/>
      <c r="R83" s="670"/>
      <c r="S83" s="670"/>
    </row>
    <row r="84" spans="1:21" hidden="1" x14ac:dyDescent="0.25">
      <c r="A84"/>
      <c r="B84"/>
      <c r="C84"/>
      <c r="D84"/>
      <c r="E84"/>
      <c r="F84"/>
      <c r="G84"/>
      <c r="I84" t="str">
        <f t="shared" ca="1" si="3"/>
        <v/>
      </c>
    </row>
    <row r="85" spans="1:21" hidden="1" x14ac:dyDescent="0.25">
      <c r="A85"/>
      <c r="B85"/>
      <c r="C85"/>
      <c r="D85"/>
      <c r="E85"/>
      <c r="F85"/>
      <c r="G85"/>
      <c r="I85" t="str">
        <f t="shared" ca="1" si="3"/>
        <v/>
      </c>
      <c r="J85" s="671" t="str">
        <f>Import.Município</f>
        <v>URUARÁ-PARÁ</v>
      </c>
      <c r="K85" s="671"/>
      <c r="L85" s="671"/>
      <c r="M85" s="671"/>
      <c r="P85" s="672">
        <f>DADOS!$C$25</f>
        <v>46144</v>
      </c>
      <c r="Q85" s="672"/>
      <c r="R85" s="672"/>
      <c r="S85" s="672"/>
    </row>
    <row r="86" spans="1:21" hidden="1" x14ac:dyDescent="0.25">
      <c r="A86"/>
      <c r="B86"/>
      <c r="C86"/>
      <c r="D86"/>
      <c r="E86"/>
      <c r="F86"/>
      <c r="G86"/>
      <c r="I86" t="str">
        <f t="shared" ca="1" si="3"/>
        <v/>
      </c>
      <c r="J86" s="673" t="s">
        <v>700</v>
      </c>
      <c r="K86" s="673"/>
      <c r="L86" s="673"/>
      <c r="M86" s="673"/>
      <c r="O86" s="53"/>
      <c r="P86" s="556" t="s">
        <v>701</v>
      </c>
      <c r="Q86" s="557"/>
      <c r="R86" s="557"/>
      <c r="S86" s="557"/>
    </row>
    <row r="87" spans="1:21" ht="30" hidden="1" customHeight="1" x14ac:dyDescent="0.25">
      <c r="A87"/>
      <c r="B87"/>
      <c r="C87"/>
      <c r="D87"/>
      <c r="E87"/>
      <c r="F87"/>
      <c r="G87"/>
      <c r="I87" t="str">
        <f t="shared" ca="1" si="3"/>
        <v/>
      </c>
    </row>
    <row r="88" spans="1:21" ht="13.8" hidden="1" x14ac:dyDescent="0.25">
      <c r="A88"/>
      <c r="B88"/>
      <c r="C88"/>
      <c r="D88"/>
      <c r="E88"/>
      <c r="F88"/>
      <c r="G88"/>
      <c r="I88" t="str">
        <f t="shared" ca="1" si="3"/>
        <v/>
      </c>
      <c r="J88" s="674"/>
      <c r="K88" s="674"/>
      <c r="L88" s="674"/>
      <c r="M88" s="674"/>
      <c r="N88" s="54"/>
    </row>
    <row r="89" spans="1:21" hidden="1" x14ac:dyDescent="0.25">
      <c r="A89"/>
      <c r="B89"/>
      <c r="C89"/>
      <c r="D89"/>
      <c r="E89"/>
      <c r="F89"/>
      <c r="G89"/>
      <c r="I89" t="str">
        <f t="shared" ca="1" si="3"/>
        <v/>
      </c>
      <c r="J89" s="668" t="s">
        <v>703</v>
      </c>
      <c r="K89" s="668"/>
      <c r="L89" s="668"/>
      <c r="M89" s="668"/>
    </row>
    <row r="90" spans="1:21" ht="13.8" hidden="1" x14ac:dyDescent="0.25">
      <c r="A90"/>
      <c r="B90"/>
      <c r="C90"/>
      <c r="D90"/>
      <c r="E90"/>
      <c r="F90"/>
      <c r="G90"/>
      <c r="I90" t="str">
        <f t="shared" ca="1" si="3"/>
        <v/>
      </c>
      <c r="J90" s="55" t="s">
        <v>240</v>
      </c>
      <c r="K90" s="56" t="str">
        <f t="array" ref="K90:K92">Import.RespOrçamento</f>
        <v>DOUGLAS NASCIMENTO DOS SANTOS</v>
      </c>
      <c r="L90" s="57"/>
      <c r="M90" s="57"/>
      <c r="N90" s="54"/>
    </row>
    <row r="91" spans="1:21" ht="13.8" hidden="1" x14ac:dyDescent="0.25">
      <c r="A91"/>
      <c r="B91"/>
      <c r="C91"/>
      <c r="D91"/>
      <c r="E91"/>
      <c r="F91"/>
      <c r="G91"/>
      <c r="I91" t="str">
        <f t="shared" ca="1" si="3"/>
        <v/>
      </c>
      <c r="J91" s="55" t="s">
        <v>244</v>
      </c>
      <c r="K91" s="56" t="str">
        <v>151536623-5</v>
      </c>
      <c r="L91" s="57"/>
      <c r="M91" s="57"/>
      <c r="N91" s="54"/>
    </row>
    <row r="92" spans="1:21" ht="13.8" hidden="1" x14ac:dyDescent="0.25">
      <c r="A92"/>
      <c r="B92"/>
      <c r="C92"/>
      <c r="D92"/>
      <c r="E92"/>
      <c r="F92"/>
      <c r="G92"/>
      <c r="I92" t="str">
        <f t="shared" ca="1" si="3"/>
        <v/>
      </c>
      <c r="J92" s="55" t="s">
        <v>248</v>
      </c>
      <c r="K92" s="56">
        <v>0</v>
      </c>
      <c r="L92" s="57"/>
      <c r="M92" s="57"/>
      <c r="N92" s="54"/>
    </row>
    <row r="93" spans="1:21" ht="13.8" hidden="1" x14ac:dyDescent="0.25">
      <c r="A93"/>
      <c r="B93"/>
      <c r="C93"/>
      <c r="D93"/>
      <c r="E93"/>
      <c r="F93"/>
      <c r="G93"/>
      <c r="I93" t="str">
        <f t="shared" ca="1" si="3"/>
        <v/>
      </c>
      <c r="J93" s="55"/>
      <c r="K93" s="58"/>
      <c r="L93" s="57"/>
      <c r="M93" s="57"/>
      <c r="N93" s="54"/>
    </row>
    <row r="94" spans="1:21" ht="15.6" hidden="1" x14ac:dyDescent="0.3">
      <c r="A94"/>
      <c r="B94"/>
      <c r="C94"/>
      <c r="D94"/>
      <c r="E94"/>
      <c r="F94"/>
      <c r="G94"/>
      <c r="I94" t="str">
        <f ca="1">IF($S$109=0,"","F")</f>
        <v/>
      </c>
      <c r="J94" s="692" t="s">
        <v>705</v>
      </c>
      <c r="K94" s="692"/>
      <c r="L94" s="692"/>
      <c r="M94" s="692"/>
      <c r="N94" s="692"/>
      <c r="O94" s="692"/>
      <c r="P94" s="692"/>
      <c r="Q94" s="692"/>
      <c r="R94" s="692"/>
      <c r="S94" s="692"/>
      <c r="U94" s="431" t="str">
        <f>IF(COUNTIF(ORÇAMENTO!$V$15:$V$36,BDI_3.Título)=0,"",IF(OR(Import.BDI.Tipo3="(SELECIONAR)",Import.BDI.Tipo3="",U97&lt;&gt;"",S101=0,S102=0,S103=0,S104=0,S105=0,S106=0),"Falta preencher o BDI 3",""))</f>
        <v/>
      </c>
    </row>
    <row r="95" spans="1:21" hidden="1" x14ac:dyDescent="0.25">
      <c r="A95"/>
      <c r="B95"/>
      <c r="C95"/>
      <c r="D95"/>
      <c r="E95"/>
      <c r="F95"/>
      <c r="G95"/>
      <c r="I95" t="str">
        <f t="shared" ref="I95:I132" ca="1" si="6">IF($S$109=0,"","F")</f>
        <v/>
      </c>
    </row>
    <row r="96" spans="1:21" hidden="1" x14ac:dyDescent="0.25">
      <c r="A96"/>
      <c r="B96"/>
      <c r="C96"/>
      <c r="D96"/>
      <c r="E96"/>
      <c r="F96"/>
      <c r="G96"/>
      <c r="I96" t="str">
        <f t="shared" ca="1" si="6"/>
        <v/>
      </c>
      <c r="J96" s="690" t="s">
        <v>670</v>
      </c>
      <c r="K96" s="690"/>
      <c r="L96" s="690"/>
      <c r="M96" s="690"/>
      <c r="N96" s="690"/>
      <c r="O96" s="690"/>
      <c r="P96" s="690"/>
      <c r="Q96" s="690"/>
      <c r="R96" s="690"/>
      <c r="S96" s="690"/>
    </row>
    <row r="97" spans="1:26" ht="13.8" hidden="1" x14ac:dyDescent="0.25">
      <c r="A97"/>
      <c r="B97"/>
      <c r="C97"/>
      <c r="D97"/>
      <c r="E97"/>
      <c r="F97"/>
      <c r="G97"/>
      <c r="I97" t="str">
        <f t="shared" ca="1" si="6"/>
        <v/>
      </c>
      <c r="J97" s="691" t="s">
        <v>294</v>
      </c>
      <c r="K97" s="691"/>
      <c r="L97" s="691"/>
      <c r="M97" s="691"/>
      <c r="N97" s="691"/>
      <c r="O97" s="691"/>
      <c r="P97" s="691"/>
      <c r="Q97" s="691"/>
      <c r="R97" s="691"/>
      <c r="S97" s="691"/>
      <c r="T97" s="475" t="str">
        <f ca="1">IF(U97="","","◄")</f>
        <v/>
      </c>
      <c r="U97" s="474" t="str">
        <f ca="1">IF(AND(OR(S109&gt;0,COUNTIF(ORÇAMENTO!$V$15:$V$36,BDI_3.Título)&gt;0),OR(Import.BDI.Tipo3="(SELECIONAR)",Import.BDI.Tipo3="")),"Selecione o Tipo de obra","")</f>
        <v/>
      </c>
    </row>
    <row r="98" spans="1:26" hidden="1" x14ac:dyDescent="0.25">
      <c r="A98"/>
      <c r="B98"/>
      <c r="C98"/>
      <c r="D98"/>
      <c r="E98"/>
      <c r="F98"/>
      <c r="G98"/>
      <c r="I98" t="str">
        <f t="shared" ca="1" si="6"/>
        <v/>
      </c>
    </row>
    <row r="99" spans="1:26" ht="12.75" hidden="1" customHeight="1" x14ac:dyDescent="0.25">
      <c r="A99"/>
      <c r="B99"/>
      <c r="C99"/>
      <c r="D99"/>
      <c r="E99"/>
      <c r="F99"/>
      <c r="G99"/>
      <c r="I99" t="str">
        <f t="shared" ca="1" si="6"/>
        <v/>
      </c>
      <c r="J99" s="689" t="s">
        <v>671</v>
      </c>
      <c r="K99" s="689"/>
      <c r="L99" s="689"/>
      <c r="M99" s="689"/>
      <c r="N99" s="689"/>
      <c r="O99" s="689"/>
      <c r="P99" s="689"/>
      <c r="Q99" s="689"/>
      <c r="R99" s="689" t="s">
        <v>672</v>
      </c>
      <c r="S99" s="680" t="s">
        <v>673</v>
      </c>
      <c r="U99" s="680" t="s">
        <v>674</v>
      </c>
      <c r="V99" s="680"/>
      <c r="W99" s="680"/>
      <c r="X99" s="688" t="s">
        <v>675</v>
      </c>
      <c r="Y99" s="688" t="s">
        <v>676</v>
      </c>
      <c r="Z99" s="688" t="s">
        <v>677</v>
      </c>
    </row>
    <row r="100" spans="1:26" ht="12.75" hidden="1" customHeight="1" x14ac:dyDescent="0.25">
      <c r="A100"/>
      <c r="B100"/>
      <c r="C100"/>
      <c r="D100"/>
      <c r="E100"/>
      <c r="F100"/>
      <c r="G100"/>
      <c r="I100" t="str">
        <f t="shared" ca="1" si="6"/>
        <v/>
      </c>
      <c r="J100" s="689"/>
      <c r="K100" s="689"/>
      <c r="L100" s="689"/>
      <c r="M100" s="689"/>
      <c r="N100" s="689"/>
      <c r="O100" s="689"/>
      <c r="P100" s="689"/>
      <c r="Q100" s="689"/>
      <c r="R100" s="689"/>
      <c r="S100" s="680"/>
      <c r="U100" s="680"/>
      <c r="V100" s="680"/>
      <c r="W100" s="680"/>
      <c r="X100" s="688"/>
      <c r="Y100" s="688"/>
      <c r="Z100" s="688"/>
    </row>
    <row r="101" spans="1:26" ht="15" hidden="1" customHeight="1" x14ac:dyDescent="0.25">
      <c r="A101"/>
      <c r="B101"/>
      <c r="C101"/>
      <c r="D101"/>
      <c r="E101"/>
      <c r="F101"/>
      <c r="G101"/>
      <c r="I101" t="str">
        <f t="shared" ca="1" si="6"/>
        <v/>
      </c>
      <c r="J101" s="676" t="str">
        <f>IF($J$17=$A$146,"Encargos Sociais incidentes sobre a mão de obra","Administração Central")</f>
        <v>Administração Central</v>
      </c>
      <c r="K101" s="676"/>
      <c r="L101" s="676"/>
      <c r="M101" s="676"/>
      <c r="N101" s="676"/>
      <c r="O101" s="676"/>
      <c r="P101" s="676"/>
      <c r="Q101" s="676"/>
      <c r="R101" s="549" t="str">
        <f>IF($J97=$A$146,"K1","AC")</f>
        <v>AC</v>
      </c>
      <c r="S101" s="550"/>
      <c r="T101" s="485" t="str">
        <f ca="1">IF(AND($U$14&lt;&gt;"",S101=""),"◄","")</f>
        <v/>
      </c>
      <c r="U101" s="677" t="str">
        <f>IFERROR(IF(AND(S101&gt;=X101,S101&lt;=Z101),"OK","FORA DO INTERVALO"),"-")</f>
        <v>-</v>
      </c>
      <c r="V101" s="678"/>
      <c r="W101" s="679"/>
      <c r="X101" s="551" t="e">
        <f>VLOOKUP(CONCATENATE(J97,"-",R101),$C$2:$G$136,3,FALSE)</f>
        <v>#N/A</v>
      </c>
      <c r="Y101" s="551" t="e">
        <f>VLOOKUP(CONCATENATE(J97,"-",R101),$C$2:$G$136,4,FALSE)</f>
        <v>#N/A</v>
      </c>
      <c r="Z101" s="551" t="e">
        <f>VLOOKUP(CONCATENATE(J97,"-",R101),$C$2:$G$136,5,FALSE)</f>
        <v>#N/A</v>
      </c>
    </row>
    <row r="102" spans="1:26" ht="15" hidden="1" customHeight="1" x14ac:dyDescent="0.25">
      <c r="A102"/>
      <c r="B102"/>
      <c r="C102"/>
      <c r="D102"/>
      <c r="E102"/>
      <c r="F102"/>
      <c r="G102"/>
      <c r="I102" t="str">
        <f t="shared" ca="1" si="6"/>
        <v/>
      </c>
      <c r="J102" s="676" t="str">
        <f>IF($J$17=$A$146,"Administração Central da empresa ou consultoria - overhead","Seguro e Garantia")</f>
        <v>Seguro e Garantia</v>
      </c>
      <c r="K102" s="676"/>
      <c r="L102" s="676"/>
      <c r="M102" s="676"/>
      <c r="N102" s="676"/>
      <c r="O102" s="676"/>
      <c r="P102" s="676"/>
      <c r="Q102" s="676"/>
      <c r="R102" s="549" t="str">
        <f>IF($J97=$A$146,"K2","SG")</f>
        <v>SG</v>
      </c>
      <c r="S102" s="550"/>
      <c r="T102" s="485" t="str">
        <f t="shared" ref="T102:T106" ca="1" si="7">IF(AND($U$14&lt;&gt;"",S102=""),"◄","")</f>
        <v/>
      </c>
      <c r="U102" s="677" t="str">
        <f t="shared" ref="U102:U107" si="8">IFERROR(IF(AND(S102&gt;=X102,S102&lt;=Z102),"OK","FORA DO INTERVALO"),"-")</f>
        <v>-</v>
      </c>
      <c r="V102" s="678"/>
      <c r="W102" s="679"/>
      <c r="X102" s="551" t="e">
        <f>VLOOKUP(CONCATENATE(J97,"-",R102),$C$2:$G$136,3,FALSE)</f>
        <v>#N/A</v>
      </c>
      <c r="Y102" s="551" t="e">
        <f>VLOOKUP(CONCATENATE(J97,"-",R102),$C$2:$G$136,4,FALSE)</f>
        <v>#N/A</v>
      </c>
      <c r="Z102" s="551" t="e">
        <f>VLOOKUP(CONCATENATE(J97,"-",R102),$C$2:$G$136,5,FALSE)</f>
        <v>#N/A</v>
      </c>
    </row>
    <row r="103" spans="1:26" ht="15" hidden="1" customHeight="1" x14ac:dyDescent="0.25">
      <c r="A103"/>
      <c r="B103"/>
      <c r="C103"/>
      <c r="D103"/>
      <c r="E103"/>
      <c r="F103"/>
      <c r="G103"/>
      <c r="I103" t="str">
        <f t="shared" ca="1" si="6"/>
        <v/>
      </c>
      <c r="J103" s="676" t="str">
        <f>IF($J$17=$A$146,"","Risco")</f>
        <v>Risco</v>
      </c>
      <c r="K103" s="676"/>
      <c r="L103" s="676"/>
      <c r="M103" s="676"/>
      <c r="N103" s="676"/>
      <c r="O103" s="676"/>
      <c r="P103" s="676"/>
      <c r="Q103" s="676"/>
      <c r="R103" s="549" t="str">
        <f>IF($J97=$A$146,"","R")</f>
        <v>R</v>
      </c>
      <c r="S103" s="550"/>
      <c r="T103" s="485" t="str">
        <f t="shared" ca="1" si="7"/>
        <v/>
      </c>
      <c r="U103" s="677" t="str">
        <f t="shared" si="8"/>
        <v>-</v>
      </c>
      <c r="V103" s="678"/>
      <c r="W103" s="679"/>
      <c r="X103" s="551" t="e">
        <f>VLOOKUP(CONCATENATE(J97,"-",R103),$C$2:$G$136,3,FALSE)</f>
        <v>#N/A</v>
      </c>
      <c r="Y103" s="551" t="e">
        <f>VLOOKUP(CONCATENATE(J97,"-",R103),$C$2:$G$136,4,FALSE)</f>
        <v>#N/A</v>
      </c>
      <c r="Z103" s="551" t="e">
        <f>VLOOKUP(CONCATENATE(J97,"-",R103),$C$2:$G$136,5,FALSE)</f>
        <v>#N/A</v>
      </c>
    </row>
    <row r="104" spans="1:26" ht="15" hidden="1" customHeight="1" x14ac:dyDescent="0.25">
      <c r="A104"/>
      <c r="B104"/>
      <c r="C104"/>
      <c r="D104"/>
      <c r="E104"/>
      <c r="F104"/>
      <c r="G104"/>
      <c r="I104" t="str">
        <f t="shared" ca="1" si="6"/>
        <v/>
      </c>
      <c r="J104" s="676" t="str">
        <f>IF($J$17=$A$146,"","Despesas Financeiras")</f>
        <v>Despesas Financeiras</v>
      </c>
      <c r="K104" s="676"/>
      <c r="L104" s="676"/>
      <c r="M104" s="676"/>
      <c r="N104" s="676"/>
      <c r="O104" s="676"/>
      <c r="P104" s="676"/>
      <c r="Q104" s="676"/>
      <c r="R104" s="549" t="str">
        <f>IF($J97=$A$146,"","DF")</f>
        <v>DF</v>
      </c>
      <c r="S104" s="550"/>
      <c r="T104" s="485" t="str">
        <f t="shared" ca="1" si="7"/>
        <v/>
      </c>
      <c r="U104" s="677" t="str">
        <f t="shared" si="8"/>
        <v>-</v>
      </c>
      <c r="V104" s="678"/>
      <c r="W104" s="679"/>
      <c r="X104" s="551" t="e">
        <f>VLOOKUP(CONCATENATE(J97,"-",R104),$C$2:$G$136,3,FALSE)</f>
        <v>#N/A</v>
      </c>
      <c r="Y104" s="551" t="e">
        <f>VLOOKUP(CONCATENATE(J97,"-",R104),$C$2:$G$136,4,FALSE)</f>
        <v>#N/A</v>
      </c>
      <c r="Z104" s="551" t="e">
        <f>VLOOKUP(CONCATENATE(J97,"-",R104),$C$2:$G$136,5,FALSE)</f>
        <v>#N/A</v>
      </c>
    </row>
    <row r="105" spans="1:26" ht="15" hidden="1" customHeight="1" x14ac:dyDescent="0.25">
      <c r="A105"/>
      <c r="B105"/>
      <c r="C105"/>
      <c r="D105"/>
      <c r="E105"/>
      <c r="F105"/>
      <c r="G105"/>
      <c r="I105" t="str">
        <f t="shared" ca="1" si="6"/>
        <v/>
      </c>
      <c r="J105" s="676" t="str">
        <f>IF($J$17=$A$146,"Margem bruta da empresa de consultoria","Lucro")</f>
        <v>Lucro</v>
      </c>
      <c r="K105" s="676"/>
      <c r="L105" s="676"/>
      <c r="M105" s="676"/>
      <c r="N105" s="676"/>
      <c r="O105" s="676"/>
      <c r="P105" s="676"/>
      <c r="Q105" s="676"/>
      <c r="R105" s="549" t="str">
        <f>IF($J97=$A$146,"K3","L")</f>
        <v>L</v>
      </c>
      <c r="S105" s="550"/>
      <c r="T105" s="485" t="str">
        <f t="shared" ca="1" si="7"/>
        <v/>
      </c>
      <c r="U105" s="677" t="str">
        <f t="shared" si="8"/>
        <v>-</v>
      </c>
      <c r="V105" s="678"/>
      <c r="W105" s="679"/>
      <c r="X105" s="551" t="e">
        <f>VLOOKUP(CONCATENATE(J97,"-",R105),$C$2:$G$136,3,FALSE)</f>
        <v>#N/A</v>
      </c>
      <c r="Y105" s="551" t="e">
        <f>VLOOKUP(CONCATENATE(J97,"-",R105),$C$2:$G$136,4,FALSE)</f>
        <v>#N/A</v>
      </c>
      <c r="Z105" s="551" t="e">
        <f>VLOOKUP(CONCATENATE(J97,"-",R105),$C$2:$G$136,5,FALSE)</f>
        <v>#N/A</v>
      </c>
    </row>
    <row r="106" spans="1:26" ht="15" hidden="1" customHeight="1" x14ac:dyDescent="0.25">
      <c r="A106"/>
      <c r="B106"/>
      <c r="C106"/>
      <c r="D106"/>
      <c r="E106"/>
      <c r="F106"/>
      <c r="G106"/>
      <c r="I106" t="str">
        <f t="shared" ca="1" si="6"/>
        <v/>
      </c>
      <c r="J106" s="676" t="s">
        <v>680</v>
      </c>
      <c r="K106" s="676"/>
      <c r="L106" s="676"/>
      <c r="M106" s="676"/>
      <c r="N106" s="676"/>
      <c r="O106" s="676"/>
      <c r="P106" s="676"/>
      <c r="Q106" s="676"/>
      <c r="R106" s="549" t="s">
        <v>462</v>
      </c>
      <c r="S106" s="550"/>
      <c r="T106" s="485" t="str">
        <f t="shared" ca="1" si="7"/>
        <v/>
      </c>
      <c r="U106" s="677" t="str">
        <f t="shared" si="8"/>
        <v>FORA DO INTERVALO</v>
      </c>
      <c r="V106" s="678"/>
      <c r="W106" s="679"/>
      <c r="X106" s="551">
        <v>3.6499999999999998E-2</v>
      </c>
      <c r="Y106" s="551">
        <v>3.6499999999999998E-2</v>
      </c>
      <c r="Z106" s="551">
        <v>3.6499999999999998E-2</v>
      </c>
    </row>
    <row r="107" spans="1:26" ht="15" hidden="1" customHeight="1" x14ac:dyDescent="0.25">
      <c r="A107"/>
      <c r="B107"/>
      <c r="C107"/>
      <c r="D107"/>
      <c r="E107"/>
      <c r="F107"/>
      <c r="G107"/>
      <c r="I107" t="str">
        <f t="shared" ca="1" si="6"/>
        <v/>
      </c>
      <c r="J107" s="676" t="s">
        <v>681</v>
      </c>
      <c r="K107" s="676"/>
      <c r="L107" s="676"/>
      <c r="M107" s="676"/>
      <c r="N107" s="676"/>
      <c r="O107" s="676"/>
      <c r="P107" s="676"/>
      <c r="Q107" s="676"/>
      <c r="R107" s="549" t="s">
        <v>682</v>
      </c>
      <c r="S107" s="551">
        <f ca="1">IF(AND($J97&lt;&gt;$A$145,COUNTA(OFFSET(S100,1,0,6))&gt;0),$R$11*$R$10,0)</f>
        <v>0</v>
      </c>
      <c r="U107" s="677" t="str">
        <f t="shared" ca="1" si="8"/>
        <v>OK</v>
      </c>
      <c r="V107" s="678"/>
      <c r="W107" s="679"/>
      <c r="X107" s="551">
        <v>0</v>
      </c>
      <c r="Y107" s="551">
        <v>2.5000000000000001E-2</v>
      </c>
      <c r="Z107" s="551">
        <v>0.05</v>
      </c>
    </row>
    <row r="108" spans="1:26" ht="15" hidden="1" customHeight="1" x14ac:dyDescent="0.25">
      <c r="A108"/>
      <c r="B108"/>
      <c r="C108"/>
      <c r="D108"/>
      <c r="E108"/>
      <c r="F108"/>
      <c r="G108"/>
      <c r="I108" t="str">
        <f t="shared" ca="1" si="6"/>
        <v/>
      </c>
      <c r="J108" s="676" t="s">
        <v>683</v>
      </c>
      <c r="K108" s="676"/>
      <c r="L108" s="676"/>
      <c r="M108" s="676"/>
      <c r="N108" s="676"/>
      <c r="O108" s="676"/>
      <c r="P108" s="676"/>
      <c r="Q108" s="676"/>
      <c r="R108" s="549" t="s">
        <v>684</v>
      </c>
      <c r="S108" s="551" cm="1">
        <f t="array" aca="1" ref="S108" ca="1">IF(BDI.Opcao&lt;&gt;"Desonerado",0,IF(AND($J97&lt;&gt;$A$145,COUNTA(OFFSET(S100,1,0,6))&gt;0),IF(YEAR(Import.DataBase)&lt;2025,4.5%,IF(YEAR(Import.DataBase)=2025,3.6%,IF(YEAR(Import.DataBase)=2026,2.7%,IF(YEAR(Import.DataBase)=2027,1.8%,0%)))),0%))</f>
        <v>0</v>
      </c>
      <c r="U108" s="677" t="s">
        <v>685</v>
      </c>
      <c r="V108" s="678"/>
      <c r="W108" s="679"/>
      <c r="X108" s="552">
        <f ca="1">$S108</f>
        <v>0</v>
      </c>
      <c r="Y108" s="552">
        <f ca="1">$S108</f>
        <v>0</v>
      </c>
      <c r="Z108" s="552">
        <f ca="1">$S108</f>
        <v>0</v>
      </c>
    </row>
    <row r="109" spans="1:26" ht="15" hidden="1" customHeight="1" x14ac:dyDescent="0.25">
      <c r="A109"/>
      <c r="B109"/>
      <c r="C109"/>
      <c r="D109"/>
      <c r="E109"/>
      <c r="F109"/>
      <c r="G109"/>
      <c r="I109" t="str">
        <f t="shared" ca="1" si="6"/>
        <v/>
      </c>
      <c r="J109" s="676" t="s">
        <v>686</v>
      </c>
      <c r="K109" s="676"/>
      <c r="L109" s="676"/>
      <c r="M109" s="676"/>
      <c r="N109" s="676"/>
      <c r="O109" s="676"/>
      <c r="P109" s="676"/>
      <c r="Q109" s="676"/>
      <c r="R109" s="553" t="s">
        <v>662</v>
      </c>
      <c r="S109" s="551">
        <f ca="1">IF($J97=$A$145,0,ROUND((((1+S101+S102+S103)*(1+S104)*(1+S105)/(1-(S106+S107)))-1),4))</f>
        <v>0</v>
      </c>
      <c r="U109" s="680" t="str">
        <f ca="1">IFERROR(IF(OR($J$17=$A$146,$J$17=$A$145,AND(S109&gt;=X109,S109&lt;=Z109)),"OK","FORA DO INTERVALO"),IF(S109=0,"OK","Selecione o Tipo de obra"))</f>
        <v>OK</v>
      </c>
      <c r="V109" s="680"/>
      <c r="W109" s="680"/>
      <c r="X109" s="551" t="e">
        <f>IF($J97=$A$145,0,VLOOKUP(CONCATENATE($J97,"-",$R109),$C$2:$G$136,3,FALSE))</f>
        <v>#N/A</v>
      </c>
      <c r="Y109" s="551" t="e">
        <f>IF($J97=$A$145,0,VLOOKUP(CONCATENATE($J97,"-",$R109),$C$2:$G$136,4,FALSE))</f>
        <v>#N/A</v>
      </c>
      <c r="Z109" s="551" t="e">
        <f>IF($J97=$A$145,0,VLOOKUP(CONCATENATE($J97,"-",$R109),$C$2:$G$136,5,FALSE))</f>
        <v>#N/A</v>
      </c>
    </row>
    <row r="110" spans="1:26" ht="15" hidden="1" customHeight="1" x14ac:dyDescent="0.25">
      <c r="A110"/>
      <c r="B110"/>
      <c r="C110"/>
      <c r="D110"/>
      <c r="E110"/>
      <c r="F110"/>
      <c r="G110"/>
      <c r="I110" t="str">
        <f t="shared" ca="1" si="6"/>
        <v/>
      </c>
      <c r="J110" s="681" t="s">
        <v>687</v>
      </c>
      <c r="K110" s="681"/>
      <c r="L110" s="681"/>
      <c r="M110" s="681"/>
      <c r="N110" s="681"/>
      <c r="O110" s="681"/>
      <c r="P110" s="681"/>
      <c r="Q110" s="681"/>
      <c r="R110" s="554" t="s">
        <v>688</v>
      </c>
      <c r="S110" s="555">
        <f ca="1">IF($J97=$A$145,0,ROUND((((1+S101+S102+S103)*(1+S104)*(1+S105)/(1-(S106+S107+S108)))-1),4))</f>
        <v>0</v>
      </c>
    </row>
    <row r="111" spans="1:26" ht="15" hidden="1" customHeight="1" x14ac:dyDescent="0.25">
      <c r="A111"/>
      <c r="B111"/>
      <c r="C111"/>
      <c r="D111"/>
      <c r="E111"/>
      <c r="F111"/>
      <c r="G111"/>
      <c r="I111" t="str">
        <f t="shared" ca="1" si="6"/>
        <v/>
      </c>
    </row>
    <row r="112" spans="1:26" ht="15.6" hidden="1" x14ac:dyDescent="0.25">
      <c r="A112"/>
      <c r="B112"/>
      <c r="C112"/>
      <c r="D112"/>
      <c r="E112"/>
      <c r="F112"/>
      <c r="G112"/>
      <c r="I112" t="str">
        <f t="shared" ca="1" si="6"/>
        <v/>
      </c>
      <c r="J112" s="50" t="str">
        <f ca="1">IF(U109&lt;&gt;"ok","X","")</f>
        <v/>
      </c>
      <c r="K112" s="682" t="str">
        <f ca="1">IF(U109&lt;&gt;"ok","Anexo: Relatório Técnico Circunstanciado justificando a adoção do percentual de cada parcela do BDI.","")</f>
        <v/>
      </c>
      <c r="L112" s="682"/>
      <c r="M112" s="682"/>
      <c r="N112" s="682"/>
      <c r="O112" s="682"/>
      <c r="P112" s="682"/>
      <c r="Q112" s="682"/>
      <c r="R112" s="682"/>
      <c r="S112" s="682"/>
    </row>
    <row r="113" spans="1:19" hidden="1" x14ac:dyDescent="0.25">
      <c r="A113"/>
      <c r="B113"/>
      <c r="C113"/>
      <c r="D113"/>
      <c r="E113"/>
      <c r="F113"/>
      <c r="G113"/>
      <c r="I113" t="str">
        <f t="shared" ca="1" si="6"/>
        <v/>
      </c>
    </row>
    <row r="114" spans="1:19" hidden="1" x14ac:dyDescent="0.25">
      <c r="A114"/>
      <c r="B114"/>
      <c r="C114"/>
      <c r="D114"/>
      <c r="E114"/>
      <c r="F114"/>
      <c r="G114"/>
      <c r="I114" t="str">
        <f t="shared" ca="1" si="6"/>
        <v/>
      </c>
      <c r="J114" s="684" t="s">
        <v>690</v>
      </c>
      <c r="K114" s="684"/>
      <c r="L114" s="684"/>
      <c r="M114" s="684"/>
      <c r="N114" s="684"/>
      <c r="O114" s="684"/>
      <c r="P114" s="684"/>
      <c r="Q114" s="684"/>
      <c r="R114" s="684"/>
      <c r="S114" s="684"/>
    </row>
    <row r="115" spans="1:19" ht="15.6" hidden="1" x14ac:dyDescent="0.3">
      <c r="A115"/>
      <c r="B115"/>
      <c r="C115"/>
      <c r="D115"/>
      <c r="E115"/>
      <c r="F115"/>
      <c r="G115"/>
      <c r="I115" t="str">
        <f t="shared" ca="1" si="6"/>
        <v/>
      </c>
      <c r="J115" s="51"/>
      <c r="K115" s="51"/>
      <c r="L115" s="51"/>
      <c r="M115" s="685" t="s">
        <v>691</v>
      </c>
      <c r="N115" s="686" t="str">
        <f>IF($J97=$A$146,"(1+K1+K2)*(1+K3)","(1+AC + S + R + G)*(1 + DF)*(1+L)")</f>
        <v>(1+AC + S + R + G)*(1 + DF)*(1+L)</v>
      </c>
      <c r="O115" s="686"/>
      <c r="P115" s="686"/>
      <c r="Q115" s="687" t="s">
        <v>692</v>
      </c>
      <c r="R115" s="51"/>
      <c r="S115" s="51"/>
    </row>
    <row r="116" spans="1:19" ht="15.6" hidden="1" x14ac:dyDescent="0.25">
      <c r="A116"/>
      <c r="B116"/>
      <c r="C116"/>
      <c r="D116"/>
      <c r="E116"/>
      <c r="F116"/>
      <c r="G116"/>
      <c r="I116" t="str">
        <f t="shared" ca="1" si="6"/>
        <v/>
      </c>
      <c r="J116" s="51"/>
      <c r="K116" s="51"/>
      <c r="L116" s="51"/>
      <c r="M116" s="685"/>
      <c r="N116" s="675" t="s">
        <v>693</v>
      </c>
      <c r="O116" s="675"/>
      <c r="P116" s="675"/>
      <c r="Q116" s="687"/>
      <c r="R116" s="51"/>
      <c r="S116" s="51"/>
    </row>
    <row r="117" spans="1:19" ht="15" hidden="1" customHeight="1" x14ac:dyDescent="0.25">
      <c r="A117"/>
      <c r="B117"/>
      <c r="C117"/>
      <c r="D117"/>
      <c r="E117"/>
      <c r="F117"/>
      <c r="G117"/>
      <c r="I117" t="str">
        <f t="shared" ca="1" si="6"/>
        <v/>
      </c>
      <c r="J117" s="51"/>
      <c r="K117" s="51"/>
      <c r="L117" s="51"/>
      <c r="M117" s="517"/>
      <c r="N117" s="516"/>
      <c r="O117" s="516"/>
      <c r="P117" s="516"/>
      <c r="Q117" s="518"/>
      <c r="R117" s="51"/>
      <c r="S117" s="51"/>
    </row>
    <row r="118" spans="1:19" ht="50.1" hidden="1" customHeight="1" x14ac:dyDescent="0.25">
      <c r="A118"/>
      <c r="B118"/>
      <c r="C118"/>
      <c r="D118"/>
      <c r="E118"/>
      <c r="F118"/>
      <c r="G118"/>
      <c r="I118" t="str">
        <f t="shared" ca="1" si="6"/>
        <v/>
      </c>
      <c r="J118" s="66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69"/>
      <c r="L118" s="669"/>
      <c r="M118" s="669"/>
      <c r="N118" s="669"/>
      <c r="O118" s="669"/>
      <c r="P118" s="669"/>
      <c r="Q118" s="669"/>
      <c r="R118" s="669"/>
      <c r="S118" s="669"/>
    </row>
    <row r="119" spans="1:19" hidden="1" x14ac:dyDescent="0.25">
      <c r="A119"/>
      <c r="B119"/>
      <c r="C119"/>
      <c r="D119"/>
      <c r="E119"/>
      <c r="F119"/>
      <c r="G119"/>
      <c r="I119" t="str">
        <f t="shared" ca="1" si="6"/>
        <v/>
      </c>
    </row>
    <row r="120" spans="1:19" ht="50.1" hidden="1" customHeight="1" x14ac:dyDescent="0.25">
      <c r="A120"/>
      <c r="B120"/>
      <c r="C120"/>
      <c r="D120"/>
      <c r="E120"/>
      <c r="F120"/>
      <c r="G120"/>
      <c r="I120" t="str">
        <f t="shared" ca="1" si="6"/>
        <v/>
      </c>
      <c r="J120" s="66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69"/>
      <c r="L120" s="669"/>
      <c r="M120" s="669"/>
      <c r="N120" s="669"/>
      <c r="O120" s="669"/>
      <c r="P120" s="669"/>
      <c r="Q120" s="669"/>
      <c r="R120" s="669"/>
      <c r="S120" s="669"/>
    </row>
    <row r="121" spans="1:19" hidden="1" x14ac:dyDescent="0.25">
      <c r="A121"/>
      <c r="B121"/>
      <c r="C121"/>
      <c r="D121"/>
      <c r="E121"/>
      <c r="F121"/>
      <c r="G121"/>
      <c r="I121" t="str">
        <f t="shared" ca="1" si="6"/>
        <v/>
      </c>
    </row>
    <row r="122" spans="1:19" hidden="1" x14ac:dyDescent="0.25">
      <c r="A122"/>
      <c r="B122"/>
      <c r="C122"/>
      <c r="D122"/>
      <c r="E122"/>
      <c r="F122"/>
      <c r="G122"/>
      <c r="I122" t="str">
        <f t="shared" ca="1" si="6"/>
        <v/>
      </c>
      <c r="J122" s="45" t="s">
        <v>696</v>
      </c>
    </row>
    <row r="123" spans="1:19" ht="110.1" hidden="1" customHeight="1" x14ac:dyDescent="0.25">
      <c r="A123"/>
      <c r="B123"/>
      <c r="C123"/>
      <c r="D123"/>
      <c r="E123"/>
      <c r="F123"/>
      <c r="G123"/>
      <c r="I123" t="str">
        <f t="shared" ca="1" si="6"/>
        <v/>
      </c>
      <c r="J123" s="670"/>
      <c r="K123" s="670"/>
      <c r="L123" s="670"/>
      <c r="M123" s="670"/>
      <c r="N123" s="670"/>
      <c r="O123" s="670"/>
      <c r="P123" s="670"/>
      <c r="Q123" s="670"/>
      <c r="R123" s="670"/>
      <c r="S123" s="670"/>
    </row>
    <row r="124" spans="1:19" hidden="1" x14ac:dyDescent="0.25">
      <c r="A124"/>
      <c r="B124"/>
      <c r="C124"/>
      <c r="D124"/>
      <c r="E124"/>
      <c r="F124"/>
      <c r="G124"/>
      <c r="I124" t="str">
        <f t="shared" ca="1" si="6"/>
        <v/>
      </c>
    </row>
    <row r="125" spans="1:19" hidden="1" x14ac:dyDescent="0.25">
      <c r="A125"/>
      <c r="B125"/>
      <c r="C125"/>
      <c r="D125"/>
      <c r="E125"/>
      <c r="F125"/>
      <c r="G125"/>
      <c r="I125" t="str">
        <f t="shared" ca="1" si="6"/>
        <v/>
      </c>
      <c r="J125" s="671" t="str">
        <f>Import.Município</f>
        <v>URUARÁ-PARÁ</v>
      </c>
      <c r="K125" s="671"/>
      <c r="L125" s="671"/>
      <c r="M125" s="671"/>
      <c r="P125" s="672">
        <f>DADOS!$C$25</f>
        <v>46144</v>
      </c>
      <c r="Q125" s="672"/>
      <c r="R125" s="672"/>
      <c r="S125" s="672"/>
    </row>
    <row r="126" spans="1:19" hidden="1" x14ac:dyDescent="0.25">
      <c r="A126"/>
      <c r="B126"/>
      <c r="C126"/>
      <c r="D126"/>
      <c r="E126"/>
      <c r="F126"/>
      <c r="G126"/>
      <c r="I126" t="str">
        <f t="shared" ca="1" si="6"/>
        <v/>
      </c>
      <c r="J126" s="673" t="s">
        <v>700</v>
      </c>
      <c r="K126" s="673"/>
      <c r="L126" s="673"/>
      <c r="M126" s="673"/>
      <c r="O126" s="53"/>
      <c r="P126" s="556" t="s">
        <v>701</v>
      </c>
      <c r="Q126" s="557"/>
      <c r="R126" s="557"/>
      <c r="S126" s="557"/>
    </row>
    <row r="127" spans="1:19" ht="30" hidden="1" customHeight="1" x14ac:dyDescent="0.25">
      <c r="A127"/>
      <c r="B127"/>
      <c r="C127"/>
      <c r="D127"/>
      <c r="E127"/>
      <c r="F127"/>
      <c r="G127"/>
      <c r="I127" t="str">
        <f t="shared" ca="1" si="6"/>
        <v/>
      </c>
    </row>
    <row r="128" spans="1:19" ht="13.8" hidden="1" x14ac:dyDescent="0.25">
      <c r="A128"/>
      <c r="B128"/>
      <c r="C128"/>
      <c r="D128"/>
      <c r="E128"/>
      <c r="F128"/>
      <c r="G128"/>
      <c r="I128" t="str">
        <f t="shared" ca="1" si="6"/>
        <v/>
      </c>
      <c r="J128" s="674"/>
      <c r="K128" s="674"/>
      <c r="L128" s="674"/>
      <c r="M128" s="674"/>
      <c r="N128" s="54"/>
    </row>
    <row r="129" spans="1:14" hidden="1" x14ac:dyDescent="0.25">
      <c r="A129"/>
      <c r="B129"/>
      <c r="C129"/>
      <c r="D129"/>
      <c r="E129"/>
      <c r="F129"/>
      <c r="G129"/>
      <c r="I129" t="str">
        <f t="shared" ca="1" si="6"/>
        <v/>
      </c>
      <c r="J129" s="668" t="s">
        <v>703</v>
      </c>
      <c r="K129" s="668"/>
      <c r="L129" s="668"/>
      <c r="M129" s="668"/>
    </row>
    <row r="130" spans="1:14" ht="13.8" hidden="1" x14ac:dyDescent="0.25">
      <c r="A130"/>
      <c r="B130"/>
      <c r="C130"/>
      <c r="D130"/>
      <c r="E130"/>
      <c r="F130"/>
      <c r="G130"/>
      <c r="I130" t="str">
        <f t="shared" ca="1" si="6"/>
        <v/>
      </c>
      <c r="J130" s="55" t="s">
        <v>240</v>
      </c>
      <c r="K130" s="56" t="str">
        <f t="array" ref="K130:K132">Import.RespOrçamento</f>
        <v>DOUGLAS NASCIMENTO DOS SANTOS</v>
      </c>
      <c r="L130" s="57"/>
      <c r="M130" s="57"/>
      <c r="N130" s="54"/>
    </row>
    <row r="131" spans="1:14" ht="13.8" hidden="1" x14ac:dyDescent="0.25">
      <c r="A131"/>
      <c r="B131"/>
      <c r="C131"/>
      <c r="D131"/>
      <c r="E131"/>
      <c r="F131"/>
      <c r="G131"/>
      <c r="I131" t="str">
        <f t="shared" ca="1" si="6"/>
        <v/>
      </c>
      <c r="J131" s="55" t="s">
        <v>244</v>
      </c>
      <c r="K131" s="56" t="str">
        <v>151536623-5</v>
      </c>
      <c r="L131" s="57"/>
      <c r="M131" s="57"/>
      <c r="N131" s="54"/>
    </row>
    <row r="132" spans="1:14" ht="13.8" hidden="1" x14ac:dyDescent="0.25">
      <c r="A132"/>
      <c r="B132"/>
      <c r="C132"/>
      <c r="D132"/>
      <c r="E132"/>
      <c r="F132"/>
      <c r="G132"/>
      <c r="I132" t="str">
        <f t="shared" ca="1" si="6"/>
        <v/>
      </c>
      <c r="J132" s="55" t="s">
        <v>248</v>
      </c>
      <c r="K132" s="56">
        <v>0</v>
      </c>
      <c r="L132" s="57"/>
      <c r="M132" s="57"/>
      <c r="N132" s="54"/>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5" t="s">
        <v>294</v>
      </c>
    </row>
    <row r="139" spans="1:14" x14ac:dyDescent="0.25">
      <c r="A139" s="45" t="s">
        <v>651</v>
      </c>
    </row>
    <row r="140" spans="1:14" x14ac:dyDescent="0.25">
      <c r="A140" s="45" t="s">
        <v>664</v>
      </c>
    </row>
    <row r="141" spans="1:14" x14ac:dyDescent="0.25">
      <c r="A141" s="45" t="s">
        <v>668</v>
      </c>
    </row>
    <row r="142" spans="1:14" x14ac:dyDescent="0.25">
      <c r="A142" s="45" t="s">
        <v>678</v>
      </c>
    </row>
    <row r="143" spans="1:14" x14ac:dyDescent="0.25">
      <c r="A143" s="45" t="s">
        <v>679</v>
      </c>
    </row>
    <row r="144" spans="1:14" x14ac:dyDescent="0.25">
      <c r="A144" s="45" t="s">
        <v>689</v>
      </c>
    </row>
    <row r="145" spans="1:1" x14ac:dyDescent="0.25">
      <c r="A145" s="45" t="s">
        <v>694</v>
      </c>
    </row>
    <row r="146" spans="1:1" x14ac:dyDescent="0.25">
      <c r="A146" s="45" t="s">
        <v>697</v>
      </c>
    </row>
  </sheetData>
  <sheetProtection algorithmName="SHA-512" hashValue="9OkcK23mw4t7cLsuq6b+DU0/xGex6x2tI0DPm61JtTbDngPG4XqVm4/rlhDIlQeiX2cHEhbFwJbvDMaltpjZoA==" saltValue="lyaOW5qNQ0InU0cLvk3rgg=="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483" priority="2" stopIfTrue="1">
      <formula>DESONERACAO="não"</formula>
    </cfRule>
  </conditionalFormatting>
  <conditionalFormatting sqref="U69:W69 U109:W109 U29:W29">
    <cfRule type="expression" dxfId="482" priority="3" stopIfTrue="1">
      <formula>AND(U29&lt;&gt;"OK",U29&lt;&gt;"-",U29&lt;&gt;"")</formula>
    </cfRule>
    <cfRule type="cellIs" dxfId="481" priority="4" stopIfTrue="1" operator="equal">
      <formula>"OK"</formula>
    </cfRule>
  </conditionalFormatting>
  <conditionalFormatting sqref="S29 S69 S109">
    <cfRule type="expression" dxfId="480"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r:id="rId1"/>
  <headerFooter alignWithMargins="0">
    <oddHeader>&amp;L_</oddHeader>
    <oddFooter>&amp;LPMv3.08&amp;R&amp;P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53"/>
  <sheetViews>
    <sheetView showGridLines="0" zoomScale="70" zoomScaleNormal="70" zoomScaleSheetLayoutView="90" workbookViewId="0">
      <pane xSplit="19" ySplit="15" topLeftCell="T23" activePane="bottomRight" state="frozen"/>
      <selection pane="topRight" activeCell="T1" sqref="T1"/>
      <selection pane="bottomLeft" activeCell="L16" sqref="L16"/>
      <selection pane="bottomRight" activeCell="R32" sqref="R32"/>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6640625" hidden="1" customWidth="1"/>
    <col min="6" max="6" width="12.44140625" hidden="1" customWidth="1"/>
    <col min="7" max="7" width="14.5546875" hidden="1" customWidth="1"/>
    <col min="8" max="8" width="11.33203125" hidden="1" customWidth="1"/>
    <col min="9" max="9" width="13.44140625" hidden="1" customWidth="1"/>
    <col min="10" max="10" width="7.33203125" hidden="1" customWidth="1"/>
    <col min="11" max="11" width="7.5546875" hidden="1" customWidth="1"/>
    <col min="12" max="12" width="3.6640625" customWidth="1"/>
    <col min="13" max="14" width="8.6640625" customWidth="1"/>
    <col min="15" max="15" width="12.6640625" customWidth="1"/>
    <col min="16" max="17" width="15.6640625" customWidth="1"/>
    <col min="18" max="18" width="65.6640625" customWidth="1"/>
    <col min="19" max="19" width="10.6640625" customWidth="1"/>
    <col min="20" max="21" width="14.6640625" customWidth="1"/>
    <col min="22" max="22" width="10.6640625" customWidth="1"/>
    <col min="23" max="23" width="14.6640625" customWidth="1"/>
    <col min="24" max="24" width="15.6640625" customWidth="1"/>
    <col min="25" max="25" width="3.6640625" customWidth="1"/>
    <col min="26" max="26" width="3.6640625" hidden="1" customWidth="1"/>
    <col min="27" max="28" width="14.6640625" hidden="1" customWidth="1"/>
    <col min="29" max="29" width="15.6640625" customWidth="1"/>
    <col min="30" max="31" width="9.109375" hidden="1" customWidth="1"/>
    <col min="32" max="32" width="15.5546875" hidden="1" customWidth="1"/>
    <col min="33" max="33" width="15.6640625" customWidth="1"/>
    <col min="35" max="35" width="1.6640625" customWidth="1"/>
    <col min="36" max="36" width="14.6640625" customWidth="1"/>
    <col min="37" max="37" width="1.6640625" customWidth="1"/>
    <col min="38" max="38" width="14.6640625" customWidth="1"/>
    <col min="39" max="40" width="15.6640625" customWidth="1"/>
  </cols>
  <sheetData>
    <row r="1" spans="1:40" ht="17.399999999999999" x14ac:dyDescent="0.25">
      <c r="M1" s="59"/>
      <c r="N1" s="59"/>
      <c r="R1" s="60" t="s">
        <v>706</v>
      </c>
      <c r="T1" s="60"/>
      <c r="X1" s="513" t="s">
        <v>650</v>
      </c>
      <c r="Y1" s="5"/>
      <c r="Z1" s="5"/>
      <c r="AA1" s="5"/>
      <c r="AB1" s="5"/>
    </row>
    <row r="2" spans="1:40" ht="15" x14ac:dyDescent="0.25">
      <c r="D2" t="s">
        <v>707</v>
      </c>
      <c r="E2" t="s">
        <v>708</v>
      </c>
      <c r="F2" t="s">
        <v>709</v>
      </c>
      <c r="G2" t="s">
        <v>710</v>
      </c>
      <c r="H2" t="s">
        <v>711</v>
      </c>
      <c r="I2" t="s">
        <v>712</v>
      </c>
      <c r="R2" s="61" t="str">
        <f>IF(TIPOORCAMENTO="licitado","Orçamento Licitado","Orçamento Base para Licitação")&amp;" - "&amp;import.recurso</f>
        <v>Orçamento Base para Licitação - OGU</v>
      </c>
      <c r="X2" s="514" t="s">
        <v>653</v>
      </c>
      <c r="Y2" s="62"/>
      <c r="Z2" s="62"/>
      <c r="AA2" s="62"/>
      <c r="AB2" s="62"/>
    </row>
    <row r="3" spans="1:40" x14ac:dyDescent="0.25">
      <c r="H3" s="63"/>
      <c r="R3" s="64"/>
    </row>
    <row r="4" spans="1:40" x14ac:dyDescent="0.25">
      <c r="A4" t="s">
        <v>713</v>
      </c>
      <c r="F4" t="s">
        <v>669</v>
      </c>
      <c r="G4" t="s">
        <v>704</v>
      </c>
      <c r="H4" t="s">
        <v>705</v>
      </c>
      <c r="I4" s="65">
        <v>0</v>
      </c>
      <c r="O4" s="690" t="s">
        <v>656</v>
      </c>
      <c r="P4" s="690"/>
      <c r="Q4" s="66" t="s">
        <v>714</v>
      </c>
      <c r="R4" s="66" t="s">
        <v>658</v>
      </c>
      <c r="S4" s="690" t="s">
        <v>715</v>
      </c>
      <c r="T4" s="690"/>
      <c r="U4" s="690"/>
      <c r="V4" s="690"/>
      <c r="W4" s="690"/>
      <c r="X4" s="690"/>
      <c r="Y4" s="55"/>
      <c r="Z4" s="55"/>
      <c r="AA4" s="55"/>
      <c r="AB4" s="55"/>
    </row>
    <row r="5" spans="1:40" ht="12.75" customHeight="1" x14ac:dyDescent="0.25">
      <c r="A5" s="5">
        <f ca="1">MAX($C$15:$C$36)</f>
        <v>3</v>
      </c>
      <c r="B5" s="5"/>
      <c r="C5" s="5"/>
      <c r="F5" s="65">
        <f ca="1">IF(BDI.Opcao="DESONERADO",BDI!$S$30,BDI!$S$29)</f>
        <v>0.23380000000000001</v>
      </c>
      <c r="G5" s="65">
        <f ca="1">IF(BDI.Opcao="DESONERADO",BDI!$S$70,BDI!$S$69)</f>
        <v>0</v>
      </c>
      <c r="H5" s="65">
        <f ca="1">IF(BDI.Opcao="DESONERADO",BDI!$S$110,BDI!$S$109)</f>
        <v>0</v>
      </c>
      <c r="O5" s="694" t="str">
        <f>Import.CR</f>
        <v>S/ INFORMAÇÃO</v>
      </c>
      <c r="P5" s="694"/>
      <c r="Q5" s="68" t="str" cm="1">
        <f t="array" ref="Q5">Import.TransfereGOV</f>
        <v>S/ INFORMAÇÃO</v>
      </c>
      <c r="R5" s="69" t="str">
        <f>Import.Proponente</f>
        <v>PREFEITURA MUNICIPAL DE URUARÁ</v>
      </c>
      <c r="S5" s="694" t="str">
        <f>Import.Apelido</f>
        <v>PAVIMENTAÇÃO DE VIAS NO MUNICÍPIO DE URUARÁ - PARÁ</v>
      </c>
      <c r="T5" s="694"/>
      <c r="U5" s="694"/>
      <c r="V5" s="694"/>
      <c r="W5" s="694"/>
      <c r="X5" s="694"/>
      <c r="Y5" s="534"/>
      <c r="Z5" s="534"/>
      <c r="AA5" s="534"/>
      <c r="AB5" s="534"/>
      <c r="AE5" s="701" t="s">
        <v>716</v>
      </c>
      <c r="AF5" s="701"/>
    </row>
    <row r="6" spans="1:40" ht="5.0999999999999996" customHeight="1" x14ac:dyDescent="0.25">
      <c r="A6" s="5"/>
      <c r="B6" s="5"/>
      <c r="C6" s="5"/>
      <c r="H6" s="63"/>
      <c r="O6" s="558"/>
      <c r="P6" s="558"/>
      <c r="Q6" s="559"/>
      <c r="R6" s="559"/>
      <c r="S6" s="558"/>
      <c r="T6" s="558"/>
      <c r="U6" s="558"/>
      <c r="V6" s="558"/>
      <c r="W6" s="558"/>
      <c r="X6" s="558"/>
      <c r="Y6" s="534"/>
      <c r="Z6" s="534"/>
      <c r="AA6" s="534"/>
      <c r="AB6" s="534"/>
      <c r="AC6" s="70"/>
      <c r="AE6" s="560"/>
      <c r="AF6" s="561"/>
    </row>
    <row r="7" spans="1:40" ht="12.75" customHeight="1" x14ac:dyDescent="0.25">
      <c r="H7" s="63"/>
      <c r="O7" s="690" t="s">
        <v>717</v>
      </c>
      <c r="P7" s="690"/>
      <c r="Q7" s="66" t="s">
        <v>718</v>
      </c>
      <c r="R7" s="66" t="str">
        <f>IF(TIPOORCAMENTO="Licitado","NOME DA EMPRESA","DESCRIÇÃO DO LOTE")</f>
        <v>DESCRIÇÃO DO LOTE</v>
      </c>
      <c r="S7" s="702" t="str">
        <f>IF(TIPOORCAMENTO="Licitado","REGIME DE EXECUÇÃO","MUNICÍPIO / UF")</f>
        <v>MUNICÍPIO / UF</v>
      </c>
      <c r="T7" s="702"/>
      <c r="U7" s="702"/>
      <c r="V7" s="71" t="str">
        <f>IF(TIPOORCAMENTO="Licitado","","BDI 1")</f>
        <v>BDI 1</v>
      </c>
      <c r="W7" s="71" t="str">
        <f>IF(TIPOORCAMENTO="Licitado","","BDI 2")</f>
        <v>BDI 2</v>
      </c>
      <c r="X7" s="72" t="str">
        <f>IF(TIPOORCAMENTO="Licitado","Nº CTEF","BDI 3")</f>
        <v>BDI 3</v>
      </c>
      <c r="Y7" s="71"/>
      <c r="Z7" s="71"/>
      <c r="AE7" s="560" t="s">
        <v>719</v>
      </c>
      <c r="AF7" s="561" t="b">
        <v>1</v>
      </c>
      <c r="AJ7" s="705" t="s">
        <v>720</v>
      </c>
      <c r="AL7" s="703" t="s">
        <v>721</v>
      </c>
    </row>
    <row r="8" spans="1:40" ht="12.75" customHeight="1" x14ac:dyDescent="0.25">
      <c r="A8" s="5"/>
      <c r="B8" s="5"/>
      <c r="C8" s="5"/>
      <c r="F8" s="706" t="str">
        <f ca="1">IF(LEN(INFO("release"))&gt;5,"'Referência "&amp;Excel_BuiltIn_Database&amp;".xlsm'#Banco.$a5:$a$65536","'[Referência "&amp;Excel_BuiltIn_Database&amp;".xlsm]Banco'!$a5:$a$65536")</f>
        <v>'[Referência 04-2026.xlsm]Banco'!$a5:$a$65536</v>
      </c>
      <c r="G8" s="706"/>
      <c r="H8" s="706"/>
      <c r="I8" s="706"/>
      <c r="J8" s="706"/>
      <c r="K8" s="706"/>
      <c r="L8" s="683" t="s">
        <v>661</v>
      </c>
      <c r="O8" s="694" t="str">
        <f ca="1">IF(ISERROR(INDIRECT($F$9)),"(N/D: 'Referência "&amp;Excel_BuiltIn_Database&amp;".xlsm)",INDIRECT($F$9))</f>
        <v>BELEM</v>
      </c>
      <c r="P8" s="694"/>
      <c r="Q8" s="73" t="str">
        <f ca="1">TEXT(Import.DataBase,"mm-aa")&amp;IF(DESONERACAO="Sim"," (DES.)"," (N DES.)")</f>
        <v>04-26 (N DES.)</v>
      </c>
      <c r="R8" s="69" t="str">
        <f>IF(TIPOORCAMENTO="Licitado",Import.empresa,Import.DescLote)</f>
        <v>PAVIMENTAÇÃO DE VIAS NO MUNICÍPIO DE URUARÁ - PARÁ</v>
      </c>
      <c r="S8" s="707" t="str">
        <f>IF(TIPOORCAMENTO="Licitado",Import.RegimeExecução,Import.Município)</f>
        <v>URUARÁ-PARÁ</v>
      </c>
      <c r="T8" s="707"/>
      <c r="U8" s="707"/>
      <c r="V8" s="74" t="str">
        <f ca="1">IF(TIPOORCAMENTO="Licitado","",TEXT(F5,"0,00%"))</f>
        <v>23,38%</v>
      </c>
      <c r="W8" s="74" t="str">
        <f ca="1">IF(TIPOORCAMENTO="Licitado","",TEXT(G5,"0,00%"))</f>
        <v>0,00%</v>
      </c>
      <c r="X8" s="75" t="str">
        <f ca="1">IF(TIPOORCAMENTO="Licitado",Import.CTEF,TEXT(H5,"0,00%"))</f>
        <v>0,00%</v>
      </c>
      <c r="Y8" s="683" t="s">
        <v>722</v>
      </c>
      <c r="Z8" s="683" t="s">
        <v>723</v>
      </c>
      <c r="AA8" s="76"/>
      <c r="AB8" s="76"/>
      <c r="AE8" s="560" t="s">
        <v>724</v>
      </c>
      <c r="AF8" s="561" t="b">
        <v>1</v>
      </c>
      <c r="AJ8" s="705"/>
      <c r="AL8" s="703"/>
    </row>
    <row r="9" spans="1:40" ht="12.75" customHeight="1" x14ac:dyDescent="0.25">
      <c r="F9" s="706" t="str">
        <f ca="1">IF(LEN(INFO("release"))&gt;5,"'Referência "&amp;Excel_BuiltIn_Database&amp;".xlsm'#Banco.$d$3","'[Referência "&amp;Excel_BuiltIn_Database&amp;".xlsm]Banco'!$d$3")</f>
        <v>'[Referência 04-2026.xlsm]Banco'!$d$3</v>
      </c>
      <c r="G9" s="706"/>
      <c r="H9" s="706"/>
      <c r="I9" s="706"/>
      <c r="J9" s="706"/>
      <c r="K9" s="706"/>
      <c r="L9" s="683"/>
      <c r="Y9" s="683"/>
      <c r="Z9" s="683"/>
      <c r="AE9" s="560" t="s">
        <v>23</v>
      </c>
      <c r="AF9" s="561" t="b">
        <v>1</v>
      </c>
      <c r="AJ9" s="705"/>
      <c r="AL9" s="703"/>
    </row>
    <row r="10" spans="1:40" x14ac:dyDescent="0.25">
      <c r="G10" s="63"/>
      <c r="H10" s="63"/>
      <c r="L10" s="683"/>
      <c r="Y10" s="683"/>
      <c r="Z10" s="683"/>
      <c r="AC10" s="562" t="s">
        <v>725</v>
      </c>
      <c r="AE10" s="560" t="s">
        <v>726</v>
      </c>
      <c r="AF10" s="561" t="b">
        <v>1</v>
      </c>
      <c r="AJ10" s="705"/>
      <c r="AL10" s="703"/>
    </row>
    <row r="11" spans="1:40" x14ac:dyDescent="0.25">
      <c r="G11" s="63"/>
      <c r="H11" s="77"/>
      <c r="L11" s="683"/>
      <c r="Y11" s="683"/>
      <c r="Z11" s="683"/>
      <c r="AC11" s="78" t="str">
        <f ca="1">IF(COUNTIFS($L$15:$L$36,"F",$AC$15:$AC$36,"&lt;&gt;"&amp;" ")&gt;0,"NÃO OK","OK")</f>
        <v>OK</v>
      </c>
      <c r="AE11" s="560" t="s">
        <v>727</v>
      </c>
      <c r="AF11" s="561" t="b">
        <v>1</v>
      </c>
      <c r="AJ11" s="705"/>
      <c r="AL11" s="703"/>
    </row>
    <row r="12" spans="1:40" ht="13.8" x14ac:dyDescent="0.25">
      <c r="G12" s="63"/>
      <c r="H12" s="63"/>
      <c r="L12" s="683"/>
      <c r="R12" s="483" t="str">
        <f ca="1">IF(COUNTIF($AC$15:$AC$36,"FONTE")&gt;0,"Falta preencher a Fonte (coluna P) na Linha "&amp;(14+MATCH("FONTE",$AC$15:$AC$36,0)),
 IF(COUNTIF($AC$15:$AC$36,"CÓDIGO")&gt;0,"Falta preencher o Código (coluna Q) na Linha "&amp;(14+MATCH("CÓDIGO",$AC$15:$AC$36,0)),
 IF(COUNTIF($AC$15:$AC$36,"DESCRIÇÃO")&gt;0,"Falta preencher a Descrição (coluna R) na Linha "&amp;(14+MATCH("DESCRIÇÃO",$AC$15:$AC$36,0)),
 IF(COUNTIF($AC$15:$AC$36,"UNIDADE")&gt;0,"Falta preencher a Unidade (coluna S) na Linha "&amp;(14+MATCH("UNIDADE",$AC$15:$AC$36,0)),
 IF(COUNTIF($AC$15:$AC$36,"SEM CUSTO")&gt;0,"Falta preencher o Custo Unitário (coluna U) na Linha "&amp;(14+MATCH("SEM CUSTO",$AC$15:$AC$36,0)),
 IF(COUNTIF($AC$15:$AC$36,"SEM PREÇO")&gt;0,"Falta preencher o Preço Unitário licitado (coluna AL) na Linha "&amp;(14+MATCH("SEM CUSTO",$AC$15:$AC$36,0)),
 IF(COUNTIF($AC$15:$AC$36,"BDI")&gt;0,"Falta definir o BDI (coluna V) na Linha "&amp;(14+MATCH("BDI",$AC$15:$AC$36,0)),
 IF(COUNTIF($AC$15:$AC$36,"ACIMA REF.")&gt;0,
         IF(TIPOORCAMENTO="Proposto","O custo unitário (coluna U) na Linha "&amp;(14+MATCH("ACIMA REF.",$AC$15:$AC$36,0))&amp;" está acima do custo referencial (coluna AG)",
            "O preço unitário licitado (coluna AL) na Linha "&amp;(14+MATCH("ACIMA REF.",$AC$15:$AC$36,0))&amp;" está acima do preço referencial do edital (coluna AN)"),
 IF(COUNTIF($AC$15:$AC$36,"QUANT.")&gt;0,"Falta a Quantidade do serviço na Linha "&amp;(14+MATCH("QUANT.",$AC$15:$AC$36,0))&amp;IF(ACOMPANHAMENTO="PLE",". Preencher na aba CÁLCULO",". Preencher na coluna AJ"),
 IF(COUNTIF($AC$15:$AC$36,"Código &gt;13")&gt;0,"O tamanho do código do serviço no TransfereGOV é limitado a 13 caracteres. Resuma o código (coluna Q) na Linha "&amp;(14+MATCH("Código &gt;13",$AC$15:$AC$36,0)),
 IF(COUNTIF($AC$15:$AC$36,"Descrição &gt;100")&gt;0,"O tamanho da descrição de macrosserviço no TransfereGOV é limitado a 100 caracteres. Resuma a descrição (coluna R) na Linha "&amp;(14+MATCH("Descrição &gt;100",$AC$15:$AC$36,0)),
 IF(COUNTIF($AC$15:$AC$36,"Descrição &gt;500")&gt;0,"O tamanho da descrição de serviço no TransfereGOV é limitado a 500 caracteres. Resuma a descrição (coluna R) na Linha "&amp;(14+MATCH("Descrição &gt;500",$AC$15:$AC$36,0)),
 IF(COUNTIF($AC$15:$AC$36,"Unid. Não Disp")&gt;0,"Unidade não disponível na lista do TransfereGOV. Reveja a unidade (coluna S) na Linha "&amp;(14+MATCH("Unid. Não Disp",$AC$15:$AC$36,0)),"")))))))))))))</f>
        <v/>
      </c>
      <c r="Y12" s="683"/>
      <c r="Z12" s="683"/>
      <c r="AA12" s="704" t="s">
        <v>728</v>
      </c>
      <c r="AB12" s="704"/>
      <c r="AJ12" s="79" t="s">
        <v>666</v>
      </c>
      <c r="AL12" s="370" t="s">
        <v>666</v>
      </c>
    </row>
    <row r="13" spans="1:40" ht="35.1" customHeight="1" x14ac:dyDescent="0.25">
      <c r="A13" s="563" t="s">
        <v>729</v>
      </c>
      <c r="B13" s="563" t="s">
        <v>730</v>
      </c>
      <c r="C13" s="563" t="s">
        <v>731</v>
      </c>
      <c r="D13" s="563" t="s">
        <v>732</v>
      </c>
      <c r="E13" s="563" t="s">
        <v>733</v>
      </c>
      <c r="F13" s="563" t="s">
        <v>734</v>
      </c>
      <c r="G13" s="563" t="s">
        <v>735</v>
      </c>
      <c r="H13" s="563" t="s">
        <v>736</v>
      </c>
      <c r="I13" s="563" t="s">
        <v>737</v>
      </c>
      <c r="J13" s="563" t="s">
        <v>738</v>
      </c>
      <c r="K13" s="563" t="s">
        <v>739</v>
      </c>
      <c r="L13" s="79" t="s">
        <v>666</v>
      </c>
      <c r="M13" s="563" t="s">
        <v>740</v>
      </c>
      <c r="N13" s="564" t="s">
        <v>741</v>
      </c>
      <c r="O13" s="563" t="s">
        <v>742</v>
      </c>
      <c r="P13" s="563" t="s">
        <v>743</v>
      </c>
      <c r="Q13" s="563" t="s">
        <v>744</v>
      </c>
      <c r="R13" s="563" t="s">
        <v>115</v>
      </c>
      <c r="S13" s="565" t="s">
        <v>745</v>
      </c>
      <c r="T13" s="563" t="s">
        <v>719</v>
      </c>
      <c r="U13" s="563" t="str">
        <f>IF(TIPOORCAMENTO="Licitado","","Custo Unitário (sem BDI) (R$)")</f>
        <v>Custo Unitário (sem BDI) (R$)</v>
      </c>
      <c r="V13" s="563" t="str">
        <f>IF(TIPOORCAMENTO="Licitado","","BDI
(%)")</f>
        <v>BDI
(%)</v>
      </c>
      <c r="W13" s="563" t="s">
        <v>746</v>
      </c>
      <c r="X13" s="563" t="s">
        <v>747</v>
      </c>
      <c r="Y13" s="79" t="s">
        <v>666</v>
      </c>
      <c r="Z13" s="79" t="s">
        <v>666</v>
      </c>
      <c r="AA13" s="81" t="s">
        <v>748</v>
      </c>
      <c r="AB13" s="82" t="s">
        <v>749</v>
      </c>
      <c r="AC13" s="563" t="s">
        <v>750</v>
      </c>
      <c r="AD13" s="83" t="s">
        <v>751</v>
      </c>
      <c r="AE13" s="83" t="s">
        <v>752</v>
      </c>
      <c r="AF13" s="83" t="s">
        <v>753</v>
      </c>
      <c r="AG13" s="566" t="s">
        <v>754</v>
      </c>
      <c r="AH13" s="567" t="str">
        <f>IF(TIPOORCAMENTO="LICITADO","Valor BDI Edital","Valor BDI")</f>
        <v>Valor BDI</v>
      </c>
      <c r="AJ13" s="568" t="s">
        <v>719</v>
      </c>
      <c r="AL13" s="568" t="s">
        <v>746</v>
      </c>
      <c r="AM13" s="566" t="s">
        <v>755</v>
      </c>
      <c r="AN13" s="569" t="s">
        <v>756</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IF(OR($C14="S",$C14=0),0,MATCH(0,OFFSET($D14,1,$C14,ROW($C$36)-ROW($C14)),0))</f>
        <v>0</v>
      </c>
      <c r="K14">
        <f ca="1">IF(OR($C14="S",$C14=0),0,MATCH(OFFSET($D14,0,$C14)+IF($C14&lt;&gt;1,1,COUNTIF(QCI!$A$13:$A$24,ORÇAMENTO!E14)),OFFSET($D14,1,$C14,ROW($C$36)-ROW($C14)),0))</f>
        <v>0</v>
      </c>
      <c r="L14" s="85" t="str">
        <f ca="1">IF(OR($X14&gt;0,$C14=1,$C14=2,$C14=3,$C14=4),"F","")</f>
        <v/>
      </c>
      <c r="M14" s="86" t="s">
        <v>712</v>
      </c>
      <c r="N14" s="87" t="str">
        <f ca="1">CHOOSE(1+LOG(1+2*(C14=1)+4*(C14=2)+8*(C14=3)+16*(C14=4)+32*(C14="S"),2),"","Meta","Nível 2","Nível 3","Nível 4","Serviço")</f>
        <v>Serviço</v>
      </c>
      <c r="O14" s="88" t="str">
        <f ca="1">IF(OR($C14=0,$L14=""),"-",CONCATENATE(E14&amp;".",IF(AND($A$5&gt;=2,$C14&gt;=2),F14&amp;".",""),IF(AND($A$5&gt;=3,$C14&gt;=3),G14&amp;".",""),IF(AND($A$5&gt;=4,$C14&gt;=4),H14&amp;".",""),IF($C14="S",I14&amp;".","")))</f>
        <v>-</v>
      </c>
      <c r="P14" s="89" t="s">
        <v>757</v>
      </c>
      <c r="Q14" s="90"/>
      <c r="R14" s="91" t="str">
        <f ca="1">IF($C14="S",REFERENCIA.Descricao,"(digite a descrição aqui)")</f>
        <v>(Sem Código)</v>
      </c>
      <c r="S14" s="92" t="str">
        <f ca="1">REFERENCIA.Unidade</f>
        <v>-</v>
      </c>
      <c r="T14" s="93">
        <f ca="1">OFFSET(CÁLCULO!H$15,ROW($T14)-ROW(T$15),0)</f>
        <v>0</v>
      </c>
      <c r="U14" s="94"/>
      <c r="V14" s="95" t="s">
        <v>669</v>
      </c>
      <c r="W14" s="93">
        <f ca="1">IF($C14="S",ROUND(IF(TIPOORCAMENTO="Proposto",ORÇAMENTO.CustoUnitario*(1+$AH14),ORÇAMENTO.PrecoUnitarioLicitado),15-13*$AF$10),0)</f>
        <v>0</v>
      </c>
      <c r="X14" s="96">
        <f ca="1">IF($C14="S",IF(OR(Import.TipoArredondamento&lt;&gt;"TransfereGOV",ACOMPANHAMENTO="BM"),VTOTAL1,SUM(OFFSET(CÁLCULO!$AA$15,ROW($X14)-ROW($X$15),1):OFFSET(CÁLCULO!$AL$15,ROW($X14)-ROW($X$15),-1))),IF($C14=0,0,ROUND(SomaAgrup,15-13*$AF$11)))</f>
        <v>0</v>
      </c>
      <c r="Y14" s="97" t="s">
        <v>758</v>
      </c>
      <c r="Z14" t="str">
        <f ca="1">IF(AND($C14="S",$X14&gt;0),IF(ISBLANK($Y14),"RA",LEFT($Y14,2)),"")</f>
        <v/>
      </c>
      <c r="AA14" s="98">
        <f ca="1">IF($C14="S",IF($Z14="CP",$X14,IF($Z14="RA",(($X14)*QCI!$AA$3),0)),SomaAgrup)</f>
        <v>0</v>
      </c>
      <c r="AB14" s="99">
        <f ca="1">IF($C14="S",IF($Z14="OU",ROUND($X14,2),0),SomaAgrup)</f>
        <v>0</v>
      </c>
      <c r="AC14" s="477" t="str">
        <f ca="1">IF($N14=""," ",
IF(AND($C14="S",OR($Q14&lt;&gt;0,$T14&gt;0,$U14&gt;0),$P14=0),"FONTE",
IF(AND($C14="S",$P14&lt;&gt;0,OR($T14&gt;0,$U14&gt;0),$Q14=0),"CÓDIGO",
IF(AND(OR($R14="",$R14="(digite a descrição aqui)"),OR($C14&lt;&gt;"S",AND($C14="S",OR($Q14&lt;&gt;0,$T14&gt;0,$U14&gt;0)))),"DESCRIÇÃO",
IF(AND($C14="S",$P14&lt;&gt;0,$Q14&lt;&gt;0,$S14=""),"UNIDADE",
IF(AND($C14="S",$P14&lt;&gt;0,$Q14&lt;&gt;0,$U14=0),"SEM CUSTO",
IF(AND(TIPOORCAMENTO="Licitado",$AL14=0,$AN14&gt;0),"SEM PREÇO",
IF(AND($C14="S",$P14&lt;&gt;0,$Q14&lt;&gt;0,$U14&gt;0,$V14=0),"BDI",
IF(OR(AND(TIPOORCAMENTO="Proposto",$AG14&lt;&gt;"",$AG14&gt;0,ORÇAMENTO.CustoUnitario&gt;$AG14),AND(TIPOORCAMENTO="LICITADO",ORÇAMENTO.PrecoUnitarioLicitado&gt;$AN14)),"ACIMA REF.",
IF(AND($C14="S",$P14&lt;&gt;0,$Q14&lt;&gt;0,$T14=0,$U14&gt;0),"QUANT.",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5" t="b">
        <f ca="1">IF(AND($C14="S",ORÇAMENTO.CodBarra&lt;&gt;""),IF(ORÇAMENTO.Fonte="",ORÇAMENTO.CodBarra,CONCATENATE(ORÇAMENTO.Fonte," ",ORÇAMENTO.CodBarra)))</f>
        <v>0</v>
      </c>
      <c r="AF14" s="531"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341">
        <f ca="1">ROUND(IF(DESONERACAO="sim",REFERENCIA.Desonerado,REFERENCIA.NaoDesonerado),2)</f>
        <v>0</v>
      </c>
      <c r="AH14" s="342">
        <f ca="1">ROUND(IF(ISNUMBER(ORÇAMENTO.OpcaoBDI),ORÇAMENTO.OpcaoBDI,IF(LEFT(ORÇAMENTO.OpcaoBDI,3)="BDI",HLOOKUP(ORÇAMENTO.OpcaoBDI,$F$4:$H$5,2,FALSE),0)),15-11*$AF$9)</f>
        <v>0.23380000000000001</v>
      </c>
      <c r="AJ14" s="344"/>
      <c r="AL14" s="351"/>
      <c r="AM14" s="260">
        <f t="shared" ref="AM14:AM35" ca="1" si="0">$X14</f>
        <v>0</v>
      </c>
      <c r="AN14" s="381">
        <f ca="1">ROUND(ORÇAMENTO.CustoUnitario*(1+$AH14),2)</f>
        <v>0</v>
      </c>
    </row>
    <row r="15" spans="1:40" ht="13.8" x14ac:dyDescent="0.3">
      <c r="A15">
        <v>0</v>
      </c>
      <c r="C15" t="s">
        <v>660</v>
      </c>
      <c r="D15">
        <f ca="1">COUNTA(OFFSET(D15,1,0):D$36)</f>
        <v>20</v>
      </c>
      <c r="E15">
        <v>0</v>
      </c>
      <c r="L15" s="85" t="s">
        <v>542</v>
      </c>
      <c r="M15" s="570" t="str">
        <f>IF(TIPOORCAMENTO="LICITADO","CTEF","LOTE")</f>
        <v>LOTE</v>
      </c>
      <c r="N15" s="570" t="str">
        <f>IF(TIPOORCAMENTO="LICITADO","CTEF","LOTE")</f>
        <v>LOTE</v>
      </c>
      <c r="O15" s="709" t="str">
        <f>Import.DescLote</f>
        <v>PAVIMENTAÇÃO DE VIAS NO MUNICÍPIO DE URUARÁ - PARÁ</v>
      </c>
      <c r="P15" s="709"/>
      <c r="Q15" s="709"/>
      <c r="R15" s="709"/>
      <c r="S15" s="571"/>
      <c r="T15" s="572"/>
      <c r="U15" s="572"/>
      <c r="V15" s="573"/>
      <c r="W15" s="572"/>
      <c r="X15" s="574">
        <f ca="1">SUMIF(OFFSET($C15,1,0,ROW(X36)-ROW(X15)-1),"S",OFFSET(X15,1,0,ROW(X36)-ROW(X15)-1))</f>
        <v>6242923.6299999999</v>
      </c>
      <c r="Y15" s="5"/>
      <c r="Z15" t="str">
        <f ca="1">IF(AND($C15="S",$X15&gt;0),LEFT($Y15,2),"")</f>
        <v/>
      </c>
      <c r="AA15" s="575">
        <f ca="1">SUMIF(OFFSET($C15,1,0,ROW(AA36)-ROW(AA15)-1),"S",OFFSET(AA15,1,0,ROW(AA36)-ROW(AA15)-1))</f>
        <v>242923.62999999992</v>
      </c>
      <c r="AB15" s="576">
        <f ca="1">SUMIF(OFFSET($C15,1,0,ROW(AB36)-ROW(AB15)-1),"S",OFFSET(AB15,1,0,ROW(AB36)-ROW(AB15)-1))</f>
        <v>0</v>
      </c>
      <c r="AC15" s="100" t="s">
        <v>759</v>
      </c>
      <c r="AG15" s="353"/>
      <c r="AH15" s="354"/>
      <c r="AJ15" s="343"/>
      <c r="AL15" s="352"/>
      <c r="AM15" s="382">
        <f t="shared" ca="1" si="0"/>
        <v>6242923.6299999999</v>
      </c>
      <c r="AN15" s="383"/>
    </row>
    <row r="16" spans="1:40" ht="13.8" x14ac:dyDescent="0.3">
      <c r="A16">
        <f t="shared" ref="A16:A35" si="1">CHOOSE(1+LOG(1+2*(ORÇAMENTO.Nivel="Meta")+4*(ORÇAMENTO.Nivel="Nível 2")+8*(ORÇAMENTO.Nivel="Nível 3")+16*(ORÇAMENTO.Nivel="Nível 4")+32*(ORÇAMENTO.Nivel="Serviço"),2),0,1,2,3,4,"S")</f>
        <v>1</v>
      </c>
      <c r="B16">
        <f t="shared" ref="B16:B35" ca="1" si="2">IF(OR(C16="s",C16=0),OFFSET(B16,-1,0),C16)</f>
        <v>1</v>
      </c>
      <c r="C16">
        <f t="shared" ref="C16:C35" ca="1" si="3">IF(OFFSET(C16,-1,0)="L",1,IF(OFFSET(C16,-1,0)=1,2,IF(OR(A16="s",A16=0),"S",IF(AND(OFFSET(C16,-1,0)=2,A16=4),3,IF(AND(OR(OFFSET(C16,-1,0)="s",OFFSET(C16,-1,0)=0),A16&lt;&gt;"s",A16&gt;OFFSET(B16,-1,0)),OFFSET(B16,-1,0),A16)))))</f>
        <v>1</v>
      </c>
      <c r="D16">
        <f t="shared" ref="D16:D35" ca="1" si="4">IF(OR(C16="S",C16=0),0,IF(ISERROR(K16),J16,SMALL(J16:K16,1)))</f>
        <v>20</v>
      </c>
      <c r="E16">
        <f ca="1">IF($C16=1,OFFSET(E16,-1,0)+MAX(1,COUNTIF(QCI!$A$13:$A$24,OFFSET(ORÇAMENTO!E16,-1,0))),OFFSET(E16,-1,0))</f>
        <v>1</v>
      </c>
      <c r="F16">
        <f t="shared" ref="F16:F35" ca="1" si="5">IF($C16=1,0,IF($C16=2,OFFSET(F16,-1,0)+1,OFFSET(F16,-1,0)))</f>
        <v>0</v>
      </c>
      <c r="G16">
        <f t="shared" ref="G16:G35" ca="1" si="6">IF(AND($C16&lt;=2,$C16&lt;&gt;0),0,IF($C16=3,OFFSET(G16,-1,0)+1,OFFSET(G16,-1,0)))</f>
        <v>0</v>
      </c>
      <c r="H16">
        <f t="shared" ref="H16:H35" ca="1" si="7">IF(AND($C16&lt;=3,$C16&lt;&gt;0),0,IF($C16=4,OFFSET(H16,-1,0)+1,OFFSET(H16,-1,0)))</f>
        <v>0</v>
      </c>
      <c r="I16">
        <f t="shared" ref="I16:I35" ca="1" si="8">IF(AND($C16&lt;=4,$C16&lt;&gt;0),0,IF(AND($C16="S",$X16&gt;0),OFFSET(I16,-1,0)+1,OFFSET(I16,-1,0)))</f>
        <v>0</v>
      </c>
      <c r="J16">
        <f t="shared" ref="J16:J35" ca="1" si="9">IF(OR($C16="S",$C16=0),0,MATCH(0,OFFSET($D16,1,$C16,ROW($C$36)-ROW($C16)),0))</f>
        <v>20</v>
      </c>
      <c r="K16" t="e">
        <f ca="1">IF(OR($C16="S",$C16=0),0,MATCH(OFFSET($D16,0,$C16)+IF($C16&lt;&gt;1,1,COUNTIF(QCI!$A$13:$A$24,ORÇAMENTO!E16)),OFFSET($D16,1,$C16,ROW($C$36)-ROW($C16)),0))</f>
        <v>#N/A</v>
      </c>
      <c r="L16" s="85" t="str">
        <f t="shared" ref="L16:L35" ca="1" si="10">IF(OR($X16&gt;0,$C16=1,$C16=2,$C16=3,$C16=4),"F","")</f>
        <v>F</v>
      </c>
      <c r="M16" s="86" t="s">
        <v>708</v>
      </c>
      <c r="N16" s="87" t="str">
        <f t="shared" ref="N16:N35" ca="1" si="11">CHOOSE(1+LOG(1+2*(C16=1)+4*(C16=2)+8*(C16=3)+16*(C16=4)+32*(C16="S"),2),"","Meta","Nível 2","Nível 3","Nível 4","Serviço")</f>
        <v>Meta</v>
      </c>
      <c r="O16" s="88" t="str">
        <f t="shared" ref="O16:O35" ca="1" si="12">IF(OR($C16=0,$L16=""),"-",CONCATENATE(E16&amp;".",IF(AND($A$5&gt;=2,$C16&gt;=2),F16&amp;".",""),IF(AND($A$5&gt;=3,$C16&gt;=3),G16&amp;".",""),IF(AND($A$5&gt;=4,$C16&gt;=4),H16&amp;".",""),IF($C16="S",I16&amp;".","")))</f>
        <v>1.</v>
      </c>
      <c r="P16" s="89" t="s">
        <v>757</v>
      </c>
      <c r="Q16" s="90"/>
      <c r="R16" s="91" t="s">
        <v>760</v>
      </c>
      <c r="S16" s="92" t="str">
        <f ca="1">REFERENCIA.Unidade</f>
        <v>-</v>
      </c>
      <c r="T16" s="93">
        <f ca="1">OFFSET(CÁLCULO!H$15,ROW($T16)-ROW(T$15),0)</f>
        <v>0</v>
      </c>
      <c r="U16" s="94"/>
      <c r="V16" s="95" t="s">
        <v>669</v>
      </c>
      <c r="W16" s="93">
        <f ca="1">IF($C16="S",ROUND(IF(TIPOORCAMENTO="Proposto",ORÇAMENTO.CustoUnitario*(1+$AH16),ORÇAMENTO.PrecoUnitarioLicitado),15-13*$AF$10),0)</f>
        <v>0</v>
      </c>
      <c r="X16" s="96">
        <f ca="1">IF($C16="S",IF(OR(Import.TipoArredondamento&lt;&gt;"TransfereGOV",ACOMPANHAMENTO="BM"),VTOTAL1,SUM(OFFSET(CÁLCULO!$AA$15,ROW($X16)-ROW($X$15),1):OFFSET(CÁLCULO!$AL$15,ROW($X16)-ROW($X$15),-1))),IF($C16=0,0,ROUND(SomaAgrup,15-13*$AF$11)))</f>
        <v>6242923.6299999999</v>
      </c>
      <c r="Y16" s="97" t="s">
        <v>758</v>
      </c>
      <c r="Z16" t="str">
        <f t="shared" ref="Z16:Z35" ca="1" si="13">IF(AND($C16="S",$X16&gt;0),IF(ISBLANK($Y16),"RA",LEFT($Y16,2)),"")</f>
        <v/>
      </c>
      <c r="AA16" s="98">
        <f ca="1">IF($C16="S",IF($Z16="CP",$X16,IF($Z16="RA",(($X16)*QCI!$AA$3),0)),SomaAgrup)</f>
        <v>242923.62999999992</v>
      </c>
      <c r="AB16" s="99">
        <f t="shared" ref="AB16:AB35" ca="1" si="14">IF($C16="S",IF($Z16="OU",ROUND($X16,2),0),SomaAgrup)</f>
        <v>0</v>
      </c>
      <c r="AC16" s="477" t="str">
        <f ca="1">IF($N16=""," ",
IF(AND($C16="S",OR($Q16&lt;&gt;0,$T16&gt;0,$U16&gt;0),$P16=0),"FONTE",
IF(AND($C16="S",$P16&lt;&gt;0,OR($T16&gt;0,$U16&gt;0),$Q16=0),"CÓDIGO",
IF(AND(OR($R16="",$R16="(digite a descrição aqui)"),OR($C16&lt;&gt;"S",AND($C16="S",OR($Q16&lt;&gt;0,$T16&gt;0,$U16&gt;0)))),"DESCRIÇÃO",
IF(AND($C16="S",$P16&lt;&gt;0,$Q16&lt;&gt;0,$S16=""),"UNIDADE",
IF(AND($C16="S",$P16&lt;&gt;0,$Q16&lt;&gt;0,$U16=0),"SEM CUSTO",
IF(AND(TIPOORCAMENTO="Licitado",$AL16=0,$AN16&gt;0),"SEM PREÇO",
IF(AND($C16="S",$P16&lt;&gt;0,$Q16&lt;&gt;0,$U16&gt;0,$V16=0),"BDI",
IF(OR(AND(TIPOORCAMENTO="Proposto",$AG16&lt;&gt;"",$AG16&gt;0,ORÇAMENTO.CustoUnitario&gt;$AG16),AND(TIPOORCAMENTO="LICITADO",ORÇAMENTO.PrecoUnitarioLicitado&gt;$AN16)),"ACIMA REF.",
IF(AND($C16="S",$P16&lt;&gt;0,$Q16&lt;&gt;0,$T16=0,$U16&gt;0),"QUANT.",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5" t="b">
        <f ca="1">IF(AND($C16="S",ORÇAMENTO.CodBarra&lt;&gt;""),IF(ORÇAMENTO.Fonte="",ORÇAMENTO.CodBarra,CONCATENATE(ORÇAMENTO.Fonte," ",ORÇAMENTO.CodBarra)))</f>
        <v>0</v>
      </c>
      <c r="AF16" s="531"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341">
        <f ca="1">ROUND(IF(DESONERACAO="sim",REFERENCIA.Desonerado,REFERENCIA.NaoDesonerado),2)</f>
        <v>0</v>
      </c>
      <c r="AH16" s="342">
        <f t="shared" ref="AH16:AH35" ca="1" si="15">ROUND(IF(ISNUMBER(ORÇAMENTO.OpcaoBDI),ORÇAMENTO.OpcaoBDI,IF(LEFT(ORÇAMENTO.OpcaoBDI,3)="BDI",HLOOKUP(ORÇAMENTO.OpcaoBDI,$F$4:$H$5,2,FALSE),0)),15-11*$AF$9)</f>
        <v>0.23380000000000001</v>
      </c>
      <c r="AJ16" s="344"/>
      <c r="AL16" s="351"/>
      <c r="AM16" s="260">
        <f t="shared" ca="1" si="0"/>
        <v>6242923.6299999999</v>
      </c>
      <c r="AN16" s="381">
        <f t="shared" ref="AN16:AN35" ca="1" si="16">ROUND(ORÇAMENTO.CustoUnitario*(1+$AH16),2)</f>
        <v>0</v>
      </c>
    </row>
    <row r="17" spans="1:40" ht="13.8" x14ac:dyDescent="0.3">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19</v>
      </c>
      <c r="K17">
        <f ca="1">IF(OR($C17="S",$C17=0),0,MATCH(OFFSET($D17,0,$C17)+IF($C17&lt;&gt;1,1,COUNTIF(QCI!$A$13:$A$24,ORÇAMENTO!E17)),OFFSET($D17,1,$C17,ROW($C$36)-ROW($C17)),0))</f>
        <v>2</v>
      </c>
      <c r="L17" s="85" t="str">
        <f t="shared" ca="1" si="10"/>
        <v>F</v>
      </c>
      <c r="M17" s="86" t="s">
        <v>709</v>
      </c>
      <c r="N17" s="87" t="str">
        <f t="shared" ca="1" si="11"/>
        <v>Nível 2</v>
      </c>
      <c r="O17" s="88" t="str">
        <f t="shared" ca="1" si="12"/>
        <v>1.1.</v>
      </c>
      <c r="P17" s="89" t="s">
        <v>757</v>
      </c>
      <c r="Q17" s="90"/>
      <c r="R17" s="91" t="s">
        <v>761</v>
      </c>
      <c r="S17" s="92" t="str">
        <f ca="1">REFERENCIA.Unidade</f>
        <v>-</v>
      </c>
      <c r="T17" s="93">
        <f ca="1">OFFSET(CÁLCULO!H$15,ROW($T17)-ROW(T$15),0)</f>
        <v>0</v>
      </c>
      <c r="U17" s="94"/>
      <c r="V17" s="95" t="s">
        <v>669</v>
      </c>
      <c r="W17" s="93">
        <f ca="1">IF($C17="S",ROUND(IF(TIPOORCAMENTO="Proposto",ORÇAMENTO.CustoUnitario*(1+$AH17),ORÇAMENTO.PrecoUnitarioLicitado),15-13*$AF$10),0)</f>
        <v>0</v>
      </c>
      <c r="X17" s="96">
        <f ca="1">IF($C17="S",IF(OR(Import.TipoArredondamento&lt;&gt;"TransfereGOV",ACOMPANHAMENTO="BM"),VTOTAL1,SUM(OFFSET(CÁLCULO!$AA$15,ROW($X17)-ROW($X$15),1):OFFSET(CÁLCULO!$AL$15,ROW($X17)-ROW($X$15),-1))),IF($C17=0,0,ROUND(SomaAgrup,15-13*$AF$11)))</f>
        <v>117343.71</v>
      </c>
      <c r="Y17" s="97" t="s">
        <v>758</v>
      </c>
      <c r="Z17" t="str">
        <f t="shared" ca="1" si="13"/>
        <v/>
      </c>
      <c r="AA17" s="98">
        <f ca="1">IF($C17="S",IF($Z17="CP",$X17,IF($Z17="RA",(($X17)*QCI!$AA$3),0)),SomaAgrup)</f>
        <v>4566.0593786355976</v>
      </c>
      <c r="AB17" s="99">
        <f t="shared" ca="1" si="14"/>
        <v>0</v>
      </c>
      <c r="AC17" s="477" t="str">
        <f ca="1">IF($N17=""," ",
IF(AND($C17="S",OR($Q17&lt;&gt;0,$T17&gt;0,$U17&gt;0),$P17=0),"FONTE",
IF(AND($C17="S",$P17&lt;&gt;0,OR($T17&gt;0,$U17&gt;0),$Q17=0),"CÓDIGO",
IF(AND(OR($R17="",$R17="(digite a descrição aqui)"),OR($C17&lt;&gt;"S",AND($C17="S",OR($Q17&lt;&gt;0,$T17&gt;0,$U17&gt;0)))),"DESCRIÇÃO",
IF(AND($C17="S",$P17&lt;&gt;0,$Q17&lt;&gt;0,$S17=""),"UNIDADE",
IF(AND($C17="S",$P17&lt;&gt;0,$Q17&lt;&gt;0,$U17=0),"SEM CUSTO",
IF(AND(TIPOORCAMENTO="Licitado",$AL17=0,$AN17&gt;0),"SEM PREÇO",
IF(AND($C17="S",$P17&lt;&gt;0,$Q17&lt;&gt;0,$U17&gt;0,$V17=0),"BDI",
IF(OR(AND(TIPOORCAMENTO="Proposto",$AG17&lt;&gt;"",$AG17&gt;0,ORÇAMENTO.CustoUnitario&gt;$AG17),AND(TIPOORCAMENTO="LICITADO",ORÇAMENTO.PrecoUnitarioLicitado&gt;$AN17)),"ACIMA REF.",
IF(AND($C17="S",$P17&lt;&gt;0,$Q17&lt;&gt;0,$T17=0,$U17&gt;0),"QUANT.",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5" t="b">
        <f ca="1">IF(AND($C17="S",ORÇAMENTO.CodBarra&lt;&gt;""),IF(ORÇAMENTO.Fonte="",ORÇAMENTO.CodBarra,CONCATENATE(ORÇAMENTO.Fonte," ",ORÇAMENTO.CodBarra)))</f>
        <v>0</v>
      </c>
      <c r="AF17" s="531"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341">
        <f ca="1">ROUND(IF(DESONERACAO="sim",REFERENCIA.Desonerado,REFERENCIA.NaoDesonerado),2)</f>
        <v>0</v>
      </c>
      <c r="AH17" s="342">
        <f t="shared" ca="1" si="15"/>
        <v>0.23380000000000001</v>
      </c>
      <c r="AJ17" s="344"/>
      <c r="AL17" s="351"/>
      <c r="AM17" s="260">
        <f t="shared" ca="1" si="0"/>
        <v>117343.71</v>
      </c>
      <c r="AN17" s="381">
        <f t="shared" ca="1" si="16"/>
        <v>0</v>
      </c>
    </row>
    <row r="18" spans="1:40" ht="13.8"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IF(OR($C18="S",$C18=0),0,MATCH(OFFSET($D18,0,$C18)+IF($C18&lt;&gt;1,1,COUNTIF(QCI!$A$13:$A$24,ORÇAMENTO!E18)),OFFSET($D18,1,$C18,ROW($C$36)-ROW($C18)),0))</f>
        <v>0</v>
      </c>
      <c r="L18" s="85" t="str">
        <f t="shared" ca="1" si="10"/>
        <v>F</v>
      </c>
      <c r="M18" s="86" t="s">
        <v>712</v>
      </c>
      <c r="N18" s="87" t="str">
        <f t="shared" ca="1" si="11"/>
        <v>Serviço</v>
      </c>
      <c r="O18" s="88" t="str">
        <f t="shared" ca="1" si="12"/>
        <v>1.1.0.1.</v>
      </c>
      <c r="P18" s="89" t="s">
        <v>762</v>
      </c>
      <c r="Q18" s="90" t="s">
        <v>763</v>
      </c>
      <c r="R18" s="91" t="str">
        <f ca="1">IF($C18="S",REFERENCIA.Descricao,"(digite a descrição aqui)")</f>
        <v>ADMINISTRAÇÃO LOCAL</v>
      </c>
      <c r="S18" s="92" t="s">
        <v>645</v>
      </c>
      <c r="T18" s="93">
        <f ca="1">OFFSET(CÁLCULO!H$15,ROW($T18)-ROW(T$15),0)</f>
        <v>1</v>
      </c>
      <c r="U18" s="94">
        <f ca="1">AG18</f>
        <v>95107.56</v>
      </c>
      <c r="V18" s="95" t="s">
        <v>669</v>
      </c>
      <c r="W18" s="93">
        <f ca="1">IF($C18="S",ROUND(IF(TIPOORCAMENTO="Proposto",ORÇAMENTO.CustoUnitario*(1+$AH18),ORÇAMENTO.PrecoUnitarioLicitado),15-13*$AF$10),0)</f>
        <v>117343.71</v>
      </c>
      <c r="X18" s="96">
        <f ca="1">IF($C18="S",IF(OR(Import.TipoArredondamento&lt;&gt;"TransfereGOV",ACOMPANHAMENTO="BM"),VTOTAL1,SUM(OFFSET(CÁLCULO!$AA$15,ROW($X18)-ROW($X$15),1):OFFSET(CÁLCULO!$AL$15,ROW($X18)-ROW($X$15),-1))),IF($C18=0,0,ROUND(SomaAgrup,15-13*$AF$11)))</f>
        <v>117343.71</v>
      </c>
      <c r="Y18" s="97" t="s">
        <v>758</v>
      </c>
      <c r="Z18" t="str">
        <f t="shared" ca="1" si="13"/>
        <v>RA</v>
      </c>
      <c r="AA18" s="98">
        <f ca="1">IF($C18="S",IF($Z18="CP",$X18,IF($Z18="RA",(($X18)*QCI!$AA$3),0)),SomaAgrup)</f>
        <v>4566.0593786355976</v>
      </c>
      <c r="AB18" s="99">
        <f t="shared" ca="1" si="14"/>
        <v>0</v>
      </c>
      <c r="AC18" s="477" t="str">
        <f ca="1">IF($N18=""," ",
IF(AND($C18="S",OR($Q18&lt;&gt;0,$T18&gt;0,$U18&gt;0),$P18=0),"FONTE",
IF(AND($C18="S",$P18&lt;&gt;0,OR($T18&gt;0,$U18&gt;0),$Q18=0),"CÓDIGO",
IF(AND(OR($R18="",$R18="(digite a descrição aqui)"),OR($C18&lt;&gt;"S",AND($C18="S",OR($Q18&lt;&gt;0,$T18&gt;0,$U18&gt;0)))),"DESCRIÇÃO",
IF(AND($C18="S",$P18&lt;&gt;0,$Q18&lt;&gt;0,$S18=""),"UNIDADE",
IF(AND($C18="S",$P18&lt;&gt;0,$Q18&lt;&gt;0,$U18=0),"SEM CUSTO",
IF(AND(TIPOORCAMENTO="Licitado",$AL18=0,$AN18&gt;0),"SEM PREÇO",
IF(AND($C18="S",$P18&lt;&gt;0,$Q18&lt;&gt;0,$U18&gt;0,$V18=0),"BDI",
IF(OR(AND(TIPOORCAMENTO="Proposto",$AG18&lt;&gt;"",$AG18&gt;0,ORÇAMENTO.CustoUnitario&gt;$AG18),AND(TIPOORCAMENTO="LICITADO",ORÇAMENTO.PrecoUnitarioLicitado&gt;$AN18)),"ACIMA REF.",
IF(AND($C18="S",$P18&lt;&gt;0,$Q18&lt;&gt;0,$T18=0,$U18&gt;0),"QUANT.",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5" t="str">
        <f ca="1">IF(AND($C18="S",ORÇAMENTO.CodBarra&lt;&gt;""),IF(ORÇAMENTO.Fonte="",ORÇAMENTO.CodBarra,CONCATENATE(ORÇAMENTO.Fonte," ",ORÇAMENTO.CodBarra)))</f>
        <v>Composição 001</v>
      </c>
      <c r="AF18" s="531">
        <f ca="1">IF(ISERROR(INDIRECT(ORÇAMENTO.BancoRef)),"(abra o arquivo 'Referência "&amp;Excel_BuiltIn_Database&amp;".xlsm)",IF(OR($C18&lt;&gt;"S",ORÇAMENTO.CodBarra=""),"(Sem Código)",IF(ISERROR(MATCH($AE18,INDIRECT(ORÇAMENTO.BancoRef),0)),"(Código não identificado nas referências)",MATCH($AE18,INDIRECT(ORÇAMENTO.BancoRef),0))))</f>
        <v>3</v>
      </c>
      <c r="AG18" s="341">
        <f ca="1">ROUND(IF(DESONERACAO="sim",REFERENCIA.Desonerado,REFERENCIA.NaoDesonerado),2)</f>
        <v>95107.56</v>
      </c>
      <c r="AH18" s="342">
        <f t="shared" ca="1" si="15"/>
        <v>0.23380000000000001</v>
      </c>
      <c r="AJ18" s="344">
        <v>1</v>
      </c>
      <c r="AL18" s="351"/>
      <c r="AM18" s="260">
        <f t="shared" ca="1" si="0"/>
        <v>117343.71</v>
      </c>
      <c r="AN18" s="381">
        <f t="shared" ca="1" si="16"/>
        <v>117343.71</v>
      </c>
    </row>
    <row r="19" spans="1:40" ht="13.8" x14ac:dyDescent="0.3">
      <c r="A19">
        <f t="shared" si="1"/>
        <v>2</v>
      </c>
      <c r="B19">
        <f t="shared" ca="1" si="2"/>
        <v>2</v>
      </c>
      <c r="C19">
        <f t="shared" ca="1" si="3"/>
        <v>2</v>
      </c>
      <c r="D19">
        <f t="shared" ca="1" si="4"/>
        <v>3</v>
      </c>
      <c r="E19">
        <f ca="1">IF($C19=1,OFFSET(E19,-1,0)+MAX(1,COUNTIF(QCI!$A$13:$A$24,OFFSET(ORÇAMENTO!E19,-1,0))),OFFSET(E19,-1,0))</f>
        <v>1</v>
      </c>
      <c r="F19">
        <f t="shared" ca="1" si="5"/>
        <v>2</v>
      </c>
      <c r="G19">
        <f t="shared" ca="1" si="6"/>
        <v>0</v>
      </c>
      <c r="H19">
        <f t="shared" ca="1" si="7"/>
        <v>0</v>
      </c>
      <c r="I19">
        <f t="shared" ca="1" si="8"/>
        <v>0</v>
      </c>
      <c r="J19">
        <f t="shared" ca="1" si="9"/>
        <v>17</v>
      </c>
      <c r="K19">
        <f ca="1">IF(OR($C19="S",$C19=0),0,MATCH(OFFSET($D19,0,$C19)+IF($C19&lt;&gt;1,1,COUNTIF(QCI!$A$13:$A$24,ORÇAMENTO!E19)),OFFSET($D19,1,$C19,ROW($C$36)-ROW($C19)),0))</f>
        <v>3</v>
      </c>
      <c r="L19" s="85" t="str">
        <f t="shared" ca="1" si="10"/>
        <v>F</v>
      </c>
      <c r="M19" s="86" t="s">
        <v>709</v>
      </c>
      <c r="N19" s="87" t="str">
        <f t="shared" ca="1" si="11"/>
        <v>Nível 2</v>
      </c>
      <c r="O19" s="88" t="str">
        <f t="shared" ca="1" si="12"/>
        <v>1.2.</v>
      </c>
      <c r="P19" s="89" t="s">
        <v>757</v>
      </c>
      <c r="Q19" s="90"/>
      <c r="R19" s="91" t="s">
        <v>764</v>
      </c>
      <c r="S19" s="92" t="str">
        <f ca="1">REFERENCIA.Unidade</f>
        <v>-</v>
      </c>
      <c r="T19" s="93">
        <f ca="1">OFFSET(CÁLCULO!H$15,ROW($T19)-ROW(T$15),0)</f>
        <v>0</v>
      </c>
      <c r="U19" s="94"/>
      <c r="V19" s="95" t="s">
        <v>669</v>
      </c>
      <c r="W19" s="93">
        <f ca="1">IF($C19="S",ROUND(IF(TIPOORCAMENTO="Proposto",ORÇAMENTO.CustoUnitario*(1+$AH19),ORÇAMENTO.PrecoUnitarioLicitado),15-13*$AF$10),0)</f>
        <v>0</v>
      </c>
      <c r="X19" s="96">
        <f ca="1">IF($C19="S",IF(OR(Import.TipoArredondamento&lt;&gt;"TransfereGOV",ACOMPANHAMENTO="BM"),VTOTAL1,SUM(OFFSET(CÁLCULO!$AA$15,ROW($X19)-ROW($X$15),1):OFFSET(CÁLCULO!$AL$15,ROW($X19)-ROW($X$15),-1))),IF($C19=0,0,ROUND(SomaAgrup,15-13*$AF$11)))</f>
        <v>17101.5</v>
      </c>
      <c r="Y19" s="97" t="s">
        <v>758</v>
      </c>
      <c r="Z19" t="str">
        <f t="shared" ca="1" si="13"/>
        <v/>
      </c>
      <c r="AA19" s="98">
        <f ca="1">IF($C19="S",IF($Z19="CP",$X19,IF($Z19="RA",(($X19)*QCI!$AA$3),0)),SomaAgrup)</f>
        <v>665.45078951173991</v>
      </c>
      <c r="AB19" s="99">
        <f t="shared" ca="1" si="14"/>
        <v>0</v>
      </c>
      <c r="AC19" s="477" t="str">
        <f ca="1">IF($N19=""," ",
IF(AND($C19="S",OR($Q19&lt;&gt;0,$T19&gt;0,$U19&gt;0),$P19=0),"FONTE",
IF(AND($C19="S",$P19&lt;&gt;0,OR($T19&gt;0,$U19&gt;0),$Q19=0),"CÓDIGO",
IF(AND(OR($R19="",$R19="(digite a descrição aqui)"),OR($C19&lt;&gt;"S",AND($C19="S",OR($Q19&lt;&gt;0,$T19&gt;0,$U19&gt;0)))),"DESCRIÇÃO",
IF(AND($C19="S",$P19&lt;&gt;0,$Q19&lt;&gt;0,$S19=""),"UNIDADE",
IF(AND($C19="S",$P19&lt;&gt;0,$Q19&lt;&gt;0,$U19=0),"SEM CUSTO",
IF(AND(TIPOORCAMENTO="Licitado",$AL19=0,$AN19&gt;0),"SEM PREÇO",
IF(AND($C19="S",$P19&lt;&gt;0,$Q19&lt;&gt;0,$U19&gt;0,$V19=0),"BDI",
IF(OR(AND(TIPOORCAMENTO="Proposto",$AG19&lt;&gt;"",$AG19&gt;0,ORÇAMENTO.CustoUnitario&gt;$AG19),AND(TIPOORCAMENTO="LICITADO",ORÇAMENTO.PrecoUnitarioLicitado&gt;$AN19)),"ACIMA REF.",
IF(AND($C19="S",$P19&lt;&gt;0,$Q19&lt;&gt;0,$T19=0,$U19&gt;0),"QUANT.",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5" t="b">
        <f ca="1">IF(AND($C19="S",ORÇAMENTO.CodBarra&lt;&gt;""),IF(ORÇAMENTO.Fonte="",ORÇAMENTO.CodBarra,CONCATENATE(ORÇAMENTO.Fonte," ",ORÇAMENTO.CodBarra)))</f>
        <v>0</v>
      </c>
      <c r="AF19" s="531" t="str">
        <f ca="1">IF(ISERROR(INDIRECT(ORÇAMENTO.BancoRef)),"(abra o arquivo 'Referência "&amp;Excel_BuiltIn_Database&amp;".xlsm)",IF(OR($C19&lt;&gt;"S",ORÇAMENTO.CodBarra=""),"(Sem Código)",IF(ISERROR(MATCH($AE19,INDIRECT(ORÇAMENTO.BancoRef),0)),"(Código não identificado nas referências)",MATCH($AE19,INDIRECT(ORÇAMENTO.BancoRef),0))))</f>
        <v>(Sem Código)</v>
      </c>
      <c r="AG19" s="341">
        <f ca="1">ROUND(IF(DESONERACAO="sim",REFERENCIA.Desonerado,REFERENCIA.NaoDesonerado),2)</f>
        <v>0</v>
      </c>
      <c r="AH19" s="342">
        <f t="shared" ca="1" si="15"/>
        <v>0.23380000000000001</v>
      </c>
      <c r="AJ19" s="344"/>
      <c r="AL19" s="351"/>
      <c r="AM19" s="260">
        <f t="shared" ca="1" si="0"/>
        <v>17101.5</v>
      </c>
      <c r="AN19" s="381">
        <f t="shared" ca="1" si="16"/>
        <v>0</v>
      </c>
    </row>
    <row r="20" spans="1:40" ht="26.4" x14ac:dyDescent="0.3">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1</v>
      </c>
      <c r="J20">
        <f t="shared" ca="1" si="9"/>
        <v>0</v>
      </c>
      <c r="K20">
        <f ca="1">IF(OR($C20="S",$C20=0),0,MATCH(OFFSET($D20,0,$C20)+IF($C20&lt;&gt;1,1,COUNTIF(QCI!$A$13:$A$24,ORÇAMENTO!E20)),OFFSET($D20,1,$C20,ROW($C$36)-ROW($C20)),0))</f>
        <v>0</v>
      </c>
      <c r="L20" s="85" t="str">
        <f t="shared" ca="1" si="10"/>
        <v>F</v>
      </c>
      <c r="M20" s="86" t="s">
        <v>712</v>
      </c>
      <c r="N20" s="87" t="str">
        <f t="shared" ca="1" si="11"/>
        <v>Serviço</v>
      </c>
      <c r="O20" s="88" t="str">
        <f t="shared" ca="1" si="12"/>
        <v>1.2.0.1.</v>
      </c>
      <c r="P20" s="89" t="s">
        <v>757</v>
      </c>
      <c r="Q20" s="90" t="s">
        <v>765</v>
      </c>
      <c r="R20" s="91" t="str">
        <f ca="1">IF($C20="S",REFERENCIA.Descricao,"(digite a descrição aqui)")</f>
        <v>FORNECIMENTO E INSTALAÇÃO DE PLACA DE OBRA COM CHAPA GALVANIZADA E ESTRUTURA DE MADEIRA. AF_03/2022_PS</v>
      </c>
      <c r="S20" s="92" t="str">
        <f ca="1">REFERENCIA.Unidade</f>
        <v>M2</v>
      </c>
      <c r="T20" s="93">
        <f ca="1">OFFSET(CÁLCULO!H$15,ROW($T20)-ROW(T$15),0)</f>
        <v>6</v>
      </c>
      <c r="U20" s="94">
        <f ca="1">AG20</f>
        <v>507.2</v>
      </c>
      <c r="V20" s="95" t="s">
        <v>669</v>
      </c>
      <c r="W20" s="93">
        <f ca="1">IF($C20="S",ROUND(IF(TIPOORCAMENTO="Proposto",ORÇAMENTO.CustoUnitario*(1+$AH20),ORÇAMENTO.PrecoUnitarioLicitado),15-13*$AF$10),0)</f>
        <v>625.78</v>
      </c>
      <c r="X20" s="96">
        <f ca="1">IF($C20="S",IF(OR(Import.TipoArredondamento&lt;&gt;"TransfereGOV",ACOMPANHAMENTO="BM"),VTOTAL1,SUM(OFFSET(CÁLCULO!$AA$15,ROW($X20)-ROW($X$15),1):OFFSET(CÁLCULO!$AL$15,ROW($X20)-ROW($X$15),-1))),IF($C20=0,0,ROUND(SomaAgrup,15-13*$AF$11)))</f>
        <v>3754.68</v>
      </c>
      <c r="Y20" s="97" t="s">
        <v>758</v>
      </c>
      <c r="Z20" t="str">
        <f t="shared" ca="1" si="13"/>
        <v>RA</v>
      </c>
      <c r="AA20" s="98">
        <f ca="1">IF($C20="S",IF($Z20="CP",$X20,IF($Z20="RA",(($X20)*QCI!$AA$3),0)),SomaAgrup)</f>
        <v>146.10149813548168</v>
      </c>
      <c r="AB20" s="99">
        <f t="shared" ca="1" si="14"/>
        <v>0</v>
      </c>
      <c r="AC20" s="477" t="str">
        <f ca="1">IF($N20=""," ",
IF(AND($C20="S",OR($Q20&lt;&gt;0,$T20&gt;0,$U20&gt;0),$P20=0),"FONTE",
IF(AND($C20="S",$P20&lt;&gt;0,OR($T20&gt;0,$U20&gt;0),$Q20=0),"CÓDIGO",
IF(AND(OR($R20="",$R20="(digite a descrição aqui)"),OR($C20&lt;&gt;"S",AND($C20="S",OR($Q20&lt;&gt;0,$T20&gt;0,$U20&gt;0)))),"DESCRIÇÃO",
IF(AND($C20="S",$P20&lt;&gt;0,$Q20&lt;&gt;0,$S20=""),"UNIDADE",
IF(AND($C20="S",$P20&lt;&gt;0,$Q20&lt;&gt;0,$U20=0),"SEM CUSTO",
IF(AND(TIPOORCAMENTO="Licitado",$AL20=0,$AN20&gt;0),"SEM PREÇO",
IF(AND($C20="S",$P20&lt;&gt;0,$Q20&lt;&gt;0,$U20&gt;0,$V20=0),"BDI",
IF(OR(AND(TIPOORCAMENTO="Proposto",$AG20&lt;&gt;"",$AG20&gt;0,ORÇAMENTO.CustoUnitario&gt;$AG20),AND(TIPOORCAMENTO="LICITADO",ORÇAMENTO.PrecoUnitarioLicitado&gt;$AN20)),"ACIMA REF.",
IF(AND($C20="S",$P20&lt;&gt;0,$Q20&lt;&gt;0,$T20=0,$U20&gt;0),"QUANT.",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5" t="str">
        <f ca="1">IF(AND($C20="S",ORÇAMENTO.CodBarra&lt;&gt;""),IF(ORÇAMENTO.Fonte="",ORÇAMENTO.CodBarra,CONCATENATE(ORÇAMENTO.Fonte," ",ORÇAMENTO.CodBarra)))</f>
        <v>SINAPI 103689</v>
      </c>
      <c r="AF20" s="531">
        <f ca="1">IF(ISERROR(INDIRECT(ORÇAMENTO.BancoRef)),"(abra o arquivo 'Referência "&amp;Excel_BuiltIn_Database&amp;".xlsm)",IF(OR($C20&lt;&gt;"S",ORÇAMENTO.CodBarra=""),"(Sem Código)",IF(ISERROR(MATCH($AE20,INDIRECT(ORÇAMENTO.BancoRef),0)),"(Código não identificado nas referências)",MATCH($AE20,INDIRECT(ORÇAMENTO.BancoRef),0))))</f>
        <v>15363</v>
      </c>
      <c r="AG20" s="341">
        <f ca="1">ROUND(IF(DESONERACAO="sim",REFERENCIA.Desonerado,REFERENCIA.NaoDesonerado),2)</f>
        <v>507.2</v>
      </c>
      <c r="AH20" s="342">
        <f t="shared" ca="1" si="15"/>
        <v>0.23380000000000001</v>
      </c>
      <c r="AJ20" s="344">
        <v>6</v>
      </c>
      <c r="AL20" s="351"/>
      <c r="AM20" s="260">
        <f t="shared" ca="1" si="0"/>
        <v>3754.68</v>
      </c>
      <c r="AN20" s="381">
        <f t="shared" ca="1" si="16"/>
        <v>625.78</v>
      </c>
    </row>
    <row r="21" spans="1:40" ht="13.8" x14ac:dyDescent="0.3">
      <c r="A21" t="str">
        <f>CHOOSE(1+LOG(1+2*(ORÇAMENTO.Nivel="Meta")+4*(ORÇAMENTO.Nivel="Nível 2")+8*(ORÇAMENTO.Nivel="Nível 3")+16*(ORÇAMENTO.Nivel="Nível 4")+32*(ORÇAMENTO.Nivel="Serviço"),2),0,1,2,3,4,"S")</f>
        <v>S</v>
      </c>
      <c r="B21">
        <f ca="1">IF(OR(C21="s",C21=0),OFFSET(B21,-1,0),C21)</f>
        <v>2</v>
      </c>
      <c r="C21" t="str">
        <f ca="1">IF(OFFSET(C21,-1,0)="L",1,IF(OFFSET(C21,-1,0)=1,2,IF(OR(A21="s",A21=0),"S",IF(AND(OFFSET(C21,-1,0)=2,A21=4),3,IF(AND(OR(OFFSET(C21,-1,0)="s",OFFSET(C21,-1,0)=0),A21&lt;&gt;"s",A21&gt;OFFSET(B21,-1,0)),OFFSET(B21,-1,0),A21)))))</f>
        <v>S</v>
      </c>
      <c r="D21">
        <f ca="1">IF(OR(C21="S",C21=0),0,IF(ISERROR(K21),J21,SMALL(J21:K21,1)))</f>
        <v>0</v>
      </c>
      <c r="E21">
        <f ca="1">IF($C21=1,OFFSET(E21,-1,0)+MAX(1,COUNTIF(QCI!$A$13:$A$24,OFFSET(ORÇAMENTO!E21,-1,0))),OFFSET(E21,-1,0))</f>
        <v>1</v>
      </c>
      <c r="F21">
        <f ca="1">IF($C21=1,0,IF($C21=2,OFFSET(F21,-1,0)+1,OFFSET(F21,-1,0)))</f>
        <v>2</v>
      </c>
      <c r="G21">
        <f ca="1">IF(AND($C21&lt;=2,$C21&lt;&gt;0),0,IF($C21=3,OFFSET(G21,-1,0)+1,OFFSET(G21,-1,0)))</f>
        <v>0</v>
      </c>
      <c r="H21">
        <f ca="1">IF(AND($C21&lt;=3,$C21&lt;&gt;0),0,IF($C21=4,OFFSET(H21,-1,0)+1,OFFSET(H21,-1,0)))</f>
        <v>0</v>
      </c>
      <c r="I21">
        <f ca="1">IF(AND($C21&lt;=4,$C21&lt;&gt;0),0,IF(AND($C21="S",$X21&gt;0),OFFSET(I21,-1,0)+1,OFFSET(I21,-1,0)))</f>
        <v>2</v>
      </c>
      <c r="J21">
        <f t="shared" ca="1" si="9"/>
        <v>0</v>
      </c>
      <c r="K21">
        <f ca="1">IF(OR($C21="S",$C21=0),0,MATCH(OFFSET($D21,0,$C21)+IF($C21&lt;&gt;1,1,COUNTIF(QCI!$A$13:$A$24,ORÇAMENTO!E21)),OFFSET($D21,1,$C21,ROW($C$36)-ROW($C21)),0))</f>
        <v>0</v>
      </c>
      <c r="L21" s="85" t="str">
        <f ca="1">IF(OR($X21&gt;0,$C21=1,$C21=2,$C21=3,$C21=4),"F","")</f>
        <v>F</v>
      </c>
      <c r="M21" s="86" t="s">
        <v>712</v>
      </c>
      <c r="N21" s="87" t="str">
        <f ca="1">CHOOSE(1+LOG(1+2*(C21=1)+4*(C21=2)+8*(C21=3)+16*(C21=4)+32*(C21="S"),2),"","Meta","Nível 2","Nível 3","Nível 4","Serviço")</f>
        <v>Serviço</v>
      </c>
      <c r="O21" s="88" t="str">
        <f ca="1">IF(OR($C21=0,$L21=""),"-",CONCATENATE(E21&amp;".",IF(AND($A$5&gt;=2,$C21&gt;=2),F21&amp;".",""),IF(AND($A$5&gt;=3,$C21&gt;=3),G21&amp;".",""),IF(AND($A$5&gt;=4,$C21&gt;=4),H21&amp;".",""),IF($C21="S",I21&amp;".","")))</f>
        <v>1.2.0.2.</v>
      </c>
      <c r="P21" s="89" t="s">
        <v>766</v>
      </c>
      <c r="Q21" s="90" t="s">
        <v>767</v>
      </c>
      <c r="R21" s="91" t="str">
        <f ca="1">IF($C21="S",REFERENCIA.Descricao,"(digite a descrição aqui)")</f>
        <v>BARRACÃO DE MADEIRA/ALMOXARIFADO</v>
      </c>
      <c r="S21" s="92" t="s">
        <v>629</v>
      </c>
      <c r="T21" s="93">
        <f ca="1">OFFSET(CÁLCULO!H$15,ROW($T21)-ROW(T$15),0)</f>
        <v>18</v>
      </c>
      <c r="U21" s="94">
        <f ca="1">AG21</f>
        <v>600.98</v>
      </c>
      <c r="V21" s="95" t="s">
        <v>669</v>
      </c>
      <c r="W21" s="93">
        <f ca="1">IF($C21="S",ROUND(IF(TIPOORCAMENTO="Proposto",ORÇAMENTO.CustoUnitario*(1+$AH21),ORÇAMENTO.PrecoUnitarioLicitado),15-13*$AF$10),0)</f>
        <v>741.49</v>
      </c>
      <c r="X21" s="96">
        <f ca="1">IF($C21="S",IF(OR(Import.TipoArredondamento&lt;&gt;"TransfereGOV",ACOMPANHAMENTO="BM"),VTOTAL1,SUM(OFFSET(CÁLCULO!$AA$15,ROW($X21)-ROW($X$15),1):OFFSET(CÁLCULO!$AL$15,ROW($X21)-ROW($X$15),-1))),IF($C21=0,0,ROUND(SomaAgrup,15-13*$AF$11)))</f>
        <v>13346.82</v>
      </c>
      <c r="Y21" s="97" t="s">
        <v>758</v>
      </c>
      <c r="Z21" t="str">
        <f ca="1">IF(AND($C21="S",$X21&gt;0),IF(ISBLANK($Y21),"RA",LEFT($Y21,2)),"")</f>
        <v>RA</v>
      </c>
      <c r="AA21" s="98">
        <f ca="1">IF($C21="S",IF($Z21="CP",$X21,IF($Z21="RA",(($X21)*QCI!$AA$3),0)),SomaAgrup)</f>
        <v>519.34929137625829</v>
      </c>
      <c r="AB21" s="99">
        <f ca="1">IF($C21="S",IF($Z21="OU",ROUND($X21,2),0),SomaAgrup)</f>
        <v>0</v>
      </c>
      <c r="AC21" s="477" t="str">
        <f ca="1">IF($N21=""," ",
IF(AND($C21="S",OR($Q21&lt;&gt;0,$T21&gt;0,$U21&gt;0),$P21=0),"FONTE",
IF(AND($C21="S",$P21&lt;&gt;0,OR($T21&gt;0,$U21&gt;0),$Q21=0),"CÓDIGO",
IF(AND(OR($R21="",$R21="(digite a descrição aqui)"),OR($C21&lt;&gt;"S",AND($C21="S",OR($Q21&lt;&gt;0,$T21&gt;0,$U21&gt;0)))),"DESCRIÇÃO",
IF(AND($C21="S",$P21&lt;&gt;0,$Q21&lt;&gt;0,$S21=""),"UNIDADE",
IF(AND($C21="S",$P21&lt;&gt;0,$Q21&lt;&gt;0,$U21=0),"SEM CUSTO",
IF(AND(TIPOORCAMENTO="Licitado",$AL21=0,$AN21&gt;0),"SEM PREÇO",
IF(AND($C21="S",$P21&lt;&gt;0,$Q21&lt;&gt;0,$U21&gt;0,$V21=0),"BDI",
IF(OR(AND(TIPOORCAMENTO="Proposto",$AG21&lt;&gt;"",$AG21&gt;0,ORÇAMENTO.CustoUnitario&gt;$AG21),AND(TIPOORCAMENTO="LICITADO",ORÇAMENTO.PrecoUnitarioLicitado&gt;$AN21)),"ACIMA REF.",
IF(AND($C21="S",$P21&lt;&gt;0,$Q21&lt;&gt;0,$T21=0,$U21&gt;0),"QUANT.",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5" t="str">
        <f ca="1">IF(AND($C21="S",ORÇAMENTO.CodBarra&lt;&gt;""),IF(ORÇAMENTO.Fonte="",ORÇAMENTO.CodBarra,CONCATENATE(ORÇAMENTO.Fonte," ",ORÇAMENTO.CodBarra)))</f>
        <v>SEOP 10005</v>
      </c>
      <c r="AF21" s="531">
        <f ca="1">IF(ISERROR(INDIRECT(ORÇAMENTO.BancoRef)),"(abra o arquivo 'Referência "&amp;Excel_BuiltIn_Database&amp;".xlsm)",IF(OR($C21&lt;&gt;"S",ORÇAMENTO.CodBarra=""),"(Sem Código)",IF(ISERROR(MATCH($AE21,INDIRECT(ORÇAMENTO.BancoRef),0)),"(Código não identificado nas referências)",MATCH($AE21,INDIRECT(ORÇAMENTO.BancoRef),0))))</f>
        <v>16413</v>
      </c>
      <c r="AG21" s="341">
        <f ca="1">ROUND(IF(DESONERACAO="sim",REFERENCIA.Desonerado,REFERENCIA.NaoDesonerado),2)</f>
        <v>600.98</v>
      </c>
      <c r="AH21" s="342">
        <f ca="1">ROUND(IF(ISNUMBER(ORÇAMENTO.OpcaoBDI),ORÇAMENTO.OpcaoBDI,IF(LEFT(ORÇAMENTO.OpcaoBDI,3)="BDI",HLOOKUP(ORÇAMENTO.OpcaoBDI,$F$4:$H$5,2,FALSE),0)),15-11*$AF$9)</f>
        <v>0.23380000000000001</v>
      </c>
      <c r="AJ21" s="344">
        <v>18</v>
      </c>
      <c r="AL21" s="351"/>
      <c r="AM21" s="260">
        <f t="shared" ca="1" si="0"/>
        <v>13346.82</v>
      </c>
      <c r="AN21" s="381">
        <f ca="1">ROUND(ORÇAMENTO.CustoUnitario*(1+$AH21),2)</f>
        <v>741.49</v>
      </c>
    </row>
    <row r="22" spans="1:40" ht="13.8" x14ac:dyDescent="0.3">
      <c r="A22">
        <f t="shared" si="1"/>
        <v>2</v>
      </c>
      <c r="B22">
        <f t="shared" ca="1" si="2"/>
        <v>2</v>
      </c>
      <c r="C22">
        <f t="shared" ca="1" si="3"/>
        <v>2</v>
      </c>
      <c r="D22">
        <f t="shared" ca="1" si="4"/>
        <v>2</v>
      </c>
      <c r="E22">
        <f ca="1">IF($C22=1,OFFSET(E22,-1,0)+MAX(1,COUNTIF(QCI!$A$13:$A$24,OFFSET(ORÇAMENTO!E22,-1,0))),OFFSET(E22,-1,0))</f>
        <v>1</v>
      </c>
      <c r="F22">
        <f t="shared" ca="1" si="5"/>
        <v>3</v>
      </c>
      <c r="G22">
        <f t="shared" ca="1" si="6"/>
        <v>0</v>
      </c>
      <c r="H22">
        <f t="shared" ca="1" si="7"/>
        <v>0</v>
      </c>
      <c r="I22">
        <f t="shared" ca="1" si="8"/>
        <v>0</v>
      </c>
      <c r="J22">
        <f t="shared" ca="1" si="9"/>
        <v>14</v>
      </c>
      <c r="K22">
        <f ca="1">IF(OR($C22="S",$C22=0),0,MATCH(OFFSET($D22,0,$C22)+IF($C22&lt;&gt;1,1,COUNTIF(QCI!$A$13:$A$24,ORÇAMENTO!E22)),OFFSET($D22,1,$C22,ROW($C$36)-ROW($C22)),0))</f>
        <v>2</v>
      </c>
      <c r="L22" s="85" t="str">
        <f t="shared" ca="1" si="10"/>
        <v>F</v>
      </c>
      <c r="M22" s="86" t="s">
        <v>709</v>
      </c>
      <c r="N22" s="87" t="str">
        <f t="shared" ca="1" si="11"/>
        <v>Nível 2</v>
      </c>
      <c r="O22" s="88" t="str">
        <f t="shared" ca="1" si="12"/>
        <v>1.3.</v>
      </c>
      <c r="P22" s="89" t="s">
        <v>757</v>
      </c>
      <c r="Q22" s="90"/>
      <c r="R22" s="91" t="s">
        <v>768</v>
      </c>
      <c r="S22" s="92" t="str">
        <f ca="1">REFERENCIA.Unidade</f>
        <v>-</v>
      </c>
      <c r="T22" s="93">
        <f ca="1">OFFSET(CÁLCULO!H$15,ROW($T22)-ROW(T$15),0)</f>
        <v>0</v>
      </c>
      <c r="U22" s="94"/>
      <c r="V22" s="95" t="s">
        <v>669</v>
      </c>
      <c r="W22" s="93">
        <f ca="1">IF($C22="S",ROUND(IF(TIPOORCAMENTO="Proposto",ORÇAMENTO.CustoUnitario*(1+$AH22),ORÇAMENTO.PrecoUnitarioLicitado),15-13*$AF$10),0)</f>
        <v>0</v>
      </c>
      <c r="X22" s="96">
        <f ca="1">IF($C22="S",IF(OR(Import.TipoArredondamento&lt;&gt;"TransfereGOV",ACOMPANHAMENTO="BM"),VTOTAL1,SUM(OFFSET(CÁLCULO!$AA$15,ROW($X22)-ROW($X$15),1):OFFSET(CÁLCULO!$AL$15,ROW($X22)-ROW($X$15),-1))),IF($C22=0,0,ROUND(SomaAgrup,15-13*$AF$11)))</f>
        <v>14526.86</v>
      </c>
      <c r="Y22" s="97" t="s">
        <v>758</v>
      </c>
      <c r="Z22" t="str">
        <f t="shared" ca="1" si="13"/>
        <v/>
      </c>
      <c r="AA22" s="98">
        <f ca="1">IF($C22="S",IF($Z22="CP",$X22,IF($Z22="RA",(($X22)*QCI!$AA$3),0)),SomaAgrup)</f>
        <v>565.26681613463825</v>
      </c>
      <c r="AB22" s="99">
        <f t="shared" ca="1" si="14"/>
        <v>0</v>
      </c>
      <c r="AC22" s="477" t="str">
        <f ca="1">IF($N22=""," ",
IF(AND($C22="S",OR($Q22&lt;&gt;0,$T22&gt;0,$U22&gt;0),$P22=0),"FONTE",
IF(AND($C22="S",$P22&lt;&gt;0,OR($T22&gt;0,$U22&gt;0),$Q22=0),"CÓDIGO",
IF(AND(OR($R22="",$R22="(digite a descrição aqui)"),OR($C22&lt;&gt;"S",AND($C22="S",OR($Q22&lt;&gt;0,$T22&gt;0,$U22&gt;0)))),"DESCRIÇÃO",
IF(AND($C22="S",$P22&lt;&gt;0,$Q22&lt;&gt;0,$S22=""),"UNIDADE",
IF(AND($C22="S",$P22&lt;&gt;0,$Q22&lt;&gt;0,$U22=0),"SEM CUSTO",
IF(AND(TIPOORCAMENTO="Licitado",$AL22=0,$AN22&gt;0),"SEM PREÇO",
IF(AND($C22="S",$P22&lt;&gt;0,$Q22&lt;&gt;0,$U22&gt;0,$V22=0),"BDI",
IF(OR(AND(TIPOORCAMENTO="Proposto",$AG22&lt;&gt;"",$AG22&gt;0,ORÇAMENTO.CustoUnitario&gt;$AG22),AND(TIPOORCAMENTO="LICITADO",ORÇAMENTO.PrecoUnitarioLicitado&gt;$AN22)),"ACIMA REF.",
IF(AND($C22="S",$P22&lt;&gt;0,$Q22&lt;&gt;0,$T22=0,$U22&gt;0),"QUANT.",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IF(C22&lt;=CRONO.NivelExibicao,MAX($AD$15:OFFSET(AD22,-1,0))+IF($C22&lt;&gt;1,1,MAX(1,COUNTIF(QCI!$A$13:$A$24,OFFSET($E22,-1,0)))),"")</f>
        <v>4</v>
      </c>
      <c r="AE22" s="5" t="b">
        <f ca="1">IF(AND($C22="S",ORÇAMENTO.CodBarra&lt;&gt;""),IF(ORÇAMENTO.Fonte="",ORÇAMENTO.CodBarra,CONCATENATE(ORÇAMENTO.Fonte," ",ORÇAMENTO.CodBarra)))</f>
        <v>0</v>
      </c>
      <c r="AF22" s="531" t="str">
        <f ca="1">IF(ISERROR(INDIRECT(ORÇAMENTO.BancoRef)),"(abra o arquivo 'Referência "&amp;Excel_BuiltIn_Database&amp;".xlsm)",IF(OR($C22&lt;&gt;"S",ORÇAMENTO.CodBarra=""),"(Sem Código)",IF(ISERROR(MATCH($AE22,INDIRECT(ORÇAMENTO.BancoRef),0)),"(Código não identificado nas referências)",MATCH($AE22,INDIRECT(ORÇAMENTO.BancoRef),0))))</f>
        <v>(Sem Código)</v>
      </c>
      <c r="AG22" s="341">
        <f ca="1">ROUND(IF(DESONERACAO="sim",REFERENCIA.Desonerado,REFERENCIA.NaoDesonerado),2)</f>
        <v>0</v>
      </c>
      <c r="AH22" s="342">
        <f t="shared" ca="1" si="15"/>
        <v>0.23380000000000001</v>
      </c>
      <c r="AJ22" s="344"/>
      <c r="AL22" s="351"/>
      <c r="AM22" s="260">
        <f t="shared" ca="1" si="0"/>
        <v>14526.86</v>
      </c>
      <c r="AN22" s="381">
        <f t="shared" ca="1" si="16"/>
        <v>0</v>
      </c>
    </row>
    <row r="23" spans="1:40" ht="13.8" x14ac:dyDescent="0.3">
      <c r="A23" t="str">
        <f t="shared" si="1"/>
        <v>S</v>
      </c>
      <c r="B23">
        <f t="shared" ca="1" si="2"/>
        <v>2</v>
      </c>
      <c r="C23" t="str">
        <f t="shared" ca="1" si="3"/>
        <v>S</v>
      </c>
      <c r="D23">
        <f t="shared" ca="1" si="4"/>
        <v>0</v>
      </c>
      <c r="E23">
        <f ca="1">IF($C23=1,OFFSET(E23,-1,0)+MAX(1,COUNTIF(QCI!$A$13:$A$24,OFFSET(ORÇAMENTO!E23,-1,0))),OFFSET(E23,-1,0))</f>
        <v>1</v>
      </c>
      <c r="F23">
        <f t="shared" ca="1" si="5"/>
        <v>3</v>
      </c>
      <c r="G23">
        <f t="shared" ca="1" si="6"/>
        <v>0</v>
      </c>
      <c r="H23">
        <f t="shared" ca="1" si="7"/>
        <v>0</v>
      </c>
      <c r="I23">
        <f t="shared" ca="1" si="8"/>
        <v>1</v>
      </c>
      <c r="J23">
        <f t="shared" ca="1" si="9"/>
        <v>0</v>
      </c>
      <c r="K23">
        <f ca="1">IF(OR($C23="S",$C23=0),0,MATCH(OFFSET($D23,0,$C23)+IF($C23&lt;&gt;1,1,COUNTIF(QCI!$A$13:$A$24,ORÇAMENTO!E23)),OFFSET($D23,1,$C23,ROW($C$36)-ROW($C23)),0))</f>
        <v>0</v>
      </c>
      <c r="L23" s="85" t="str">
        <f t="shared" ca="1" si="10"/>
        <v>F</v>
      </c>
      <c r="M23" s="86" t="s">
        <v>712</v>
      </c>
      <c r="N23" s="87" t="str">
        <f t="shared" ca="1" si="11"/>
        <v>Serviço</v>
      </c>
      <c r="O23" s="88" t="str">
        <f t="shared" ca="1" si="12"/>
        <v>1.3.0.1.</v>
      </c>
      <c r="P23" s="89" t="s">
        <v>762</v>
      </c>
      <c r="Q23" s="90" t="s">
        <v>770</v>
      </c>
      <c r="R23" s="91" t="str">
        <f ca="1">IF($C23="S",REFERENCIA.Descricao,"(digite a descrição aqui)")</f>
        <v>MOBILIZAÇÃO DE MAQUINÁRIO</v>
      </c>
      <c r="S23" s="92" t="s">
        <v>645</v>
      </c>
      <c r="T23" s="93">
        <f ca="1">OFFSET(CÁLCULO!H$15,ROW($T23)-ROW(T$15),0)</f>
        <v>1</v>
      </c>
      <c r="U23" s="94">
        <f ca="1">AG23</f>
        <v>11774.08</v>
      </c>
      <c r="V23" s="95" t="s">
        <v>669</v>
      </c>
      <c r="W23" s="93">
        <f ca="1">IF($C23="S",ROUND(IF(TIPOORCAMENTO="Proposto",ORÇAMENTO.CustoUnitario*(1+$AH23),ORÇAMENTO.PrecoUnitarioLicitado),15-13*$AF$10),0)</f>
        <v>14526.86</v>
      </c>
      <c r="X23" s="96">
        <f ca="1">IF($C23="S",IF(OR(Import.TipoArredondamento&lt;&gt;"TransfereGOV",ACOMPANHAMENTO="BM"),VTOTAL1,SUM(OFFSET(CÁLCULO!$AA$15,ROW($X23)-ROW($X$15),1):OFFSET(CÁLCULO!$AL$15,ROW($X23)-ROW($X$15),-1))),IF($C23=0,0,ROUND(SomaAgrup,15-13*$AF$11)))</f>
        <v>14526.86</v>
      </c>
      <c r="Y23" s="97" t="s">
        <v>758</v>
      </c>
      <c r="Z23" t="str">
        <f t="shared" ca="1" si="13"/>
        <v>RA</v>
      </c>
      <c r="AA23" s="98">
        <f ca="1">IF($C23="S",IF($Z23="CP",$X23,IF($Z23="RA",(($X23)*QCI!$AA$3),0)),SomaAgrup)</f>
        <v>565.26681613463825</v>
      </c>
      <c r="AB23" s="99">
        <f t="shared" ca="1" si="14"/>
        <v>0</v>
      </c>
      <c r="AC23" s="477" t="str">
        <f ca="1">IF($N23=""," ",
IF(AND($C23="S",OR($Q23&lt;&gt;0,$T23&gt;0,$U23&gt;0),$P23=0),"FONTE",
IF(AND($C23="S",$P23&lt;&gt;0,OR($T23&gt;0,$U23&gt;0),$Q23=0),"CÓDIGO",
IF(AND(OR($R23="",$R23="(digite a descrição aqui)"),OR($C23&lt;&gt;"S",AND($C23="S",OR($Q23&lt;&gt;0,$T23&gt;0,$U23&gt;0)))),"DESCRIÇÃO",
IF(AND($C23="S",$P23&lt;&gt;0,$Q23&lt;&gt;0,$S23=""),"UNIDADE",
IF(AND($C23="S",$P23&lt;&gt;0,$Q23&lt;&gt;0,$U23=0),"SEM CUSTO",
IF(AND(TIPOORCAMENTO="Licitado",$AL23=0,$AN23&gt;0),"SEM PREÇO",
IF(AND($C23="S",$P23&lt;&gt;0,$Q23&lt;&gt;0,$U23&gt;0,$V23=0),"BDI",
IF(OR(AND(TIPOORCAMENTO="Proposto",$AG23&lt;&gt;"",$AG23&gt;0,ORÇAMENTO.CustoUnitario&gt;$AG23),AND(TIPOORCAMENTO="LICITADO",ORÇAMENTO.PrecoUnitarioLicitado&gt;$AN23)),"ACIMA REF.",
IF(AND($C23="S",$P23&lt;&gt;0,$Q23&lt;&gt;0,$T23=0,$U23&gt;0),"QUANT.",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5" t="str">
        <f ca="1">IF(AND($C23="S",ORÇAMENTO.CodBarra&lt;&gt;""),IF(ORÇAMENTO.Fonte="",ORÇAMENTO.CodBarra,CONCATENATE(ORÇAMENTO.Fonte," ",ORÇAMENTO.CodBarra)))</f>
        <v>Composição 005</v>
      </c>
      <c r="AF23" s="531">
        <f ca="1">IF(ISERROR(INDIRECT(ORÇAMENTO.BancoRef)),"(abra o arquivo 'Referência "&amp;Excel_BuiltIn_Database&amp;".xlsm)",IF(OR($C23&lt;&gt;"S",ORÇAMENTO.CodBarra=""),"(Sem Código)",IF(ISERROR(MATCH($AE23,INDIRECT(ORÇAMENTO.BancoRef),0)),"(Código não identificado nas referências)",MATCH($AE23,INDIRECT(ORÇAMENTO.BancoRef),0))))</f>
        <v>9</v>
      </c>
      <c r="AG23" s="341">
        <f ca="1">ROUND(IF(DESONERACAO="sim",REFERENCIA.Desonerado,REFERENCIA.NaoDesonerado),2)</f>
        <v>11774.08</v>
      </c>
      <c r="AH23" s="342">
        <f t="shared" ca="1" si="15"/>
        <v>0.23380000000000001</v>
      </c>
      <c r="AJ23" s="344">
        <v>1</v>
      </c>
      <c r="AL23" s="351"/>
      <c r="AM23" s="260">
        <f t="shared" ca="1" si="0"/>
        <v>14526.86</v>
      </c>
      <c r="AN23" s="381">
        <f t="shared" ca="1" si="16"/>
        <v>14526.86</v>
      </c>
    </row>
    <row r="24" spans="1:40" ht="13.8" x14ac:dyDescent="0.3">
      <c r="A24">
        <f t="shared" si="1"/>
        <v>2</v>
      </c>
      <c r="B24">
        <f t="shared" ca="1" si="2"/>
        <v>2</v>
      </c>
      <c r="C24">
        <f t="shared" ca="1" si="3"/>
        <v>2</v>
      </c>
      <c r="D24">
        <f t="shared" ca="1" si="4"/>
        <v>2</v>
      </c>
      <c r="E24">
        <f ca="1">IF($C24=1,OFFSET(E24,-1,0)+MAX(1,COUNTIF(QCI!$A$13:$A$24,OFFSET(ORÇAMENTO!E24,-1,0))),OFFSET(E24,-1,0))</f>
        <v>1</v>
      </c>
      <c r="F24">
        <f t="shared" ca="1" si="5"/>
        <v>4</v>
      </c>
      <c r="G24">
        <f t="shared" ca="1" si="6"/>
        <v>0</v>
      </c>
      <c r="H24">
        <f t="shared" ca="1" si="7"/>
        <v>0</v>
      </c>
      <c r="I24">
        <f t="shared" ca="1" si="8"/>
        <v>0</v>
      </c>
      <c r="J24">
        <f t="shared" ca="1" si="9"/>
        <v>12</v>
      </c>
      <c r="K24">
        <f ca="1">IF(OR($C24="S",$C24=0),0,MATCH(OFFSET($D24,0,$C24)+IF($C24&lt;&gt;1,1,COUNTIF(QCI!$A$13:$A$24,ORÇAMENTO!E24)),OFFSET($D24,1,$C24,ROW($C$36)-ROW($C24)),0))</f>
        <v>2</v>
      </c>
      <c r="L24" s="85" t="str">
        <f t="shared" ca="1" si="10"/>
        <v>F</v>
      </c>
      <c r="M24" s="86" t="s">
        <v>709</v>
      </c>
      <c r="N24" s="87" t="str">
        <f t="shared" ca="1" si="11"/>
        <v>Nível 2</v>
      </c>
      <c r="O24" s="88" t="str">
        <f t="shared" ca="1" si="12"/>
        <v>1.4.</v>
      </c>
      <c r="P24" s="89" t="s">
        <v>757</v>
      </c>
      <c r="Q24" s="90"/>
      <c r="R24" s="91" t="s">
        <v>769</v>
      </c>
      <c r="S24" s="92" t="str">
        <f ca="1">REFERENCIA.Unidade</f>
        <v>-</v>
      </c>
      <c r="T24" s="93">
        <f ca="1">OFFSET(CÁLCULO!H$15,ROW($T24)-ROW(T$15),0)</f>
        <v>0</v>
      </c>
      <c r="U24" s="94"/>
      <c r="V24" s="95" t="s">
        <v>669</v>
      </c>
      <c r="W24" s="93">
        <f ca="1">IF($C24="S",ROUND(IF(TIPOORCAMENTO="Proposto",ORÇAMENTO.CustoUnitario*(1+$AH24),ORÇAMENTO.PrecoUnitarioLicitado),15-13*$AF$10),0)</f>
        <v>0</v>
      </c>
      <c r="X24" s="96">
        <f ca="1">IF($C24="S",IF(OR(Import.TipoArredondamento&lt;&gt;"TransfereGOV",ACOMPANHAMENTO="BM"),VTOTAL1,SUM(OFFSET(CÁLCULO!$AA$15,ROW($X24)-ROW($X$15),1):OFFSET(CÁLCULO!$AL$15,ROW($X24)-ROW($X$15),-1))),IF($C24=0,0,ROUND(SomaAgrup,15-13*$AF$11)))</f>
        <v>14526.86</v>
      </c>
      <c r="Y24" s="97" t="s">
        <v>758</v>
      </c>
      <c r="Z24" t="str">
        <f t="shared" ca="1" si="13"/>
        <v/>
      </c>
      <c r="AA24" s="98">
        <f ca="1">IF($C24="S",IF($Z24="CP",$X24,IF($Z24="RA",(($X24)*QCI!$AA$3),0)),SomaAgrup)</f>
        <v>565.26681613463825</v>
      </c>
      <c r="AB24" s="99">
        <f t="shared" ca="1" si="14"/>
        <v>0</v>
      </c>
      <c r="AC24" s="477" t="str">
        <f ca="1">IF($N24=""," ",
IF(AND($C24="S",OR($Q24&lt;&gt;0,$T24&gt;0,$U24&gt;0),$P24=0),"FONTE",
IF(AND($C24="S",$P24&lt;&gt;0,OR($T24&gt;0,$U24&gt;0),$Q24=0),"CÓDIGO",
IF(AND(OR($R24="",$R24="(digite a descrição aqui)"),OR($C24&lt;&gt;"S",AND($C24="S",OR($Q24&lt;&gt;0,$T24&gt;0,$U24&gt;0)))),"DESCRIÇÃO",
IF(AND($C24="S",$P24&lt;&gt;0,$Q24&lt;&gt;0,$S24=""),"UNIDADE",
IF(AND($C24="S",$P24&lt;&gt;0,$Q24&lt;&gt;0,$U24=0),"SEM CUSTO",
IF(AND(TIPOORCAMENTO="Licitado",$AL24=0,$AN24&gt;0),"SEM PREÇO",
IF(AND($C24="S",$P24&lt;&gt;0,$Q24&lt;&gt;0,$U24&gt;0,$V24=0),"BDI",
IF(OR(AND(TIPOORCAMENTO="Proposto",$AG24&lt;&gt;"",$AG24&gt;0,ORÇAMENTO.CustoUnitario&gt;$AG24),AND(TIPOORCAMENTO="LICITADO",ORÇAMENTO.PrecoUnitarioLicitado&gt;$AN24)),"ACIMA REF.",
IF(AND($C24="S",$P24&lt;&gt;0,$Q24&lt;&gt;0,$T24=0,$U24&gt;0),"QUANT.",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f ca="1">IF(C24&lt;=CRONO.NivelExibicao,MAX($AD$15:OFFSET(AD24,-1,0))+IF($C24&lt;&gt;1,1,MAX(1,COUNTIF(QCI!$A$13:$A$24,OFFSET($E24,-1,0)))),"")</f>
        <v>5</v>
      </c>
      <c r="AE24" s="5" t="b">
        <f ca="1">IF(AND($C24="S",ORÇAMENTO.CodBarra&lt;&gt;""),IF(ORÇAMENTO.Fonte="",ORÇAMENTO.CodBarra,CONCATENATE(ORÇAMENTO.Fonte," ",ORÇAMENTO.CodBarra)))</f>
        <v>0</v>
      </c>
      <c r="AF24" s="531" t="str">
        <f ca="1">IF(ISERROR(INDIRECT(ORÇAMENTO.BancoRef)),"(abra o arquivo 'Referência "&amp;Excel_BuiltIn_Database&amp;".xlsm)",IF(OR($C24&lt;&gt;"S",ORÇAMENTO.CodBarra=""),"(Sem Código)",IF(ISERROR(MATCH($AE24,INDIRECT(ORÇAMENTO.BancoRef),0)),"(Código não identificado nas referências)",MATCH($AE24,INDIRECT(ORÇAMENTO.BancoRef),0))))</f>
        <v>(Sem Código)</v>
      </c>
      <c r="AG24" s="341">
        <f ca="1">ROUND(IF(DESONERACAO="sim",REFERENCIA.Desonerado,REFERENCIA.NaoDesonerado),2)</f>
        <v>0</v>
      </c>
      <c r="AH24" s="342">
        <f t="shared" ca="1" si="15"/>
        <v>0.23380000000000001</v>
      </c>
      <c r="AJ24" s="344"/>
      <c r="AL24" s="351"/>
      <c r="AM24" s="260">
        <f t="shared" ca="1" si="0"/>
        <v>14526.86</v>
      </c>
      <c r="AN24" s="381">
        <f t="shared" ca="1" si="16"/>
        <v>0</v>
      </c>
    </row>
    <row r="25" spans="1:40" ht="13.8" x14ac:dyDescent="0.3">
      <c r="A25" t="str">
        <f t="shared" si="1"/>
        <v>S</v>
      </c>
      <c r="B25">
        <f t="shared" ca="1" si="2"/>
        <v>2</v>
      </c>
      <c r="C25" t="str">
        <f t="shared" ca="1" si="3"/>
        <v>S</v>
      </c>
      <c r="D25">
        <f t="shared" ca="1" si="4"/>
        <v>0</v>
      </c>
      <c r="E25">
        <f ca="1">IF($C25=1,OFFSET(E25,-1,0)+MAX(1,COUNTIF(QCI!$A$13:$A$24,OFFSET(ORÇAMENTO!E25,-1,0))),OFFSET(E25,-1,0))</f>
        <v>1</v>
      </c>
      <c r="F25">
        <f t="shared" ca="1" si="5"/>
        <v>4</v>
      </c>
      <c r="G25">
        <f t="shared" ca="1" si="6"/>
        <v>0</v>
      </c>
      <c r="H25">
        <f t="shared" ca="1" si="7"/>
        <v>0</v>
      </c>
      <c r="I25">
        <f t="shared" ca="1" si="8"/>
        <v>1</v>
      </c>
      <c r="J25">
        <f t="shared" ca="1" si="9"/>
        <v>0</v>
      </c>
      <c r="K25">
        <f ca="1">IF(OR($C25="S",$C25=0),0,MATCH(OFFSET($D25,0,$C25)+IF($C25&lt;&gt;1,1,COUNTIF(QCI!$A$13:$A$24,ORÇAMENTO!E25)),OFFSET($D25,1,$C25,ROW($C$36)-ROW($C25)),0))</f>
        <v>0</v>
      </c>
      <c r="L25" s="85" t="str">
        <f t="shared" ca="1" si="10"/>
        <v>F</v>
      </c>
      <c r="M25" s="86" t="s">
        <v>712</v>
      </c>
      <c r="N25" s="87" t="str">
        <f t="shared" ca="1" si="11"/>
        <v>Serviço</v>
      </c>
      <c r="O25" s="88" t="str">
        <f t="shared" ca="1" si="12"/>
        <v>1.4.0.1.</v>
      </c>
      <c r="P25" s="89" t="s">
        <v>762</v>
      </c>
      <c r="Q25" s="90" t="s">
        <v>775</v>
      </c>
      <c r="R25" s="91" t="str">
        <f ca="1">IF($C25="S",REFERENCIA.Descricao,"(digite a descrição aqui)")</f>
        <v>DESMOBILIZAÇÃO DE MAQUINÁRIO</v>
      </c>
      <c r="S25" s="92" t="s">
        <v>645</v>
      </c>
      <c r="T25" s="93">
        <f ca="1">OFFSET(CÁLCULO!H$15,ROW($T25)-ROW(T$15),0)</f>
        <v>1</v>
      </c>
      <c r="U25" s="94">
        <f ca="1">AG25</f>
        <v>11774.08</v>
      </c>
      <c r="V25" s="95" t="s">
        <v>669</v>
      </c>
      <c r="W25" s="93">
        <f ca="1">IF($C25="S",ROUND(IF(TIPOORCAMENTO="Proposto",ORÇAMENTO.CustoUnitario*(1+$AH25),ORÇAMENTO.PrecoUnitarioLicitado),15-13*$AF$10),0)</f>
        <v>14526.86</v>
      </c>
      <c r="X25" s="96">
        <f ca="1">IF($C25="S",IF(OR(Import.TipoArredondamento&lt;&gt;"TransfereGOV",ACOMPANHAMENTO="BM"),VTOTAL1,SUM(OFFSET(CÁLCULO!$AA$15,ROW($X25)-ROW($X$15),1):OFFSET(CÁLCULO!$AL$15,ROW($X25)-ROW($X$15),-1))),IF($C25=0,0,ROUND(SomaAgrup,15-13*$AF$11)))</f>
        <v>14526.86</v>
      </c>
      <c r="Y25" s="97" t="s">
        <v>758</v>
      </c>
      <c r="Z25" t="str">
        <f t="shared" ca="1" si="13"/>
        <v>RA</v>
      </c>
      <c r="AA25" s="98">
        <f ca="1">IF($C25="S",IF($Z25="CP",$X25,IF($Z25="RA",(($X25)*QCI!$AA$3),0)),SomaAgrup)</f>
        <v>565.26681613463825</v>
      </c>
      <c r="AB25" s="99">
        <f t="shared" ca="1" si="14"/>
        <v>0</v>
      </c>
      <c r="AC25" s="477" t="str">
        <f ca="1">IF($N25=""," ",
IF(AND($C25="S",OR($Q25&lt;&gt;0,$T25&gt;0,$U25&gt;0),$P25=0),"FONTE",
IF(AND($C25="S",$P25&lt;&gt;0,OR($T25&gt;0,$U25&gt;0),$Q25=0),"CÓDIGO",
IF(AND(OR($R25="",$R25="(digite a descrição aqui)"),OR($C25&lt;&gt;"S",AND($C25="S",OR($Q25&lt;&gt;0,$T25&gt;0,$U25&gt;0)))),"DESCRIÇÃO",
IF(AND($C25="S",$P25&lt;&gt;0,$Q25&lt;&gt;0,$S25=""),"UNIDADE",
IF(AND($C25="S",$P25&lt;&gt;0,$Q25&lt;&gt;0,$U25=0),"SEM CUSTO",
IF(AND(TIPOORCAMENTO="Licitado",$AL25=0,$AN25&gt;0),"SEM PREÇO",
IF(AND($C25="S",$P25&lt;&gt;0,$Q25&lt;&gt;0,$U25&gt;0,$V25=0),"BDI",
IF(OR(AND(TIPOORCAMENTO="Proposto",$AG25&lt;&gt;"",$AG25&gt;0,ORÇAMENTO.CustoUnitario&gt;$AG25),AND(TIPOORCAMENTO="LICITADO",ORÇAMENTO.PrecoUnitarioLicitado&gt;$AN25)),"ACIMA REF.",
IF(AND($C25="S",$P25&lt;&gt;0,$Q25&lt;&gt;0,$T25=0,$U25&gt;0),"QUANT.",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5" t="str">
        <f ca="1">IF(AND($C25="S",ORÇAMENTO.CodBarra&lt;&gt;""),IF(ORÇAMENTO.Fonte="",ORÇAMENTO.CodBarra,CONCATENATE(ORÇAMENTO.Fonte," ",ORÇAMENTO.CodBarra)))</f>
        <v>Composição 006</v>
      </c>
      <c r="AF25" s="531">
        <f ca="1">IF(ISERROR(INDIRECT(ORÇAMENTO.BancoRef)),"(abra o arquivo 'Referência "&amp;Excel_BuiltIn_Database&amp;".xlsm)",IF(OR($C25&lt;&gt;"S",ORÇAMENTO.CodBarra=""),"(Sem Código)",IF(ISERROR(MATCH($AE25,INDIRECT(ORÇAMENTO.BancoRef),0)),"(Código não identificado nas referências)",MATCH($AE25,INDIRECT(ORÇAMENTO.BancoRef),0))))</f>
        <v>10</v>
      </c>
      <c r="AG25" s="341">
        <f ca="1">ROUND(IF(DESONERACAO="sim",REFERENCIA.Desonerado,REFERENCIA.NaoDesonerado),2)</f>
        <v>11774.08</v>
      </c>
      <c r="AH25" s="342">
        <f t="shared" ca="1" si="15"/>
        <v>0.23380000000000001</v>
      </c>
      <c r="AJ25" s="344">
        <v>1</v>
      </c>
      <c r="AL25" s="351"/>
      <c r="AM25" s="260">
        <f t="shared" ca="1" si="0"/>
        <v>14526.86</v>
      </c>
      <c r="AN25" s="381">
        <f t="shared" ca="1" si="16"/>
        <v>14526.86</v>
      </c>
    </row>
    <row r="26" spans="1:40" ht="13.8" x14ac:dyDescent="0.3">
      <c r="A26">
        <f t="shared" si="1"/>
        <v>2</v>
      </c>
      <c r="B26">
        <f t="shared" ca="1" si="2"/>
        <v>2</v>
      </c>
      <c r="C26">
        <f t="shared" ca="1" si="3"/>
        <v>2</v>
      </c>
      <c r="D26">
        <f t="shared" ca="1" si="4"/>
        <v>10</v>
      </c>
      <c r="E26">
        <f ca="1">IF($C26=1,OFFSET(E26,-1,0)+MAX(1,COUNTIF(QCI!$A$13:$A$24,OFFSET(ORÇAMENTO!E26,-1,0))),OFFSET(E26,-1,0))</f>
        <v>1</v>
      </c>
      <c r="F26">
        <f t="shared" ca="1" si="5"/>
        <v>5</v>
      </c>
      <c r="G26">
        <f t="shared" ca="1" si="6"/>
        <v>0</v>
      </c>
      <c r="H26">
        <f t="shared" ca="1" si="7"/>
        <v>0</v>
      </c>
      <c r="I26">
        <f t="shared" ca="1" si="8"/>
        <v>0</v>
      </c>
      <c r="J26">
        <f t="shared" ca="1" si="9"/>
        <v>10</v>
      </c>
      <c r="K26" t="e">
        <f ca="1">IF(OR($C26="S",$C26=0),0,MATCH(OFFSET($D26,0,$C26)+IF($C26&lt;&gt;1,1,COUNTIF(QCI!$A$13:$A$24,ORÇAMENTO!E26)),OFFSET($D26,1,$C26,ROW($C$36)-ROW($C26)),0))</f>
        <v>#N/A</v>
      </c>
      <c r="L26" s="85" t="str">
        <f t="shared" ca="1" si="10"/>
        <v>F</v>
      </c>
      <c r="M26" s="86" t="s">
        <v>709</v>
      </c>
      <c r="N26" s="87" t="str">
        <f t="shared" ca="1" si="11"/>
        <v>Nível 2</v>
      </c>
      <c r="O26" s="88" t="str">
        <f t="shared" ca="1" si="12"/>
        <v>1.5.</v>
      </c>
      <c r="P26" s="89" t="s">
        <v>757</v>
      </c>
      <c r="Q26" s="90"/>
      <c r="R26" s="91" t="s">
        <v>963</v>
      </c>
      <c r="S26" s="92" t="str">
        <f ca="1">REFERENCIA.Unidade</f>
        <v>-</v>
      </c>
      <c r="T26" s="93">
        <f ca="1">OFFSET(CÁLCULO!H$15,ROW($T26)-ROW(T$15),0)</f>
        <v>0</v>
      </c>
      <c r="U26" s="94"/>
      <c r="V26" s="95" t="s">
        <v>669</v>
      </c>
      <c r="W26" s="93">
        <f ca="1">IF($C26="S",ROUND(IF(TIPOORCAMENTO="Proposto",ORÇAMENTO.CustoUnitario*(1+$AH26),ORÇAMENTO.PrecoUnitarioLicitado),15-13*$AF$10),0)</f>
        <v>0</v>
      </c>
      <c r="X26" s="96">
        <f ca="1">IF($C26="S",IF(OR(Import.TipoArredondamento&lt;&gt;"TransfereGOV",ACOMPANHAMENTO="BM"),VTOTAL1,SUM(OFFSET(CÁLCULO!$AA$15,ROW($X26)-ROW($X$15),1):OFFSET(CÁLCULO!$AL$15,ROW($X26)-ROW($X$15),-1))),IF($C26=0,0,ROUND(SomaAgrup,15-13*$AF$11)))</f>
        <v>6079424.7000000002</v>
      </c>
      <c r="Y26" s="97" t="s">
        <v>758</v>
      </c>
      <c r="Z26" t="str">
        <f t="shared" ca="1" si="13"/>
        <v/>
      </c>
      <c r="AA26" s="98">
        <f ca="1">IF($C26="S",IF($Z26="CP",$X26,IF($Z26="RA",(($X26)*QCI!$AA$3),0)),SomaAgrup)</f>
        <v>236561.58619958328</v>
      </c>
      <c r="AB26" s="99">
        <f t="shared" ca="1" si="14"/>
        <v>0</v>
      </c>
      <c r="AC26" s="477" t="str">
        <f ca="1">IF($N26=""," ",
IF(AND($C26="S",OR($Q26&lt;&gt;0,$T26&gt;0,$U26&gt;0),$P26=0),"FONTE",
IF(AND($C26="S",$P26&lt;&gt;0,OR($T26&gt;0,$U26&gt;0),$Q26=0),"CÓDIGO",
IF(AND(OR($R26="",$R26="(digite a descrição aqui)"),OR($C26&lt;&gt;"S",AND($C26="S",OR($Q26&lt;&gt;0,$T26&gt;0,$U26&gt;0)))),"DESCRIÇÃO",
IF(AND($C26="S",$P26&lt;&gt;0,$Q26&lt;&gt;0,$S26=""),"UNIDADE",
IF(AND($C26="S",$P26&lt;&gt;0,$Q26&lt;&gt;0,$U26=0),"SEM CUSTO",
IF(AND(TIPOORCAMENTO="Licitado",$AL26=0,$AN26&gt;0),"SEM PREÇO",
IF(AND($C26="S",$P26&lt;&gt;0,$Q26&lt;&gt;0,$U26&gt;0,$V26=0),"BDI",
IF(OR(AND(TIPOORCAMENTO="Proposto",$AG26&lt;&gt;"",$AG26&gt;0,ORÇAMENTO.CustoUnitario&gt;$AG26),AND(TIPOORCAMENTO="LICITADO",ORÇAMENTO.PrecoUnitarioLicitado&gt;$AN26)),"ACIMA REF.",
IF(AND($C26="S",$P26&lt;&gt;0,$Q26&lt;&gt;0,$T26=0,$U26&gt;0),"QUANT.",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f ca="1">IF(C26&lt;=CRONO.NivelExibicao,MAX($AD$15:OFFSET(AD26,-1,0))+IF($C26&lt;&gt;1,1,MAX(1,COUNTIF(QCI!$A$13:$A$24,OFFSET($E26,-1,0)))),"")</f>
        <v>6</v>
      </c>
      <c r="AE26" s="5" t="b">
        <f ca="1">IF(AND($C26="S",ORÇAMENTO.CodBarra&lt;&gt;""),IF(ORÇAMENTO.Fonte="",ORÇAMENTO.CodBarra,CONCATENATE(ORÇAMENTO.Fonte," ",ORÇAMENTO.CodBarra)))</f>
        <v>0</v>
      </c>
      <c r="AF26" s="531" t="str">
        <f ca="1">IF(ISERROR(INDIRECT(ORÇAMENTO.BancoRef)),"(abra o arquivo 'Referência "&amp;Excel_BuiltIn_Database&amp;".xlsm)",IF(OR($C26&lt;&gt;"S",ORÇAMENTO.CodBarra=""),"(Sem Código)",IF(ISERROR(MATCH($AE26,INDIRECT(ORÇAMENTO.BancoRef),0)),"(Código não identificado nas referências)",MATCH($AE26,INDIRECT(ORÇAMENTO.BancoRef),0))))</f>
        <v>(Sem Código)</v>
      </c>
      <c r="AG26" s="341">
        <f ca="1">ROUND(IF(DESONERACAO="sim",REFERENCIA.Desonerado,REFERENCIA.NaoDesonerado),2)</f>
        <v>0</v>
      </c>
      <c r="AH26" s="342">
        <f t="shared" ca="1" si="15"/>
        <v>0.23380000000000001</v>
      </c>
      <c r="AJ26" s="344"/>
      <c r="AL26" s="351"/>
      <c r="AM26" s="260">
        <f t="shared" ca="1" si="0"/>
        <v>6079424.7000000002</v>
      </c>
      <c r="AN26" s="381">
        <f t="shared" ca="1" si="16"/>
        <v>0</v>
      </c>
    </row>
    <row r="27" spans="1:40" ht="13.8" x14ac:dyDescent="0.3">
      <c r="A27">
        <f>CHOOSE(1+LOG(1+2*(ORÇAMENTO.Nivel="Meta")+4*(ORÇAMENTO.Nivel="Nível 2")+8*(ORÇAMENTO.Nivel="Nível 3")+16*(ORÇAMENTO.Nivel="Nível 4")+32*(ORÇAMENTO.Nivel="Serviço"),2),0,1,2,3,4,"S")</f>
        <v>3</v>
      </c>
      <c r="B27">
        <f ca="1">IF(OR(C27="s",C27=0),OFFSET(B27,-1,0),C27)</f>
        <v>3</v>
      </c>
      <c r="C27">
        <f ca="1">IF(OFFSET(C27,-1,0)="L",1,IF(OFFSET(C27,-1,0)=1,2,IF(OR(A27="s",A27=0),"S",IF(AND(OFFSET(C27,-1,0)=2,A27=4),3,IF(AND(OR(OFFSET(C27,-1,0)="s",OFFSET(C27,-1,0)=0),A27&lt;&gt;"s",A27&gt;OFFSET(B27,-1,0)),OFFSET(B27,-1,0),A27)))))</f>
        <v>3</v>
      </c>
      <c r="D27">
        <f ca="1">IF(OR(C27="S",C27=0),0,IF(ISERROR(K27),J27,SMALL(J27:K27,1)))</f>
        <v>7</v>
      </c>
      <c r="E27">
        <f ca="1">IF($C27=1,OFFSET(E27,-1,0)+MAX(1,COUNTIF(QCI!$A$13:$A$24,OFFSET(ORÇAMENTO!E27,-1,0))),OFFSET(E27,-1,0))</f>
        <v>1</v>
      </c>
      <c r="F27">
        <f ca="1">IF($C27=1,0,IF($C27=2,OFFSET(F27,-1,0)+1,OFFSET(F27,-1,0)))</f>
        <v>5</v>
      </c>
      <c r="G27">
        <f ca="1">IF(AND($C27&lt;=2,$C27&lt;&gt;0),0,IF($C27=3,OFFSET(G27,-1,0)+1,OFFSET(G27,-1,0)))</f>
        <v>1</v>
      </c>
      <c r="H27">
        <f ca="1">IF(AND($C27&lt;=3,$C27&lt;&gt;0),0,IF($C27=4,OFFSET(H27,-1,0)+1,OFFSET(H27,-1,0)))</f>
        <v>0</v>
      </c>
      <c r="I27">
        <f ca="1">IF(AND($C27&lt;=4,$C27&lt;&gt;0),0,IF(AND($C27="S",$X27&gt;0),OFFSET(I27,-1,0)+1,OFFSET(I27,-1,0)))</f>
        <v>0</v>
      </c>
      <c r="J27">
        <f t="shared" ca="1" si="9"/>
        <v>9</v>
      </c>
      <c r="K27">
        <f ca="1">IF(OR($C27="S",$C27=0),0,MATCH(OFFSET($D27,0,$C27)+IF($C27&lt;&gt;1,1,COUNTIF(QCI!$A$13:$A$24,ORÇAMENTO!E27)),OFFSET($D27,1,$C27,ROW($C$36)-ROW($C27)),0))</f>
        <v>7</v>
      </c>
      <c r="L27" s="85" t="str">
        <f ca="1">IF(OR($X27&gt;0,$C27=1,$C27=2,$C27=3,$C27=4),"F","")</f>
        <v>F</v>
      </c>
      <c r="M27" s="86" t="s">
        <v>710</v>
      </c>
      <c r="N27" s="87" t="str">
        <f ca="1">CHOOSE(1+LOG(1+2*(C27=1)+4*(C27=2)+8*(C27=3)+16*(C27=4)+32*(C27="S"),2),"","Meta","Nível 2","Nível 3","Nível 4","Serviço")</f>
        <v>Nível 3</v>
      </c>
      <c r="O27" s="88" t="str">
        <f ca="1">IF(OR($C27=0,$L27=""),"-",CONCATENATE(E27&amp;".",IF(AND($A$5&gt;=2,$C27&gt;=2),F27&amp;".",""),IF(AND($A$5&gt;=3,$C27&gt;=3),G27&amp;".",""),IF(AND($A$5&gt;=4,$C27&gt;=4),H27&amp;".",""),IF($C27="S",I27&amp;".","")))</f>
        <v>1.5.1.</v>
      </c>
      <c r="P27" s="89" t="s">
        <v>757</v>
      </c>
      <c r="Q27" s="90"/>
      <c r="R27" s="91" t="s">
        <v>760</v>
      </c>
      <c r="S27" s="92" t="str">
        <f ca="1">REFERENCIA.Unidade</f>
        <v>-</v>
      </c>
      <c r="T27" s="93">
        <f ca="1">OFFSET(CÁLCULO!H$15,ROW($T27)-ROW(T$15),0)</f>
        <v>0</v>
      </c>
      <c r="U27" s="94"/>
      <c r="V27" s="95" t="s">
        <v>669</v>
      </c>
      <c r="W27" s="93">
        <f ca="1">IF($C27="S",ROUND(IF(TIPOORCAMENTO="Proposto",ORÇAMENTO.CustoUnitario*(1+$AH27),ORÇAMENTO.PrecoUnitarioLicitado),15-13*$AF$10),0)</f>
        <v>0</v>
      </c>
      <c r="X27" s="96">
        <f ca="1">IF($C27="S",IF(OR(Import.TipoArredondamento&lt;&gt;"TransfereGOV",ACOMPANHAMENTO="BM"),VTOTAL1,SUM(OFFSET(CÁLCULO!$AA$15,ROW($X27)-ROW($X$15),1):OFFSET(CÁLCULO!$AL$15,ROW($X27)-ROW($X$15),-1))),IF($C27=0,0,ROUND(SomaAgrup,15-13*$AF$11)))</f>
        <v>5305998.9000000004</v>
      </c>
      <c r="Y27" s="97" t="s">
        <v>758</v>
      </c>
      <c r="Z27" t="str">
        <f ca="1">IF(AND($C27="S",$X27&gt;0),IF(ISBLANK($Y27),"RA",LEFT($Y27,2)),"")</f>
        <v/>
      </c>
      <c r="AA27" s="98">
        <f ca="1">IF($C27="S",IF($Z27="CP",$X27,IF($Z27="RA",(($X27)*QCI!$AA$3),0)),SomaAgrup)</f>
        <v>206466.16712881468</v>
      </c>
      <c r="AB27" s="99">
        <f ca="1">IF($C27="S",IF($Z27="OU",ROUND($X27,2),0),SomaAgrup)</f>
        <v>0</v>
      </c>
      <c r="AC27" s="477" t="str">
        <f ca="1">IF($N27=""," ",
IF(AND($C27="S",OR($Q27&lt;&gt;0,$T27&gt;0,$U27&gt;0),$P27=0),"FONTE",
IF(AND($C27="S",$P27&lt;&gt;0,OR($T27&gt;0,$U27&gt;0),$Q27=0),"CÓDIGO",
IF(AND(OR($R27="",$R27="(digite a descrição aqui)"),OR($C27&lt;&gt;"S",AND($C27="S",OR($Q27&lt;&gt;0,$T27&gt;0,$U27&gt;0)))),"DESCRIÇÃO",
IF(AND($C27="S",$P27&lt;&gt;0,$Q27&lt;&gt;0,$S27=""),"UNIDADE",
IF(AND($C27="S",$P27&lt;&gt;0,$Q27&lt;&gt;0,$U27=0),"SEM CUSTO",
IF(AND(TIPOORCAMENTO="Licitado",$AL27=0,$AN27&gt;0),"SEM PREÇO",
IF(AND($C27="S",$P27&lt;&gt;0,$Q27&lt;&gt;0,$U27&gt;0,$V27=0),"BDI",
IF(OR(AND(TIPOORCAMENTO="Proposto",$AG27&lt;&gt;"",$AG27&gt;0,ORÇAMENTO.CustoUnitario&gt;$AG27),AND(TIPOORCAMENTO="LICITADO",ORÇAMENTO.PrecoUnitarioLicitado&gt;$AN27)),"ACIMA REF.",
IF(AND($C27="S",$P27&lt;&gt;0,$Q27&lt;&gt;0,$T27=0,$U27&gt;0),"QUANT.",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f ca="1">IF(C27&lt;=CRONO.NivelExibicao,MAX($AD$15:OFFSET(AD27,-1,0))+IF($C27&lt;&gt;1,1,MAX(1,COUNTIF(QCI!$A$13:$A$24,OFFSET($E27,-1,0)))),"")</f>
        <v>7</v>
      </c>
      <c r="AE27" s="5" t="b">
        <f ca="1">IF(AND($C27="S",ORÇAMENTO.CodBarra&lt;&gt;""),IF(ORÇAMENTO.Fonte="",ORÇAMENTO.CodBarra,CONCATENATE(ORÇAMENTO.Fonte," ",ORÇAMENTO.CodBarra)))</f>
        <v>0</v>
      </c>
      <c r="AF27" s="531" t="str">
        <f ca="1">IF(ISERROR(INDIRECT(ORÇAMENTO.BancoRef)),"(abra o arquivo 'Referência "&amp;Excel_BuiltIn_Database&amp;".xlsm)",IF(OR($C27&lt;&gt;"S",ORÇAMENTO.CodBarra=""),"(Sem Código)",IF(ISERROR(MATCH($AE27,INDIRECT(ORÇAMENTO.BancoRef),0)),"(Código não identificado nas referências)",MATCH($AE27,INDIRECT(ORÇAMENTO.BancoRef),0))))</f>
        <v>(Sem Código)</v>
      </c>
      <c r="AG27" s="341">
        <f ca="1">ROUND(IF(DESONERACAO="sim",REFERENCIA.Desonerado,REFERENCIA.NaoDesonerado),2)</f>
        <v>0</v>
      </c>
      <c r="AH27" s="342">
        <f ca="1">ROUND(IF(ISNUMBER(ORÇAMENTO.OpcaoBDI),ORÇAMENTO.OpcaoBDI,IF(LEFT(ORÇAMENTO.OpcaoBDI,3)="BDI",HLOOKUP(ORÇAMENTO.OpcaoBDI,$F$4:$H$5,2,FALSE),0)),15-11*$AF$9)</f>
        <v>0.23380000000000001</v>
      </c>
      <c r="AJ27" s="344"/>
      <c r="AL27" s="351"/>
      <c r="AM27" s="260">
        <f t="shared" ca="1" si="0"/>
        <v>5305998.9000000004</v>
      </c>
      <c r="AN27" s="381">
        <f ca="1">ROUND(ORÇAMENTO.CustoUnitario*(1+$AH27),2)</f>
        <v>0</v>
      </c>
    </row>
    <row r="28" spans="1:40" ht="13.8" x14ac:dyDescent="0.3">
      <c r="A28" t="str">
        <f t="shared" si="1"/>
        <v>S</v>
      </c>
      <c r="B28">
        <f t="shared" ca="1" si="2"/>
        <v>3</v>
      </c>
      <c r="C28" t="str">
        <f t="shared" ca="1" si="3"/>
        <v>S</v>
      </c>
      <c r="D28">
        <f t="shared" ca="1" si="4"/>
        <v>0</v>
      </c>
      <c r="E28">
        <f ca="1">IF($C28=1,OFFSET(E28,-1,0)+MAX(1,COUNTIF(QCI!$A$13:$A$24,OFFSET(ORÇAMENTO!E28,-1,0))),OFFSET(E28,-1,0))</f>
        <v>1</v>
      </c>
      <c r="F28">
        <f t="shared" ca="1" si="5"/>
        <v>5</v>
      </c>
      <c r="G28">
        <f t="shared" ca="1" si="6"/>
        <v>1</v>
      </c>
      <c r="H28">
        <f t="shared" ca="1" si="7"/>
        <v>0</v>
      </c>
      <c r="I28">
        <f t="shared" ca="1" si="8"/>
        <v>1</v>
      </c>
      <c r="J28">
        <f t="shared" ca="1" si="9"/>
        <v>0</v>
      </c>
      <c r="K28">
        <f ca="1">IF(OR($C28="S",$C28=0),0,MATCH(OFFSET($D28,0,$C28)+IF($C28&lt;&gt;1,1,COUNTIF(QCI!$A$13:$A$24,ORÇAMENTO!E28)),OFFSET($D28,1,$C28,ROW($C$36)-ROW($C28)),0))</f>
        <v>0</v>
      </c>
      <c r="L28" s="85" t="str">
        <f t="shared" ca="1" si="10"/>
        <v>F</v>
      </c>
      <c r="M28" s="86" t="s">
        <v>712</v>
      </c>
      <c r="N28" s="87" t="str">
        <f t="shared" ca="1" si="11"/>
        <v>Serviço</v>
      </c>
      <c r="O28" s="88" t="str">
        <f t="shared" ca="1" si="12"/>
        <v>1.5.1.1.</v>
      </c>
      <c r="P28" s="89" t="s">
        <v>762</v>
      </c>
      <c r="Q28" s="90" t="s">
        <v>957</v>
      </c>
      <c r="R28" s="91" t="str">
        <f ca="1">IF($C28="S",REFERENCIA.Descricao,"(digite a descrição aqui)")</f>
        <v>EXECUÇÃO DE IMPRIMAÇÃO COM ASFALTO DILUÍDO CM-30</v>
      </c>
      <c r="S28" s="92" t="str">
        <f ca="1">REFERENCIA.Unidade</f>
        <v>M2</v>
      </c>
      <c r="T28" s="93">
        <f ca="1">OFFSET(CÁLCULO!H$15,ROW($T28)-ROW(T$15),0)</f>
        <v>30312</v>
      </c>
      <c r="U28" s="94">
        <f ca="1">AG28</f>
        <v>12.52</v>
      </c>
      <c r="V28" s="95" t="s">
        <v>669</v>
      </c>
      <c r="W28" s="93">
        <f ca="1">IF($C28="S",ROUND(IF(TIPOORCAMENTO="Proposto",ORÇAMENTO.CustoUnitario*(1+$AH28),ORÇAMENTO.PrecoUnitarioLicitado),15-13*$AF$10),0)</f>
        <v>15.45</v>
      </c>
      <c r="X28" s="96">
        <f ca="1">IF($C28="S",IF(OR(Import.TipoArredondamento&lt;&gt;"TransfereGOV",ACOMPANHAMENTO="BM"),VTOTAL1,SUM(OFFSET(CÁLCULO!$AA$15,ROW($X28)-ROW($X$15),1):OFFSET(CÁLCULO!$AL$15,ROW($X28)-ROW($X$15),-1))),IF($C28=0,0,ROUND(SomaAgrup,15-13*$AF$11)))</f>
        <v>468320.4</v>
      </c>
      <c r="Y28" s="97" t="s">
        <v>758</v>
      </c>
      <c r="Z28" t="str">
        <f t="shared" ca="1" si="13"/>
        <v>RA</v>
      </c>
      <c r="AA28" s="98">
        <f ca="1">IF($C28="S",IF($Z28="CP",$X28,IF($Z28="RA",(($X28)*QCI!$AA$3),0)),SomaAgrup)</f>
        <v>18223.207316577722</v>
      </c>
      <c r="AB28" s="99">
        <f t="shared" ca="1" si="14"/>
        <v>0</v>
      </c>
      <c r="AC28" s="477" t="str">
        <f ca="1">IF($N28=""," ",
IF(AND($C28="S",OR($Q28&lt;&gt;0,$T28&gt;0,$U28&gt;0),$P28=0),"FONTE",
IF(AND($C28="S",$P28&lt;&gt;0,OR($T28&gt;0,$U28&gt;0),$Q28=0),"CÓDIGO",
IF(AND(OR($R28="",$R28="(digite a descrição aqui)"),OR($C28&lt;&gt;"S",AND($C28="S",OR($Q28&lt;&gt;0,$T28&gt;0,$U28&gt;0)))),"DESCRIÇÃO",
IF(AND($C28="S",$P28&lt;&gt;0,$Q28&lt;&gt;0,$S28=""),"UNIDADE",
IF(AND($C28="S",$P28&lt;&gt;0,$Q28&lt;&gt;0,$U28=0),"SEM CUSTO",
IF(AND(TIPOORCAMENTO="Licitado",$AL28=0,$AN28&gt;0),"SEM PREÇO",
IF(AND($C28="S",$P28&lt;&gt;0,$Q28&lt;&gt;0,$U28&gt;0,$V28=0),"BDI",
IF(OR(AND(TIPOORCAMENTO="Proposto",$AG28&lt;&gt;"",$AG28&gt;0,ORÇAMENTO.CustoUnitario&gt;$AG28),AND(TIPOORCAMENTO="LICITADO",ORÇAMENTO.PrecoUnitarioLicitado&gt;$AN28)),"ACIMA REF.",
IF(AND($C28="S",$P28&lt;&gt;0,$Q28&lt;&gt;0,$T28=0,$U28&gt;0),"QUANT.",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5" t="str">
        <f ca="1">IF(AND($C28="S",ORÇAMENTO.CodBarra&lt;&gt;""),IF(ORÇAMENTO.Fonte="",ORÇAMENTO.CodBarra,CONCATENATE(ORÇAMENTO.Fonte," ",ORÇAMENTO.CodBarra)))</f>
        <v>Composição 002</v>
      </c>
      <c r="AF28" s="531">
        <f ca="1">IF(ISERROR(INDIRECT(ORÇAMENTO.BancoRef)),"(abra o arquivo 'Referência "&amp;Excel_BuiltIn_Database&amp;".xlsm)",IF(OR($C28&lt;&gt;"S",ORÇAMENTO.CodBarra=""),"(Sem Código)",IF(ISERROR(MATCH($AE28,INDIRECT(ORÇAMENTO.BancoRef),0)),"(Código não identificado nas referências)",MATCH($AE28,INDIRECT(ORÇAMENTO.BancoRef),0))))</f>
        <v>5</v>
      </c>
      <c r="AG28" s="341">
        <f ca="1">ROUND(IF(DESONERACAO="sim",REFERENCIA.Desonerado,REFERENCIA.NaoDesonerado),2)</f>
        <v>12.52</v>
      </c>
      <c r="AH28" s="342">
        <f t="shared" ca="1" si="15"/>
        <v>0.23380000000000001</v>
      </c>
      <c r="AJ28" s="344">
        <f>[1]VIAS!$M$32</f>
        <v>30312</v>
      </c>
      <c r="AL28" s="351"/>
      <c r="AM28" s="260">
        <f t="shared" ca="1" si="0"/>
        <v>468320.4</v>
      </c>
      <c r="AN28" s="381">
        <f t="shared" ca="1" si="16"/>
        <v>15.45</v>
      </c>
    </row>
    <row r="29" spans="1:40" ht="26.4" x14ac:dyDescent="0.3">
      <c r="A29" t="str">
        <f t="shared" si="1"/>
        <v>S</v>
      </c>
      <c r="B29">
        <f t="shared" ca="1" si="2"/>
        <v>3</v>
      </c>
      <c r="C29" t="str">
        <f t="shared" ca="1" si="3"/>
        <v>S</v>
      </c>
      <c r="D29">
        <f t="shared" ca="1" si="4"/>
        <v>0</v>
      </c>
      <c r="E29">
        <f ca="1">IF($C29=1,OFFSET(E29,-1,0)+MAX(1,COUNTIF(QCI!$A$13:$A$24,OFFSET(ORÇAMENTO!E29,-1,0))),OFFSET(E29,-1,0))</f>
        <v>1</v>
      </c>
      <c r="F29">
        <f t="shared" ca="1" si="5"/>
        <v>5</v>
      </c>
      <c r="G29">
        <f t="shared" ca="1" si="6"/>
        <v>1</v>
      </c>
      <c r="H29">
        <f t="shared" ca="1" si="7"/>
        <v>0</v>
      </c>
      <c r="I29">
        <f t="shared" ca="1" si="8"/>
        <v>2</v>
      </c>
      <c r="J29">
        <f t="shared" ca="1" si="9"/>
        <v>0</v>
      </c>
      <c r="K29">
        <f ca="1">IF(OR($C29="S",$C29=0),0,MATCH(OFFSET($D29,0,$C29)+IF($C29&lt;&gt;1,1,COUNTIF(QCI!$A$13:$A$24,ORÇAMENTO!E29)),OFFSET($D29,1,$C29,ROW($C$36)-ROW($C29)),0))</f>
        <v>0</v>
      </c>
      <c r="L29" s="85" t="str">
        <f t="shared" ca="1" si="10"/>
        <v>F</v>
      </c>
      <c r="M29" s="86" t="s">
        <v>712</v>
      </c>
      <c r="N29" s="87" t="str">
        <f t="shared" ca="1" si="11"/>
        <v>Serviço</v>
      </c>
      <c r="O29" s="88" t="str">
        <f t="shared" ca="1" si="12"/>
        <v>1.5.1.2.</v>
      </c>
      <c r="P29" s="89" t="s">
        <v>762</v>
      </c>
      <c r="Q29" s="90" t="s">
        <v>958</v>
      </c>
      <c r="R29" s="91" t="str">
        <f ca="1">IF($C29="S",REFERENCIA.Descricao,"(digite a descrição aqui)")</f>
        <v>EXECUÇÃO DE PINTURA DE LIGAÇÃO COM EMULSÃO ASFÁLTICA RR-2C</v>
      </c>
      <c r="S29" s="92" t="str">
        <f ca="1">REFERENCIA.Unidade</f>
        <v>M2</v>
      </c>
      <c r="T29" s="93">
        <f ca="1">OFFSET(CÁLCULO!H$15,ROW($T29)-ROW(T$15),0)</f>
        <v>30312</v>
      </c>
      <c r="U29" s="94">
        <f t="shared" ref="U29:U33" ca="1" si="17">AG29</f>
        <v>2.5499999999999998</v>
      </c>
      <c r="V29" s="95" t="s">
        <v>669</v>
      </c>
      <c r="W29" s="93">
        <f ca="1">IF($C29="S",ROUND(IF(TIPOORCAMENTO="Proposto",ORÇAMENTO.CustoUnitario*(1+$AH29),ORÇAMENTO.PrecoUnitarioLicitado),15-13*$AF$10),0)</f>
        <v>3.15</v>
      </c>
      <c r="X29" s="96">
        <f ca="1">IF($C29="S",IF(OR(Import.TipoArredondamento&lt;&gt;"TransfereGOV",ACOMPANHAMENTO="BM"),VTOTAL1,SUM(OFFSET(CÁLCULO!$AA$15,ROW($X29)-ROW($X$15),1):OFFSET(CÁLCULO!$AL$15,ROW($X29)-ROW($X$15),-1))),IF($C29=0,0,ROUND(SomaAgrup,15-13*$AF$11)))</f>
        <v>95482.8</v>
      </c>
      <c r="Y29" s="97" t="s">
        <v>758</v>
      </c>
      <c r="Z29" t="str">
        <f t="shared" ca="1" si="13"/>
        <v>RA</v>
      </c>
      <c r="AA29" s="98">
        <f ca="1">IF($C29="S",IF($Z29="CP",$X29,IF($Z29="RA",(($X29)*QCI!$AA$3),0)),SomaAgrup)</f>
        <v>3715.4112004673025</v>
      </c>
      <c r="AB29" s="99">
        <f t="shared" ca="1" si="14"/>
        <v>0</v>
      </c>
      <c r="AC29" s="477" t="str">
        <f ca="1">IF($N29=""," ",
IF(AND($C29="S",OR($Q29&lt;&gt;0,$T29&gt;0,$U29&gt;0),$P29=0),"FONTE",
IF(AND($C29="S",$P29&lt;&gt;0,OR($T29&gt;0,$U29&gt;0),$Q29=0),"CÓDIGO",
IF(AND(OR($R29="",$R29="(digite a descrição aqui)"),OR($C29&lt;&gt;"S",AND($C29="S",OR($Q29&lt;&gt;0,$T29&gt;0,$U29&gt;0)))),"DESCRIÇÃO",
IF(AND($C29="S",$P29&lt;&gt;0,$Q29&lt;&gt;0,$S29=""),"UNIDADE",
IF(AND($C29="S",$P29&lt;&gt;0,$Q29&lt;&gt;0,$U29=0),"SEM CUSTO",
IF(AND(TIPOORCAMENTO="Licitado",$AL29=0,$AN29&gt;0),"SEM PREÇO",
IF(AND($C29="S",$P29&lt;&gt;0,$Q29&lt;&gt;0,$U29&gt;0,$V29=0),"BDI",
IF(OR(AND(TIPOORCAMENTO="Proposto",$AG29&lt;&gt;"",$AG29&gt;0,ORÇAMENTO.CustoUnitario&gt;$AG29),AND(TIPOORCAMENTO="LICITADO",ORÇAMENTO.PrecoUnitarioLicitado&gt;$AN29)),"ACIMA REF.",
IF(AND($C29="S",$P29&lt;&gt;0,$Q29&lt;&gt;0,$T29=0,$U29&gt;0),"QUANT.",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5" t="str">
        <f ca="1">IF(AND($C29="S",ORÇAMENTO.CodBarra&lt;&gt;""),IF(ORÇAMENTO.Fonte="",ORÇAMENTO.CodBarra,CONCATENATE(ORÇAMENTO.Fonte," ",ORÇAMENTO.CodBarra)))</f>
        <v>Composição 003</v>
      </c>
      <c r="AF29" s="531">
        <f ca="1">IF(ISERROR(INDIRECT(ORÇAMENTO.BancoRef)),"(abra o arquivo 'Referência "&amp;Excel_BuiltIn_Database&amp;".xlsm)",IF(OR($C29&lt;&gt;"S",ORÇAMENTO.CodBarra=""),"(Sem Código)",IF(ISERROR(MATCH($AE29,INDIRECT(ORÇAMENTO.BancoRef),0)),"(Código não identificado nas referências)",MATCH($AE29,INDIRECT(ORÇAMENTO.BancoRef),0))))</f>
        <v>6</v>
      </c>
      <c r="AG29" s="341">
        <f ca="1">ROUND(IF(DESONERACAO="sim",REFERENCIA.Desonerado,REFERENCIA.NaoDesonerado),2)</f>
        <v>2.5499999999999998</v>
      </c>
      <c r="AH29" s="342">
        <f t="shared" ca="1" si="15"/>
        <v>0.23380000000000001</v>
      </c>
      <c r="AJ29" s="344">
        <f>[1]VIAS!$M$48</f>
        <v>30312</v>
      </c>
      <c r="AL29" s="351"/>
      <c r="AM29" s="260">
        <f t="shared" ca="1" si="0"/>
        <v>95482.8</v>
      </c>
      <c r="AN29" s="381">
        <f t="shared" ca="1" si="16"/>
        <v>3.15</v>
      </c>
    </row>
    <row r="30" spans="1:40" ht="39.6" x14ac:dyDescent="0.3">
      <c r="A30" t="str">
        <f t="shared" si="1"/>
        <v>S</v>
      </c>
      <c r="B30">
        <f t="shared" ca="1" si="2"/>
        <v>3</v>
      </c>
      <c r="C30" t="str">
        <f t="shared" ca="1" si="3"/>
        <v>S</v>
      </c>
      <c r="D30">
        <f t="shared" ca="1" si="4"/>
        <v>0</v>
      </c>
      <c r="E30">
        <f ca="1">IF($C30=1,OFFSET(E30,-1,0)+MAX(1,COUNTIF(QCI!$A$13:$A$24,OFFSET(ORÇAMENTO!E30,-1,0))),OFFSET(E30,-1,0))</f>
        <v>1</v>
      </c>
      <c r="F30">
        <f t="shared" ca="1" si="5"/>
        <v>5</v>
      </c>
      <c r="G30">
        <f t="shared" ca="1" si="6"/>
        <v>1</v>
      </c>
      <c r="H30">
        <f t="shared" ca="1" si="7"/>
        <v>0</v>
      </c>
      <c r="I30">
        <f t="shared" ca="1" si="8"/>
        <v>3</v>
      </c>
      <c r="J30">
        <f t="shared" ca="1" si="9"/>
        <v>0</v>
      </c>
      <c r="K30">
        <f ca="1">IF(OR($C30="S",$C30=0),0,MATCH(OFFSET($D30,0,$C30)+IF($C30&lt;&gt;1,1,COUNTIF(QCI!$A$13:$A$24,ORÇAMENTO!E30)),OFFSET($D30,1,$C30,ROW($C$36)-ROW($C30)),0))</f>
        <v>0</v>
      </c>
      <c r="L30" s="85" t="str">
        <f t="shared" ca="1" si="10"/>
        <v>F</v>
      </c>
      <c r="M30" s="86" t="s">
        <v>712</v>
      </c>
      <c r="N30" s="87" t="str">
        <f t="shared" ca="1" si="11"/>
        <v>Serviço</v>
      </c>
      <c r="O30" s="88" t="str">
        <f t="shared" ca="1" si="12"/>
        <v>1.5.1.3.</v>
      </c>
      <c r="P30" s="89" t="s">
        <v>757</v>
      </c>
      <c r="Q30" s="90" t="s">
        <v>771</v>
      </c>
      <c r="R30" s="91" t="str">
        <f ca="1">IF($C30="S",REFERENCIA.Descricao,"(digite a descrição aqui)")</f>
        <v>EXECUÇÃO DE PAVIMENTO COM APLICAÇÃO DE CONCRETO ASFÁLTICO, CAMADA DE ROLAMENTO - EXCLUSIVE CARGA E TRANSPORTE. AF_10/2025</v>
      </c>
      <c r="S30" s="92" t="str">
        <f ca="1">REFERENCIA.Unidade</f>
        <v>M3</v>
      </c>
      <c r="T30" s="93">
        <f ca="1">OFFSET(CÁLCULO!H$15,ROW($T30)-ROW(T$15),0)</f>
        <v>1060.92</v>
      </c>
      <c r="U30" s="94">
        <f t="shared" ca="1" si="17"/>
        <v>3411.53</v>
      </c>
      <c r="V30" s="95" t="s">
        <v>669</v>
      </c>
      <c r="W30" s="93">
        <f ca="1">IF($C30="S",ROUND(IF(TIPOORCAMENTO="Proposto",ORÇAMENTO.CustoUnitario*(1+$AH30),ORÇAMENTO.PrecoUnitarioLicitado),15-13*$AF$10),0)</f>
        <v>4209.1499999999996</v>
      </c>
      <c r="X30" s="96">
        <f ca="1">IF($C30="S",IF(OR(Import.TipoArredondamento&lt;&gt;"TransfereGOV",ACOMPANHAMENTO="BM"),VTOTAL1,SUM(OFFSET(CÁLCULO!$AA$15,ROW($X30)-ROW($X$15),1):OFFSET(CÁLCULO!$AL$15,ROW($X30)-ROW($X$15),-1))),IF($C30=0,0,ROUND(SomaAgrup,15-13*$AF$11)))</f>
        <v>4465571.42</v>
      </c>
      <c r="Y30" s="97" t="s">
        <v>758</v>
      </c>
      <c r="Z30" t="str">
        <f t="shared" ca="1" si="13"/>
        <v>RA</v>
      </c>
      <c r="AA30" s="98">
        <f ca="1">IF($C30="S",IF($Z30="CP",$X30,IF($Z30="RA",(($X30)*QCI!$AA$3),0)),SomaAgrup)</f>
        <v>173763.58957167863</v>
      </c>
      <c r="AB30" s="99">
        <f t="shared" ca="1" si="14"/>
        <v>0</v>
      </c>
      <c r="AC30" s="477" t="str">
        <f ca="1">IF($N30=""," ",
IF(AND($C30="S",OR($Q30&lt;&gt;0,$T30&gt;0,$U30&gt;0),$P30=0),"FONTE",
IF(AND($C30="S",$P30&lt;&gt;0,OR($T30&gt;0,$U30&gt;0),$Q30=0),"CÓDIGO",
IF(AND(OR($R30="",$R30="(digite a descrição aqui)"),OR($C30&lt;&gt;"S",AND($C30="S",OR($Q30&lt;&gt;0,$T30&gt;0,$U30&gt;0)))),"DESCRIÇÃO",
IF(AND($C30="S",$P30&lt;&gt;0,$Q30&lt;&gt;0,$S30=""),"UNIDADE",
IF(AND($C30="S",$P30&lt;&gt;0,$Q30&lt;&gt;0,$U30=0),"SEM CUSTO",
IF(AND(TIPOORCAMENTO="Licitado",$AL30=0,$AN30&gt;0),"SEM PREÇO",
IF(AND($C30="S",$P30&lt;&gt;0,$Q30&lt;&gt;0,$U30&gt;0,$V30=0),"BDI",
IF(OR(AND(TIPOORCAMENTO="Proposto",$AG30&lt;&gt;"",$AG30&gt;0,ORÇAMENTO.CustoUnitario&gt;$AG30),AND(TIPOORCAMENTO="LICITADO",ORÇAMENTO.PrecoUnitarioLicitado&gt;$AN30)),"ACIMA REF.",
IF(AND($C30="S",$P30&lt;&gt;0,$Q30&lt;&gt;0,$T30=0,$U30&gt;0),"QUANT.",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5" t="str">
        <f ca="1">IF(AND($C30="S",ORÇAMENTO.CodBarra&lt;&gt;""),IF(ORÇAMENTO.Fonte="",ORÇAMENTO.CodBarra,CONCATENATE(ORÇAMENTO.Fonte," ",ORÇAMENTO.CodBarra)))</f>
        <v>SINAPI 95995</v>
      </c>
      <c r="AF30" s="531">
        <f ca="1">IF(ISERROR(INDIRECT(ORÇAMENTO.BancoRef)),"(abra o arquivo 'Referência "&amp;Excel_BuiltIn_Database&amp;".xlsm)",IF(OR($C30&lt;&gt;"S",ORÇAMENTO.CodBarra=""),"(Sem Código)",IF(ISERROR(MATCH($AE30,INDIRECT(ORÇAMENTO.BancoRef),0)),"(Código não identificado nas referências)",MATCH($AE30,INDIRECT(ORÇAMENTO.BancoRef),0))))</f>
        <v>6377</v>
      </c>
      <c r="AG30" s="341">
        <f ca="1">ROUND(IF(DESONERACAO="sim",REFERENCIA.Desonerado,REFERENCIA.NaoDesonerado),2)</f>
        <v>3411.53</v>
      </c>
      <c r="AH30" s="342">
        <f t="shared" ca="1" si="15"/>
        <v>0.23380000000000001</v>
      </c>
      <c r="AJ30" s="344">
        <f>[1]VIAS!$M$64</f>
        <v>1060.92</v>
      </c>
      <c r="AL30" s="351"/>
      <c r="AM30" s="260">
        <f t="shared" ca="1" si="0"/>
        <v>4465571.42</v>
      </c>
      <c r="AN30" s="381">
        <f t="shared" ca="1" si="16"/>
        <v>4209.1499999999996</v>
      </c>
    </row>
    <row r="31" spans="1:40" ht="26.4" x14ac:dyDescent="0.3">
      <c r="A31" t="str">
        <f t="shared" si="1"/>
        <v>S</v>
      </c>
      <c r="B31">
        <f t="shared" ca="1" si="2"/>
        <v>3</v>
      </c>
      <c r="C31" t="str">
        <f t="shared" ca="1" si="3"/>
        <v>S</v>
      </c>
      <c r="D31">
        <f t="shared" ca="1" si="4"/>
        <v>0</v>
      </c>
      <c r="E31">
        <f ca="1">IF($C31=1,OFFSET(E31,-1,0)+MAX(1,COUNTIF(QCI!$A$13:$A$24,OFFSET(ORÇAMENTO!E31,-1,0))),OFFSET(E31,-1,0))</f>
        <v>1</v>
      </c>
      <c r="F31">
        <f t="shared" ca="1" si="5"/>
        <v>5</v>
      </c>
      <c r="G31">
        <f t="shared" ca="1" si="6"/>
        <v>1</v>
      </c>
      <c r="H31">
        <f t="shared" ca="1" si="7"/>
        <v>0</v>
      </c>
      <c r="I31">
        <f t="shared" ca="1" si="8"/>
        <v>4</v>
      </c>
      <c r="J31">
        <f t="shared" ca="1" si="9"/>
        <v>0</v>
      </c>
      <c r="K31">
        <f ca="1">IF(OR($C31="S",$C31=0),0,MATCH(OFFSET($D31,0,$C31)+IF($C31&lt;&gt;1,1,COUNTIF(QCI!$A$13:$A$24,ORÇAMENTO!E31)),OFFSET($D31,1,$C31,ROW($C$36)-ROW($C31)),0))</f>
        <v>0</v>
      </c>
      <c r="L31" s="85" t="str">
        <f t="shared" ca="1" si="10"/>
        <v>F</v>
      </c>
      <c r="M31" s="86" t="s">
        <v>712</v>
      </c>
      <c r="N31" s="87" t="str">
        <f t="shared" ca="1" si="11"/>
        <v>Serviço</v>
      </c>
      <c r="O31" s="88" t="str">
        <f t="shared" ca="1" si="12"/>
        <v>1.5.1.4.</v>
      </c>
      <c r="P31" s="89" t="s">
        <v>757</v>
      </c>
      <c r="Q31" s="90" t="s">
        <v>772</v>
      </c>
      <c r="R31" s="91" t="str">
        <f ca="1">IF($C31="S",REFERENCIA.Descricao,"(digite a descrição aqui)")</f>
        <v>CARGA DE MISTURA ASFÁLTICA EM CAMINHÃO BASCULANTE 10 M³ (UNIDADE: M3). AF_02/2026</v>
      </c>
      <c r="S31" s="92" t="str">
        <f ca="1">REFERENCIA.Unidade</f>
        <v>M3</v>
      </c>
      <c r="T31" s="93">
        <f ca="1">OFFSET(CÁLCULO!H$15,ROW($T31)-ROW(T$15),0)</f>
        <v>1060.92</v>
      </c>
      <c r="U31" s="94">
        <f t="shared" ca="1" si="17"/>
        <v>10.68</v>
      </c>
      <c r="V31" s="95" t="s">
        <v>669</v>
      </c>
      <c r="W31" s="93">
        <f ca="1">IF($C31="S",ROUND(IF(TIPOORCAMENTO="Proposto",ORÇAMENTO.CustoUnitario*(1+$AH31),ORÇAMENTO.PrecoUnitarioLicitado),15-13*$AF$10),0)</f>
        <v>13.18</v>
      </c>
      <c r="X31" s="96">
        <f ca="1">IF($C31="S",IF(OR(Import.TipoArredondamento&lt;&gt;"TransfereGOV",ACOMPANHAMENTO="BM"),VTOTAL1,SUM(OFFSET(CÁLCULO!$AA$15,ROW($X31)-ROW($X$15),1):OFFSET(CÁLCULO!$AL$15,ROW($X31)-ROW($X$15),-1))),IF($C31=0,0,ROUND(SomaAgrup,15-13*$AF$11)))</f>
        <v>13982.93</v>
      </c>
      <c r="Y31" s="97" t="s">
        <v>758</v>
      </c>
      <c r="Z31" t="str">
        <f t="shared" ca="1" si="13"/>
        <v>RA</v>
      </c>
      <c r="AA31" s="98">
        <f ca="1">IF($C31="S",IF($Z31="CP",$X31,IF($Z31="RA",(($X31)*QCI!$AA$3),0)),SomaAgrup)</f>
        <v>544.10150034718561</v>
      </c>
      <c r="AB31" s="99">
        <f t="shared" ca="1" si="14"/>
        <v>0</v>
      </c>
      <c r="AC31" s="477" t="str">
        <f ca="1">IF($N31=""," ",
IF(AND($C31="S",OR($Q31&lt;&gt;0,$T31&gt;0,$U31&gt;0),$P31=0),"FONTE",
IF(AND($C31="S",$P31&lt;&gt;0,OR($T31&gt;0,$U31&gt;0),$Q31=0),"CÓDIGO",
IF(AND(OR($R31="",$R31="(digite a descrição aqui)"),OR($C31&lt;&gt;"S",AND($C31="S",OR($Q31&lt;&gt;0,$T31&gt;0,$U31&gt;0)))),"DESCRIÇÃO",
IF(AND($C31="S",$P31&lt;&gt;0,$Q31&lt;&gt;0,$S31=""),"UNIDADE",
IF(AND($C31="S",$P31&lt;&gt;0,$Q31&lt;&gt;0,$U31=0),"SEM CUSTO",
IF(AND(TIPOORCAMENTO="Licitado",$AL31=0,$AN31&gt;0),"SEM PREÇO",
IF(AND($C31="S",$P31&lt;&gt;0,$Q31&lt;&gt;0,$U31&gt;0,$V31=0),"BDI",
IF(OR(AND(TIPOORCAMENTO="Proposto",$AG31&lt;&gt;"",$AG31&gt;0,ORÇAMENTO.CustoUnitario&gt;$AG31),AND(TIPOORCAMENTO="LICITADO",ORÇAMENTO.PrecoUnitarioLicitado&gt;$AN31)),"ACIMA REF.",
IF(AND($C31="S",$P31&lt;&gt;0,$Q31&lt;&gt;0,$T31=0,$U31&gt;0),"QUANT.",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5" t="str">
        <f ca="1">IF(AND($C31="S",ORÇAMENTO.CodBarra&lt;&gt;""),IF(ORÇAMENTO.Fonte="",ORÇAMENTO.CodBarra,CONCATENATE(ORÇAMENTO.Fonte," ",ORÇAMENTO.CodBarra)))</f>
        <v>SINAPI 100986</v>
      </c>
      <c r="AF31" s="531">
        <f ca="1">IF(ISERROR(INDIRECT(ORÇAMENTO.BancoRef)),"(abra o arquivo 'Referência "&amp;Excel_BuiltIn_Database&amp;".xlsm)",IF(OR($C31&lt;&gt;"S",ORÇAMENTO.CodBarra=""),"(Sem Código)",IF(ISERROR(MATCH($AE31,INDIRECT(ORÇAMENTO.BancoRef),0)),"(Código não identificado nas referências)",MATCH($AE31,INDIRECT(ORÇAMENTO.BancoRef),0))))</f>
        <v>15778</v>
      </c>
      <c r="AG31" s="341">
        <f ca="1">ROUND(IF(DESONERACAO="sim",REFERENCIA.Desonerado,REFERENCIA.NaoDesonerado),2)</f>
        <v>10.68</v>
      </c>
      <c r="AH31" s="342">
        <f t="shared" ca="1" si="15"/>
        <v>0.23380000000000001</v>
      </c>
      <c r="AJ31" s="344">
        <f>[1]VIAS!$M$80</f>
        <v>1060.92</v>
      </c>
      <c r="AL31" s="351"/>
      <c r="AM31" s="260">
        <f t="shared" ca="1" si="0"/>
        <v>13982.93</v>
      </c>
      <c r="AN31" s="381">
        <f t="shared" ca="1" si="16"/>
        <v>13.18</v>
      </c>
    </row>
    <row r="32" spans="1:40" ht="26.4" x14ac:dyDescent="0.3">
      <c r="A32" t="str">
        <f t="shared" si="1"/>
        <v>S</v>
      </c>
      <c r="B32">
        <f t="shared" ca="1" si="2"/>
        <v>3</v>
      </c>
      <c r="C32" t="str">
        <f t="shared" ca="1" si="3"/>
        <v>S</v>
      </c>
      <c r="D32">
        <f t="shared" ca="1" si="4"/>
        <v>0</v>
      </c>
      <c r="E32">
        <f ca="1">IF($C32=1,OFFSET(E32,-1,0)+MAX(1,COUNTIF(QCI!$A$13:$A$24,OFFSET(ORÇAMENTO!E32,-1,0))),OFFSET(E32,-1,0))</f>
        <v>1</v>
      </c>
      <c r="F32">
        <f t="shared" ca="1" si="5"/>
        <v>5</v>
      </c>
      <c r="G32">
        <f t="shared" ca="1" si="6"/>
        <v>1</v>
      </c>
      <c r="H32">
        <f t="shared" ca="1" si="7"/>
        <v>0</v>
      </c>
      <c r="I32">
        <f t="shared" ca="1" si="8"/>
        <v>5</v>
      </c>
      <c r="J32">
        <f t="shared" ca="1" si="9"/>
        <v>0</v>
      </c>
      <c r="K32">
        <f ca="1">IF(OR($C32="S",$C32=0),0,MATCH(OFFSET($D32,0,$C32)+IF($C32&lt;&gt;1,1,COUNTIF(QCI!$A$13:$A$24,ORÇAMENTO!E32)),OFFSET($D32,1,$C32,ROW($C$36)-ROW($C32)),0))</f>
        <v>0</v>
      </c>
      <c r="L32" s="85" t="str">
        <f t="shared" ca="1" si="10"/>
        <v>F</v>
      </c>
      <c r="M32" s="86" t="s">
        <v>712</v>
      </c>
      <c r="N32" s="87" t="str">
        <f t="shared" ca="1" si="11"/>
        <v>Serviço</v>
      </c>
      <c r="O32" s="88" t="str">
        <f t="shared" ca="1" si="12"/>
        <v>1.5.1.5.</v>
      </c>
      <c r="P32" s="89" t="s">
        <v>757</v>
      </c>
      <c r="Q32" s="90" t="s">
        <v>959</v>
      </c>
      <c r="R32" s="91" t="str">
        <f ca="1">IF($C32="S",REFERENCIA.Descricao,"(digite a descrição aqui)")</f>
        <v>TRANSPORTE COM CAMINHÃO BASCULANTE DE 18 M³, EM VIA URBANA PAVIMENTADA, DMT ATÉ 30 KM (UNIDADE: M3XKM). AF_02/2026</v>
      </c>
      <c r="S32" s="92" t="str">
        <f ca="1">REFERENCIA.Unidade</f>
        <v>M3XKM</v>
      </c>
      <c r="T32" s="93">
        <f ca="1">OFFSET(CÁLCULO!H$15,ROW($T32)-ROW(T$15),0)</f>
        <v>31827.599999999999</v>
      </c>
      <c r="U32" s="94">
        <f t="shared" ca="1" si="17"/>
        <v>2.2200000000000002</v>
      </c>
      <c r="V32" s="95" t="s">
        <v>669</v>
      </c>
      <c r="W32" s="93">
        <f ca="1">IF($C32="S",ROUND(IF(TIPOORCAMENTO="Proposto",ORÇAMENTO.CustoUnitario*(1+$AH32),ORÇAMENTO.PrecoUnitarioLicitado),15-13*$AF$10),0)</f>
        <v>2.74</v>
      </c>
      <c r="X32" s="96">
        <f ca="1">IF($C32="S",IF(OR(Import.TipoArredondamento&lt;&gt;"TransfereGOV",ACOMPANHAMENTO="BM"),VTOTAL1,SUM(OFFSET(CÁLCULO!$AA$15,ROW($X32)-ROW($X$15),1):OFFSET(CÁLCULO!$AL$15,ROW($X32)-ROW($X$15),-1))),IF($C32=0,0,ROUND(SomaAgrup,15-13*$AF$11)))</f>
        <v>87207.62</v>
      </c>
      <c r="Y32" s="97" t="s">
        <v>758</v>
      </c>
      <c r="Z32" t="str">
        <f t="shared" ca="1" si="13"/>
        <v>RA</v>
      </c>
      <c r="AA32" s="98">
        <f ca="1">IF($C32="S",IF($Z32="CP",$X32,IF($Z32="RA",(($X32)*QCI!$AA$3),0)),SomaAgrup)</f>
        <v>3393.4087407794527</v>
      </c>
      <c r="AB32" s="99">
        <f t="shared" ca="1" si="14"/>
        <v>0</v>
      </c>
      <c r="AC32" s="477" t="str">
        <f ca="1">IF($N32=""," ",
IF(AND($C32="S",OR($Q32&lt;&gt;0,$T32&gt;0,$U32&gt;0),$P32=0),"FONTE",
IF(AND($C32="S",$P32&lt;&gt;0,OR($T32&gt;0,$U32&gt;0),$Q32=0),"CÓDIGO",
IF(AND(OR($R32="",$R32="(digite a descrição aqui)"),OR($C32&lt;&gt;"S",AND($C32="S",OR($Q32&lt;&gt;0,$T32&gt;0,$U32&gt;0)))),"DESCRIÇÃO",
IF(AND($C32="S",$P32&lt;&gt;0,$Q32&lt;&gt;0,$S32=""),"UNIDADE",
IF(AND($C32="S",$P32&lt;&gt;0,$Q32&lt;&gt;0,$U32=0),"SEM CUSTO",
IF(AND(TIPOORCAMENTO="Licitado",$AL32=0,$AN32&gt;0),"SEM PREÇO",
IF(AND($C32="S",$P32&lt;&gt;0,$Q32&lt;&gt;0,$U32&gt;0,$V32=0),"BDI",
IF(OR(AND(TIPOORCAMENTO="Proposto",$AG32&lt;&gt;"",$AG32&gt;0,ORÇAMENTO.CustoUnitario&gt;$AG32),AND(TIPOORCAMENTO="LICITADO",ORÇAMENTO.PrecoUnitarioLicitado&gt;$AN32)),"ACIMA REF.",
IF(AND($C32="S",$P32&lt;&gt;0,$Q32&lt;&gt;0,$T32=0,$U32&gt;0),"QUANT.",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5" t="str">
        <f ca="1">IF(AND($C32="S",ORÇAMENTO.CodBarra&lt;&gt;""),IF(ORÇAMENTO.Fonte="",ORÇAMENTO.CodBarra,CONCATENATE(ORÇAMENTO.Fonte," ",ORÇAMENTO.CodBarra)))</f>
        <v>SINAPI 95877</v>
      </c>
      <c r="AF32" s="531">
        <f ca="1">IF(ISERROR(INDIRECT(ORÇAMENTO.BancoRef)),"(abra o arquivo 'Referência "&amp;Excel_BuiltIn_Database&amp;".xlsm)",IF(OR($C32&lt;&gt;"S",ORÇAMENTO.CodBarra=""),"(Sem Código)",IF(ISERROR(MATCH($AE32,INDIRECT(ORÇAMENTO.BancoRef),0)),"(Código não identificado nas referências)",MATCH($AE32,INDIRECT(ORÇAMENTO.BancoRef),0))))</f>
        <v>15935</v>
      </c>
      <c r="AG32" s="341">
        <f ca="1">ROUND(IF(DESONERACAO="sim",REFERENCIA.Desonerado,REFERENCIA.NaoDesonerado),2)</f>
        <v>2.2200000000000002</v>
      </c>
      <c r="AH32" s="342">
        <f t="shared" ca="1" si="15"/>
        <v>0.23380000000000001</v>
      </c>
      <c r="AJ32" s="344">
        <f>[1]VIAS!$M$96</f>
        <v>31827.599999999999</v>
      </c>
      <c r="AL32" s="351"/>
      <c r="AM32" s="260">
        <f t="shared" ca="1" si="0"/>
        <v>87207.62</v>
      </c>
      <c r="AN32" s="381">
        <f t="shared" ca="1" si="16"/>
        <v>2.74</v>
      </c>
    </row>
    <row r="33" spans="1:40" ht="39.6" x14ac:dyDescent="0.3">
      <c r="A33" t="str">
        <f>CHOOSE(1+LOG(1+2*(ORÇAMENTO.Nivel="Meta")+4*(ORÇAMENTO.Nivel="Nível 2")+8*(ORÇAMENTO.Nivel="Nível 3")+16*(ORÇAMENTO.Nivel="Nível 4")+32*(ORÇAMENTO.Nivel="Serviço"),2),0,1,2,3,4,"S")</f>
        <v>S</v>
      </c>
      <c r="B33">
        <f ca="1">IF(OR(C33="s",C33=0),OFFSET(B33,-1,0),C33)</f>
        <v>3</v>
      </c>
      <c r="C33" t="str">
        <f ca="1">IF(OFFSET(C33,-1,0)="L",1,IF(OFFSET(C33,-1,0)=1,2,IF(OR(A33="s",A33=0),"S",IF(AND(OFFSET(C33,-1,0)=2,A33=4),3,IF(AND(OR(OFFSET(C33,-1,0)="s",OFFSET(C33,-1,0)=0),A33&lt;&gt;"s",A33&gt;OFFSET(B33,-1,0)),OFFSET(B33,-1,0),A33)))))</f>
        <v>S</v>
      </c>
      <c r="D33">
        <f ca="1">IF(OR(C33="S",C33=0),0,IF(ISERROR(K33),J33,SMALL(J33:K33,1)))</f>
        <v>0</v>
      </c>
      <c r="E33">
        <f ca="1">IF($C33=1,OFFSET(E33,-1,0)+MAX(1,COUNTIF(QCI!$A$13:$A$24,OFFSET(ORÇAMENTO!E33,-1,0))),OFFSET(E33,-1,0))</f>
        <v>1</v>
      </c>
      <c r="F33">
        <f ca="1">IF($C33=1,0,IF($C33=2,OFFSET(F33,-1,0)+1,OFFSET(F33,-1,0)))</f>
        <v>5</v>
      </c>
      <c r="G33">
        <f ca="1">IF(AND($C33&lt;=2,$C33&lt;&gt;0),0,IF($C33=3,OFFSET(G33,-1,0)+1,OFFSET(G33,-1,0)))</f>
        <v>1</v>
      </c>
      <c r="H33">
        <f ca="1">IF(AND($C33&lt;=3,$C33&lt;&gt;0),0,IF($C33=4,OFFSET(H33,-1,0)+1,OFFSET(H33,-1,0)))</f>
        <v>0</v>
      </c>
      <c r="I33">
        <f ca="1">IF(AND($C33&lt;=4,$C33&lt;&gt;0),0,IF(AND($C33="S",$X33&gt;0),OFFSET(I33,-1,0)+1,OFFSET(I33,-1,0)))</f>
        <v>6</v>
      </c>
      <c r="J33">
        <f t="shared" ca="1" si="9"/>
        <v>0</v>
      </c>
      <c r="K33">
        <f ca="1">IF(OR($C33="S",$C33=0),0,MATCH(OFFSET($D33,0,$C33)+IF($C33&lt;&gt;1,1,COUNTIF(QCI!$A$13:$A$24,ORÇAMENTO!E33)),OFFSET($D33,1,$C33,ROW($C$36)-ROW($C33)),0))</f>
        <v>0</v>
      </c>
      <c r="L33" s="85" t="str">
        <f ca="1">IF(OR($X33&gt;0,$C33=1,$C33=2,$C33=3,$C33=4),"F","")</f>
        <v>F</v>
      </c>
      <c r="M33" s="86" t="s">
        <v>712</v>
      </c>
      <c r="N33" s="87" t="str">
        <f ca="1">CHOOSE(1+LOG(1+2*(C33=1)+4*(C33=2)+8*(C33=3)+16*(C33=4)+32*(C33="S"),2),"","Meta","Nível 2","Nível 3","Nível 4","Serviço")</f>
        <v>Serviço</v>
      </c>
      <c r="O33" s="88" t="str">
        <f ca="1">IF(OR($C33=0,$L33=""),"-",CONCATENATE(E33&amp;".",IF(AND($A$5&gt;=2,$C33&gt;=2),F33&amp;".",""),IF(AND($A$5&gt;=3,$C33&gt;=3),G33&amp;".",""),IF(AND($A$5&gt;=4,$C33&gt;=4),H33&amp;".",""),IF($C33="S",I33&amp;".","")))</f>
        <v>1.5.1.6.</v>
      </c>
      <c r="P33" s="89" t="s">
        <v>757</v>
      </c>
      <c r="Q33" s="90" t="s">
        <v>960</v>
      </c>
      <c r="R33" s="91" t="str">
        <f ca="1">IF($C33="S",REFERENCIA.Descricao,"(digite a descrição aqui)")</f>
        <v>TRANSPORTE COM CAMINHÃO BASCULANTE DE 18 M³, EM VIA URBANA PAVIMENTADA, ADICIONAL PARA DMT EXCEDENTE A 30 KM (UNIDADE: M3XKM). AF_02/2026</v>
      </c>
      <c r="S33" s="92" t="str">
        <f ca="1">REFERENCIA.Unidade</f>
        <v>M3XKM</v>
      </c>
      <c r="T33" s="93">
        <f ca="1">OFFSET(CÁLCULO!H$15,ROW($T33)-ROW(T$15),0)</f>
        <v>168686.28</v>
      </c>
      <c r="U33" s="94">
        <f t="shared" ca="1" si="17"/>
        <v>0.84</v>
      </c>
      <c r="V33" s="95" t="s">
        <v>669</v>
      </c>
      <c r="W33" s="93">
        <f ca="1">IF($C33="S",ROUND(IF(TIPOORCAMENTO="Proposto",ORÇAMENTO.CustoUnitario*(1+$AH33),ORÇAMENTO.PrecoUnitarioLicitado),15-13*$AF$10),0)</f>
        <v>1.04</v>
      </c>
      <c r="X33" s="96">
        <f ca="1">IF($C33="S",IF(OR(Import.TipoArredondamento&lt;&gt;"TransfereGOV",ACOMPANHAMENTO="BM"),VTOTAL1,SUM(OFFSET(CÁLCULO!$AA$15,ROW($X33)-ROW($X$15),1):OFFSET(CÁLCULO!$AL$15,ROW($X33)-ROW($X$15),-1))),IF($C33=0,0,ROUND(SomaAgrup,15-13*$AF$11)))</f>
        <v>175433.73</v>
      </c>
      <c r="Y33" s="97" t="s">
        <v>758</v>
      </c>
      <c r="Z33" t="str">
        <f ca="1">IF(AND($C33="S",$X33&gt;0),IF(ISBLANK($Y33),"RA",LEFT($Y33,2)),"")</f>
        <v>RA</v>
      </c>
      <c r="AA33" s="98">
        <f ca="1">IF($C33="S",IF($Z33="CP",$X33,IF($Z33="RA",(($X33)*QCI!$AA$3),0)),SomaAgrup)</f>
        <v>6826.4487989643858</v>
      </c>
      <c r="AB33" s="99">
        <f ca="1">IF($C33="S",IF($Z33="OU",ROUND($X33,2),0),SomaAgrup)</f>
        <v>0</v>
      </c>
      <c r="AC33" s="477" t="str">
        <f ca="1">IF($N33=""," ",
IF(AND($C33="S",OR($Q33&lt;&gt;0,$T33&gt;0,$U33&gt;0),$P33=0),"FONTE",
IF(AND($C33="S",$P33&lt;&gt;0,OR($T33&gt;0,$U33&gt;0),$Q33=0),"CÓDIGO",
IF(AND(OR($R33="",$R33="(digite a descrição aqui)"),OR($C33&lt;&gt;"S",AND($C33="S",OR($Q33&lt;&gt;0,$T33&gt;0,$U33&gt;0)))),"DESCRIÇÃO",
IF(AND($C33="S",$P33&lt;&gt;0,$Q33&lt;&gt;0,$S33=""),"UNIDADE",
IF(AND($C33="S",$P33&lt;&gt;0,$Q33&lt;&gt;0,$U33=0),"SEM CUSTO",
IF(AND(TIPOORCAMENTO="Licitado",$AL33=0,$AN33&gt;0),"SEM PREÇO",
IF(AND($C33="S",$P33&lt;&gt;0,$Q33&lt;&gt;0,$U33&gt;0,$V33=0),"BDI",
IF(OR(AND(TIPOORCAMENTO="Proposto",$AG33&lt;&gt;"",$AG33&gt;0,ORÇAMENTO.CustoUnitario&gt;$AG33),AND(TIPOORCAMENTO="LICITADO",ORÇAMENTO.PrecoUnitarioLicitado&gt;$AN33)),"ACIMA REF.",
IF(AND($C33="S",$P33&lt;&gt;0,$Q33&lt;&gt;0,$T33=0,$U33&gt;0),"QUANT.",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5" t="str">
        <f ca="1">IF(AND($C33="S",ORÇAMENTO.CodBarra&lt;&gt;""),IF(ORÇAMENTO.Fonte="",ORÇAMENTO.CodBarra,CONCATENATE(ORÇAMENTO.Fonte," ",ORÇAMENTO.CodBarra)))</f>
        <v>SINAPI 95427</v>
      </c>
      <c r="AF33" s="531">
        <f ca="1">IF(ISERROR(INDIRECT(ORÇAMENTO.BancoRef)),"(abra o arquivo 'Referência "&amp;Excel_BuiltIn_Database&amp;".xlsm)",IF(OR($C33&lt;&gt;"S",ORÇAMENTO.CodBarra=""),"(Sem Código)",IF(ISERROR(MATCH($AE33,INDIRECT(ORÇAMENTO.BancoRef),0)),"(Código não identificado nas referências)",MATCH($AE33,INDIRECT(ORÇAMENTO.BancoRef),0))))</f>
        <v>15933</v>
      </c>
      <c r="AG33" s="341">
        <f ca="1">ROUND(IF(DESONERACAO="sim",REFERENCIA.Desonerado,REFERENCIA.NaoDesonerado),2)</f>
        <v>0.84</v>
      </c>
      <c r="AH33" s="342">
        <f ca="1">ROUND(IF(ISNUMBER(ORÇAMENTO.OpcaoBDI),ORÇAMENTO.OpcaoBDI,IF(LEFT(ORÇAMENTO.OpcaoBDI,3)="BDI",HLOOKUP(ORÇAMENTO.OpcaoBDI,$F$4:$H$5,2,FALSE),0)),15-11*$AF$9)</f>
        <v>0.23380000000000001</v>
      </c>
      <c r="AJ33" s="344">
        <f>[1]VIAS!$M$112</f>
        <v>168686.28</v>
      </c>
      <c r="AL33" s="351"/>
      <c r="AM33" s="260">
        <f t="shared" ca="1" si="0"/>
        <v>175433.73</v>
      </c>
      <c r="AN33" s="381">
        <f ca="1">ROUND(ORÇAMENTO.CustoUnitario*(1+$AH33),2)</f>
        <v>1.04</v>
      </c>
    </row>
    <row r="34" spans="1:40" ht="13.8" x14ac:dyDescent="0.3">
      <c r="A34">
        <f t="shared" si="1"/>
        <v>3</v>
      </c>
      <c r="B34">
        <f t="shared" ca="1" si="2"/>
        <v>3</v>
      </c>
      <c r="C34">
        <f t="shared" ca="1" si="3"/>
        <v>3</v>
      </c>
      <c r="D34">
        <f t="shared" ca="1" si="4"/>
        <v>2</v>
      </c>
      <c r="E34">
        <f ca="1">IF($C34=1,OFFSET(E34,-1,0)+MAX(1,COUNTIF(QCI!$A$13:$A$24,OFFSET(ORÇAMENTO!E34,-1,0))),OFFSET(E34,-1,0))</f>
        <v>1</v>
      </c>
      <c r="F34">
        <f t="shared" ca="1" si="5"/>
        <v>5</v>
      </c>
      <c r="G34">
        <f t="shared" ca="1" si="6"/>
        <v>2</v>
      </c>
      <c r="H34">
        <f t="shared" ca="1" si="7"/>
        <v>0</v>
      </c>
      <c r="I34">
        <f t="shared" ca="1" si="8"/>
        <v>0</v>
      </c>
      <c r="J34">
        <f t="shared" ca="1" si="9"/>
        <v>2</v>
      </c>
      <c r="K34" t="e">
        <f ca="1">IF(OR($C34="S",$C34=0),0,MATCH(OFFSET($D34,0,$C34)+IF($C34&lt;&gt;1,1,COUNTIF(QCI!$A$13:$A$24,ORÇAMENTO!E34)),OFFSET($D34,1,$C34,ROW($C$36)-ROW($C34)),0))</f>
        <v>#N/A</v>
      </c>
      <c r="L34" s="85" t="str">
        <f t="shared" ca="1" si="10"/>
        <v>F</v>
      </c>
      <c r="M34" s="86" t="s">
        <v>710</v>
      </c>
      <c r="N34" s="87" t="str">
        <f t="shared" ca="1" si="11"/>
        <v>Nível 3</v>
      </c>
      <c r="O34" s="88" t="str">
        <f t="shared" ca="1" si="12"/>
        <v>1.5.2.</v>
      </c>
      <c r="P34" s="89" t="s">
        <v>757</v>
      </c>
      <c r="Q34" s="90"/>
      <c r="R34" s="91" t="s">
        <v>773</v>
      </c>
      <c r="S34" s="92" t="str">
        <f ca="1">REFERENCIA.Unidade</f>
        <v>-</v>
      </c>
      <c r="T34" s="93">
        <f ca="1">OFFSET(CÁLCULO!H$15,ROW($T34)-ROW(T$15),0)</f>
        <v>0</v>
      </c>
      <c r="U34" s="94"/>
      <c r="V34" s="95" t="s">
        <v>669</v>
      </c>
      <c r="W34" s="93">
        <f ca="1">IF($C34="S",ROUND(IF(TIPOORCAMENTO="Proposto",ORÇAMENTO.CustoUnitario*(1+$AH34),ORÇAMENTO.PrecoUnitarioLicitado),15-13*$AF$10),0)</f>
        <v>0</v>
      </c>
      <c r="X34" s="96">
        <f ca="1">IF($C34="S",IF(OR(Import.TipoArredondamento&lt;&gt;"TransfereGOV",ACOMPANHAMENTO="BM"),VTOTAL1,SUM(OFFSET(CÁLCULO!$AA$15,ROW($X34)-ROW($X$15),1):OFFSET(CÁLCULO!$AL$15,ROW($X34)-ROW($X$15),-1))),IF($C34=0,0,ROUND(SomaAgrup,15-13*$AF$11)))</f>
        <v>773425.8</v>
      </c>
      <c r="Y34" s="97" t="s">
        <v>758</v>
      </c>
      <c r="Z34" t="str">
        <f t="shared" ca="1" si="13"/>
        <v/>
      </c>
      <c r="AA34" s="98">
        <f ca="1">IF($C34="S",IF($Z34="CP",$X34,IF($Z34="RA",(($X34)*QCI!$AA$3),0)),SomaAgrup)</f>
        <v>30095.419070768599</v>
      </c>
      <c r="AB34" s="99">
        <f t="shared" ca="1" si="14"/>
        <v>0</v>
      </c>
      <c r="AC34" s="477" t="str">
        <f ca="1">IF($N34=""," ",
IF(AND($C34="S",OR($Q34&lt;&gt;0,$T34&gt;0,$U34&gt;0),$P34=0),"FONTE",
IF(AND($C34="S",$P34&lt;&gt;0,OR($T34&gt;0,$U34&gt;0),$Q34=0),"CÓDIGO",
IF(AND(OR($R34="",$R34="(digite a descrição aqui)"),OR($C34&lt;&gt;"S",AND($C34="S",OR($Q34&lt;&gt;0,$T34&gt;0,$U34&gt;0)))),"DESCRIÇÃO",
IF(AND($C34="S",$P34&lt;&gt;0,$Q34&lt;&gt;0,$S34=""),"UNIDADE",
IF(AND($C34="S",$P34&lt;&gt;0,$Q34&lt;&gt;0,$U34=0),"SEM CUSTO",
IF(AND(TIPOORCAMENTO="Licitado",$AL34=0,$AN34&gt;0),"SEM PREÇO",
IF(AND($C34="S",$P34&lt;&gt;0,$Q34&lt;&gt;0,$U34&gt;0,$V34=0),"BDI",
IF(OR(AND(TIPOORCAMENTO="Proposto",$AG34&lt;&gt;"",$AG34&gt;0,ORÇAMENTO.CustoUnitario&gt;$AG34),AND(TIPOORCAMENTO="LICITADO",ORÇAMENTO.PrecoUnitarioLicitado&gt;$AN34)),"ACIMA REF.",
IF(AND($C34="S",$P34&lt;&gt;0,$Q34&lt;&gt;0,$T34=0,$U34&gt;0),"QUANT.",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f ca="1">IF(C34&lt;=CRONO.NivelExibicao,MAX($AD$15:OFFSET(AD34,-1,0))+IF($C34&lt;&gt;1,1,MAX(1,COUNTIF(QCI!$A$13:$A$24,OFFSET($E34,-1,0)))),"")</f>
        <v>8</v>
      </c>
      <c r="AE34" s="5" t="b">
        <f ca="1">IF(AND($C34="S",ORÇAMENTO.CodBarra&lt;&gt;""),IF(ORÇAMENTO.Fonte="",ORÇAMENTO.CodBarra,CONCATENATE(ORÇAMENTO.Fonte," ",ORÇAMENTO.CodBarra)))</f>
        <v>0</v>
      </c>
      <c r="AF34" s="531" t="str">
        <f ca="1">IF(ISERROR(INDIRECT(ORÇAMENTO.BancoRef)),"(abra o arquivo 'Referência "&amp;Excel_BuiltIn_Database&amp;".xlsm)",IF(OR($C34&lt;&gt;"S",ORÇAMENTO.CodBarra=""),"(Sem Código)",IF(ISERROR(MATCH($AE34,INDIRECT(ORÇAMENTO.BancoRef),0)),"(Código não identificado nas referências)",MATCH($AE34,INDIRECT(ORÇAMENTO.BancoRef),0))))</f>
        <v>(Sem Código)</v>
      </c>
      <c r="AG34" s="341">
        <f ca="1">ROUND(IF(DESONERACAO="sim",REFERENCIA.Desonerado,REFERENCIA.NaoDesonerado),2)</f>
        <v>0</v>
      </c>
      <c r="AH34" s="342">
        <f t="shared" ca="1" si="15"/>
        <v>0.23380000000000001</v>
      </c>
      <c r="AJ34" s="344"/>
      <c r="AL34" s="351"/>
      <c r="AM34" s="260">
        <f t="shared" ca="1" si="0"/>
        <v>773425.8</v>
      </c>
      <c r="AN34" s="381">
        <f t="shared" ca="1" si="16"/>
        <v>0</v>
      </c>
    </row>
    <row r="35" spans="1:40" ht="52.8" x14ac:dyDescent="0.3">
      <c r="A35" t="str">
        <f t="shared" si="1"/>
        <v>S</v>
      </c>
      <c r="B35">
        <f t="shared" ca="1" si="2"/>
        <v>3</v>
      </c>
      <c r="C35" t="str">
        <f t="shared" ca="1" si="3"/>
        <v>S</v>
      </c>
      <c r="D35">
        <f t="shared" ca="1" si="4"/>
        <v>0</v>
      </c>
      <c r="E35">
        <f ca="1">IF($C35=1,OFFSET(E35,-1,0)+MAX(1,COUNTIF(QCI!$A$13:$A$24,OFFSET(ORÇAMENTO!E35,-1,0))),OFFSET(E35,-1,0))</f>
        <v>1</v>
      </c>
      <c r="F35">
        <f t="shared" ca="1" si="5"/>
        <v>5</v>
      </c>
      <c r="G35">
        <f t="shared" ca="1" si="6"/>
        <v>2</v>
      </c>
      <c r="H35">
        <f t="shared" ca="1" si="7"/>
        <v>0</v>
      </c>
      <c r="I35">
        <f t="shared" ca="1" si="8"/>
        <v>1</v>
      </c>
      <c r="J35">
        <f t="shared" ca="1" si="9"/>
        <v>0</v>
      </c>
      <c r="K35">
        <f ca="1">IF(OR($C35="S",$C35=0),0,MATCH(OFFSET($D35,0,$C35)+IF($C35&lt;&gt;1,1,COUNTIF(QCI!$A$13:$A$24,ORÇAMENTO!E35)),OFFSET($D35,1,$C35,ROW($C$36)-ROW($C35)),0))</f>
        <v>0</v>
      </c>
      <c r="L35" s="85" t="str">
        <f t="shared" ca="1" si="10"/>
        <v>F</v>
      </c>
      <c r="M35" s="86" t="s">
        <v>712</v>
      </c>
      <c r="N35" s="87" t="str">
        <f t="shared" ca="1" si="11"/>
        <v>Serviço</v>
      </c>
      <c r="O35" s="88" t="str">
        <f t="shared" ca="1" si="12"/>
        <v>1.5.2.1.</v>
      </c>
      <c r="P35" s="89" t="s">
        <v>757</v>
      </c>
      <c r="Q35" s="90" t="s">
        <v>774</v>
      </c>
      <c r="R35" s="91" t="str">
        <f ca="1">IF($C35="S",REFERENCIA.Descricao,"(digite a descrição aqui)")</f>
        <v>GUIA (MEIO-FIO) E SARJETA CONJUGADOS DE CONCRETO, MOLDADA IN LOCO EM TRECHO RETO COM EXTRUSORA, 45 CM BASE (15 CM BASE DA GUIA + 30 CM BASE DA SARJETA) X 22 CM ALTURA. AF_01/2024</v>
      </c>
      <c r="S35" s="92" t="str">
        <f ca="1">REFERENCIA.Unidade</f>
        <v>M</v>
      </c>
      <c r="T35" s="93">
        <f ca="1">OFFSET(CÁLCULO!H$15,ROW($T35)-ROW(T$15),0)</f>
        <v>8532</v>
      </c>
      <c r="U35" s="94">
        <f ca="1">AG35</f>
        <v>73.47</v>
      </c>
      <c r="V35" s="95" t="s">
        <v>669</v>
      </c>
      <c r="W35" s="93">
        <f ca="1">IF($C35="S",ROUND(IF(TIPOORCAMENTO="Proposto",ORÇAMENTO.CustoUnitario*(1+$AH35),ORÇAMENTO.PrecoUnitarioLicitado),15-13*$AF$10),0)</f>
        <v>90.65</v>
      </c>
      <c r="X35" s="96">
        <f ca="1">IF($C35="S",IF(OR(Import.TipoArredondamento&lt;&gt;"TransfereGOV",ACOMPANHAMENTO="BM"),VTOTAL1,SUM(OFFSET(CÁLCULO!$AA$15,ROW($X35)-ROW($X$15),1):OFFSET(CÁLCULO!$AL$15,ROW($X35)-ROW($X$15),-1))),IF($C35=0,0,ROUND(SomaAgrup,15-13*$AF$11)))</f>
        <v>773425.8</v>
      </c>
      <c r="Y35" s="97" t="s">
        <v>758</v>
      </c>
      <c r="Z35" t="str">
        <f t="shared" ca="1" si="13"/>
        <v>RA</v>
      </c>
      <c r="AA35" s="98">
        <f ca="1">IF($C35="S",IF($Z35="CP",$X35,IF($Z35="RA",(($X35)*QCI!$AA$3),0)),SomaAgrup)</f>
        <v>30095.419070768599</v>
      </c>
      <c r="AB35" s="99">
        <f t="shared" ca="1" si="14"/>
        <v>0</v>
      </c>
      <c r="AC35" s="477" t="str">
        <f ca="1">IF($N35=""," ",
IF(AND($C35="S",OR($Q35&lt;&gt;0,$T35&gt;0,$U35&gt;0),$P35=0),"FONTE",
IF(AND($C35="S",$P35&lt;&gt;0,OR($T35&gt;0,$U35&gt;0),$Q35=0),"CÓDIGO",
IF(AND(OR($R35="",$R35="(digite a descrição aqui)"),OR($C35&lt;&gt;"S",AND($C35="S",OR($Q35&lt;&gt;0,$T35&gt;0,$U35&gt;0)))),"DESCRIÇÃO",
IF(AND($C35="S",$P35&lt;&gt;0,$Q35&lt;&gt;0,$S35=""),"UNIDADE",
IF(AND($C35="S",$P35&lt;&gt;0,$Q35&lt;&gt;0,$U35=0),"SEM CUSTO",
IF(AND(TIPOORCAMENTO="Licitado",$AL35=0,$AN35&gt;0),"SEM PREÇO",
IF(AND($C35="S",$P35&lt;&gt;0,$Q35&lt;&gt;0,$U35&gt;0,$V35=0),"BDI",
IF(OR(AND(TIPOORCAMENTO="Proposto",$AG35&lt;&gt;"",$AG35&gt;0,ORÇAMENTO.CustoUnitario&gt;$AG35),AND(TIPOORCAMENTO="LICITADO",ORÇAMENTO.PrecoUnitarioLicitado&gt;$AN35)),"ACIMA REF.",
IF(AND($C35="S",$P35&lt;&gt;0,$Q35&lt;&gt;0,$T35=0,$U35&gt;0),"QUANT.",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5" t="str">
        <f ca="1">IF(AND($C35="S",ORÇAMENTO.CodBarra&lt;&gt;""),IF(ORÇAMENTO.Fonte="",ORÇAMENTO.CodBarra,CONCATENATE(ORÇAMENTO.Fonte," ",ORÇAMENTO.CodBarra)))</f>
        <v>SINAPI 94267</v>
      </c>
      <c r="AF35" s="531">
        <f ca="1">IF(ISERROR(INDIRECT(ORÇAMENTO.BancoRef)),"(abra o arquivo 'Referência "&amp;Excel_BuiltIn_Database&amp;".xlsm)",IF(OR($C35&lt;&gt;"S",ORÇAMENTO.CodBarra=""),"(Sem Código)",IF(ISERROR(MATCH($AE35,INDIRECT(ORÇAMENTO.BancoRef),0)),"(Código não identificado nas referências)",MATCH($AE35,INDIRECT(ORÇAMENTO.BancoRef),0))))</f>
        <v>10529</v>
      </c>
      <c r="AG35" s="341">
        <f ca="1">ROUND(IF(DESONERACAO="sim",REFERENCIA.Desonerado,REFERENCIA.NaoDesonerado),2)</f>
        <v>73.47</v>
      </c>
      <c r="AH35" s="342">
        <f t="shared" ca="1" si="15"/>
        <v>0.23380000000000001</v>
      </c>
      <c r="AJ35" s="344">
        <f>[1]VIAS!$M$130</f>
        <v>8532</v>
      </c>
      <c r="AL35" s="351"/>
      <c r="AM35" s="260">
        <f t="shared" ca="1" si="0"/>
        <v>773425.8</v>
      </c>
      <c r="AN35" s="381">
        <f t="shared" ca="1" si="16"/>
        <v>90.65</v>
      </c>
    </row>
    <row r="36" spans="1:40" ht="5.0999999999999996" customHeight="1" x14ac:dyDescent="0.3">
      <c r="A36">
        <v>-1</v>
      </c>
      <c r="C36">
        <v>-1</v>
      </c>
      <c r="E36">
        <v>0</v>
      </c>
      <c r="F36">
        <v>0</v>
      </c>
      <c r="G36">
        <v>0</v>
      </c>
      <c r="H36">
        <v>0</v>
      </c>
      <c r="I36">
        <v>0</v>
      </c>
      <c r="L36" s="85" t="s">
        <v>542</v>
      </c>
      <c r="M36" s="577"/>
      <c r="N36" s="578"/>
      <c r="O36" s="577"/>
      <c r="P36" s="579"/>
      <c r="Q36" s="579"/>
      <c r="R36" s="579"/>
      <c r="S36" s="579"/>
      <c r="T36" s="579"/>
      <c r="U36" s="579"/>
      <c r="V36" s="579"/>
      <c r="W36" s="579"/>
      <c r="X36" s="578"/>
      <c r="Y36" s="578"/>
      <c r="AC36" s="477" t="str">
        <f>IF($N36=""," ",
IF(AND($C36="S",OR($Q36&lt;&gt;0,$T36&gt;0,$U36&gt;0),$P36=0),"FONTE",
IF(AND($C36="S",$P36&lt;&gt;0,OR($T36&gt;0,$U36&gt;0),$Q36=0),"CÓDIGO",
IF(AND(OR($R36="",$R36="(digite a descrição aqui)"),OR($C36&lt;&gt;"S",AND($C36="S",OR($Q36&lt;&gt;0,$T36&gt;0,$U36&gt;0)))),"DESCRIÇÃO",
IF(AND($C36="S",$P36&lt;&gt;0,$Q36&lt;&gt;0,$S36=""),"UNIDADE",
IF(AND($C36="S",$P36&lt;&gt;0,$Q36&lt;&gt;0,$U36=0),"SEM CUSTO",
IF(AND(TIPOORCAMENTO="Licitado",$AL36=0,$AN36&gt;0),"SEM PREÇO",
IF(AND($C36="S",$P36&lt;&gt;0,$Q36&lt;&gt;0,$U36&gt;0,$V36=0),"BDI",
IF(OR(AND(TIPOORCAMENTO="Proposto",$AG36&lt;&gt;"",$AG36&gt;0,ORÇAMENTO.CustoUnitario&gt;$AG36),AND(TIPOORCAMENTO="LICITADO",ORÇAMENTO.PrecoUnitarioLicitado&gt;$AN36)),"ACIMA REF.",
IF(AND($C36="S",$P36&lt;&gt;0,$Q36&lt;&gt;0,$T36=0,$U36&gt;0),"QUANT.",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G36" s="580"/>
      <c r="AH36" s="581"/>
      <c r="AJ36" s="582"/>
      <c r="AL36" s="580"/>
      <c r="AM36" s="583"/>
      <c r="AN36" s="581"/>
    </row>
    <row r="39" spans="1:40" ht="13.8" x14ac:dyDescent="0.25">
      <c r="O39" s="102" t="s">
        <v>776</v>
      </c>
      <c r="Q39" s="710" t="s">
        <v>777</v>
      </c>
      <c r="R39" s="710"/>
      <c r="S39" s="710"/>
      <c r="T39" s="710"/>
      <c r="U39" s="710"/>
      <c r="V39" s="710"/>
      <c r="W39" s="710"/>
      <c r="X39" s="710"/>
    </row>
    <row r="41" spans="1:40" ht="13.8" x14ac:dyDescent="0.25">
      <c r="O41" s="103" t="s">
        <v>696</v>
      </c>
      <c r="X41" s="2"/>
    </row>
    <row r="42" spans="1:40" ht="12.75" customHeight="1" x14ac:dyDescent="0.25">
      <c r="O42" s="711"/>
      <c r="P42" s="711"/>
      <c r="Q42" s="711"/>
      <c r="R42" s="711"/>
      <c r="S42" s="711"/>
      <c r="T42" s="711"/>
      <c r="U42" s="711"/>
      <c r="V42" s="711"/>
      <c r="W42" s="711"/>
      <c r="X42" s="711"/>
    </row>
    <row r="43" spans="1:40" x14ac:dyDescent="0.25">
      <c r="O43" s="711"/>
      <c r="P43" s="711"/>
      <c r="Q43" s="711"/>
      <c r="R43" s="711"/>
      <c r="S43" s="711"/>
      <c r="T43" s="711"/>
      <c r="U43" s="711"/>
      <c r="V43" s="711"/>
      <c r="W43" s="711"/>
      <c r="X43" s="711"/>
    </row>
    <row r="44" spans="1:40" x14ac:dyDescent="0.25">
      <c r="O44" s="711"/>
      <c r="P44" s="711"/>
      <c r="Q44" s="711"/>
      <c r="R44" s="711"/>
      <c r="S44" s="711"/>
      <c r="T44" s="711"/>
      <c r="U44" s="711"/>
      <c r="V44" s="711"/>
      <c r="W44" s="711"/>
      <c r="X44" s="711"/>
    </row>
    <row r="45" spans="1:40" ht="13.8" x14ac:dyDescent="0.25">
      <c r="O45" s="355"/>
      <c r="P45" s="355"/>
      <c r="Q45" s="355"/>
      <c r="R45" s="355"/>
      <c r="S45" s="355"/>
      <c r="T45" s="355"/>
      <c r="U45" s="355"/>
      <c r="V45" s="355"/>
      <c r="W45" s="355"/>
      <c r="X45" s="355"/>
      <c r="Y45" s="355"/>
      <c r="Z45" s="104"/>
      <c r="AA45" s="104"/>
      <c r="AB45" s="104"/>
    </row>
    <row r="46" spans="1:40" ht="13.8" x14ac:dyDescent="0.25">
      <c r="O46" s="71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46" s="712"/>
      <c r="Q46" s="712"/>
      <c r="R46" s="712"/>
      <c r="S46" s="712"/>
      <c r="T46" s="712"/>
      <c r="U46" s="712"/>
      <c r="V46" s="712"/>
      <c r="W46" s="712"/>
      <c r="X46" s="712"/>
      <c r="Y46" s="105"/>
      <c r="Z46" s="105"/>
      <c r="AA46" s="105"/>
      <c r="AB46" s="105"/>
    </row>
    <row r="47" spans="1:40" ht="15" customHeight="1" x14ac:dyDescent="0.25">
      <c r="O47" s="714" t="s">
        <v>778</v>
      </c>
      <c r="P47" s="714"/>
      <c r="Q47" s="714"/>
      <c r="R47" s="714"/>
      <c r="S47" s="714"/>
      <c r="T47" s="714"/>
      <c r="U47" s="714"/>
      <c r="V47" s="714"/>
      <c r="W47" s="714"/>
      <c r="X47" s="714"/>
      <c r="Y47" s="105"/>
      <c r="Z47" s="105"/>
      <c r="AA47" s="105"/>
      <c r="AB47" s="105"/>
    </row>
    <row r="49" spans="15:23" ht="30" customHeight="1" x14ac:dyDescent="0.25">
      <c r="O49" s="713" t="str">
        <f>Import.Município</f>
        <v>URUARÁ-PARÁ</v>
      </c>
      <c r="P49" s="713"/>
      <c r="Q49" s="713"/>
      <c r="S49" s="371"/>
      <c r="T49" s="371"/>
      <c r="U49" s="371"/>
      <c r="V49" s="371"/>
      <c r="W49" s="335"/>
    </row>
    <row r="50" spans="15:23" x14ac:dyDescent="0.25">
      <c r="O50" s="7" t="s">
        <v>700</v>
      </c>
      <c r="S50" s="535" t="s">
        <v>703</v>
      </c>
      <c r="T50" s="535"/>
      <c r="U50" s="535"/>
      <c r="V50" s="535"/>
    </row>
    <row r="51" spans="15:23" x14ac:dyDescent="0.25">
      <c r="S51" s="55" t="s">
        <v>240</v>
      </c>
      <c r="T51" s="56" t="str">
        <f t="array" ref="T51:T53">Import.RespOrçamento</f>
        <v>DOUGLAS NASCIMENTO DOS SANTOS</v>
      </c>
      <c r="V51" s="57"/>
    </row>
    <row r="52" spans="15:23" x14ac:dyDescent="0.25">
      <c r="O52" s="708">
        <f>DADOS!$C$25</f>
        <v>46144</v>
      </c>
      <c r="P52" s="708"/>
      <c r="Q52" s="708"/>
      <c r="S52" s="55" t="s">
        <v>244</v>
      </c>
      <c r="T52" s="56" t="str">
        <v>151536623-5</v>
      </c>
      <c r="U52" s="57"/>
      <c r="V52" s="57"/>
    </row>
    <row r="53" spans="15:23" x14ac:dyDescent="0.25">
      <c r="O53" s="584" t="s">
        <v>701</v>
      </c>
      <c r="P53" s="585"/>
      <c r="Q53" s="585"/>
      <c r="S53" s="55" t="s">
        <v>248</v>
      </c>
      <c r="T53" s="56">
        <v>0</v>
      </c>
      <c r="U53" s="57"/>
      <c r="V53" s="57"/>
    </row>
  </sheetData>
  <sheetProtection algorithmName="SHA-512" hashValue="a5frZJ93qu4gU/pbB6cRvTEDgsLBMD3Cj8U7jYKD3q+CvQ6AtuN8/4nK+bhDXOXXGK9+vvr/Z8y/Kl5lBsaKKQ==" saltValue="BiOEA34zhNRddbWYj4FljQ==" spinCount="100000" sheet="1" objects="1" scenarios="1" autoFilter="0"/>
  <autoFilter ref="L15:L36" xr:uid="{00000000-0009-0000-0000-000004000000}"/>
  <mergeCells count="24">
    <mergeCell ref="O52:Q52"/>
    <mergeCell ref="O15:R15"/>
    <mergeCell ref="Q39:X39"/>
    <mergeCell ref="O42:X44"/>
    <mergeCell ref="O46:X46"/>
    <mergeCell ref="O49:Q49"/>
    <mergeCell ref="O47:X47"/>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6:M19 M28:M31 M26 M34:M35">
    <cfRule type="cellIs" dxfId="479" priority="24017" stopIfTrue="1" operator="notEqual">
      <formula>$N14</formula>
    </cfRule>
  </conditionalFormatting>
  <conditionalFormatting sqref="N14:O14 R14 W14 N16:O19 R16:R19 W16:X19 N28:O31 R28:R31 W28:X31 W26:X26 R26 N26:O26 N34:O35 R34:R35 W34:X35">
    <cfRule type="expression" dxfId="478" priority="24018" stopIfTrue="1">
      <formula>$C14=1</formula>
    </cfRule>
    <cfRule type="expression" dxfId="477" priority="24019" stopIfTrue="1">
      <formula>OR($C14=0,$C14=2,$C14=3,$C14=4)</formula>
    </cfRule>
  </conditionalFormatting>
  <conditionalFormatting sqref="U14:V14 U16:V19 U28:V31 U26:V26 U34:V35">
    <cfRule type="expression" dxfId="476" priority="24020" stopIfTrue="1">
      <formula>$C14=1</formula>
    </cfRule>
    <cfRule type="expression" dxfId="475" priority="24021" stopIfTrue="1">
      <formula>OR($C14=0,$C14=2,$C14=3,$C14=4)</formula>
    </cfRule>
    <cfRule type="expression" dxfId="474" priority="24022" stopIfTrue="1">
      <formula>AND(TIPOORCAMENTO="Licitado",$C14&lt;&gt;"L",$C14&lt;&gt;-1)</formula>
    </cfRule>
  </conditionalFormatting>
  <conditionalFormatting sqref="P14:Q14 S14:T14 Y14 AG14:AH14 P16:Q19 S16:T19 Y16:Y19 AG16:AH19 P28:Q31 S28:T31 Y28:Y31 AG28:AH31 AG26:AH26 Y26 S26:T26 P26:Q26 P34:Q35 S34:T35 Y34:Y35 AG34:AH35">
    <cfRule type="expression" dxfId="473" priority="24023" stopIfTrue="1">
      <formula>$C14=1</formula>
    </cfRule>
    <cfRule type="expression" dxfId="472" priority="24024" stopIfTrue="1">
      <formula>OR($C14=0,$C14=2,$C14=3,$C14=4)</formula>
    </cfRule>
  </conditionalFormatting>
  <conditionalFormatting sqref="AJ7:AJ26 AJ28:AJ36">
    <cfRule type="expression" dxfId="471" priority="24025" stopIfTrue="1">
      <formula>OR(ACOMPANHAMENTO&lt;&gt;"BM",TIPOORCAMENTO="Licitado")</formula>
    </cfRule>
    <cfRule type="expression" dxfId="470" priority="24026" stopIfTrue="1">
      <formula>$C7=1</formula>
    </cfRule>
    <cfRule type="expression" dxfId="469" priority="24027" stopIfTrue="1">
      <formula>OR(AND(ISNUMBER($C7),$C7=0),$C7=2,$C7=3,$C7=4)</formula>
    </cfRule>
  </conditionalFormatting>
  <conditionalFormatting sqref="AL7:AL26 AL28:AL36">
    <cfRule type="expression" dxfId="468" priority="24028" stopIfTrue="1">
      <formula>TIPOORCAMENTO="PROPOSTO"</formula>
    </cfRule>
    <cfRule type="expression" dxfId="467" priority="24029" stopIfTrue="1">
      <formula>$C7=1</formula>
    </cfRule>
    <cfRule type="expression" dxfId="466" priority="24030" stopIfTrue="1">
      <formula>OR(AND(ISNUMBER($C7),$C7=0),$C7=2,$C7=3,$C7=4)</formula>
    </cfRule>
  </conditionalFormatting>
  <conditionalFormatting sqref="O8:P8">
    <cfRule type="expression" dxfId="465" priority="24034" stopIfTrue="1">
      <formula>ISERROR(INDIRECT($F$9))</formula>
    </cfRule>
  </conditionalFormatting>
  <conditionalFormatting sqref="S7:V8">
    <cfRule type="expression" dxfId="464" priority="24035" stopIfTrue="1">
      <formula>TIPOORCAMENTO="Proposto"</formula>
    </cfRule>
  </conditionalFormatting>
  <conditionalFormatting sqref="S9:V9">
    <cfRule type="expression" dxfId="463" priority="23982" stopIfTrue="1">
      <formula>TIPOORCAMENTO="Proposto"</formula>
    </cfRule>
  </conditionalFormatting>
  <conditionalFormatting sqref="AM7:AN26 AM28:AN36">
    <cfRule type="expression" dxfId="462" priority="24031" stopIfTrue="1">
      <formula>TIPOORCAMENTO="PROPOSTO"</formula>
    </cfRule>
    <cfRule type="expression" dxfId="461" priority="24032" stopIfTrue="1">
      <formula>$C7=1</formula>
    </cfRule>
    <cfRule type="expression" dxfId="460" priority="24033" stopIfTrue="1">
      <formula>OR(AND(ISNUMBER($C7),$C7=0),$C7=2,$C7=3,$C7=4)</formula>
    </cfRule>
  </conditionalFormatting>
  <conditionalFormatting sqref="R14 R19 R28:R31 R26 R34:R35">
    <cfRule type="cellIs" dxfId="459" priority="11327" operator="equal">
      <formula>"(digite a descrição aqui)"</formula>
    </cfRule>
  </conditionalFormatting>
  <conditionalFormatting sqref="X14">
    <cfRule type="expression" dxfId="458" priority="9607" stopIfTrue="1">
      <formula>$C14=1</formula>
    </cfRule>
    <cfRule type="expression" dxfId="457" priority="9608" stopIfTrue="1">
      <formula>OR($C14=0,$C14=2,$C14=3,$C14=4)</formula>
    </cfRule>
  </conditionalFormatting>
  <conditionalFormatting sqref="AC11">
    <cfRule type="cellIs" dxfId="456" priority="442" operator="equal">
      <formula>"OK"</formula>
    </cfRule>
  </conditionalFormatting>
  <conditionalFormatting sqref="M22:M25 M20">
    <cfRule type="cellIs" dxfId="455" priority="434" stopIfTrue="1" operator="notEqual">
      <formula>$N20</formula>
    </cfRule>
  </conditionalFormatting>
  <conditionalFormatting sqref="W22:W25 R22:R25 N22:O25 W20 R20 N20:O20">
    <cfRule type="expression" dxfId="454" priority="435" stopIfTrue="1">
      <formula>$C20=1</formula>
    </cfRule>
    <cfRule type="expression" dxfId="453" priority="436" stopIfTrue="1">
      <formula>OR($C20=0,$C20=2,$C20=3,$C20=4)</formula>
    </cfRule>
  </conditionalFormatting>
  <conditionalFormatting sqref="U22:V25 U20:V20">
    <cfRule type="expression" dxfId="452" priority="437" stopIfTrue="1">
      <formula>$C20=1</formula>
    </cfRule>
    <cfRule type="expression" dxfId="451" priority="438" stopIfTrue="1">
      <formula>OR($C20=0,$C20=2,$C20=3,$C20=4)</formula>
    </cfRule>
    <cfRule type="expression" dxfId="450" priority="439" stopIfTrue="1">
      <formula>AND(TIPOORCAMENTO="Licitado",$C20&lt;&gt;"L",$C20&lt;&gt;-1)</formula>
    </cfRule>
  </conditionalFormatting>
  <conditionalFormatting sqref="AG22:AH25 Y22:Y25 S22:T25 P22:Q25 AG20:AH20 Y20 S20:T20 P20:Q20">
    <cfRule type="expression" dxfId="449" priority="440" stopIfTrue="1">
      <formula>$C20=1</formula>
    </cfRule>
    <cfRule type="expression" dxfId="448" priority="441" stopIfTrue="1">
      <formula>OR($C20=0,$C20=2,$C20=3,$C20=4)</formula>
    </cfRule>
  </conditionalFormatting>
  <conditionalFormatting sqref="R16:R18 R22:R25 R20">
    <cfRule type="cellIs" dxfId="447" priority="433" operator="equal">
      <formula>"(digite a descrição aqui)"</formula>
    </cfRule>
  </conditionalFormatting>
  <conditionalFormatting sqref="X22:X25 X20">
    <cfRule type="expression" dxfId="446" priority="431" stopIfTrue="1">
      <formula>$C20=1</formula>
    </cfRule>
    <cfRule type="expression" dxfId="445" priority="432" stopIfTrue="1">
      <formula>OR($C20=0,$C20=2,$C20=3,$C20=4)</formula>
    </cfRule>
  </conditionalFormatting>
  <conditionalFormatting sqref="M32">
    <cfRule type="cellIs" dxfId="444" priority="390" stopIfTrue="1" operator="notEqual">
      <formula>$N32</formula>
    </cfRule>
  </conditionalFormatting>
  <conditionalFormatting sqref="N32:O32 R32 W32">
    <cfRule type="expression" dxfId="443" priority="391" stopIfTrue="1">
      <formula>$C32=1</formula>
    </cfRule>
    <cfRule type="expression" dxfId="442" priority="392" stopIfTrue="1">
      <formula>OR($C32=0,$C32=2,$C32=3,$C32=4)</formula>
    </cfRule>
  </conditionalFormatting>
  <conditionalFormatting sqref="U32:V32">
    <cfRule type="expression" dxfId="441" priority="393" stopIfTrue="1">
      <formula>$C32=1</formula>
    </cfRule>
    <cfRule type="expression" dxfId="440" priority="394" stopIfTrue="1">
      <formula>OR($C32=0,$C32=2,$C32=3,$C32=4)</formula>
    </cfRule>
    <cfRule type="expression" dxfId="439" priority="395" stopIfTrue="1">
      <formula>AND(TIPOORCAMENTO="Licitado",$C32&lt;&gt;"L",$C32&lt;&gt;-1)</formula>
    </cfRule>
  </conditionalFormatting>
  <conditionalFormatting sqref="P32:Q32 S32:T32 Y32 AG32:AH32">
    <cfRule type="expression" dxfId="438" priority="396" stopIfTrue="1">
      <formula>$C32=1</formula>
    </cfRule>
    <cfRule type="expression" dxfId="437" priority="397" stopIfTrue="1">
      <formula>OR($C32=0,$C32=2,$C32=3,$C32=4)</formula>
    </cfRule>
  </conditionalFormatting>
  <conditionalFormatting sqref="R32">
    <cfRule type="cellIs" dxfId="436" priority="389" operator="equal">
      <formula>"(digite a descrição aqui)"</formula>
    </cfRule>
  </conditionalFormatting>
  <conditionalFormatting sqref="X32">
    <cfRule type="expression" dxfId="435" priority="387" stopIfTrue="1">
      <formula>$C32=1</formula>
    </cfRule>
    <cfRule type="expression" dxfId="434" priority="388" stopIfTrue="1">
      <formula>OR($C32=0,$C32=2,$C32=3,$C32=4)</formula>
    </cfRule>
  </conditionalFormatting>
  <conditionalFormatting sqref="M33">
    <cfRule type="cellIs" dxfId="433" priority="126" stopIfTrue="1" operator="notEqual">
      <formula>$N33</formula>
    </cfRule>
  </conditionalFormatting>
  <conditionalFormatting sqref="N33:O33 R33 W33">
    <cfRule type="expression" dxfId="432" priority="127" stopIfTrue="1">
      <formula>$C33=1</formula>
    </cfRule>
    <cfRule type="expression" dxfId="431" priority="128" stopIfTrue="1">
      <formula>OR($C33=0,$C33=2,$C33=3,$C33=4)</formula>
    </cfRule>
  </conditionalFormatting>
  <conditionalFormatting sqref="U33:V33">
    <cfRule type="expression" dxfId="430" priority="129" stopIfTrue="1">
      <formula>$C33=1</formula>
    </cfRule>
    <cfRule type="expression" dxfId="429" priority="130" stopIfTrue="1">
      <formula>OR($C33=0,$C33=2,$C33=3,$C33=4)</formula>
    </cfRule>
    <cfRule type="expression" dxfId="428" priority="131" stopIfTrue="1">
      <formula>AND(TIPOORCAMENTO="Licitado",$C33&lt;&gt;"L",$C33&lt;&gt;-1)</formula>
    </cfRule>
  </conditionalFormatting>
  <conditionalFormatting sqref="P33:Q33 S33:T33 Y33 AG33:AH33">
    <cfRule type="expression" dxfId="427" priority="132" stopIfTrue="1">
      <formula>$C33=1</formula>
    </cfRule>
    <cfRule type="expression" dxfId="426" priority="133" stopIfTrue="1">
      <formula>OR($C33=0,$C33=2,$C33=3,$C33=4)</formula>
    </cfRule>
  </conditionalFormatting>
  <conditionalFormatting sqref="R33">
    <cfRule type="cellIs" dxfId="425" priority="125" operator="equal">
      <formula>"(digite a descrição aqui)"</formula>
    </cfRule>
  </conditionalFormatting>
  <conditionalFormatting sqref="X33">
    <cfRule type="expression" dxfId="424" priority="123" stopIfTrue="1">
      <formula>$C33=1</formula>
    </cfRule>
    <cfRule type="expression" dxfId="423" priority="124" stopIfTrue="1">
      <formula>OR($C33=0,$C33=2,$C33=3,$C33=4)</formula>
    </cfRule>
  </conditionalFormatting>
  <conditionalFormatting sqref="M21">
    <cfRule type="cellIs" dxfId="422" priority="115" stopIfTrue="1" operator="notEqual">
      <formula>$N21</formula>
    </cfRule>
  </conditionalFormatting>
  <conditionalFormatting sqref="N21:O21 R21 W21">
    <cfRule type="expression" dxfId="421" priority="116" stopIfTrue="1">
      <formula>$C21=1</formula>
    </cfRule>
    <cfRule type="expression" dxfId="420" priority="117" stopIfTrue="1">
      <formula>OR($C21=0,$C21=2,$C21=3,$C21=4)</formula>
    </cfRule>
  </conditionalFormatting>
  <conditionalFormatting sqref="U21:V21">
    <cfRule type="expression" dxfId="419" priority="118" stopIfTrue="1">
      <formula>$C21=1</formula>
    </cfRule>
    <cfRule type="expression" dxfId="418" priority="119" stopIfTrue="1">
      <formula>OR($C21=0,$C21=2,$C21=3,$C21=4)</formula>
    </cfRule>
    <cfRule type="expression" dxfId="417" priority="120" stopIfTrue="1">
      <formula>AND(TIPOORCAMENTO="Licitado",$C21&lt;&gt;"L",$C21&lt;&gt;-1)</formula>
    </cfRule>
  </conditionalFormatting>
  <conditionalFormatting sqref="P21:Q21 S21:T21 Y21 AG21:AH21">
    <cfRule type="expression" dxfId="416" priority="121" stopIfTrue="1">
      <formula>$C21=1</formula>
    </cfRule>
    <cfRule type="expression" dxfId="415" priority="122" stopIfTrue="1">
      <formula>OR($C21=0,$C21=2,$C21=3,$C21=4)</formula>
    </cfRule>
  </conditionalFormatting>
  <conditionalFormatting sqref="R21">
    <cfRule type="cellIs" dxfId="414" priority="114" operator="equal">
      <formula>"(digite a descrição aqui)"</formula>
    </cfRule>
  </conditionalFormatting>
  <conditionalFormatting sqref="X21">
    <cfRule type="expression" dxfId="413" priority="112" stopIfTrue="1">
      <formula>$C21=1</formula>
    </cfRule>
    <cfRule type="expression" dxfId="412" priority="113" stopIfTrue="1">
      <formula>OR($C21=0,$C21=2,$C21=3,$C21=4)</formula>
    </cfRule>
  </conditionalFormatting>
  <conditionalFormatting sqref="M27">
    <cfRule type="cellIs" dxfId="411" priority="7" stopIfTrue="1" operator="notEqual">
      <formula>$N27</formula>
    </cfRule>
  </conditionalFormatting>
  <conditionalFormatting sqref="N27:O27 R27 W27">
    <cfRule type="expression" dxfId="410" priority="8" stopIfTrue="1">
      <formula>$C27=1</formula>
    </cfRule>
    <cfRule type="expression" dxfId="409" priority="9" stopIfTrue="1">
      <formula>OR($C27=0,$C27=2,$C27=3,$C27=4)</formula>
    </cfRule>
  </conditionalFormatting>
  <conditionalFormatting sqref="U27:V27">
    <cfRule type="expression" dxfId="408" priority="10" stopIfTrue="1">
      <formula>$C27=1</formula>
    </cfRule>
    <cfRule type="expression" dxfId="407" priority="11" stopIfTrue="1">
      <formula>OR($C27=0,$C27=2,$C27=3,$C27=4)</formula>
    </cfRule>
    <cfRule type="expression" dxfId="406" priority="12" stopIfTrue="1">
      <formula>AND(TIPOORCAMENTO="Licitado",$C27&lt;&gt;"L",$C27&lt;&gt;-1)</formula>
    </cfRule>
  </conditionalFormatting>
  <conditionalFormatting sqref="P27:Q27 S27:T27 Y27 AG27:AH27">
    <cfRule type="expression" dxfId="405" priority="13" stopIfTrue="1">
      <formula>$C27=1</formula>
    </cfRule>
    <cfRule type="expression" dxfId="404" priority="14" stopIfTrue="1">
      <formula>OR($C27=0,$C27=2,$C27=3,$C27=4)</formula>
    </cfRule>
  </conditionalFormatting>
  <conditionalFormatting sqref="AJ27">
    <cfRule type="expression" dxfId="403" priority="15" stopIfTrue="1">
      <formula>OR(ACOMPANHAMENTO&lt;&gt;"BM",TIPOORCAMENTO="Licitado")</formula>
    </cfRule>
    <cfRule type="expression" dxfId="402" priority="16" stopIfTrue="1">
      <formula>$C27=1</formula>
    </cfRule>
    <cfRule type="expression" dxfId="401" priority="17" stopIfTrue="1">
      <formula>OR(AND(ISNUMBER($C27),$C27=0),$C27=2,$C27=3,$C27=4)</formula>
    </cfRule>
  </conditionalFormatting>
  <conditionalFormatting sqref="AL27">
    <cfRule type="expression" dxfId="400" priority="18" stopIfTrue="1">
      <formula>TIPOORCAMENTO="PROPOSTO"</formula>
    </cfRule>
    <cfRule type="expression" dxfId="399" priority="19" stopIfTrue="1">
      <formula>$C27=1</formula>
    </cfRule>
    <cfRule type="expression" dxfId="398" priority="20" stopIfTrue="1">
      <formula>OR(AND(ISNUMBER($C27),$C27=0),$C27=2,$C27=3,$C27=4)</formula>
    </cfRule>
  </conditionalFormatting>
  <conditionalFormatting sqref="AM27:AN27">
    <cfRule type="expression" dxfId="397" priority="21" stopIfTrue="1">
      <formula>TIPOORCAMENTO="PROPOSTO"</formula>
    </cfRule>
    <cfRule type="expression" dxfId="396" priority="22" stopIfTrue="1">
      <formula>$C27=1</formula>
    </cfRule>
    <cfRule type="expression" dxfId="395" priority="23" stopIfTrue="1">
      <formula>OR(AND(ISNUMBER($C27),$C27=0),$C27=2,$C27=3,$C27=4)</formula>
    </cfRule>
  </conditionalFormatting>
  <conditionalFormatting sqref="R27">
    <cfRule type="cellIs" dxfId="394" priority="6" operator="equal">
      <formula>"(digite a descrição aqui)"</formula>
    </cfRule>
  </conditionalFormatting>
  <conditionalFormatting sqref="X27">
    <cfRule type="expression" dxfId="393" priority="4" stopIfTrue="1">
      <formula>$C27=1</formula>
    </cfRule>
    <cfRule type="expression" dxfId="392" priority="5" stopIfTrue="1">
      <formula>OR($C27=0,$C27=2,$C27=3,$C27=4)</formula>
    </cfRule>
  </conditionalFormatting>
  <dataValidations count="8">
    <dataValidation type="decimal" operator="greaterThan" allowBlank="1" showErrorMessage="1" error="Apenas números decimais maiores que zero." sqref="U14 AL14 AJ14 AL16:AL35 AJ16:AJ35 U16:U35" xr:uid="{00000000-0002-0000-0400-000000000000}">
      <formula1>0</formula1>
      <formula2>0</formula2>
    </dataValidation>
    <dataValidation type="list" allowBlank="1" sqref="P14 P16:P35"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35"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35" xr:uid="{00000000-0002-0000-0400-000003000000}">
      <mc:AlternateContent xmlns:x12ac="http://schemas.microsoft.com/office/spreadsheetml/2011/1/ac" xmlns:mc="http://schemas.openxmlformats.org/markup-compatibility/2006">
        <mc:Choice Requires="x12ac">
          <x12ac:list>BDI 1,BDI 2,BDI 3,"0,00%"</x12ac:list>
        </mc:Choice>
        <mc:Fallback>
          <formula1>"BDI 1,BDI 2,BDI 3,0,00%"</formula1>
        </mc:Fallback>
      </mc:AlternateContent>
      <formula2>0</formula2>
    </dataValidation>
    <dataValidation type="list" showErrorMessage="1" errorTitle="Erro de Entrada" error="Selecione somente os itens da lista." promptTitle="Nível:" prompt="Selecione na lista o nível de itemização da Planilha." sqref="M14 M16:M35"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3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35" xr:uid="{00000000-0002-0000-0400-000006000000}"/>
    <dataValidation type="list" errorStyle="information" allowBlank="1" showInputMessage="1" prompt="Selecione uma sigla de unidade na lista suspensa." sqref="S14 S16:S35" xr:uid="{00000000-0002-0000-0400-000007000000}">
      <formula1>ListaTgov.Unidades</formula1>
    </dataValidation>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&amp;LPMv3.08&amp;R&amp;P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121920</xdr:rowOff>
                  </from>
                  <to>
                    <xdr:col>19</xdr:col>
                    <xdr:colOff>899160</xdr:colOff>
                    <xdr:row>11</xdr:row>
                    <xdr:rowOff>38100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449580</xdr:colOff>
                    <xdr:row>9</xdr:row>
                    <xdr:rowOff>121920</xdr:rowOff>
                  </from>
                  <to>
                    <xdr:col>20</xdr:col>
                    <xdr:colOff>876300</xdr:colOff>
                    <xdr:row>11</xdr:row>
                    <xdr:rowOff>38100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289560</xdr:colOff>
                    <xdr:row>9</xdr:row>
                    <xdr:rowOff>121920</xdr:rowOff>
                  </from>
                  <to>
                    <xdr:col>21</xdr:col>
                    <xdr:colOff>708660</xdr:colOff>
                    <xdr:row>11</xdr:row>
                    <xdr:rowOff>38100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365760</xdr:colOff>
                    <xdr:row>9</xdr:row>
                    <xdr:rowOff>121920</xdr:rowOff>
                  </from>
                  <to>
                    <xdr:col>22</xdr:col>
                    <xdr:colOff>792480</xdr:colOff>
                    <xdr:row>11</xdr:row>
                    <xdr:rowOff>38100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449580</xdr:colOff>
                    <xdr:row>9</xdr:row>
                    <xdr:rowOff>106680</xdr:rowOff>
                  </from>
                  <to>
                    <xdr:col>23</xdr:col>
                    <xdr:colOff>876300</xdr:colOff>
                    <xdr:row>11</xdr:row>
                    <xdr:rowOff>30480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72"/>
  <sheetViews>
    <sheetView showGridLines="0" zoomScaleNormal="100" workbookViewId="0">
      <pane xSplit="4" ySplit="14" topLeftCell="F15" activePane="bottomRight" state="frozen"/>
      <selection pane="topRight" activeCell="E2" sqref="E2"/>
      <selection pane="bottomLeft" activeCell="A15" sqref="A15"/>
      <selection pane="bottomRight" activeCell="D19" sqref="D19"/>
    </sheetView>
  </sheetViews>
  <sheetFormatPr defaultRowHeight="13.2" x14ac:dyDescent="0.25"/>
  <cols>
    <col min="1" max="1" width="3.6640625" style="415" customWidth="1"/>
    <col min="2" max="2" width="5.44140625" hidden="1" customWidth="1"/>
    <col min="3" max="3" width="12.6640625" customWidth="1"/>
    <col min="4" max="4" width="50.6640625" customWidth="1"/>
    <col min="5" max="5" width="14.6640625" hidden="1" customWidth="1"/>
    <col min="6" max="6" width="28.6640625" customWidth="1"/>
    <col min="7" max="7" width="14.6640625" hidden="1" customWidth="1"/>
    <col min="8" max="25" width="14.6640625" customWidth="1"/>
    <col min="26" max="26" width="14.6640625" hidden="1" customWidth="1"/>
  </cols>
  <sheetData>
    <row r="1" spans="1:26" hidden="1" x14ac:dyDescent="0.25">
      <c r="A1" s="415" t="str">
        <f t="shared" ref="A1" si="0">IF(D1="","","F")</f>
        <v/>
      </c>
      <c r="B1" t="e">
        <f ca="1">IF(OR(C1=" ",D1=""),"",CONCATENATE(C1,". ",D1))</f>
        <v>#REF!</v>
      </c>
      <c r="C1" s="586" t="e" cm="1">
        <f t="array" aca="1" ref="C1" ca="1">IF(OR(ROW(C1)=ROW(EVENTOS.firstrow)+1,AND(OFFSET(C1,-1,0)&lt;&gt;" ",OFFSET(C1,-1,1)&lt;&gt;"")),OFFSET(C1,-1,0)+1," ")</f>
        <v>#REF!</v>
      </c>
      <c r="D1" s="587"/>
      <c r="E1" s="588" cm="1">
        <f t="array" aca="1" ref="E1" ca="1">IF(AUTOEVENTO="Manual",ROUND(SUMPRODUCT((CÁLCULO!$M$15:$M$36=EVENTOS!$C1)*(OFFSET(CÁLCULO!$AA$15:$AA$36,0,E$13))),2),0)</f>
        <v>0</v>
      </c>
      <c r="F1" s="589">
        <f ca="1">IF(AUTOEVENTO="Manual",ROUND(SUMPRODUCT((CÁLCULO!$M$15:$M$36=EVENTOS!$C1)*(OFFSET(CÁLCULO!$AA$15,0,1):OFFSET(CÁLCULO!$AL$36,0,-1))),2),0)</f>
        <v>0</v>
      </c>
      <c r="G1" s="590" t="str">
        <f ca="1">IF(AND(D1=0,F1&gt;0),"NOME",
 IF(AND(D1&lt;&gt;0,$F$14&gt;0,F1=0),"VALOR",
 IF(AND(Import.TipoArredondamento="TransfereGOV",$A1="F",LEN(D1)&gt;100),"Nome &gt;100","")))</f>
        <v/>
      </c>
      <c r="H1" s="588" cm="1">
        <f t="array" aca="1" ref="H1" ca="1">IF(AUTOEVENTO="Manual",ROUND(SUMPRODUCT((CÁLCULO!$M$15:$M$36=EVENTOS!$C1)*(OFFSET(CÁLCULO!$AA$15:$AA$36,0,H$13))),2),0)</f>
        <v>0</v>
      </c>
      <c r="I1" s="588" cm="1">
        <f t="array" aca="1" ref="I1" ca="1">IF(AUTOEVENTO="Manual",ROUND(SUMPRODUCT((CÁLCULO!$M$15:$M$36=EVENTOS!$C1)*(OFFSET(CÁLCULO!$AA$15:$AA$36,0,I$13))),2),0)</f>
        <v>0</v>
      </c>
      <c r="J1" s="588" cm="1">
        <f t="array" aca="1" ref="J1" ca="1">IF(AUTOEVENTO="Manual",ROUND(SUMPRODUCT((CÁLCULO!$M$15:$M$36=EVENTOS!$C1)*(OFFSET(CÁLCULO!$AA$15:$AA$36,0,J$13))),2),0)</f>
        <v>0</v>
      </c>
      <c r="K1" s="588" cm="1">
        <f t="array" aca="1" ref="K1" ca="1">IF(AUTOEVENTO="Manual",ROUND(SUMPRODUCT((CÁLCULO!$M$15:$M$36=EVENTOS!$C1)*(OFFSET(CÁLCULO!$AA$15:$AA$36,0,K$13))),2),0)</f>
        <v>0</v>
      </c>
      <c r="L1" s="588" cm="1">
        <f t="array" aca="1" ref="L1" ca="1">IF(AUTOEVENTO="Manual",ROUND(SUMPRODUCT((CÁLCULO!$M$15:$M$36=EVENTOS!$C1)*(OFFSET(CÁLCULO!$AA$15:$AA$36,0,L$13))),2),0)</f>
        <v>0</v>
      </c>
      <c r="M1" s="588" cm="1">
        <f t="array" aca="1" ref="M1" ca="1">IF(AUTOEVENTO="Manual",ROUND(SUMPRODUCT((CÁLCULO!$M$15:$M$36=EVENTOS!$C1)*(OFFSET(CÁLCULO!$AA$15:$AA$36,0,M$13))),2),0)</f>
        <v>0</v>
      </c>
      <c r="N1" s="588" cm="1">
        <f t="array" aca="1" ref="N1" ca="1">IF(AUTOEVENTO="Manual",ROUND(SUMPRODUCT((CÁLCULO!$M$15:$M$36=EVENTOS!$C1)*(OFFSET(CÁLCULO!$AA$15:$AA$36,0,N$13))),2),0)</f>
        <v>0</v>
      </c>
      <c r="O1" s="588" cm="1">
        <f t="array" aca="1" ref="O1" ca="1">IF(AUTOEVENTO="Manual",ROUND(SUMPRODUCT((CÁLCULO!$M$15:$M$36=EVENTOS!$C1)*(OFFSET(CÁLCULO!$AA$15:$AA$36,0,O$13))),2),0)</f>
        <v>0</v>
      </c>
      <c r="P1" s="588" cm="1">
        <f t="array" aca="1" ref="P1" ca="1">IF(AUTOEVENTO="Manual",ROUND(SUMPRODUCT((CÁLCULO!$M$15:$M$36=EVENTOS!$C1)*(OFFSET(CÁLCULO!$AA$15:$AA$36,0,P$13))),2),0)</f>
        <v>0</v>
      </c>
      <c r="Q1" s="588" cm="1">
        <f t="array" aca="1" ref="Q1" ca="1">IF(AUTOEVENTO="Manual",ROUND(SUMPRODUCT((CÁLCULO!$M$15:$M$36=EVENTOS!$C1)*(OFFSET(CÁLCULO!$AA$15:$AA$36,0,Q$13))),2),0)</f>
        <v>0</v>
      </c>
      <c r="R1" s="588" cm="1">
        <f t="array" aca="1" ref="R1" ca="1">IF(AUTOEVENTO="Manual",ROUND(SUMPRODUCT((CÁLCULO!$M$15:$M$36=EVENTOS!$C1)*(OFFSET(CÁLCULO!$AA$15:$AA$36,0,R$13))),2),0)</f>
        <v>0</v>
      </c>
      <c r="S1" s="588" cm="1">
        <f t="array" aca="1" ref="S1" ca="1">IF(AUTOEVENTO="Manual",ROUND(SUMPRODUCT((CÁLCULO!$M$15:$M$36=EVENTOS!$C1)*(OFFSET(CÁLCULO!$AA$15:$AA$36,0,S$13))),2),0)</f>
        <v>0</v>
      </c>
      <c r="T1" s="588" cm="1">
        <f t="array" aca="1" ref="T1" ca="1">IF(AUTOEVENTO="Manual",ROUND(SUMPRODUCT((CÁLCULO!$M$15:$M$36=EVENTOS!$C1)*(OFFSET(CÁLCULO!$AA$15:$AA$36,0,T$13))),2),0)</f>
        <v>0</v>
      </c>
      <c r="U1" s="588" cm="1">
        <f t="array" aca="1" ref="U1" ca="1">IF(AUTOEVENTO="Manual",ROUND(SUMPRODUCT((CÁLCULO!$M$15:$M$36=EVENTOS!$C1)*(OFFSET(CÁLCULO!$AA$15:$AA$36,0,U$13))),2),0)</f>
        <v>0</v>
      </c>
      <c r="V1" s="588" cm="1">
        <f t="array" aca="1" ref="V1" ca="1">IF(AUTOEVENTO="Manual",ROUND(SUMPRODUCT((CÁLCULO!$M$15:$M$36=EVENTOS!$C1)*(OFFSET(CÁLCULO!$AA$15:$AA$36,0,V$13))),2),0)</f>
        <v>0</v>
      </c>
      <c r="W1" s="588" cm="1">
        <f t="array" aca="1" ref="W1" ca="1">IF(AUTOEVENTO="Manual",ROUND(SUMPRODUCT((CÁLCULO!$M$15:$M$36=EVENTOS!$C1)*(OFFSET(CÁLCULO!$AA$15:$AA$36,0,W$13))),2),0)</f>
        <v>0</v>
      </c>
      <c r="X1" s="588" cm="1">
        <f t="array" aca="1" ref="X1" ca="1">IF(AUTOEVENTO="Manual",ROUND(SUMPRODUCT((CÁLCULO!$M$15:$M$36=EVENTOS!$C1)*(OFFSET(CÁLCULO!$AA$15:$AA$36,0,X$13))),2),0)</f>
        <v>0</v>
      </c>
      <c r="Y1" s="588" cm="1">
        <f t="array" aca="1" ref="Y1" ca="1">IF(AUTOEVENTO="Manual",ROUND(SUMPRODUCT((CÁLCULO!$M$15:$M$36=EVENTOS!$C1)*(OFFSET(CÁLCULO!$AA$15:$AA$36,0,Y$13))),2),0)</f>
        <v>0</v>
      </c>
    </row>
    <row r="2" spans="1:26" ht="30" customHeight="1" x14ac:dyDescent="0.25">
      <c r="F2" s="60" t="s">
        <v>779</v>
      </c>
      <c r="O2" s="591" t="s">
        <v>780</v>
      </c>
      <c r="Y2" s="591" t="s">
        <v>780</v>
      </c>
    </row>
    <row r="4" spans="1:26" ht="12.75" customHeight="1" x14ac:dyDescent="0.25">
      <c r="C4" s="515" t="s">
        <v>658</v>
      </c>
      <c r="D4" s="521"/>
      <c r="E4" s="55"/>
      <c r="F4" s="163" t="s">
        <v>781</v>
      </c>
      <c r="G4" s="55"/>
      <c r="H4" s="395"/>
      <c r="I4" s="395"/>
      <c r="J4" s="395"/>
      <c r="K4" s="395"/>
      <c r="L4" s="395"/>
      <c r="N4" s="515" t="s">
        <v>656</v>
      </c>
      <c r="O4" s="413" t="s">
        <v>714</v>
      </c>
      <c r="P4" s="163" t="s">
        <v>781</v>
      </c>
      <c r="Q4" s="55"/>
      <c r="R4" s="395"/>
      <c r="S4" s="395"/>
      <c r="T4" s="395"/>
      <c r="U4" s="395"/>
      <c r="V4" s="395"/>
      <c r="X4" s="515" t="s">
        <v>656</v>
      </c>
      <c r="Y4" s="413" t="s">
        <v>714</v>
      </c>
    </row>
    <row r="5" spans="1:26" ht="12.75" customHeight="1" x14ac:dyDescent="0.25">
      <c r="C5" s="414" t="str">
        <f>Import.Proponente</f>
        <v>PREFEITURA MUNICIPAL DE URUARÁ</v>
      </c>
      <c r="D5" s="412"/>
      <c r="E5" s="412"/>
      <c r="F5" s="715" t="str">
        <f>Import.Apelido</f>
        <v>PAVIMENTAÇÃO DE VIAS NO MUNICÍPIO DE URUARÁ - PARÁ</v>
      </c>
      <c r="G5" s="716"/>
      <c r="H5" s="716"/>
      <c r="I5" s="716"/>
      <c r="J5" s="716"/>
      <c r="K5" s="716"/>
      <c r="L5" s="716"/>
      <c r="M5" s="717"/>
      <c r="N5" s="512" t="str">
        <f>Import.CR</f>
        <v>S/ INFORMAÇÃO</v>
      </c>
      <c r="O5" s="512" t="str">
        <f>Import.SICONV</f>
        <v>S/ INFORMAÇÃO</v>
      </c>
      <c r="P5" s="715" t="str">
        <f>Import.Apelido</f>
        <v>PAVIMENTAÇÃO DE VIAS NO MUNICÍPIO DE URUARÁ - PARÁ</v>
      </c>
      <c r="Q5" s="716"/>
      <c r="R5" s="716"/>
      <c r="S5" s="716"/>
      <c r="T5" s="716"/>
      <c r="U5" s="716"/>
      <c r="V5" s="716"/>
      <c r="W5" s="717"/>
      <c r="X5" s="512" t="str">
        <f>Import.CR</f>
        <v>S/ INFORMAÇÃO</v>
      </c>
      <c r="Y5" s="512" t="str">
        <f>Import.SICONV</f>
        <v>S/ INFORMAÇÃO</v>
      </c>
      <c r="Z5" t="s">
        <v>759</v>
      </c>
    </row>
    <row r="6" spans="1:26" ht="24.9" customHeight="1" x14ac:dyDescent="0.3">
      <c r="C6" t="s">
        <v>782</v>
      </c>
      <c r="F6" s="431" t="str">
        <f ca="1">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IF($F$14&lt;&gt;ORÇAMENTO!$X$15,"O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 customHeight="1" thickBot="1" x14ac:dyDescent="0.3"/>
    <row r="8" spans="1:26" ht="16.2" thickBot="1" x14ac:dyDescent="0.35">
      <c r="C8" s="722" t="s">
        <v>783</v>
      </c>
      <c r="D8" s="723"/>
      <c r="F8" s="431" t="str">
        <f>IF(ACOMPANHAMENTO="BM","",
 IF(Import.Eventos.Nível="","◄ Selecione a forma de definição dos agrupadores de eventos",
 IF(Import.Eventos.Nível="","◄ Selecione a forma de definição dos agrupadores de eventos","")))</f>
        <v/>
      </c>
    </row>
    <row r="9" spans="1:26" ht="12" customHeight="1" x14ac:dyDescent="0.25"/>
    <row r="10" spans="1:26" ht="33.75" customHeight="1" x14ac:dyDescent="0.25">
      <c r="C10" s="500">
        <f ca="1">COUNTIF($C$15:$C$65,"&gt;0")-1</f>
        <v>0</v>
      </c>
      <c r="D10" t="s">
        <v>759</v>
      </c>
      <c r="E10" s="718" t="str">
        <f ca="1">OFFSET(CÁLCULO!$P$12,0,EVENTOS!E$13)</f>
        <v>PAVIMENTAÇÃO DO ACESSO A PRAÇA DO CACAU</v>
      </c>
      <c r="F10" t="s">
        <v>759</v>
      </c>
      <c r="G10" s="719"/>
      <c r="H10" s="718" t="str">
        <f ca="1">OFFSET(CÁLCULO!$P$12,0,EVENTOS!H$13)</f>
        <v>PAVIMENTAÇÃO DO ACESSO A PRAÇA DO CACAU</v>
      </c>
      <c r="I10" s="718" t="str">
        <f ca="1">OFFSET(CÁLCULO!$P$12,0,EVENTOS!I$13)</f>
        <v>.</v>
      </c>
      <c r="J10" s="718" t="str">
        <f ca="1">OFFSET(CÁLCULO!$P$12,0,EVENTOS!J$13)</f>
        <v>.</v>
      </c>
      <c r="K10" s="719" t="str">
        <f ca="1">OFFSET(CÁLCULO!$P$12,0,EVENTOS!K$13)</f>
        <v>.</v>
      </c>
      <c r="L10" s="719" t="str">
        <f ca="1">OFFSET(CÁLCULO!$P$12,0,EVENTOS!L$13)</f>
        <v>.</v>
      </c>
      <c r="M10" s="719" t="str">
        <f ca="1">OFFSET(CÁLCULO!$P$12,0,EVENTOS!M$13)</f>
        <v>.</v>
      </c>
      <c r="N10" s="719" t="str">
        <f ca="1">OFFSET(CÁLCULO!$P$12,0,EVENTOS!N$13)</f>
        <v>.</v>
      </c>
      <c r="O10" s="719" t="str">
        <f ca="1">OFFSET(CÁLCULO!$P$12,0,EVENTOS!O$13)</f>
        <v>.</v>
      </c>
      <c r="P10" s="719" t="str">
        <f ca="1">OFFSET(CÁLCULO!$P$12,0,EVENTOS!P$13)</f>
        <v>.</v>
      </c>
      <c r="Q10" s="719" t="str">
        <f ca="1">OFFSET(CÁLCULO!$P$12,0,EVENTOS!Q$13)</f>
        <v>.</v>
      </c>
      <c r="R10" s="719" t="str">
        <f ca="1">OFFSET(CÁLCULO!$P$12,0,EVENTOS!R$13)</f>
        <v>.</v>
      </c>
      <c r="S10" s="719" t="str">
        <f ca="1">OFFSET(CÁLCULO!$P$12,0,EVENTOS!S$13)</f>
        <v>.</v>
      </c>
      <c r="T10" s="719" t="str">
        <f ca="1">OFFSET(CÁLCULO!$P$12,0,EVENTOS!T$13)</f>
        <v>.</v>
      </c>
      <c r="U10" s="719" t="str">
        <f ca="1">OFFSET(CÁLCULO!$P$12,0,EVENTOS!U$13)</f>
        <v>.</v>
      </c>
      <c r="V10" s="719" t="str">
        <f ca="1">OFFSET(CÁLCULO!$P$12,0,EVENTOS!V$13)</f>
        <v>.</v>
      </c>
      <c r="W10" s="719" t="str">
        <f ca="1">OFFSET(CÁLCULO!$P$12,0,EVENTOS!W$13)</f>
        <v>.</v>
      </c>
      <c r="X10" s="719" t="str">
        <f ca="1">OFFSET(CÁLCULO!$P$12,0,EVENTOS!X$13)</f>
        <v>.</v>
      </c>
      <c r="Y10" s="719" t="str">
        <f ca="1">OFFSET(CÁLCULO!$P$12,0,EVENTOS!Y$13)</f>
        <v>.</v>
      </c>
    </row>
    <row r="11" spans="1:26" ht="35.1" customHeight="1" x14ac:dyDescent="0.25">
      <c r="A11" s="416" t="s">
        <v>661</v>
      </c>
      <c r="C11" s="724" t="str">
        <f>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24"/>
      <c r="E11" s="718"/>
      <c r="F11" s="407"/>
      <c r="G11" s="720"/>
      <c r="H11" s="718"/>
      <c r="I11" s="718"/>
      <c r="J11" s="718"/>
      <c r="K11" s="720"/>
      <c r="L11" s="720"/>
      <c r="M11" s="720"/>
      <c r="N11" s="720"/>
      <c r="O11" s="720"/>
      <c r="P11" s="720"/>
      <c r="Q11" s="720"/>
      <c r="R11" s="720"/>
      <c r="S11" s="720"/>
      <c r="T11" s="720"/>
      <c r="U11" s="720"/>
      <c r="V11" s="720"/>
      <c r="W11" s="720"/>
      <c r="X11" s="720"/>
      <c r="Y11" s="720"/>
    </row>
    <row r="12" spans="1:26" ht="12" customHeight="1" x14ac:dyDescent="0.25">
      <c r="A12" s="417" t="s">
        <v>666</v>
      </c>
      <c r="E12" s="718"/>
      <c r="G12" s="721"/>
      <c r="H12" s="718"/>
      <c r="I12" s="718"/>
      <c r="J12" s="718"/>
      <c r="K12" s="721"/>
      <c r="L12" s="721"/>
      <c r="M12" s="721"/>
      <c r="N12" s="721"/>
      <c r="O12" s="721"/>
      <c r="P12" s="721"/>
      <c r="Q12" s="721"/>
      <c r="R12" s="721"/>
      <c r="S12" s="721"/>
      <c r="T12" s="721"/>
      <c r="U12" s="721"/>
      <c r="V12" s="721"/>
      <c r="W12" s="721"/>
      <c r="X12" s="721"/>
      <c r="Y12" s="721"/>
    </row>
    <row r="13" spans="1:26" ht="14.4" x14ac:dyDescent="0.3">
      <c r="A13" s="417"/>
      <c r="C13" s="592" t="s">
        <v>784</v>
      </c>
      <c r="D13" s="593" t="s">
        <v>785</v>
      </c>
      <c r="E13" s="594">
        <f ca="1">IF(NOT(ISNUMBER(OFFSET(E13,0,-1))),1,IF(OR(OFFSET(E13,0,-1)=0,OFFSET(E13,0,-1)+1&gt;CÁLCULO.FrentesPreenchidas),0,OFFSET(E13,0,-1)+1))</f>
        <v>1</v>
      </c>
      <c r="F13" s="595" t="s">
        <v>786</v>
      </c>
      <c r="G13" s="406"/>
      <c r="H13" s="594">
        <f ca="1">IF(NOT(ISNUMBER(OFFSET(H13,0,-1))),1,IF(OR(OFFSET(H13,0,-1)=0,OFFSET(H13,0,-1)+1&gt;CÁLCULO.FrentesPreenchidas),0,OFFSET(H13,0,-1)+1))</f>
        <v>1</v>
      </c>
      <c r="I13" s="594">
        <f ca="1">IF(NOT(ISNUMBER(OFFSET(I13,0,-1))),1,IF(OR(OFFSET(I13,0,-1)=0,OFFSET(I13,0,-1)+1&gt;CÁLCULO.FrentesPreenchidas),0,OFFSET(I13,0,-1)+1))</f>
        <v>0</v>
      </c>
      <c r="J13" s="594">
        <f ca="1">IF(NOT(ISNUMBER(OFFSET(J13,0,-1))),1,IF(OR(OFFSET(J13,0,-1)=0,OFFSET(J13,0,-1)+1&gt;CÁLCULO.FrentesPreenchidas),0,OFFSET(J13,0,-1)+1))</f>
        <v>0</v>
      </c>
      <c r="K13" s="406">
        <f t="shared" ref="K13:O13" ca="1" si="1">IF(NOT(ISNUMBER(OFFSET(K13,0,-1))),1,IF(OR(OFFSET(K13,0,-1)=0,OFFSET(K13,0,-1)+1&gt;CÁLCULO.FrentesPreenchidas),0,OFFSET(K13,0,-1)+1))</f>
        <v>0</v>
      </c>
      <c r="L13" s="406">
        <f t="shared" ca="1" si="1"/>
        <v>0</v>
      </c>
      <c r="M13" s="406">
        <f t="shared" ca="1" si="1"/>
        <v>0</v>
      </c>
      <c r="N13" s="406">
        <f t="shared" ca="1" si="1"/>
        <v>0</v>
      </c>
      <c r="O13" s="406">
        <f t="shared" ca="1" si="1"/>
        <v>0</v>
      </c>
      <c r="P13" s="406">
        <f ca="1">IF(NOT(ISNUMBER(OFFSET(P13,0,-1))),1,IF(OR(OFFSET(P13,0,-1)=0,OFFSET(P13,0,-1)+1&gt;CÁLCULO.NúmeroDeFrentes),0,OFFSET(P13,0,-1)+1))</f>
        <v>0</v>
      </c>
      <c r="Q13" s="406">
        <f ca="1">IF(NOT(ISNUMBER(OFFSET(Q13,0,-1))),1,IF(OR(OFFSET(Q13,0,-1)=0,OFFSET(Q13,0,-1)+1&gt;CÁLCULO.NúmeroDeFrentes),0,OFFSET(Q13,0,-1)+1))</f>
        <v>0</v>
      </c>
      <c r="R13" s="406">
        <f ca="1">IF(NOT(ISNUMBER(OFFSET(R13,0,-1))),1,IF(OR(OFFSET(R13,0,-1)=0,OFFSET(R13,0,-1)+1&gt;CÁLCULO.NúmeroDeFrentes),0,OFFSET(R13,0,-1)+1))</f>
        <v>0</v>
      </c>
      <c r="S13" s="406">
        <f ca="1">IF(NOT(ISNUMBER(OFFSET(S13,0,-1))),1,IF(OR(OFFSET(S13,0,-1)=0,OFFSET(S13,0,-1)+1&gt;CÁLCULO.NúmeroDeFrentes),0,OFFSET(S13,0,-1)+1))</f>
        <v>0</v>
      </c>
      <c r="T13" s="406">
        <f ca="1">IF(NOT(ISNUMBER(OFFSET(T13,0,-1))),1,IF(OR(OFFSET(T13,0,-1)=0,OFFSET(T13,0,-1)+1&gt;CÁLCULO.NúmeroDeFrentes),0,OFFSET(T13,0,-1)+1))</f>
        <v>0</v>
      </c>
      <c r="U13" s="406">
        <f ca="1">IF(NOT(ISNUMBER(OFFSET(U13,0,-1))),1,IF(OR(OFFSET(U13,0,-1)=0,OFFSET(U13,0,-1)+1&gt;CÁLCULO.NúmeroDeFrentes),0,OFFSET(U13,0,-1)+1))</f>
        <v>0</v>
      </c>
      <c r="V13" s="406">
        <f ca="1">IF(NOT(ISNUMBER(OFFSET(V13,0,-1))),1,IF(OR(OFFSET(V13,0,-1)=0,OFFSET(V13,0,-1)+1&gt;CÁLCULO.NúmeroDeFrentes),0,OFFSET(V13,0,-1)+1))</f>
        <v>0</v>
      </c>
      <c r="W13" s="406">
        <f ca="1">IF(NOT(ISNUMBER(OFFSET(W13,0,-1))),1,IF(OR(OFFSET(W13,0,-1)=0,OFFSET(W13,0,-1)+1&gt;CÁLCULO.NúmeroDeFrentes),0,OFFSET(W13,0,-1)+1))</f>
        <v>0</v>
      </c>
      <c r="X13" s="406">
        <f ca="1">IF(NOT(ISNUMBER(OFFSET(X13,0,-1))),1,IF(OR(OFFSET(X13,0,-1)=0,OFFSET(X13,0,-1)+1&gt;CÁLCULO.NúmeroDeFrentes),0,OFFSET(X13,0,-1)+1))</f>
        <v>0</v>
      </c>
      <c r="Y13" s="406">
        <f ca="1">IF(NOT(ISNUMBER(OFFSET(Y13,0,-1))),1,IF(OR(OFFSET(Y13,0,-1)=0,OFFSET(Y13,0,-1)+1&gt;CÁLCULO.NúmeroDeFrentes),0,OFFSET(Y13,0,-1)+1))</f>
        <v>0</v>
      </c>
    </row>
    <row r="14" spans="1:26" ht="15" customHeight="1" x14ac:dyDescent="0.25">
      <c r="A14" s="415" t="s">
        <v>542</v>
      </c>
      <c r="C14" s="455"/>
      <c r="D14" s="456" t="s">
        <v>787</v>
      </c>
      <c r="E14" s="596">
        <f ca="1">SUM(E$15:E$65)</f>
        <v>0</v>
      </c>
      <c r="F14" s="457">
        <f ca="1">SUM(F$15:F$65)</f>
        <v>0</v>
      </c>
      <c r="H14" s="596">
        <f t="shared" ref="H14:Y14" ca="1" si="2">SUM(H$15:H$65)</f>
        <v>0</v>
      </c>
      <c r="I14" s="596">
        <f t="shared" ca="1" si="2"/>
        <v>0</v>
      </c>
      <c r="J14" s="596">
        <f t="shared" ca="1" si="2"/>
        <v>0</v>
      </c>
      <c r="K14" s="596">
        <f t="shared" ca="1" si="2"/>
        <v>0</v>
      </c>
      <c r="L14" s="596">
        <f t="shared" ca="1" si="2"/>
        <v>0</v>
      </c>
      <c r="M14" s="596">
        <f t="shared" ca="1" si="2"/>
        <v>0</v>
      </c>
      <c r="N14" s="596">
        <f t="shared" ca="1" si="2"/>
        <v>0</v>
      </c>
      <c r="O14" s="596">
        <f t="shared" ca="1" si="2"/>
        <v>0</v>
      </c>
      <c r="P14" s="596">
        <f t="shared" ca="1" si="2"/>
        <v>0</v>
      </c>
      <c r="Q14" s="596">
        <f t="shared" ca="1" si="2"/>
        <v>0</v>
      </c>
      <c r="R14" s="596">
        <f t="shared" ca="1" si="2"/>
        <v>0</v>
      </c>
      <c r="S14" s="596">
        <f t="shared" ca="1" si="2"/>
        <v>0</v>
      </c>
      <c r="T14" s="596">
        <f t="shared" ca="1" si="2"/>
        <v>0</v>
      </c>
      <c r="U14" s="596">
        <f t="shared" ca="1" si="2"/>
        <v>0</v>
      </c>
      <c r="V14" s="596">
        <f t="shared" ca="1" si="2"/>
        <v>0</v>
      </c>
      <c r="W14" s="596">
        <f t="shared" ca="1" si="2"/>
        <v>0</v>
      </c>
      <c r="X14" s="596">
        <f t="shared" ca="1" si="2"/>
        <v>0</v>
      </c>
      <c r="Y14" s="596">
        <f t="shared" ca="1" si="2"/>
        <v>0</v>
      </c>
    </row>
    <row r="15" spans="1:26" x14ac:dyDescent="0.25">
      <c r="A15" s="415" t="str">
        <f t="shared" ref="A15:A64" ca="1" si="3">IF(D15="","","F")</f>
        <v/>
      </c>
      <c r="B15" t="str">
        <f ca="1">IF(OR(C15=" ",D15=""),"",CONCATENATE(C15,". ",D15))</f>
        <v/>
      </c>
      <c r="C15" s="597">
        <f ca="1">IF(AdmLocal="Automática",1,0)</f>
        <v>0</v>
      </c>
      <c r="D15" s="598" t="str">
        <f ca="1">IF(C15=1,"Administração Local","")</f>
        <v/>
      </c>
      <c r="E15" s="599">
        <f ca="1">IF($F$15=0,0,IF(E13=1,$F$15-SUM($I$15:$Z$15),ROUND(SUM(OFFSET(E15,1,0):OFFSET(E$65,-1,0))/SUM(OFFSET($F15,1,0):OFFSET($F$65,-1,0))*$F$15,2)))</f>
        <v>0</v>
      </c>
      <c r="F15" s="459" cm="1">
        <f t="array" aca="1" ref="F15" ca="1">IF($C$15=0,0,ROUND(SUMPRODUCT((CÁLCULO!$M$15:$M$36=EVENTOS!$C15)*(ORÇAMENTO!$X$15:'ORÇAMENTO'!$X$36)),2))</f>
        <v>0</v>
      </c>
      <c r="G15" s="600"/>
      <c r="H15" s="599">
        <f ca="1">IF($F$15=0,0,IF(H13=1,$F$15-SUM($I$15:$Z$15),ROUND(SUM(OFFSET(H15,1,0):OFFSET(H$65,-1,0))/SUM(OFFSET($F15,1,0):OFFSET($F$65,-1,0))*$F$15,2)))</f>
        <v>0</v>
      </c>
      <c r="I15" s="599">
        <f ca="1">IF($F$15=0,0,IF(I13=1,$F$15-SUM($I$15:$Z$15),ROUND(SUM(OFFSET(I15,1,0):OFFSET(I$65,-1,0))/SUM(OFFSET($F15,1,0):OFFSET($F$65,-1,0))*$F$15,2)))</f>
        <v>0</v>
      </c>
      <c r="J15" s="599">
        <f ca="1">IF($F$15=0,0,IF(J13=1,$F$15-SUM($I$15:$Z$15),ROUND(SUM(OFFSET(J15,1,0):OFFSET(J$65,-1,0))/SUM(OFFSET($F15,1,0):OFFSET($F$65,-1,0))*$F$15,2)))</f>
        <v>0</v>
      </c>
      <c r="K15" s="599">
        <f ca="1">IF($F$15=0,0,IF(K13=1,$F$15-SUM($I$15:$Z$15),ROUND(SUM(OFFSET(K15,1,0):OFFSET(K$65,-1,0))/SUM(OFFSET($F15,1,0):OFFSET($F$65,-1,0))*$F$15,2)))</f>
        <v>0</v>
      </c>
      <c r="L15" s="599">
        <f ca="1">IF($F$15=0,0,IF(L13=1,$F$15-SUM($I$15:$Z$15),ROUND(SUM(OFFSET(L15,1,0):OFFSET(L$65,-1,0))/SUM(OFFSET($F15,1,0):OFFSET($F$65,-1,0))*$F$15,2)))</f>
        <v>0</v>
      </c>
      <c r="M15" s="599">
        <f ca="1">IF($F$15=0,0,IF(M13=1,$F$15-SUM($I$15:$Z$15),ROUND(SUM(OFFSET(M15,1,0):OFFSET(M$65,-1,0))/SUM(OFFSET($F15,1,0):OFFSET($F$65,-1,0))*$F$15,2)))</f>
        <v>0</v>
      </c>
      <c r="N15" s="599">
        <f ca="1">IF($F$15=0,0,IF(N13=1,$F$15-SUM($I$15:$Z$15),ROUND(SUM(OFFSET(N15,1,0):OFFSET(N$65,-1,0))/SUM(OFFSET($F15,1,0):OFFSET($F$65,-1,0))*$F$15,2)))</f>
        <v>0</v>
      </c>
      <c r="O15" s="599">
        <f ca="1">IF($F$15=0,0,IF(O13=1,$F$15-SUM($I$15:$Z$15),ROUND(SUM(OFFSET(O15,1,0):OFFSET(O$65,-1,0))/SUM(OFFSET($F15,1,0):OFFSET($F$65,-1,0))*$F$15,2)))</f>
        <v>0</v>
      </c>
      <c r="P15" s="599">
        <f ca="1">IF($F$15=0,0,IF(P13=1,$F$15-SUM($I$15:$Z$15),ROUND(SUM(OFFSET(P15,1,0):OFFSET(P$65,-1,0))/SUM(OFFSET($F15,1,0):OFFSET($F$65,-1,0))*$F$15,2)))</f>
        <v>0</v>
      </c>
      <c r="Q15" s="599">
        <f ca="1">IF($F$15=0,0,IF(Q13=1,$F$15-SUM($I$15:$Z$15),ROUND(SUM(OFFSET(Q15,1,0):OFFSET(Q$65,-1,0))/SUM(OFFSET($F15,1,0):OFFSET($F$65,-1,0))*$F$15,2)))</f>
        <v>0</v>
      </c>
      <c r="R15" s="599">
        <f ca="1">IF($F$15=0,0,IF(R13=1,$F$15-SUM($I$15:$Z$15),ROUND(SUM(OFFSET(R15,1,0):OFFSET(R$65,-1,0))/SUM(OFFSET($F15,1,0):OFFSET($F$65,-1,0))*$F$15,2)))</f>
        <v>0</v>
      </c>
      <c r="S15" s="599">
        <f ca="1">IF($F$15=0,0,IF(S13=1,$F$15-SUM($I$15:$Z$15),ROUND(SUM(OFFSET(S15,1,0):OFFSET(S$65,-1,0))/SUM(OFFSET($F15,1,0):OFFSET($F$65,-1,0))*$F$15,2)))</f>
        <v>0</v>
      </c>
      <c r="T15" s="599">
        <f ca="1">IF($F$15=0,0,IF(T13=1,$F$15-SUM($I$15:$Z$15),ROUND(SUM(OFFSET(T15,1,0):OFFSET(T$65,-1,0))/SUM(OFFSET($F15,1,0):OFFSET($F$65,-1,0))*$F$15,2)))</f>
        <v>0</v>
      </c>
      <c r="U15" s="599">
        <f ca="1">IF($F$15=0,0,IF(U13=1,$F$15-SUM($I$15:$Z$15),ROUND(SUM(OFFSET(U15,1,0):OFFSET(U$65,-1,0))/SUM(OFFSET($F15,1,0):OFFSET($F$65,-1,0))*$F$15,2)))</f>
        <v>0</v>
      </c>
      <c r="V15" s="599">
        <f ca="1">IF($F$15=0,0,IF(V13=1,$F$15-SUM($I$15:$Z$15),ROUND(SUM(OFFSET(V15,1,0):OFFSET(V$65,-1,0))/SUM(OFFSET($F15,1,0):OFFSET($F$65,-1,0))*$F$15,2)))</f>
        <v>0</v>
      </c>
      <c r="W15" s="599">
        <f ca="1">IF($F$15=0,0,IF(W13=1,$F$15-SUM($I$15:$Z$15),ROUND(SUM(OFFSET(W15,1,0):OFFSET(W$65,-1,0))/SUM(OFFSET($F15,1,0):OFFSET($F$65,-1,0))*$F$15,2)))</f>
        <v>0</v>
      </c>
      <c r="X15" s="599">
        <f ca="1">IF($F$15=0,0,IF(X13=1,$F$15-SUM($I$15:$Z$15),ROUND(SUM(OFFSET(X15,1,0):OFFSET(X$65,-1,0))/SUM(OFFSET($F15,1,0):OFFSET($F$65,-1,0))*$F$15,2)))</f>
        <v>0</v>
      </c>
      <c r="Y15" s="599">
        <f ca="1">IF($F$15=0,0,IF(Y13=1,$F$15-SUM($I$15:$Z$15),ROUND(SUM(OFFSET(Y15,1,0):OFFSET(Y$65,-1,0))/SUM(OFFSET($F15,1,0):OFFSET($F$65,-1,0))*$F$15,2)))</f>
        <v>0</v>
      </c>
    </row>
    <row r="16" spans="1:26" x14ac:dyDescent="0.25">
      <c r="A16" s="415" t="str">
        <f t="shared" si="3"/>
        <v/>
      </c>
      <c r="B16" t="str">
        <f t="shared" ref="B16:B64" ca="1" si="4">IF(OR(C16=" ",D16=""),"",CONCATENATE(C16,". ",D16))</f>
        <v/>
      </c>
      <c r="C16" s="586" cm="1">
        <f t="array" aca="1" ref="C16" ca="1">IF(OR(ROW(C16)=ROW(EVENTOS.firstrow)+1,AND(OFFSET(C16,-1,0)&lt;&gt;" ",OFFSET(C16,-1,1)&lt;&gt;"")),OFFSET(C16,-1,0)+1," ")</f>
        <v>1</v>
      </c>
      <c r="D16" s="587"/>
      <c r="E16" s="588" cm="1">
        <f t="array" aca="1" ref="E16" ca="1">IF(AUTOEVENTO="Manual",ROUND(SUMPRODUCT((CÁLCULO!$M$15:$M$36=EVENTOS!$C16)*(OFFSET(CÁLCULO!$AA$15:$AA$36,0,E$13))),2),0)</f>
        <v>0</v>
      </c>
      <c r="F16" s="589">
        <f ca="1">IF(AUTOEVENTO="Manual",ROUND(SUMPRODUCT((CÁLCULO!$M$15:$M$36=EVENTOS!$C16)*(OFFSET(CÁLCULO!$AA$15,0,1):OFFSET(CÁLCULO!$AL$36,0,-1))),2),0)</f>
        <v>0</v>
      </c>
      <c r="G16" s="590" t="str">
        <f ca="1">IF(AND(D16=0,F16&gt;0),"NOME",
 IF(AND(D16&lt;&gt;0,$F$14&gt;0,F16=0),"VALOR",
 IF(AND(Import.TipoArredondamento="TransfereGOV",$A16="F",LEN(D16)&gt;100),"Nome &gt;100","")))</f>
        <v/>
      </c>
      <c r="H16" s="588" cm="1">
        <f t="array" aca="1" ref="H16" ca="1">IF(AUTOEVENTO="Manual",ROUND(SUMPRODUCT((CÁLCULO!$M$15:$M$36=EVENTOS!$C16)*(OFFSET(CÁLCULO!$AA$15:$AA$36,0,H$13))),2),0)</f>
        <v>0</v>
      </c>
      <c r="I16" s="588" cm="1">
        <f t="array" aca="1" ref="I16" ca="1">IF(AUTOEVENTO="Manual",ROUND(SUMPRODUCT((CÁLCULO!$M$15:$M$36=EVENTOS!$C16)*(OFFSET(CÁLCULO!$AA$15:$AA$36,0,I$13))),2),0)</f>
        <v>0</v>
      </c>
      <c r="J16" s="588" cm="1">
        <f t="array" aca="1" ref="J16" ca="1">IF(AUTOEVENTO="Manual",ROUND(SUMPRODUCT((CÁLCULO!$M$15:$M$36=EVENTOS!$C16)*(OFFSET(CÁLCULO!$AA$15:$AA$36,0,J$13))),2),0)</f>
        <v>0</v>
      </c>
      <c r="K16" s="588" cm="1">
        <f t="array" aca="1" ref="K16" ca="1">IF(AUTOEVENTO="Manual",ROUND(SUMPRODUCT((CÁLCULO!$M$15:$M$36=EVENTOS!$C16)*(OFFSET(CÁLCULO!$AA$15:$AA$36,0,K$13))),2),0)</f>
        <v>0</v>
      </c>
      <c r="L16" s="588" cm="1">
        <f t="array" aca="1" ref="L16" ca="1">IF(AUTOEVENTO="Manual",ROUND(SUMPRODUCT((CÁLCULO!$M$15:$M$36=EVENTOS!$C16)*(OFFSET(CÁLCULO!$AA$15:$AA$36,0,L$13))),2),0)</f>
        <v>0</v>
      </c>
      <c r="M16" s="588" cm="1">
        <f t="array" aca="1" ref="M16" ca="1">IF(AUTOEVENTO="Manual",ROUND(SUMPRODUCT((CÁLCULO!$M$15:$M$36=EVENTOS!$C16)*(OFFSET(CÁLCULO!$AA$15:$AA$36,0,M$13))),2),0)</f>
        <v>0</v>
      </c>
      <c r="N16" s="588" cm="1">
        <f t="array" aca="1" ref="N16" ca="1">IF(AUTOEVENTO="Manual",ROUND(SUMPRODUCT((CÁLCULO!$M$15:$M$36=EVENTOS!$C16)*(OFFSET(CÁLCULO!$AA$15:$AA$36,0,N$13))),2),0)</f>
        <v>0</v>
      </c>
      <c r="O16" s="588" cm="1">
        <f t="array" aca="1" ref="O16" ca="1">IF(AUTOEVENTO="Manual",ROUND(SUMPRODUCT((CÁLCULO!$M$15:$M$36=EVENTOS!$C16)*(OFFSET(CÁLCULO!$AA$15:$AA$36,0,O$13))),2),0)</f>
        <v>0</v>
      </c>
      <c r="P16" s="588" cm="1">
        <f t="array" aca="1" ref="P16" ca="1">IF(AUTOEVENTO="Manual",ROUND(SUMPRODUCT((CÁLCULO!$M$15:$M$36=EVENTOS!$C16)*(OFFSET(CÁLCULO!$AA$15:$AA$36,0,P$13))),2),0)</f>
        <v>0</v>
      </c>
      <c r="Q16" s="588" cm="1">
        <f t="array" aca="1" ref="Q16" ca="1">IF(AUTOEVENTO="Manual",ROUND(SUMPRODUCT((CÁLCULO!$M$15:$M$36=EVENTOS!$C16)*(OFFSET(CÁLCULO!$AA$15:$AA$36,0,Q$13))),2),0)</f>
        <v>0</v>
      </c>
      <c r="R16" s="588" cm="1">
        <f t="array" aca="1" ref="R16" ca="1">IF(AUTOEVENTO="Manual",ROUND(SUMPRODUCT((CÁLCULO!$M$15:$M$36=EVENTOS!$C16)*(OFFSET(CÁLCULO!$AA$15:$AA$36,0,R$13))),2),0)</f>
        <v>0</v>
      </c>
      <c r="S16" s="588" cm="1">
        <f t="array" aca="1" ref="S16" ca="1">IF(AUTOEVENTO="Manual",ROUND(SUMPRODUCT((CÁLCULO!$M$15:$M$36=EVENTOS!$C16)*(OFFSET(CÁLCULO!$AA$15:$AA$36,0,S$13))),2),0)</f>
        <v>0</v>
      </c>
      <c r="T16" s="588" cm="1">
        <f t="array" aca="1" ref="T16" ca="1">IF(AUTOEVENTO="Manual",ROUND(SUMPRODUCT((CÁLCULO!$M$15:$M$36=EVENTOS!$C16)*(OFFSET(CÁLCULO!$AA$15:$AA$36,0,T$13))),2),0)</f>
        <v>0</v>
      </c>
      <c r="U16" s="588" cm="1">
        <f t="array" aca="1" ref="U16" ca="1">IF(AUTOEVENTO="Manual",ROUND(SUMPRODUCT((CÁLCULO!$M$15:$M$36=EVENTOS!$C16)*(OFFSET(CÁLCULO!$AA$15:$AA$36,0,U$13))),2),0)</f>
        <v>0</v>
      </c>
      <c r="V16" s="588" cm="1">
        <f t="array" aca="1" ref="V16" ca="1">IF(AUTOEVENTO="Manual",ROUND(SUMPRODUCT((CÁLCULO!$M$15:$M$36=EVENTOS!$C16)*(OFFSET(CÁLCULO!$AA$15:$AA$36,0,V$13))),2),0)</f>
        <v>0</v>
      </c>
      <c r="W16" s="588" cm="1">
        <f t="array" aca="1" ref="W16" ca="1">IF(AUTOEVENTO="Manual",ROUND(SUMPRODUCT((CÁLCULO!$M$15:$M$36=EVENTOS!$C16)*(OFFSET(CÁLCULO!$AA$15:$AA$36,0,W$13))),2),0)</f>
        <v>0</v>
      </c>
      <c r="X16" s="588" cm="1">
        <f t="array" aca="1" ref="X16" ca="1">IF(AUTOEVENTO="Manual",ROUND(SUMPRODUCT((CÁLCULO!$M$15:$M$36=EVENTOS!$C16)*(OFFSET(CÁLCULO!$AA$15:$AA$36,0,X$13))),2),0)</f>
        <v>0</v>
      </c>
      <c r="Y16" s="588" cm="1">
        <f t="array" aca="1" ref="Y16" ca="1">IF(AUTOEVENTO="Manual",ROUND(SUMPRODUCT((CÁLCULO!$M$15:$M$36=EVENTOS!$C16)*(OFFSET(CÁLCULO!$AA$15:$AA$36,0,Y$13))),2),0)</f>
        <v>0</v>
      </c>
    </row>
    <row r="17" spans="1:25" x14ac:dyDescent="0.25">
      <c r="A17" s="415" t="str">
        <f t="shared" si="3"/>
        <v/>
      </c>
      <c r="B17" t="str">
        <f t="shared" ca="1" si="4"/>
        <v/>
      </c>
      <c r="C17" s="586" t="str" cm="1">
        <f t="array" aca="1" ref="C17" ca="1">IF(OR(ROW(C17)=ROW(EVENTOS.firstrow)+1,AND(OFFSET(C17,-1,0)&lt;&gt;" ",OFFSET(C17,-1,1)&lt;&gt;"")),OFFSET(C17,-1,0)+1," ")</f>
        <v xml:space="preserve"> </v>
      </c>
      <c r="D17" s="587"/>
      <c r="E17" s="588" cm="1">
        <f t="array" aca="1" ref="E17" ca="1">IF(AUTOEVENTO="Manual",ROUND(SUMPRODUCT((CÁLCULO!$M$15:$M$36=EVENTOS!$C17)*(OFFSET(CÁLCULO!$AA$15:$AA$36,0,E$13))),2),0)</f>
        <v>0</v>
      </c>
      <c r="F17" s="589">
        <f ca="1">IF(AUTOEVENTO="Manual",ROUND(SUMPRODUCT((CÁLCULO!$M$15:$M$36=EVENTOS!$C17)*(OFFSET(CÁLCULO!$AA$15,0,1):OFFSET(CÁLCULO!$AL$36,0,-1))),2),0)</f>
        <v>0</v>
      </c>
      <c r="G17" s="590" t="str">
        <f ca="1">IF(AND(D17=0,F17&gt;0),"NOME",
 IF(AND(D17&lt;&gt;0,$F$14&gt;0,F17=0),"VALOR",
 IF(AND(Import.TipoArredondamento="TransfereGOV",$A17="F",LEN(D17)&gt;100),"Nome &gt;100","")))</f>
        <v/>
      </c>
      <c r="H17" s="588" cm="1">
        <f t="array" aca="1" ref="H17" ca="1">IF(AUTOEVENTO="Manual",ROUND(SUMPRODUCT((CÁLCULO!$M$15:$M$36=EVENTOS!$C17)*(OFFSET(CÁLCULO!$AA$15:$AA$36,0,H$13))),2),0)</f>
        <v>0</v>
      </c>
      <c r="I17" s="588" cm="1">
        <f t="array" aca="1" ref="I17" ca="1">IF(AUTOEVENTO="Manual",ROUND(SUMPRODUCT((CÁLCULO!$M$15:$M$36=EVENTOS!$C17)*(OFFSET(CÁLCULO!$AA$15:$AA$36,0,I$13))),2),0)</f>
        <v>0</v>
      </c>
      <c r="J17" s="588" cm="1">
        <f t="array" aca="1" ref="J17" ca="1">IF(AUTOEVENTO="Manual",ROUND(SUMPRODUCT((CÁLCULO!$M$15:$M$36=EVENTOS!$C17)*(OFFSET(CÁLCULO!$AA$15:$AA$36,0,J$13))),2),0)</f>
        <v>0</v>
      </c>
      <c r="K17" s="588" cm="1">
        <f t="array" aca="1" ref="K17" ca="1">IF(AUTOEVENTO="Manual",ROUND(SUMPRODUCT((CÁLCULO!$M$15:$M$36=EVENTOS!$C17)*(OFFSET(CÁLCULO!$AA$15:$AA$36,0,K$13))),2),0)</f>
        <v>0</v>
      </c>
      <c r="L17" s="588" cm="1">
        <f t="array" aca="1" ref="L17" ca="1">IF(AUTOEVENTO="Manual",ROUND(SUMPRODUCT((CÁLCULO!$M$15:$M$36=EVENTOS!$C17)*(OFFSET(CÁLCULO!$AA$15:$AA$36,0,L$13))),2),0)</f>
        <v>0</v>
      </c>
      <c r="M17" s="588" cm="1">
        <f t="array" aca="1" ref="M17" ca="1">IF(AUTOEVENTO="Manual",ROUND(SUMPRODUCT((CÁLCULO!$M$15:$M$36=EVENTOS!$C17)*(OFFSET(CÁLCULO!$AA$15:$AA$36,0,M$13))),2),0)</f>
        <v>0</v>
      </c>
      <c r="N17" s="588" cm="1">
        <f t="array" aca="1" ref="N17" ca="1">IF(AUTOEVENTO="Manual",ROUND(SUMPRODUCT((CÁLCULO!$M$15:$M$36=EVENTOS!$C17)*(OFFSET(CÁLCULO!$AA$15:$AA$36,0,N$13))),2),0)</f>
        <v>0</v>
      </c>
      <c r="O17" s="588" cm="1">
        <f t="array" aca="1" ref="O17" ca="1">IF(AUTOEVENTO="Manual",ROUND(SUMPRODUCT((CÁLCULO!$M$15:$M$36=EVENTOS!$C17)*(OFFSET(CÁLCULO!$AA$15:$AA$36,0,O$13))),2),0)</f>
        <v>0</v>
      </c>
      <c r="P17" s="588" cm="1">
        <f t="array" aca="1" ref="P17" ca="1">IF(AUTOEVENTO="Manual",ROUND(SUMPRODUCT((CÁLCULO!$M$15:$M$36=EVENTOS!$C17)*(OFFSET(CÁLCULO!$AA$15:$AA$36,0,P$13))),2),0)</f>
        <v>0</v>
      </c>
      <c r="Q17" s="588" cm="1">
        <f t="array" aca="1" ref="Q17" ca="1">IF(AUTOEVENTO="Manual",ROUND(SUMPRODUCT((CÁLCULO!$M$15:$M$36=EVENTOS!$C17)*(OFFSET(CÁLCULO!$AA$15:$AA$36,0,Q$13))),2),0)</f>
        <v>0</v>
      </c>
      <c r="R17" s="588" cm="1">
        <f t="array" aca="1" ref="R17" ca="1">IF(AUTOEVENTO="Manual",ROUND(SUMPRODUCT((CÁLCULO!$M$15:$M$36=EVENTOS!$C17)*(OFFSET(CÁLCULO!$AA$15:$AA$36,0,R$13))),2),0)</f>
        <v>0</v>
      </c>
      <c r="S17" s="588" cm="1">
        <f t="array" aca="1" ref="S17" ca="1">IF(AUTOEVENTO="Manual",ROUND(SUMPRODUCT((CÁLCULO!$M$15:$M$36=EVENTOS!$C17)*(OFFSET(CÁLCULO!$AA$15:$AA$36,0,S$13))),2),0)</f>
        <v>0</v>
      </c>
      <c r="T17" s="588" cm="1">
        <f t="array" aca="1" ref="T17" ca="1">IF(AUTOEVENTO="Manual",ROUND(SUMPRODUCT((CÁLCULO!$M$15:$M$36=EVENTOS!$C17)*(OFFSET(CÁLCULO!$AA$15:$AA$36,0,T$13))),2),0)</f>
        <v>0</v>
      </c>
      <c r="U17" s="588" cm="1">
        <f t="array" aca="1" ref="U17" ca="1">IF(AUTOEVENTO="Manual",ROUND(SUMPRODUCT((CÁLCULO!$M$15:$M$36=EVENTOS!$C17)*(OFFSET(CÁLCULO!$AA$15:$AA$36,0,U$13))),2),0)</f>
        <v>0</v>
      </c>
      <c r="V17" s="588" cm="1">
        <f t="array" aca="1" ref="V17" ca="1">IF(AUTOEVENTO="Manual",ROUND(SUMPRODUCT((CÁLCULO!$M$15:$M$36=EVENTOS!$C17)*(OFFSET(CÁLCULO!$AA$15:$AA$36,0,V$13))),2),0)</f>
        <v>0</v>
      </c>
      <c r="W17" s="588" cm="1">
        <f t="array" aca="1" ref="W17" ca="1">IF(AUTOEVENTO="Manual",ROUND(SUMPRODUCT((CÁLCULO!$M$15:$M$36=EVENTOS!$C17)*(OFFSET(CÁLCULO!$AA$15:$AA$36,0,W$13))),2),0)</f>
        <v>0</v>
      </c>
      <c r="X17" s="588" cm="1">
        <f t="array" aca="1" ref="X17" ca="1">IF(AUTOEVENTO="Manual",ROUND(SUMPRODUCT((CÁLCULO!$M$15:$M$36=EVENTOS!$C17)*(OFFSET(CÁLCULO!$AA$15:$AA$36,0,X$13))),2),0)</f>
        <v>0</v>
      </c>
      <c r="Y17" s="588" cm="1">
        <f t="array" aca="1" ref="Y17" ca="1">IF(AUTOEVENTO="Manual",ROUND(SUMPRODUCT((CÁLCULO!$M$15:$M$36=EVENTOS!$C17)*(OFFSET(CÁLCULO!$AA$15:$AA$36,0,Y$13))),2),0)</f>
        <v>0</v>
      </c>
    </row>
    <row r="18" spans="1:25" x14ac:dyDescent="0.25">
      <c r="A18" s="415" t="str">
        <f t="shared" si="3"/>
        <v/>
      </c>
      <c r="B18" t="str">
        <f t="shared" ca="1" si="4"/>
        <v/>
      </c>
      <c r="C18" s="586" t="str" cm="1">
        <f t="array" aca="1" ref="C18" ca="1">IF(OR(ROW(C18)=ROW(EVENTOS.firstrow)+1,AND(OFFSET(C18,-1,0)&lt;&gt;" ",OFFSET(C18,-1,1)&lt;&gt;"")),OFFSET(C18,-1,0)+1," ")</f>
        <v xml:space="preserve"> </v>
      </c>
      <c r="D18" s="587"/>
      <c r="E18" s="588" cm="1">
        <f t="array" aca="1" ref="E18" ca="1">IF(AUTOEVENTO="Manual",ROUND(SUMPRODUCT((CÁLCULO!$M$15:$M$36=EVENTOS!$C18)*(OFFSET(CÁLCULO!$AA$15:$AA$36,0,E$13))),2),0)</f>
        <v>0</v>
      </c>
      <c r="F18" s="589">
        <f ca="1">IF(AUTOEVENTO="Manual",ROUND(SUMPRODUCT((CÁLCULO!$M$15:$M$36=EVENTOS!$C18)*(OFFSET(CÁLCULO!$AA$15,0,1):OFFSET(CÁLCULO!$AL$36,0,-1))),2),0)</f>
        <v>0</v>
      </c>
      <c r="G18" s="590" t="str">
        <f ca="1">IF(AND(D18=0,F18&gt;0),"NOME",
 IF(AND(D18&lt;&gt;0,$F$14&gt;0,F18=0),"VALOR",
 IF(AND(Import.TipoArredondamento="TransfereGOV",$A18="F",LEN(D18)&gt;100),"Nome &gt;100","")))</f>
        <v/>
      </c>
      <c r="H18" s="588" cm="1">
        <f t="array" aca="1" ref="H18" ca="1">IF(AUTOEVENTO="Manual",ROUND(SUMPRODUCT((CÁLCULO!$M$15:$M$36=EVENTOS!$C18)*(OFFSET(CÁLCULO!$AA$15:$AA$36,0,H$13))),2),0)</f>
        <v>0</v>
      </c>
      <c r="I18" s="588" cm="1">
        <f t="array" aca="1" ref="I18" ca="1">IF(AUTOEVENTO="Manual",ROUND(SUMPRODUCT((CÁLCULO!$M$15:$M$36=EVENTOS!$C18)*(OFFSET(CÁLCULO!$AA$15:$AA$36,0,I$13))),2),0)</f>
        <v>0</v>
      </c>
      <c r="J18" s="588" cm="1">
        <f t="array" aca="1" ref="J18" ca="1">IF(AUTOEVENTO="Manual",ROUND(SUMPRODUCT((CÁLCULO!$M$15:$M$36=EVENTOS!$C18)*(OFFSET(CÁLCULO!$AA$15:$AA$36,0,J$13))),2),0)</f>
        <v>0</v>
      </c>
      <c r="K18" s="588" cm="1">
        <f t="array" aca="1" ref="K18" ca="1">IF(AUTOEVENTO="Manual",ROUND(SUMPRODUCT((CÁLCULO!$M$15:$M$36=EVENTOS!$C18)*(OFFSET(CÁLCULO!$AA$15:$AA$36,0,K$13))),2),0)</f>
        <v>0</v>
      </c>
      <c r="L18" s="588" cm="1">
        <f t="array" aca="1" ref="L18" ca="1">IF(AUTOEVENTO="Manual",ROUND(SUMPRODUCT((CÁLCULO!$M$15:$M$36=EVENTOS!$C18)*(OFFSET(CÁLCULO!$AA$15:$AA$36,0,L$13))),2),0)</f>
        <v>0</v>
      </c>
      <c r="M18" s="588" cm="1">
        <f t="array" aca="1" ref="M18" ca="1">IF(AUTOEVENTO="Manual",ROUND(SUMPRODUCT((CÁLCULO!$M$15:$M$36=EVENTOS!$C18)*(OFFSET(CÁLCULO!$AA$15:$AA$36,0,M$13))),2),0)</f>
        <v>0</v>
      </c>
      <c r="N18" s="588" cm="1">
        <f t="array" aca="1" ref="N18" ca="1">IF(AUTOEVENTO="Manual",ROUND(SUMPRODUCT((CÁLCULO!$M$15:$M$36=EVENTOS!$C18)*(OFFSET(CÁLCULO!$AA$15:$AA$36,0,N$13))),2),0)</f>
        <v>0</v>
      </c>
      <c r="O18" s="588" cm="1">
        <f t="array" aca="1" ref="O18" ca="1">IF(AUTOEVENTO="Manual",ROUND(SUMPRODUCT((CÁLCULO!$M$15:$M$36=EVENTOS!$C18)*(OFFSET(CÁLCULO!$AA$15:$AA$36,0,O$13))),2),0)</f>
        <v>0</v>
      </c>
      <c r="P18" s="588" cm="1">
        <f t="array" aca="1" ref="P18" ca="1">IF(AUTOEVENTO="Manual",ROUND(SUMPRODUCT((CÁLCULO!$M$15:$M$36=EVENTOS!$C18)*(OFFSET(CÁLCULO!$AA$15:$AA$36,0,P$13))),2),0)</f>
        <v>0</v>
      </c>
      <c r="Q18" s="588" cm="1">
        <f t="array" aca="1" ref="Q18" ca="1">IF(AUTOEVENTO="Manual",ROUND(SUMPRODUCT((CÁLCULO!$M$15:$M$36=EVENTOS!$C18)*(OFFSET(CÁLCULO!$AA$15:$AA$36,0,Q$13))),2),0)</f>
        <v>0</v>
      </c>
      <c r="R18" s="588" cm="1">
        <f t="array" aca="1" ref="R18" ca="1">IF(AUTOEVENTO="Manual",ROUND(SUMPRODUCT((CÁLCULO!$M$15:$M$36=EVENTOS!$C18)*(OFFSET(CÁLCULO!$AA$15:$AA$36,0,R$13))),2),0)</f>
        <v>0</v>
      </c>
      <c r="S18" s="588" cm="1">
        <f t="array" aca="1" ref="S18" ca="1">IF(AUTOEVENTO="Manual",ROUND(SUMPRODUCT((CÁLCULO!$M$15:$M$36=EVENTOS!$C18)*(OFFSET(CÁLCULO!$AA$15:$AA$36,0,S$13))),2),0)</f>
        <v>0</v>
      </c>
      <c r="T18" s="588" cm="1">
        <f t="array" aca="1" ref="T18" ca="1">IF(AUTOEVENTO="Manual",ROUND(SUMPRODUCT((CÁLCULO!$M$15:$M$36=EVENTOS!$C18)*(OFFSET(CÁLCULO!$AA$15:$AA$36,0,T$13))),2),0)</f>
        <v>0</v>
      </c>
      <c r="U18" s="588" cm="1">
        <f t="array" aca="1" ref="U18" ca="1">IF(AUTOEVENTO="Manual",ROUND(SUMPRODUCT((CÁLCULO!$M$15:$M$36=EVENTOS!$C18)*(OFFSET(CÁLCULO!$AA$15:$AA$36,0,U$13))),2),0)</f>
        <v>0</v>
      </c>
      <c r="V18" s="588" cm="1">
        <f t="array" aca="1" ref="V18" ca="1">IF(AUTOEVENTO="Manual",ROUND(SUMPRODUCT((CÁLCULO!$M$15:$M$36=EVENTOS!$C18)*(OFFSET(CÁLCULO!$AA$15:$AA$36,0,V$13))),2),0)</f>
        <v>0</v>
      </c>
      <c r="W18" s="588" cm="1">
        <f t="array" aca="1" ref="W18" ca="1">IF(AUTOEVENTO="Manual",ROUND(SUMPRODUCT((CÁLCULO!$M$15:$M$36=EVENTOS!$C18)*(OFFSET(CÁLCULO!$AA$15:$AA$36,0,W$13))),2),0)</f>
        <v>0</v>
      </c>
      <c r="X18" s="588" cm="1">
        <f t="array" aca="1" ref="X18" ca="1">IF(AUTOEVENTO="Manual",ROUND(SUMPRODUCT((CÁLCULO!$M$15:$M$36=EVENTOS!$C18)*(OFFSET(CÁLCULO!$AA$15:$AA$36,0,X$13))),2),0)</f>
        <v>0</v>
      </c>
      <c r="Y18" s="588" cm="1">
        <f t="array" aca="1" ref="Y18" ca="1">IF(AUTOEVENTO="Manual",ROUND(SUMPRODUCT((CÁLCULO!$M$15:$M$36=EVENTOS!$C18)*(OFFSET(CÁLCULO!$AA$15:$AA$36,0,Y$13))),2),0)</f>
        <v>0</v>
      </c>
    </row>
    <row r="19" spans="1:25" x14ac:dyDescent="0.25">
      <c r="A19" s="415" t="str">
        <f t="shared" si="3"/>
        <v/>
      </c>
      <c r="B19" t="str">
        <f t="shared" ca="1" si="4"/>
        <v/>
      </c>
      <c r="C19" s="586" t="str" cm="1">
        <f t="array" aca="1" ref="C19" ca="1">IF(OR(ROW(C19)=ROW(EVENTOS.firstrow)+1,AND(OFFSET(C19,-1,0)&lt;&gt;" ",OFFSET(C19,-1,1)&lt;&gt;"")),OFFSET(C19,-1,0)+1," ")</f>
        <v xml:space="preserve"> </v>
      </c>
      <c r="D19" s="587"/>
      <c r="E19" s="588" cm="1">
        <f t="array" aca="1" ref="E19" ca="1">IF(AUTOEVENTO="Manual",ROUND(SUMPRODUCT((CÁLCULO!$M$15:$M$36=EVENTOS!$C19)*(OFFSET(CÁLCULO!$AA$15:$AA$36,0,E$13))),2),0)</f>
        <v>0</v>
      </c>
      <c r="F19" s="589">
        <f ca="1">IF(AUTOEVENTO="Manual",ROUND(SUMPRODUCT((CÁLCULO!$M$15:$M$36=EVENTOS!$C19)*(OFFSET(CÁLCULO!$AA$15,0,1):OFFSET(CÁLCULO!$AL$36,0,-1))),2),0)</f>
        <v>0</v>
      </c>
      <c r="G19" s="590" t="str">
        <f ca="1">IF(AND(D19=0,F19&gt;0),"NOME",
 IF(AND(D19&lt;&gt;0,$F$14&gt;0,F19=0),"VALOR",
 IF(AND(Import.TipoArredondamento="TransfereGOV",$A19="F",LEN(D19)&gt;100),"Nome &gt;100","")))</f>
        <v/>
      </c>
      <c r="H19" s="588" cm="1">
        <f t="array" aca="1" ref="H19" ca="1">IF(AUTOEVENTO="Manual",ROUND(SUMPRODUCT((CÁLCULO!$M$15:$M$36=EVENTOS!$C19)*(OFFSET(CÁLCULO!$AA$15:$AA$36,0,H$13))),2),0)</f>
        <v>0</v>
      </c>
      <c r="I19" s="588" cm="1">
        <f t="array" aca="1" ref="I19" ca="1">IF(AUTOEVENTO="Manual",ROUND(SUMPRODUCT((CÁLCULO!$M$15:$M$36=EVENTOS!$C19)*(OFFSET(CÁLCULO!$AA$15:$AA$36,0,I$13))),2),0)</f>
        <v>0</v>
      </c>
      <c r="J19" s="588" cm="1">
        <f t="array" aca="1" ref="J19" ca="1">IF(AUTOEVENTO="Manual",ROUND(SUMPRODUCT((CÁLCULO!$M$15:$M$36=EVENTOS!$C19)*(OFFSET(CÁLCULO!$AA$15:$AA$36,0,J$13))),2),0)</f>
        <v>0</v>
      </c>
      <c r="K19" s="588" cm="1">
        <f t="array" aca="1" ref="K19" ca="1">IF(AUTOEVENTO="Manual",ROUND(SUMPRODUCT((CÁLCULO!$M$15:$M$36=EVENTOS!$C19)*(OFFSET(CÁLCULO!$AA$15:$AA$36,0,K$13))),2),0)</f>
        <v>0</v>
      </c>
      <c r="L19" s="588" cm="1">
        <f t="array" aca="1" ref="L19" ca="1">IF(AUTOEVENTO="Manual",ROUND(SUMPRODUCT((CÁLCULO!$M$15:$M$36=EVENTOS!$C19)*(OFFSET(CÁLCULO!$AA$15:$AA$36,0,L$13))),2),0)</f>
        <v>0</v>
      </c>
      <c r="M19" s="588" cm="1">
        <f t="array" aca="1" ref="M19" ca="1">IF(AUTOEVENTO="Manual",ROUND(SUMPRODUCT((CÁLCULO!$M$15:$M$36=EVENTOS!$C19)*(OFFSET(CÁLCULO!$AA$15:$AA$36,0,M$13))),2),0)</f>
        <v>0</v>
      </c>
      <c r="N19" s="588" cm="1">
        <f t="array" aca="1" ref="N19" ca="1">IF(AUTOEVENTO="Manual",ROUND(SUMPRODUCT((CÁLCULO!$M$15:$M$36=EVENTOS!$C19)*(OFFSET(CÁLCULO!$AA$15:$AA$36,0,N$13))),2),0)</f>
        <v>0</v>
      </c>
      <c r="O19" s="588" cm="1">
        <f t="array" aca="1" ref="O19" ca="1">IF(AUTOEVENTO="Manual",ROUND(SUMPRODUCT((CÁLCULO!$M$15:$M$36=EVENTOS!$C19)*(OFFSET(CÁLCULO!$AA$15:$AA$36,0,O$13))),2),0)</f>
        <v>0</v>
      </c>
      <c r="P19" s="588" cm="1">
        <f t="array" aca="1" ref="P19" ca="1">IF(AUTOEVENTO="Manual",ROUND(SUMPRODUCT((CÁLCULO!$M$15:$M$36=EVENTOS!$C19)*(OFFSET(CÁLCULO!$AA$15:$AA$36,0,P$13))),2),0)</f>
        <v>0</v>
      </c>
      <c r="Q19" s="588" cm="1">
        <f t="array" aca="1" ref="Q19" ca="1">IF(AUTOEVENTO="Manual",ROUND(SUMPRODUCT((CÁLCULO!$M$15:$M$36=EVENTOS!$C19)*(OFFSET(CÁLCULO!$AA$15:$AA$36,0,Q$13))),2),0)</f>
        <v>0</v>
      </c>
      <c r="R19" s="588" cm="1">
        <f t="array" aca="1" ref="R19" ca="1">IF(AUTOEVENTO="Manual",ROUND(SUMPRODUCT((CÁLCULO!$M$15:$M$36=EVENTOS!$C19)*(OFFSET(CÁLCULO!$AA$15:$AA$36,0,R$13))),2),0)</f>
        <v>0</v>
      </c>
      <c r="S19" s="588" cm="1">
        <f t="array" aca="1" ref="S19" ca="1">IF(AUTOEVENTO="Manual",ROUND(SUMPRODUCT((CÁLCULO!$M$15:$M$36=EVENTOS!$C19)*(OFFSET(CÁLCULO!$AA$15:$AA$36,0,S$13))),2),0)</f>
        <v>0</v>
      </c>
      <c r="T19" s="588" cm="1">
        <f t="array" aca="1" ref="T19" ca="1">IF(AUTOEVENTO="Manual",ROUND(SUMPRODUCT((CÁLCULO!$M$15:$M$36=EVENTOS!$C19)*(OFFSET(CÁLCULO!$AA$15:$AA$36,0,T$13))),2),0)</f>
        <v>0</v>
      </c>
      <c r="U19" s="588" cm="1">
        <f t="array" aca="1" ref="U19" ca="1">IF(AUTOEVENTO="Manual",ROUND(SUMPRODUCT((CÁLCULO!$M$15:$M$36=EVENTOS!$C19)*(OFFSET(CÁLCULO!$AA$15:$AA$36,0,U$13))),2),0)</f>
        <v>0</v>
      </c>
      <c r="V19" s="588" cm="1">
        <f t="array" aca="1" ref="V19" ca="1">IF(AUTOEVENTO="Manual",ROUND(SUMPRODUCT((CÁLCULO!$M$15:$M$36=EVENTOS!$C19)*(OFFSET(CÁLCULO!$AA$15:$AA$36,0,V$13))),2),0)</f>
        <v>0</v>
      </c>
      <c r="W19" s="588" cm="1">
        <f t="array" aca="1" ref="W19" ca="1">IF(AUTOEVENTO="Manual",ROUND(SUMPRODUCT((CÁLCULO!$M$15:$M$36=EVENTOS!$C19)*(OFFSET(CÁLCULO!$AA$15:$AA$36,0,W$13))),2),0)</f>
        <v>0</v>
      </c>
      <c r="X19" s="588" cm="1">
        <f t="array" aca="1" ref="X19" ca="1">IF(AUTOEVENTO="Manual",ROUND(SUMPRODUCT((CÁLCULO!$M$15:$M$36=EVENTOS!$C19)*(OFFSET(CÁLCULO!$AA$15:$AA$36,0,X$13))),2),0)</f>
        <v>0</v>
      </c>
      <c r="Y19" s="588" cm="1">
        <f t="array" aca="1" ref="Y19" ca="1">IF(AUTOEVENTO="Manual",ROUND(SUMPRODUCT((CÁLCULO!$M$15:$M$36=EVENTOS!$C19)*(OFFSET(CÁLCULO!$AA$15:$AA$36,0,Y$13))),2),0)</f>
        <v>0</v>
      </c>
    </row>
    <row r="20" spans="1:25" x14ac:dyDescent="0.25">
      <c r="A20" s="415" t="str">
        <f t="shared" si="3"/>
        <v/>
      </c>
      <c r="B20" t="str">
        <f t="shared" ca="1" si="4"/>
        <v/>
      </c>
      <c r="C20" s="586" t="str" cm="1">
        <f t="array" aca="1" ref="C20" ca="1">IF(OR(ROW(C20)=ROW(EVENTOS.firstrow)+1,AND(OFFSET(C20,-1,0)&lt;&gt;" ",OFFSET(C20,-1,1)&lt;&gt;"")),OFFSET(C20,-1,0)+1," ")</f>
        <v xml:space="preserve"> </v>
      </c>
      <c r="D20" s="587"/>
      <c r="E20" s="588" cm="1">
        <f t="array" aca="1" ref="E20" ca="1">IF(AUTOEVENTO="Manual",ROUND(SUMPRODUCT((CÁLCULO!$M$15:$M$36=EVENTOS!$C20)*(OFFSET(CÁLCULO!$AA$15:$AA$36,0,E$13))),2),0)</f>
        <v>0</v>
      </c>
      <c r="F20" s="589">
        <f ca="1">IF(AUTOEVENTO="Manual",ROUND(SUMPRODUCT((CÁLCULO!$M$15:$M$36=EVENTOS!$C20)*(OFFSET(CÁLCULO!$AA$15,0,1):OFFSET(CÁLCULO!$AL$36,0,-1))),2),0)</f>
        <v>0</v>
      </c>
      <c r="G20" s="590" t="str">
        <f ca="1">IF(AND(D20=0,F20&gt;0),"NOME",
 IF(AND(D20&lt;&gt;0,$F$14&gt;0,F20=0),"VALOR",
 IF(AND(Import.TipoArredondamento="TransfereGOV",$A20="F",LEN(D20)&gt;100),"Nome &gt;100","")))</f>
        <v/>
      </c>
      <c r="H20" s="588" cm="1">
        <f t="array" aca="1" ref="H20" ca="1">IF(AUTOEVENTO="Manual",ROUND(SUMPRODUCT((CÁLCULO!$M$15:$M$36=EVENTOS!$C20)*(OFFSET(CÁLCULO!$AA$15:$AA$36,0,H$13))),2),0)</f>
        <v>0</v>
      </c>
      <c r="I20" s="588" cm="1">
        <f t="array" aca="1" ref="I20" ca="1">IF(AUTOEVENTO="Manual",ROUND(SUMPRODUCT((CÁLCULO!$M$15:$M$36=EVENTOS!$C20)*(OFFSET(CÁLCULO!$AA$15:$AA$36,0,I$13))),2),0)</f>
        <v>0</v>
      </c>
      <c r="J20" s="588" cm="1">
        <f t="array" aca="1" ref="J20" ca="1">IF(AUTOEVENTO="Manual",ROUND(SUMPRODUCT((CÁLCULO!$M$15:$M$36=EVENTOS!$C20)*(OFFSET(CÁLCULO!$AA$15:$AA$36,0,J$13))),2),0)</f>
        <v>0</v>
      </c>
      <c r="K20" s="588" cm="1">
        <f t="array" aca="1" ref="K20" ca="1">IF(AUTOEVENTO="Manual",ROUND(SUMPRODUCT((CÁLCULO!$M$15:$M$36=EVENTOS!$C20)*(OFFSET(CÁLCULO!$AA$15:$AA$36,0,K$13))),2),0)</f>
        <v>0</v>
      </c>
      <c r="L20" s="588" cm="1">
        <f t="array" aca="1" ref="L20" ca="1">IF(AUTOEVENTO="Manual",ROUND(SUMPRODUCT((CÁLCULO!$M$15:$M$36=EVENTOS!$C20)*(OFFSET(CÁLCULO!$AA$15:$AA$36,0,L$13))),2),0)</f>
        <v>0</v>
      </c>
      <c r="M20" s="588" cm="1">
        <f t="array" aca="1" ref="M20" ca="1">IF(AUTOEVENTO="Manual",ROUND(SUMPRODUCT((CÁLCULO!$M$15:$M$36=EVENTOS!$C20)*(OFFSET(CÁLCULO!$AA$15:$AA$36,0,M$13))),2),0)</f>
        <v>0</v>
      </c>
      <c r="N20" s="588" cm="1">
        <f t="array" aca="1" ref="N20" ca="1">IF(AUTOEVENTO="Manual",ROUND(SUMPRODUCT((CÁLCULO!$M$15:$M$36=EVENTOS!$C20)*(OFFSET(CÁLCULO!$AA$15:$AA$36,0,N$13))),2),0)</f>
        <v>0</v>
      </c>
      <c r="O20" s="588" cm="1">
        <f t="array" aca="1" ref="O20" ca="1">IF(AUTOEVENTO="Manual",ROUND(SUMPRODUCT((CÁLCULO!$M$15:$M$36=EVENTOS!$C20)*(OFFSET(CÁLCULO!$AA$15:$AA$36,0,O$13))),2),0)</f>
        <v>0</v>
      </c>
      <c r="P20" s="588" cm="1">
        <f t="array" aca="1" ref="P20" ca="1">IF(AUTOEVENTO="Manual",ROUND(SUMPRODUCT((CÁLCULO!$M$15:$M$36=EVENTOS!$C20)*(OFFSET(CÁLCULO!$AA$15:$AA$36,0,P$13))),2),0)</f>
        <v>0</v>
      </c>
      <c r="Q20" s="588" cm="1">
        <f t="array" aca="1" ref="Q20" ca="1">IF(AUTOEVENTO="Manual",ROUND(SUMPRODUCT((CÁLCULO!$M$15:$M$36=EVENTOS!$C20)*(OFFSET(CÁLCULO!$AA$15:$AA$36,0,Q$13))),2),0)</f>
        <v>0</v>
      </c>
      <c r="R20" s="588" cm="1">
        <f t="array" aca="1" ref="R20" ca="1">IF(AUTOEVENTO="Manual",ROUND(SUMPRODUCT((CÁLCULO!$M$15:$M$36=EVENTOS!$C20)*(OFFSET(CÁLCULO!$AA$15:$AA$36,0,R$13))),2),0)</f>
        <v>0</v>
      </c>
      <c r="S20" s="588" cm="1">
        <f t="array" aca="1" ref="S20" ca="1">IF(AUTOEVENTO="Manual",ROUND(SUMPRODUCT((CÁLCULO!$M$15:$M$36=EVENTOS!$C20)*(OFFSET(CÁLCULO!$AA$15:$AA$36,0,S$13))),2),0)</f>
        <v>0</v>
      </c>
      <c r="T20" s="588" cm="1">
        <f t="array" aca="1" ref="T20" ca="1">IF(AUTOEVENTO="Manual",ROUND(SUMPRODUCT((CÁLCULO!$M$15:$M$36=EVENTOS!$C20)*(OFFSET(CÁLCULO!$AA$15:$AA$36,0,T$13))),2),0)</f>
        <v>0</v>
      </c>
      <c r="U20" s="588" cm="1">
        <f t="array" aca="1" ref="U20" ca="1">IF(AUTOEVENTO="Manual",ROUND(SUMPRODUCT((CÁLCULO!$M$15:$M$36=EVENTOS!$C20)*(OFFSET(CÁLCULO!$AA$15:$AA$36,0,U$13))),2),0)</f>
        <v>0</v>
      </c>
      <c r="V20" s="588" cm="1">
        <f t="array" aca="1" ref="V20" ca="1">IF(AUTOEVENTO="Manual",ROUND(SUMPRODUCT((CÁLCULO!$M$15:$M$36=EVENTOS!$C20)*(OFFSET(CÁLCULO!$AA$15:$AA$36,0,V$13))),2),0)</f>
        <v>0</v>
      </c>
      <c r="W20" s="588" cm="1">
        <f t="array" aca="1" ref="W20" ca="1">IF(AUTOEVENTO="Manual",ROUND(SUMPRODUCT((CÁLCULO!$M$15:$M$36=EVENTOS!$C20)*(OFFSET(CÁLCULO!$AA$15:$AA$36,0,W$13))),2),0)</f>
        <v>0</v>
      </c>
      <c r="X20" s="588" cm="1">
        <f t="array" aca="1" ref="X20" ca="1">IF(AUTOEVENTO="Manual",ROUND(SUMPRODUCT((CÁLCULO!$M$15:$M$36=EVENTOS!$C20)*(OFFSET(CÁLCULO!$AA$15:$AA$36,0,X$13))),2),0)</f>
        <v>0</v>
      </c>
      <c r="Y20" s="588" cm="1">
        <f t="array" aca="1" ref="Y20" ca="1">IF(AUTOEVENTO="Manual",ROUND(SUMPRODUCT((CÁLCULO!$M$15:$M$36=EVENTOS!$C20)*(OFFSET(CÁLCULO!$AA$15:$AA$36,0,Y$13))),2),0)</f>
        <v>0</v>
      </c>
    </row>
    <row r="21" spans="1:25" x14ac:dyDescent="0.25">
      <c r="A21" s="415" t="str">
        <f t="shared" si="3"/>
        <v/>
      </c>
      <c r="B21" t="str">
        <f t="shared" ca="1" si="4"/>
        <v/>
      </c>
      <c r="C21" s="586" t="str" cm="1">
        <f t="array" aca="1" ref="C21" ca="1">IF(OR(ROW(C21)=ROW(EVENTOS.firstrow)+1,AND(OFFSET(C21,-1,0)&lt;&gt;" ",OFFSET(C21,-1,1)&lt;&gt;"")),OFFSET(C21,-1,0)+1," ")</f>
        <v xml:space="preserve"> </v>
      </c>
      <c r="D21" s="587"/>
      <c r="E21" s="588" cm="1">
        <f t="array" aca="1" ref="E21" ca="1">IF(AUTOEVENTO="Manual",ROUND(SUMPRODUCT((CÁLCULO!$M$15:$M$36=EVENTOS!$C21)*(OFFSET(CÁLCULO!$AA$15:$AA$36,0,E$13))),2),0)</f>
        <v>0</v>
      </c>
      <c r="F21" s="589">
        <f ca="1">IF(AUTOEVENTO="Manual",ROUND(SUMPRODUCT((CÁLCULO!$M$15:$M$36=EVENTOS!$C21)*(OFFSET(CÁLCULO!$AA$15,0,1):OFFSET(CÁLCULO!$AL$36,0,-1))),2),0)</f>
        <v>0</v>
      </c>
      <c r="G21" s="590" t="str">
        <f ca="1">IF(AND(D21=0,F21&gt;0),"NOME",
 IF(AND(D21&lt;&gt;0,$F$14&gt;0,F21=0),"VALOR",
 IF(AND(Import.TipoArredondamento="TransfereGOV",$A21="F",LEN(D21)&gt;100),"Nome &gt;100","")))</f>
        <v/>
      </c>
      <c r="H21" s="588" cm="1">
        <f t="array" aca="1" ref="H21" ca="1">IF(AUTOEVENTO="Manual",ROUND(SUMPRODUCT((CÁLCULO!$M$15:$M$36=EVENTOS!$C21)*(OFFSET(CÁLCULO!$AA$15:$AA$36,0,H$13))),2),0)</f>
        <v>0</v>
      </c>
      <c r="I21" s="588" cm="1">
        <f t="array" aca="1" ref="I21" ca="1">IF(AUTOEVENTO="Manual",ROUND(SUMPRODUCT((CÁLCULO!$M$15:$M$36=EVENTOS!$C21)*(OFFSET(CÁLCULO!$AA$15:$AA$36,0,I$13))),2),0)</f>
        <v>0</v>
      </c>
      <c r="J21" s="588" cm="1">
        <f t="array" aca="1" ref="J21" ca="1">IF(AUTOEVENTO="Manual",ROUND(SUMPRODUCT((CÁLCULO!$M$15:$M$36=EVENTOS!$C21)*(OFFSET(CÁLCULO!$AA$15:$AA$36,0,J$13))),2),0)</f>
        <v>0</v>
      </c>
      <c r="K21" s="588" cm="1">
        <f t="array" aca="1" ref="K21" ca="1">IF(AUTOEVENTO="Manual",ROUND(SUMPRODUCT((CÁLCULO!$M$15:$M$36=EVENTOS!$C21)*(OFFSET(CÁLCULO!$AA$15:$AA$36,0,K$13))),2),0)</f>
        <v>0</v>
      </c>
      <c r="L21" s="588" cm="1">
        <f t="array" aca="1" ref="L21" ca="1">IF(AUTOEVENTO="Manual",ROUND(SUMPRODUCT((CÁLCULO!$M$15:$M$36=EVENTOS!$C21)*(OFFSET(CÁLCULO!$AA$15:$AA$36,0,L$13))),2),0)</f>
        <v>0</v>
      </c>
      <c r="M21" s="588" cm="1">
        <f t="array" aca="1" ref="M21" ca="1">IF(AUTOEVENTO="Manual",ROUND(SUMPRODUCT((CÁLCULO!$M$15:$M$36=EVENTOS!$C21)*(OFFSET(CÁLCULO!$AA$15:$AA$36,0,M$13))),2),0)</f>
        <v>0</v>
      </c>
      <c r="N21" s="588" cm="1">
        <f t="array" aca="1" ref="N21" ca="1">IF(AUTOEVENTO="Manual",ROUND(SUMPRODUCT((CÁLCULO!$M$15:$M$36=EVENTOS!$C21)*(OFFSET(CÁLCULO!$AA$15:$AA$36,0,N$13))),2),0)</f>
        <v>0</v>
      </c>
      <c r="O21" s="588" cm="1">
        <f t="array" aca="1" ref="O21" ca="1">IF(AUTOEVENTO="Manual",ROUND(SUMPRODUCT((CÁLCULO!$M$15:$M$36=EVENTOS!$C21)*(OFFSET(CÁLCULO!$AA$15:$AA$36,0,O$13))),2),0)</f>
        <v>0</v>
      </c>
      <c r="P21" s="588" cm="1">
        <f t="array" aca="1" ref="P21" ca="1">IF(AUTOEVENTO="Manual",ROUND(SUMPRODUCT((CÁLCULO!$M$15:$M$36=EVENTOS!$C21)*(OFFSET(CÁLCULO!$AA$15:$AA$36,0,P$13))),2),0)</f>
        <v>0</v>
      </c>
      <c r="Q21" s="588" cm="1">
        <f t="array" aca="1" ref="Q21" ca="1">IF(AUTOEVENTO="Manual",ROUND(SUMPRODUCT((CÁLCULO!$M$15:$M$36=EVENTOS!$C21)*(OFFSET(CÁLCULO!$AA$15:$AA$36,0,Q$13))),2),0)</f>
        <v>0</v>
      </c>
      <c r="R21" s="588" cm="1">
        <f t="array" aca="1" ref="R21" ca="1">IF(AUTOEVENTO="Manual",ROUND(SUMPRODUCT((CÁLCULO!$M$15:$M$36=EVENTOS!$C21)*(OFFSET(CÁLCULO!$AA$15:$AA$36,0,R$13))),2),0)</f>
        <v>0</v>
      </c>
      <c r="S21" s="588" cm="1">
        <f t="array" aca="1" ref="S21" ca="1">IF(AUTOEVENTO="Manual",ROUND(SUMPRODUCT((CÁLCULO!$M$15:$M$36=EVENTOS!$C21)*(OFFSET(CÁLCULO!$AA$15:$AA$36,0,S$13))),2),0)</f>
        <v>0</v>
      </c>
      <c r="T21" s="588" cm="1">
        <f t="array" aca="1" ref="T21" ca="1">IF(AUTOEVENTO="Manual",ROUND(SUMPRODUCT((CÁLCULO!$M$15:$M$36=EVENTOS!$C21)*(OFFSET(CÁLCULO!$AA$15:$AA$36,0,T$13))),2),0)</f>
        <v>0</v>
      </c>
      <c r="U21" s="588" cm="1">
        <f t="array" aca="1" ref="U21" ca="1">IF(AUTOEVENTO="Manual",ROUND(SUMPRODUCT((CÁLCULO!$M$15:$M$36=EVENTOS!$C21)*(OFFSET(CÁLCULO!$AA$15:$AA$36,0,U$13))),2),0)</f>
        <v>0</v>
      </c>
      <c r="V21" s="588" cm="1">
        <f t="array" aca="1" ref="V21" ca="1">IF(AUTOEVENTO="Manual",ROUND(SUMPRODUCT((CÁLCULO!$M$15:$M$36=EVENTOS!$C21)*(OFFSET(CÁLCULO!$AA$15:$AA$36,0,V$13))),2),0)</f>
        <v>0</v>
      </c>
      <c r="W21" s="588" cm="1">
        <f t="array" aca="1" ref="W21" ca="1">IF(AUTOEVENTO="Manual",ROUND(SUMPRODUCT((CÁLCULO!$M$15:$M$36=EVENTOS!$C21)*(OFFSET(CÁLCULO!$AA$15:$AA$36,0,W$13))),2),0)</f>
        <v>0</v>
      </c>
      <c r="X21" s="588" cm="1">
        <f t="array" aca="1" ref="X21" ca="1">IF(AUTOEVENTO="Manual",ROUND(SUMPRODUCT((CÁLCULO!$M$15:$M$36=EVENTOS!$C21)*(OFFSET(CÁLCULO!$AA$15:$AA$36,0,X$13))),2),0)</f>
        <v>0</v>
      </c>
      <c r="Y21" s="588" cm="1">
        <f t="array" aca="1" ref="Y21" ca="1">IF(AUTOEVENTO="Manual",ROUND(SUMPRODUCT((CÁLCULO!$M$15:$M$36=EVENTOS!$C21)*(OFFSET(CÁLCULO!$AA$15:$AA$36,0,Y$13))),2),0)</f>
        <v>0</v>
      </c>
    </row>
    <row r="22" spans="1:25" x14ac:dyDescent="0.25">
      <c r="A22" s="415" t="str">
        <f t="shared" si="3"/>
        <v/>
      </c>
      <c r="B22" t="str">
        <f t="shared" ca="1" si="4"/>
        <v/>
      </c>
      <c r="C22" s="586" t="str" cm="1">
        <f t="array" aca="1" ref="C22" ca="1">IF(OR(ROW(C22)=ROW(EVENTOS.firstrow)+1,AND(OFFSET(C22,-1,0)&lt;&gt;" ",OFFSET(C22,-1,1)&lt;&gt;"")),OFFSET(C22,-1,0)+1," ")</f>
        <v xml:space="preserve"> </v>
      </c>
      <c r="D22" s="587"/>
      <c r="E22" s="588" cm="1">
        <f t="array" aca="1" ref="E22" ca="1">IF(AUTOEVENTO="Manual",ROUND(SUMPRODUCT((CÁLCULO!$M$15:$M$36=EVENTOS!$C22)*(OFFSET(CÁLCULO!$AA$15:$AA$36,0,E$13))),2),0)</f>
        <v>0</v>
      </c>
      <c r="F22" s="589">
        <f ca="1">IF(AUTOEVENTO="Manual",ROUND(SUMPRODUCT((CÁLCULO!$M$15:$M$36=EVENTOS!$C22)*(OFFSET(CÁLCULO!$AA$15,0,1):OFFSET(CÁLCULO!$AL$36,0,-1))),2),0)</f>
        <v>0</v>
      </c>
      <c r="G22" s="590" t="str">
        <f ca="1">IF(AND(D22=0,F22&gt;0),"NOME",
 IF(AND(D22&lt;&gt;0,$F$14&gt;0,F22=0),"VALOR",
 IF(AND(Import.TipoArredondamento="TransfereGOV",$A22="F",LEN(D22)&gt;100),"Nome &gt;100","")))</f>
        <v/>
      </c>
      <c r="H22" s="588" cm="1">
        <f t="array" aca="1" ref="H22" ca="1">IF(AUTOEVENTO="Manual",ROUND(SUMPRODUCT((CÁLCULO!$M$15:$M$36=EVENTOS!$C22)*(OFFSET(CÁLCULO!$AA$15:$AA$36,0,H$13))),2),0)</f>
        <v>0</v>
      </c>
      <c r="I22" s="588" cm="1">
        <f t="array" aca="1" ref="I22" ca="1">IF(AUTOEVENTO="Manual",ROUND(SUMPRODUCT((CÁLCULO!$M$15:$M$36=EVENTOS!$C22)*(OFFSET(CÁLCULO!$AA$15:$AA$36,0,I$13))),2),0)</f>
        <v>0</v>
      </c>
      <c r="J22" s="588" cm="1">
        <f t="array" aca="1" ref="J22" ca="1">IF(AUTOEVENTO="Manual",ROUND(SUMPRODUCT((CÁLCULO!$M$15:$M$36=EVENTOS!$C22)*(OFFSET(CÁLCULO!$AA$15:$AA$36,0,J$13))),2),0)</f>
        <v>0</v>
      </c>
      <c r="K22" s="588" cm="1">
        <f t="array" aca="1" ref="K22" ca="1">IF(AUTOEVENTO="Manual",ROUND(SUMPRODUCT((CÁLCULO!$M$15:$M$36=EVENTOS!$C22)*(OFFSET(CÁLCULO!$AA$15:$AA$36,0,K$13))),2),0)</f>
        <v>0</v>
      </c>
      <c r="L22" s="588" cm="1">
        <f t="array" aca="1" ref="L22" ca="1">IF(AUTOEVENTO="Manual",ROUND(SUMPRODUCT((CÁLCULO!$M$15:$M$36=EVENTOS!$C22)*(OFFSET(CÁLCULO!$AA$15:$AA$36,0,L$13))),2),0)</f>
        <v>0</v>
      </c>
      <c r="M22" s="588" cm="1">
        <f t="array" aca="1" ref="M22" ca="1">IF(AUTOEVENTO="Manual",ROUND(SUMPRODUCT((CÁLCULO!$M$15:$M$36=EVENTOS!$C22)*(OFFSET(CÁLCULO!$AA$15:$AA$36,0,M$13))),2),0)</f>
        <v>0</v>
      </c>
      <c r="N22" s="588" cm="1">
        <f t="array" aca="1" ref="N22" ca="1">IF(AUTOEVENTO="Manual",ROUND(SUMPRODUCT((CÁLCULO!$M$15:$M$36=EVENTOS!$C22)*(OFFSET(CÁLCULO!$AA$15:$AA$36,0,N$13))),2),0)</f>
        <v>0</v>
      </c>
      <c r="O22" s="588" cm="1">
        <f t="array" aca="1" ref="O22" ca="1">IF(AUTOEVENTO="Manual",ROUND(SUMPRODUCT((CÁLCULO!$M$15:$M$36=EVENTOS!$C22)*(OFFSET(CÁLCULO!$AA$15:$AA$36,0,O$13))),2),0)</f>
        <v>0</v>
      </c>
      <c r="P22" s="588" cm="1">
        <f t="array" aca="1" ref="P22" ca="1">IF(AUTOEVENTO="Manual",ROUND(SUMPRODUCT((CÁLCULO!$M$15:$M$36=EVENTOS!$C22)*(OFFSET(CÁLCULO!$AA$15:$AA$36,0,P$13))),2),0)</f>
        <v>0</v>
      </c>
      <c r="Q22" s="588" cm="1">
        <f t="array" aca="1" ref="Q22" ca="1">IF(AUTOEVENTO="Manual",ROUND(SUMPRODUCT((CÁLCULO!$M$15:$M$36=EVENTOS!$C22)*(OFFSET(CÁLCULO!$AA$15:$AA$36,0,Q$13))),2),0)</f>
        <v>0</v>
      </c>
      <c r="R22" s="588" cm="1">
        <f t="array" aca="1" ref="R22" ca="1">IF(AUTOEVENTO="Manual",ROUND(SUMPRODUCT((CÁLCULO!$M$15:$M$36=EVENTOS!$C22)*(OFFSET(CÁLCULO!$AA$15:$AA$36,0,R$13))),2),0)</f>
        <v>0</v>
      </c>
      <c r="S22" s="588" cm="1">
        <f t="array" aca="1" ref="S22" ca="1">IF(AUTOEVENTO="Manual",ROUND(SUMPRODUCT((CÁLCULO!$M$15:$M$36=EVENTOS!$C22)*(OFFSET(CÁLCULO!$AA$15:$AA$36,0,S$13))),2),0)</f>
        <v>0</v>
      </c>
      <c r="T22" s="588" cm="1">
        <f t="array" aca="1" ref="T22" ca="1">IF(AUTOEVENTO="Manual",ROUND(SUMPRODUCT((CÁLCULO!$M$15:$M$36=EVENTOS!$C22)*(OFFSET(CÁLCULO!$AA$15:$AA$36,0,T$13))),2),0)</f>
        <v>0</v>
      </c>
      <c r="U22" s="588" cm="1">
        <f t="array" aca="1" ref="U22" ca="1">IF(AUTOEVENTO="Manual",ROUND(SUMPRODUCT((CÁLCULO!$M$15:$M$36=EVENTOS!$C22)*(OFFSET(CÁLCULO!$AA$15:$AA$36,0,U$13))),2),0)</f>
        <v>0</v>
      </c>
      <c r="V22" s="588" cm="1">
        <f t="array" aca="1" ref="V22" ca="1">IF(AUTOEVENTO="Manual",ROUND(SUMPRODUCT((CÁLCULO!$M$15:$M$36=EVENTOS!$C22)*(OFFSET(CÁLCULO!$AA$15:$AA$36,0,V$13))),2),0)</f>
        <v>0</v>
      </c>
      <c r="W22" s="588" cm="1">
        <f t="array" aca="1" ref="W22" ca="1">IF(AUTOEVENTO="Manual",ROUND(SUMPRODUCT((CÁLCULO!$M$15:$M$36=EVENTOS!$C22)*(OFFSET(CÁLCULO!$AA$15:$AA$36,0,W$13))),2),0)</f>
        <v>0</v>
      </c>
      <c r="X22" s="588" cm="1">
        <f t="array" aca="1" ref="X22" ca="1">IF(AUTOEVENTO="Manual",ROUND(SUMPRODUCT((CÁLCULO!$M$15:$M$36=EVENTOS!$C22)*(OFFSET(CÁLCULO!$AA$15:$AA$36,0,X$13))),2),0)</f>
        <v>0</v>
      </c>
      <c r="Y22" s="588" cm="1">
        <f t="array" aca="1" ref="Y22" ca="1">IF(AUTOEVENTO="Manual",ROUND(SUMPRODUCT((CÁLCULO!$M$15:$M$36=EVENTOS!$C22)*(OFFSET(CÁLCULO!$AA$15:$AA$36,0,Y$13))),2),0)</f>
        <v>0</v>
      </c>
    </row>
    <row r="23" spans="1:25" x14ac:dyDescent="0.25">
      <c r="A23" s="415" t="str">
        <f t="shared" si="3"/>
        <v/>
      </c>
      <c r="B23" t="str">
        <f t="shared" ca="1" si="4"/>
        <v/>
      </c>
      <c r="C23" s="586" t="str" cm="1">
        <f t="array" aca="1" ref="C23" ca="1">IF(OR(ROW(C23)=ROW(EVENTOS.firstrow)+1,AND(OFFSET(C23,-1,0)&lt;&gt;" ",OFFSET(C23,-1,1)&lt;&gt;"")),OFFSET(C23,-1,0)+1," ")</f>
        <v xml:space="preserve"> </v>
      </c>
      <c r="D23" s="587"/>
      <c r="E23" s="588" cm="1">
        <f t="array" aca="1" ref="E23" ca="1">IF(AUTOEVENTO="Manual",ROUND(SUMPRODUCT((CÁLCULO!$M$15:$M$36=EVENTOS!$C23)*(OFFSET(CÁLCULO!$AA$15:$AA$36,0,E$13))),2),0)</f>
        <v>0</v>
      </c>
      <c r="F23" s="589">
        <f ca="1">IF(AUTOEVENTO="Manual",ROUND(SUMPRODUCT((CÁLCULO!$M$15:$M$36=EVENTOS!$C23)*(OFFSET(CÁLCULO!$AA$15,0,1):OFFSET(CÁLCULO!$AL$36,0,-1))),2),0)</f>
        <v>0</v>
      </c>
      <c r="G23" s="590" t="str">
        <f ca="1">IF(AND(D23=0,F23&gt;0),"NOME",
 IF(AND(D23&lt;&gt;0,$F$14&gt;0,F23=0),"VALOR",
 IF(AND(Import.TipoArredondamento="TransfereGOV",$A23="F",LEN(D23)&gt;100),"Nome &gt;100","")))</f>
        <v/>
      </c>
      <c r="H23" s="588" cm="1">
        <f t="array" aca="1" ref="H23" ca="1">IF(AUTOEVENTO="Manual",ROUND(SUMPRODUCT((CÁLCULO!$M$15:$M$36=EVENTOS!$C23)*(OFFSET(CÁLCULO!$AA$15:$AA$36,0,H$13))),2),0)</f>
        <v>0</v>
      </c>
      <c r="I23" s="588" cm="1">
        <f t="array" aca="1" ref="I23" ca="1">IF(AUTOEVENTO="Manual",ROUND(SUMPRODUCT((CÁLCULO!$M$15:$M$36=EVENTOS!$C23)*(OFFSET(CÁLCULO!$AA$15:$AA$36,0,I$13))),2),0)</f>
        <v>0</v>
      </c>
      <c r="J23" s="588" cm="1">
        <f t="array" aca="1" ref="J23" ca="1">IF(AUTOEVENTO="Manual",ROUND(SUMPRODUCT((CÁLCULO!$M$15:$M$36=EVENTOS!$C23)*(OFFSET(CÁLCULO!$AA$15:$AA$36,0,J$13))),2),0)</f>
        <v>0</v>
      </c>
      <c r="K23" s="588" cm="1">
        <f t="array" aca="1" ref="K23" ca="1">IF(AUTOEVENTO="Manual",ROUND(SUMPRODUCT((CÁLCULO!$M$15:$M$36=EVENTOS!$C23)*(OFFSET(CÁLCULO!$AA$15:$AA$36,0,K$13))),2),0)</f>
        <v>0</v>
      </c>
      <c r="L23" s="588" cm="1">
        <f t="array" aca="1" ref="L23" ca="1">IF(AUTOEVENTO="Manual",ROUND(SUMPRODUCT((CÁLCULO!$M$15:$M$36=EVENTOS!$C23)*(OFFSET(CÁLCULO!$AA$15:$AA$36,0,L$13))),2),0)</f>
        <v>0</v>
      </c>
      <c r="M23" s="588" cm="1">
        <f t="array" aca="1" ref="M23" ca="1">IF(AUTOEVENTO="Manual",ROUND(SUMPRODUCT((CÁLCULO!$M$15:$M$36=EVENTOS!$C23)*(OFFSET(CÁLCULO!$AA$15:$AA$36,0,M$13))),2),0)</f>
        <v>0</v>
      </c>
      <c r="N23" s="588" cm="1">
        <f t="array" aca="1" ref="N23" ca="1">IF(AUTOEVENTO="Manual",ROUND(SUMPRODUCT((CÁLCULO!$M$15:$M$36=EVENTOS!$C23)*(OFFSET(CÁLCULO!$AA$15:$AA$36,0,N$13))),2),0)</f>
        <v>0</v>
      </c>
      <c r="O23" s="588" cm="1">
        <f t="array" aca="1" ref="O23" ca="1">IF(AUTOEVENTO="Manual",ROUND(SUMPRODUCT((CÁLCULO!$M$15:$M$36=EVENTOS!$C23)*(OFFSET(CÁLCULO!$AA$15:$AA$36,0,O$13))),2),0)</f>
        <v>0</v>
      </c>
      <c r="P23" s="588" cm="1">
        <f t="array" aca="1" ref="P23" ca="1">IF(AUTOEVENTO="Manual",ROUND(SUMPRODUCT((CÁLCULO!$M$15:$M$36=EVENTOS!$C23)*(OFFSET(CÁLCULO!$AA$15:$AA$36,0,P$13))),2),0)</f>
        <v>0</v>
      </c>
      <c r="Q23" s="588" cm="1">
        <f t="array" aca="1" ref="Q23" ca="1">IF(AUTOEVENTO="Manual",ROUND(SUMPRODUCT((CÁLCULO!$M$15:$M$36=EVENTOS!$C23)*(OFFSET(CÁLCULO!$AA$15:$AA$36,0,Q$13))),2),0)</f>
        <v>0</v>
      </c>
      <c r="R23" s="588" cm="1">
        <f t="array" aca="1" ref="R23" ca="1">IF(AUTOEVENTO="Manual",ROUND(SUMPRODUCT((CÁLCULO!$M$15:$M$36=EVENTOS!$C23)*(OFFSET(CÁLCULO!$AA$15:$AA$36,0,R$13))),2),0)</f>
        <v>0</v>
      </c>
      <c r="S23" s="588" cm="1">
        <f t="array" aca="1" ref="S23" ca="1">IF(AUTOEVENTO="Manual",ROUND(SUMPRODUCT((CÁLCULO!$M$15:$M$36=EVENTOS!$C23)*(OFFSET(CÁLCULO!$AA$15:$AA$36,0,S$13))),2),0)</f>
        <v>0</v>
      </c>
      <c r="T23" s="588" cm="1">
        <f t="array" aca="1" ref="T23" ca="1">IF(AUTOEVENTO="Manual",ROUND(SUMPRODUCT((CÁLCULO!$M$15:$M$36=EVENTOS!$C23)*(OFFSET(CÁLCULO!$AA$15:$AA$36,0,T$13))),2),0)</f>
        <v>0</v>
      </c>
      <c r="U23" s="588" cm="1">
        <f t="array" aca="1" ref="U23" ca="1">IF(AUTOEVENTO="Manual",ROUND(SUMPRODUCT((CÁLCULO!$M$15:$M$36=EVENTOS!$C23)*(OFFSET(CÁLCULO!$AA$15:$AA$36,0,U$13))),2),0)</f>
        <v>0</v>
      </c>
      <c r="V23" s="588" cm="1">
        <f t="array" aca="1" ref="V23" ca="1">IF(AUTOEVENTO="Manual",ROUND(SUMPRODUCT((CÁLCULO!$M$15:$M$36=EVENTOS!$C23)*(OFFSET(CÁLCULO!$AA$15:$AA$36,0,V$13))),2),0)</f>
        <v>0</v>
      </c>
      <c r="W23" s="588" cm="1">
        <f t="array" aca="1" ref="W23" ca="1">IF(AUTOEVENTO="Manual",ROUND(SUMPRODUCT((CÁLCULO!$M$15:$M$36=EVENTOS!$C23)*(OFFSET(CÁLCULO!$AA$15:$AA$36,0,W$13))),2),0)</f>
        <v>0</v>
      </c>
      <c r="X23" s="588" cm="1">
        <f t="array" aca="1" ref="X23" ca="1">IF(AUTOEVENTO="Manual",ROUND(SUMPRODUCT((CÁLCULO!$M$15:$M$36=EVENTOS!$C23)*(OFFSET(CÁLCULO!$AA$15:$AA$36,0,X$13))),2),0)</f>
        <v>0</v>
      </c>
      <c r="Y23" s="588" cm="1">
        <f t="array" aca="1" ref="Y23" ca="1">IF(AUTOEVENTO="Manual",ROUND(SUMPRODUCT((CÁLCULO!$M$15:$M$36=EVENTOS!$C23)*(OFFSET(CÁLCULO!$AA$15:$AA$36,0,Y$13))),2),0)</f>
        <v>0</v>
      </c>
    </row>
    <row r="24" spans="1:25" x14ac:dyDescent="0.25">
      <c r="A24" s="415" t="str">
        <f t="shared" si="3"/>
        <v/>
      </c>
      <c r="B24" t="str">
        <f t="shared" ca="1" si="4"/>
        <v/>
      </c>
      <c r="C24" s="586" t="str" cm="1">
        <f t="array" aca="1" ref="C24" ca="1">IF(OR(ROW(C24)=ROW(EVENTOS.firstrow)+1,AND(OFFSET(C24,-1,0)&lt;&gt;" ",OFFSET(C24,-1,1)&lt;&gt;"")),OFFSET(C24,-1,0)+1," ")</f>
        <v xml:space="preserve"> </v>
      </c>
      <c r="D24" s="587"/>
      <c r="E24" s="588" cm="1">
        <f t="array" aca="1" ref="E24" ca="1">IF(AUTOEVENTO="Manual",ROUND(SUMPRODUCT((CÁLCULO!$M$15:$M$36=EVENTOS!$C24)*(OFFSET(CÁLCULO!$AA$15:$AA$36,0,E$13))),2),0)</f>
        <v>0</v>
      </c>
      <c r="F24" s="589">
        <f ca="1">IF(AUTOEVENTO="Manual",ROUND(SUMPRODUCT((CÁLCULO!$M$15:$M$36=EVENTOS!$C24)*(OFFSET(CÁLCULO!$AA$15,0,1):OFFSET(CÁLCULO!$AL$36,0,-1))),2),0)</f>
        <v>0</v>
      </c>
      <c r="G24" s="590" t="str">
        <f ca="1">IF(AND(D24=0,F24&gt;0),"NOME",
 IF(AND(D24&lt;&gt;0,$F$14&gt;0,F24=0),"VALOR",
 IF(AND(Import.TipoArredondamento="TransfereGOV",$A24="F",LEN(D24)&gt;100),"Nome &gt;100","")))</f>
        <v/>
      </c>
      <c r="H24" s="588" cm="1">
        <f t="array" aca="1" ref="H24" ca="1">IF(AUTOEVENTO="Manual",ROUND(SUMPRODUCT((CÁLCULO!$M$15:$M$36=EVENTOS!$C24)*(OFFSET(CÁLCULO!$AA$15:$AA$36,0,H$13))),2),0)</f>
        <v>0</v>
      </c>
      <c r="I24" s="588" cm="1">
        <f t="array" aca="1" ref="I24" ca="1">IF(AUTOEVENTO="Manual",ROUND(SUMPRODUCT((CÁLCULO!$M$15:$M$36=EVENTOS!$C24)*(OFFSET(CÁLCULO!$AA$15:$AA$36,0,I$13))),2),0)</f>
        <v>0</v>
      </c>
      <c r="J24" s="588" cm="1">
        <f t="array" aca="1" ref="J24" ca="1">IF(AUTOEVENTO="Manual",ROUND(SUMPRODUCT((CÁLCULO!$M$15:$M$36=EVENTOS!$C24)*(OFFSET(CÁLCULO!$AA$15:$AA$36,0,J$13))),2),0)</f>
        <v>0</v>
      </c>
      <c r="K24" s="588" cm="1">
        <f t="array" aca="1" ref="K24" ca="1">IF(AUTOEVENTO="Manual",ROUND(SUMPRODUCT((CÁLCULO!$M$15:$M$36=EVENTOS!$C24)*(OFFSET(CÁLCULO!$AA$15:$AA$36,0,K$13))),2),0)</f>
        <v>0</v>
      </c>
      <c r="L24" s="588" cm="1">
        <f t="array" aca="1" ref="L24" ca="1">IF(AUTOEVENTO="Manual",ROUND(SUMPRODUCT((CÁLCULO!$M$15:$M$36=EVENTOS!$C24)*(OFFSET(CÁLCULO!$AA$15:$AA$36,0,L$13))),2),0)</f>
        <v>0</v>
      </c>
      <c r="M24" s="588" cm="1">
        <f t="array" aca="1" ref="M24" ca="1">IF(AUTOEVENTO="Manual",ROUND(SUMPRODUCT((CÁLCULO!$M$15:$M$36=EVENTOS!$C24)*(OFFSET(CÁLCULO!$AA$15:$AA$36,0,M$13))),2),0)</f>
        <v>0</v>
      </c>
      <c r="N24" s="588" cm="1">
        <f t="array" aca="1" ref="N24" ca="1">IF(AUTOEVENTO="Manual",ROUND(SUMPRODUCT((CÁLCULO!$M$15:$M$36=EVENTOS!$C24)*(OFFSET(CÁLCULO!$AA$15:$AA$36,0,N$13))),2),0)</f>
        <v>0</v>
      </c>
      <c r="O24" s="588" cm="1">
        <f t="array" aca="1" ref="O24" ca="1">IF(AUTOEVENTO="Manual",ROUND(SUMPRODUCT((CÁLCULO!$M$15:$M$36=EVENTOS!$C24)*(OFFSET(CÁLCULO!$AA$15:$AA$36,0,O$13))),2),0)</f>
        <v>0</v>
      </c>
      <c r="P24" s="588" cm="1">
        <f t="array" aca="1" ref="P24" ca="1">IF(AUTOEVENTO="Manual",ROUND(SUMPRODUCT((CÁLCULO!$M$15:$M$36=EVENTOS!$C24)*(OFFSET(CÁLCULO!$AA$15:$AA$36,0,P$13))),2),0)</f>
        <v>0</v>
      </c>
      <c r="Q24" s="588" cm="1">
        <f t="array" aca="1" ref="Q24" ca="1">IF(AUTOEVENTO="Manual",ROUND(SUMPRODUCT((CÁLCULO!$M$15:$M$36=EVENTOS!$C24)*(OFFSET(CÁLCULO!$AA$15:$AA$36,0,Q$13))),2),0)</f>
        <v>0</v>
      </c>
      <c r="R24" s="588" cm="1">
        <f t="array" aca="1" ref="R24" ca="1">IF(AUTOEVENTO="Manual",ROUND(SUMPRODUCT((CÁLCULO!$M$15:$M$36=EVENTOS!$C24)*(OFFSET(CÁLCULO!$AA$15:$AA$36,0,R$13))),2),0)</f>
        <v>0</v>
      </c>
      <c r="S24" s="588" cm="1">
        <f t="array" aca="1" ref="S24" ca="1">IF(AUTOEVENTO="Manual",ROUND(SUMPRODUCT((CÁLCULO!$M$15:$M$36=EVENTOS!$C24)*(OFFSET(CÁLCULO!$AA$15:$AA$36,0,S$13))),2),0)</f>
        <v>0</v>
      </c>
      <c r="T24" s="588" cm="1">
        <f t="array" aca="1" ref="T24" ca="1">IF(AUTOEVENTO="Manual",ROUND(SUMPRODUCT((CÁLCULO!$M$15:$M$36=EVENTOS!$C24)*(OFFSET(CÁLCULO!$AA$15:$AA$36,0,T$13))),2),0)</f>
        <v>0</v>
      </c>
      <c r="U24" s="588" cm="1">
        <f t="array" aca="1" ref="U24" ca="1">IF(AUTOEVENTO="Manual",ROUND(SUMPRODUCT((CÁLCULO!$M$15:$M$36=EVENTOS!$C24)*(OFFSET(CÁLCULO!$AA$15:$AA$36,0,U$13))),2),0)</f>
        <v>0</v>
      </c>
      <c r="V24" s="588" cm="1">
        <f t="array" aca="1" ref="V24" ca="1">IF(AUTOEVENTO="Manual",ROUND(SUMPRODUCT((CÁLCULO!$M$15:$M$36=EVENTOS!$C24)*(OFFSET(CÁLCULO!$AA$15:$AA$36,0,V$13))),2),0)</f>
        <v>0</v>
      </c>
      <c r="W24" s="588" cm="1">
        <f t="array" aca="1" ref="W24" ca="1">IF(AUTOEVENTO="Manual",ROUND(SUMPRODUCT((CÁLCULO!$M$15:$M$36=EVENTOS!$C24)*(OFFSET(CÁLCULO!$AA$15:$AA$36,0,W$13))),2),0)</f>
        <v>0</v>
      </c>
      <c r="X24" s="588" cm="1">
        <f t="array" aca="1" ref="X24" ca="1">IF(AUTOEVENTO="Manual",ROUND(SUMPRODUCT((CÁLCULO!$M$15:$M$36=EVENTOS!$C24)*(OFFSET(CÁLCULO!$AA$15:$AA$36,0,X$13))),2),0)</f>
        <v>0</v>
      </c>
      <c r="Y24" s="588" cm="1">
        <f t="array" aca="1" ref="Y24" ca="1">IF(AUTOEVENTO="Manual",ROUND(SUMPRODUCT((CÁLCULO!$M$15:$M$36=EVENTOS!$C24)*(OFFSET(CÁLCULO!$AA$15:$AA$36,0,Y$13))),2),0)</f>
        <v>0</v>
      </c>
    </row>
    <row r="25" spans="1:25" x14ac:dyDescent="0.25">
      <c r="A25" s="415" t="str">
        <f t="shared" si="3"/>
        <v/>
      </c>
      <c r="B25" t="str">
        <f t="shared" ca="1" si="4"/>
        <v/>
      </c>
      <c r="C25" s="586" t="str" cm="1">
        <f t="array" aca="1" ref="C25" ca="1">IF(OR(ROW(C25)=ROW(EVENTOS.firstrow)+1,AND(OFFSET(C25,-1,0)&lt;&gt;" ",OFFSET(C25,-1,1)&lt;&gt;"")),OFFSET(C25,-1,0)+1," ")</f>
        <v xml:space="preserve"> </v>
      </c>
      <c r="D25" s="587"/>
      <c r="E25" s="588" cm="1">
        <f t="array" aca="1" ref="E25" ca="1">IF(AUTOEVENTO="Manual",ROUND(SUMPRODUCT((CÁLCULO!$M$15:$M$36=EVENTOS!$C25)*(OFFSET(CÁLCULO!$AA$15:$AA$36,0,E$13))),2),0)</f>
        <v>0</v>
      </c>
      <c r="F25" s="589">
        <f ca="1">IF(AUTOEVENTO="Manual",ROUND(SUMPRODUCT((CÁLCULO!$M$15:$M$36=EVENTOS!$C25)*(OFFSET(CÁLCULO!$AA$15,0,1):OFFSET(CÁLCULO!$AL$36,0,-1))),2),0)</f>
        <v>0</v>
      </c>
      <c r="G25" s="590" t="str">
        <f ca="1">IF(AND(D25=0,F25&gt;0),"NOME",
 IF(AND(D25&lt;&gt;0,$F$14&gt;0,F25=0),"VALOR",
 IF(AND(Import.TipoArredondamento="TransfereGOV",$A25="F",LEN(D25)&gt;100),"Nome &gt;100","")))</f>
        <v/>
      </c>
      <c r="H25" s="588" cm="1">
        <f t="array" aca="1" ref="H25" ca="1">IF(AUTOEVENTO="Manual",ROUND(SUMPRODUCT((CÁLCULO!$M$15:$M$36=EVENTOS!$C25)*(OFFSET(CÁLCULO!$AA$15:$AA$36,0,H$13))),2),0)</f>
        <v>0</v>
      </c>
      <c r="I25" s="588" cm="1">
        <f t="array" aca="1" ref="I25" ca="1">IF(AUTOEVENTO="Manual",ROUND(SUMPRODUCT((CÁLCULO!$M$15:$M$36=EVENTOS!$C25)*(OFFSET(CÁLCULO!$AA$15:$AA$36,0,I$13))),2),0)</f>
        <v>0</v>
      </c>
      <c r="J25" s="588" cm="1">
        <f t="array" aca="1" ref="J25" ca="1">IF(AUTOEVENTO="Manual",ROUND(SUMPRODUCT((CÁLCULO!$M$15:$M$36=EVENTOS!$C25)*(OFFSET(CÁLCULO!$AA$15:$AA$36,0,J$13))),2),0)</f>
        <v>0</v>
      </c>
      <c r="K25" s="588" cm="1">
        <f t="array" aca="1" ref="K25" ca="1">IF(AUTOEVENTO="Manual",ROUND(SUMPRODUCT((CÁLCULO!$M$15:$M$36=EVENTOS!$C25)*(OFFSET(CÁLCULO!$AA$15:$AA$36,0,K$13))),2),0)</f>
        <v>0</v>
      </c>
      <c r="L25" s="588" cm="1">
        <f t="array" aca="1" ref="L25" ca="1">IF(AUTOEVENTO="Manual",ROUND(SUMPRODUCT((CÁLCULO!$M$15:$M$36=EVENTOS!$C25)*(OFFSET(CÁLCULO!$AA$15:$AA$36,0,L$13))),2),0)</f>
        <v>0</v>
      </c>
      <c r="M25" s="588" cm="1">
        <f t="array" aca="1" ref="M25" ca="1">IF(AUTOEVENTO="Manual",ROUND(SUMPRODUCT((CÁLCULO!$M$15:$M$36=EVENTOS!$C25)*(OFFSET(CÁLCULO!$AA$15:$AA$36,0,M$13))),2),0)</f>
        <v>0</v>
      </c>
      <c r="N25" s="588" cm="1">
        <f t="array" aca="1" ref="N25" ca="1">IF(AUTOEVENTO="Manual",ROUND(SUMPRODUCT((CÁLCULO!$M$15:$M$36=EVENTOS!$C25)*(OFFSET(CÁLCULO!$AA$15:$AA$36,0,N$13))),2),0)</f>
        <v>0</v>
      </c>
      <c r="O25" s="588" cm="1">
        <f t="array" aca="1" ref="O25" ca="1">IF(AUTOEVENTO="Manual",ROUND(SUMPRODUCT((CÁLCULO!$M$15:$M$36=EVENTOS!$C25)*(OFFSET(CÁLCULO!$AA$15:$AA$36,0,O$13))),2),0)</f>
        <v>0</v>
      </c>
      <c r="P25" s="588" cm="1">
        <f t="array" aca="1" ref="P25" ca="1">IF(AUTOEVENTO="Manual",ROUND(SUMPRODUCT((CÁLCULO!$M$15:$M$36=EVENTOS!$C25)*(OFFSET(CÁLCULO!$AA$15:$AA$36,0,P$13))),2),0)</f>
        <v>0</v>
      </c>
      <c r="Q25" s="588" cm="1">
        <f t="array" aca="1" ref="Q25" ca="1">IF(AUTOEVENTO="Manual",ROUND(SUMPRODUCT((CÁLCULO!$M$15:$M$36=EVENTOS!$C25)*(OFFSET(CÁLCULO!$AA$15:$AA$36,0,Q$13))),2),0)</f>
        <v>0</v>
      </c>
      <c r="R25" s="588" cm="1">
        <f t="array" aca="1" ref="R25" ca="1">IF(AUTOEVENTO="Manual",ROUND(SUMPRODUCT((CÁLCULO!$M$15:$M$36=EVENTOS!$C25)*(OFFSET(CÁLCULO!$AA$15:$AA$36,0,R$13))),2),0)</f>
        <v>0</v>
      </c>
      <c r="S25" s="588" cm="1">
        <f t="array" aca="1" ref="S25" ca="1">IF(AUTOEVENTO="Manual",ROUND(SUMPRODUCT((CÁLCULO!$M$15:$M$36=EVENTOS!$C25)*(OFFSET(CÁLCULO!$AA$15:$AA$36,0,S$13))),2),0)</f>
        <v>0</v>
      </c>
      <c r="T25" s="588" cm="1">
        <f t="array" aca="1" ref="T25" ca="1">IF(AUTOEVENTO="Manual",ROUND(SUMPRODUCT((CÁLCULO!$M$15:$M$36=EVENTOS!$C25)*(OFFSET(CÁLCULO!$AA$15:$AA$36,0,T$13))),2),0)</f>
        <v>0</v>
      </c>
      <c r="U25" s="588" cm="1">
        <f t="array" aca="1" ref="U25" ca="1">IF(AUTOEVENTO="Manual",ROUND(SUMPRODUCT((CÁLCULO!$M$15:$M$36=EVENTOS!$C25)*(OFFSET(CÁLCULO!$AA$15:$AA$36,0,U$13))),2),0)</f>
        <v>0</v>
      </c>
      <c r="V25" s="588" cm="1">
        <f t="array" aca="1" ref="V25" ca="1">IF(AUTOEVENTO="Manual",ROUND(SUMPRODUCT((CÁLCULO!$M$15:$M$36=EVENTOS!$C25)*(OFFSET(CÁLCULO!$AA$15:$AA$36,0,V$13))),2),0)</f>
        <v>0</v>
      </c>
      <c r="W25" s="588" cm="1">
        <f t="array" aca="1" ref="W25" ca="1">IF(AUTOEVENTO="Manual",ROUND(SUMPRODUCT((CÁLCULO!$M$15:$M$36=EVENTOS!$C25)*(OFFSET(CÁLCULO!$AA$15:$AA$36,0,W$13))),2),0)</f>
        <v>0</v>
      </c>
      <c r="X25" s="588" cm="1">
        <f t="array" aca="1" ref="X25" ca="1">IF(AUTOEVENTO="Manual",ROUND(SUMPRODUCT((CÁLCULO!$M$15:$M$36=EVENTOS!$C25)*(OFFSET(CÁLCULO!$AA$15:$AA$36,0,X$13))),2),0)</f>
        <v>0</v>
      </c>
      <c r="Y25" s="588" cm="1">
        <f t="array" aca="1" ref="Y25" ca="1">IF(AUTOEVENTO="Manual",ROUND(SUMPRODUCT((CÁLCULO!$M$15:$M$36=EVENTOS!$C25)*(OFFSET(CÁLCULO!$AA$15:$AA$36,0,Y$13))),2),0)</f>
        <v>0</v>
      </c>
    </row>
    <row r="26" spans="1:25" x14ac:dyDescent="0.25">
      <c r="A26" s="415" t="str">
        <f t="shared" si="3"/>
        <v/>
      </c>
      <c r="B26" t="str">
        <f t="shared" ca="1" si="4"/>
        <v/>
      </c>
      <c r="C26" s="586" t="str" cm="1">
        <f t="array" aca="1" ref="C26" ca="1">IF(OR(ROW(C26)=ROW(EVENTOS.firstrow)+1,AND(OFFSET(C26,-1,0)&lt;&gt;" ",OFFSET(C26,-1,1)&lt;&gt;"")),OFFSET(C26,-1,0)+1," ")</f>
        <v xml:space="preserve"> </v>
      </c>
      <c r="D26" s="587"/>
      <c r="E26" s="588" cm="1">
        <f t="array" aca="1" ref="E26" ca="1">IF(AUTOEVENTO="Manual",ROUND(SUMPRODUCT((CÁLCULO!$M$15:$M$36=EVENTOS!$C26)*(OFFSET(CÁLCULO!$AA$15:$AA$36,0,E$13))),2),0)</f>
        <v>0</v>
      </c>
      <c r="F26" s="589">
        <f ca="1">IF(AUTOEVENTO="Manual",ROUND(SUMPRODUCT((CÁLCULO!$M$15:$M$36=EVENTOS!$C26)*(OFFSET(CÁLCULO!$AA$15,0,1):OFFSET(CÁLCULO!$AL$36,0,-1))),2),0)</f>
        <v>0</v>
      </c>
      <c r="G26" s="590" t="str">
        <f ca="1">IF(AND(D26=0,F26&gt;0),"NOME",
 IF(AND(D26&lt;&gt;0,$F$14&gt;0,F26=0),"VALOR",
 IF(AND(Import.TipoArredondamento="TransfereGOV",$A26="F",LEN(D26)&gt;100),"Nome &gt;100","")))</f>
        <v/>
      </c>
      <c r="H26" s="588" cm="1">
        <f t="array" aca="1" ref="H26" ca="1">IF(AUTOEVENTO="Manual",ROUND(SUMPRODUCT((CÁLCULO!$M$15:$M$36=EVENTOS!$C26)*(OFFSET(CÁLCULO!$AA$15:$AA$36,0,H$13))),2),0)</f>
        <v>0</v>
      </c>
      <c r="I26" s="588" cm="1">
        <f t="array" aca="1" ref="I26" ca="1">IF(AUTOEVENTO="Manual",ROUND(SUMPRODUCT((CÁLCULO!$M$15:$M$36=EVENTOS!$C26)*(OFFSET(CÁLCULO!$AA$15:$AA$36,0,I$13))),2),0)</f>
        <v>0</v>
      </c>
      <c r="J26" s="588" cm="1">
        <f t="array" aca="1" ref="J26" ca="1">IF(AUTOEVENTO="Manual",ROUND(SUMPRODUCT((CÁLCULO!$M$15:$M$36=EVENTOS!$C26)*(OFFSET(CÁLCULO!$AA$15:$AA$36,0,J$13))),2),0)</f>
        <v>0</v>
      </c>
      <c r="K26" s="588" cm="1">
        <f t="array" aca="1" ref="K26" ca="1">IF(AUTOEVENTO="Manual",ROUND(SUMPRODUCT((CÁLCULO!$M$15:$M$36=EVENTOS!$C26)*(OFFSET(CÁLCULO!$AA$15:$AA$36,0,K$13))),2),0)</f>
        <v>0</v>
      </c>
      <c r="L26" s="588" cm="1">
        <f t="array" aca="1" ref="L26" ca="1">IF(AUTOEVENTO="Manual",ROUND(SUMPRODUCT((CÁLCULO!$M$15:$M$36=EVENTOS!$C26)*(OFFSET(CÁLCULO!$AA$15:$AA$36,0,L$13))),2),0)</f>
        <v>0</v>
      </c>
      <c r="M26" s="588" cm="1">
        <f t="array" aca="1" ref="M26" ca="1">IF(AUTOEVENTO="Manual",ROUND(SUMPRODUCT((CÁLCULO!$M$15:$M$36=EVENTOS!$C26)*(OFFSET(CÁLCULO!$AA$15:$AA$36,0,M$13))),2),0)</f>
        <v>0</v>
      </c>
      <c r="N26" s="588" cm="1">
        <f t="array" aca="1" ref="N26" ca="1">IF(AUTOEVENTO="Manual",ROUND(SUMPRODUCT((CÁLCULO!$M$15:$M$36=EVENTOS!$C26)*(OFFSET(CÁLCULO!$AA$15:$AA$36,0,N$13))),2),0)</f>
        <v>0</v>
      </c>
      <c r="O26" s="588" cm="1">
        <f t="array" aca="1" ref="O26" ca="1">IF(AUTOEVENTO="Manual",ROUND(SUMPRODUCT((CÁLCULO!$M$15:$M$36=EVENTOS!$C26)*(OFFSET(CÁLCULO!$AA$15:$AA$36,0,O$13))),2),0)</f>
        <v>0</v>
      </c>
      <c r="P26" s="588" cm="1">
        <f t="array" aca="1" ref="P26" ca="1">IF(AUTOEVENTO="Manual",ROUND(SUMPRODUCT((CÁLCULO!$M$15:$M$36=EVENTOS!$C26)*(OFFSET(CÁLCULO!$AA$15:$AA$36,0,P$13))),2),0)</f>
        <v>0</v>
      </c>
      <c r="Q26" s="588" cm="1">
        <f t="array" aca="1" ref="Q26" ca="1">IF(AUTOEVENTO="Manual",ROUND(SUMPRODUCT((CÁLCULO!$M$15:$M$36=EVENTOS!$C26)*(OFFSET(CÁLCULO!$AA$15:$AA$36,0,Q$13))),2),0)</f>
        <v>0</v>
      </c>
      <c r="R26" s="588" cm="1">
        <f t="array" aca="1" ref="R26" ca="1">IF(AUTOEVENTO="Manual",ROUND(SUMPRODUCT((CÁLCULO!$M$15:$M$36=EVENTOS!$C26)*(OFFSET(CÁLCULO!$AA$15:$AA$36,0,R$13))),2),0)</f>
        <v>0</v>
      </c>
      <c r="S26" s="588" cm="1">
        <f t="array" aca="1" ref="S26" ca="1">IF(AUTOEVENTO="Manual",ROUND(SUMPRODUCT((CÁLCULO!$M$15:$M$36=EVENTOS!$C26)*(OFFSET(CÁLCULO!$AA$15:$AA$36,0,S$13))),2),0)</f>
        <v>0</v>
      </c>
      <c r="T26" s="588" cm="1">
        <f t="array" aca="1" ref="T26" ca="1">IF(AUTOEVENTO="Manual",ROUND(SUMPRODUCT((CÁLCULO!$M$15:$M$36=EVENTOS!$C26)*(OFFSET(CÁLCULO!$AA$15:$AA$36,0,T$13))),2),0)</f>
        <v>0</v>
      </c>
      <c r="U26" s="588" cm="1">
        <f t="array" aca="1" ref="U26" ca="1">IF(AUTOEVENTO="Manual",ROUND(SUMPRODUCT((CÁLCULO!$M$15:$M$36=EVENTOS!$C26)*(OFFSET(CÁLCULO!$AA$15:$AA$36,0,U$13))),2),0)</f>
        <v>0</v>
      </c>
      <c r="V26" s="588" cm="1">
        <f t="array" aca="1" ref="V26" ca="1">IF(AUTOEVENTO="Manual",ROUND(SUMPRODUCT((CÁLCULO!$M$15:$M$36=EVENTOS!$C26)*(OFFSET(CÁLCULO!$AA$15:$AA$36,0,V$13))),2),0)</f>
        <v>0</v>
      </c>
      <c r="W26" s="588" cm="1">
        <f t="array" aca="1" ref="W26" ca="1">IF(AUTOEVENTO="Manual",ROUND(SUMPRODUCT((CÁLCULO!$M$15:$M$36=EVENTOS!$C26)*(OFFSET(CÁLCULO!$AA$15:$AA$36,0,W$13))),2),0)</f>
        <v>0</v>
      </c>
      <c r="X26" s="588" cm="1">
        <f t="array" aca="1" ref="X26" ca="1">IF(AUTOEVENTO="Manual",ROUND(SUMPRODUCT((CÁLCULO!$M$15:$M$36=EVENTOS!$C26)*(OFFSET(CÁLCULO!$AA$15:$AA$36,0,X$13))),2),0)</f>
        <v>0</v>
      </c>
      <c r="Y26" s="588" cm="1">
        <f t="array" aca="1" ref="Y26" ca="1">IF(AUTOEVENTO="Manual",ROUND(SUMPRODUCT((CÁLCULO!$M$15:$M$36=EVENTOS!$C26)*(OFFSET(CÁLCULO!$AA$15:$AA$36,0,Y$13))),2),0)</f>
        <v>0</v>
      </c>
    </row>
    <row r="27" spans="1:25" x14ac:dyDescent="0.25">
      <c r="A27" s="415" t="str">
        <f t="shared" si="3"/>
        <v/>
      </c>
      <c r="B27" t="str">
        <f t="shared" ca="1" si="4"/>
        <v/>
      </c>
      <c r="C27" s="586" t="str" cm="1">
        <f t="array" aca="1" ref="C27" ca="1">IF(OR(ROW(C27)=ROW(EVENTOS.firstrow)+1,AND(OFFSET(C27,-1,0)&lt;&gt;" ",OFFSET(C27,-1,1)&lt;&gt;"")),OFFSET(C27,-1,0)+1," ")</f>
        <v xml:space="preserve"> </v>
      </c>
      <c r="D27" s="587"/>
      <c r="E27" s="588" cm="1">
        <f t="array" aca="1" ref="E27" ca="1">IF(AUTOEVENTO="Manual",ROUND(SUMPRODUCT((CÁLCULO!$M$15:$M$36=EVENTOS!$C27)*(OFFSET(CÁLCULO!$AA$15:$AA$36,0,E$13))),2),0)</f>
        <v>0</v>
      </c>
      <c r="F27" s="589">
        <f ca="1">IF(AUTOEVENTO="Manual",ROUND(SUMPRODUCT((CÁLCULO!$M$15:$M$36=EVENTOS!$C27)*(OFFSET(CÁLCULO!$AA$15,0,1):OFFSET(CÁLCULO!$AL$36,0,-1))),2),0)</f>
        <v>0</v>
      </c>
      <c r="G27" s="590" t="str">
        <f ca="1">IF(AND(D27=0,F27&gt;0),"NOME",
 IF(AND(D27&lt;&gt;0,$F$14&gt;0,F27=0),"VALOR",
 IF(AND(Import.TipoArredondamento="TransfereGOV",$A27="F",LEN(D27)&gt;100),"Nome &gt;100","")))</f>
        <v/>
      </c>
      <c r="H27" s="588" cm="1">
        <f t="array" aca="1" ref="H27" ca="1">IF(AUTOEVENTO="Manual",ROUND(SUMPRODUCT((CÁLCULO!$M$15:$M$36=EVENTOS!$C27)*(OFFSET(CÁLCULO!$AA$15:$AA$36,0,H$13))),2),0)</f>
        <v>0</v>
      </c>
      <c r="I27" s="588" cm="1">
        <f t="array" aca="1" ref="I27" ca="1">IF(AUTOEVENTO="Manual",ROUND(SUMPRODUCT((CÁLCULO!$M$15:$M$36=EVENTOS!$C27)*(OFFSET(CÁLCULO!$AA$15:$AA$36,0,I$13))),2),0)</f>
        <v>0</v>
      </c>
      <c r="J27" s="588" cm="1">
        <f t="array" aca="1" ref="J27" ca="1">IF(AUTOEVENTO="Manual",ROUND(SUMPRODUCT((CÁLCULO!$M$15:$M$36=EVENTOS!$C27)*(OFFSET(CÁLCULO!$AA$15:$AA$36,0,J$13))),2),0)</f>
        <v>0</v>
      </c>
      <c r="K27" s="588" cm="1">
        <f t="array" aca="1" ref="K27" ca="1">IF(AUTOEVENTO="Manual",ROUND(SUMPRODUCT((CÁLCULO!$M$15:$M$36=EVENTOS!$C27)*(OFFSET(CÁLCULO!$AA$15:$AA$36,0,K$13))),2),0)</f>
        <v>0</v>
      </c>
      <c r="L27" s="588" cm="1">
        <f t="array" aca="1" ref="L27" ca="1">IF(AUTOEVENTO="Manual",ROUND(SUMPRODUCT((CÁLCULO!$M$15:$M$36=EVENTOS!$C27)*(OFFSET(CÁLCULO!$AA$15:$AA$36,0,L$13))),2),0)</f>
        <v>0</v>
      </c>
      <c r="M27" s="588" cm="1">
        <f t="array" aca="1" ref="M27" ca="1">IF(AUTOEVENTO="Manual",ROUND(SUMPRODUCT((CÁLCULO!$M$15:$M$36=EVENTOS!$C27)*(OFFSET(CÁLCULO!$AA$15:$AA$36,0,M$13))),2),0)</f>
        <v>0</v>
      </c>
      <c r="N27" s="588" cm="1">
        <f t="array" aca="1" ref="N27" ca="1">IF(AUTOEVENTO="Manual",ROUND(SUMPRODUCT((CÁLCULO!$M$15:$M$36=EVENTOS!$C27)*(OFFSET(CÁLCULO!$AA$15:$AA$36,0,N$13))),2),0)</f>
        <v>0</v>
      </c>
      <c r="O27" s="588" cm="1">
        <f t="array" aca="1" ref="O27" ca="1">IF(AUTOEVENTO="Manual",ROUND(SUMPRODUCT((CÁLCULO!$M$15:$M$36=EVENTOS!$C27)*(OFFSET(CÁLCULO!$AA$15:$AA$36,0,O$13))),2),0)</f>
        <v>0</v>
      </c>
      <c r="P27" s="588" cm="1">
        <f t="array" aca="1" ref="P27" ca="1">IF(AUTOEVENTO="Manual",ROUND(SUMPRODUCT((CÁLCULO!$M$15:$M$36=EVENTOS!$C27)*(OFFSET(CÁLCULO!$AA$15:$AA$36,0,P$13))),2),0)</f>
        <v>0</v>
      </c>
      <c r="Q27" s="588" cm="1">
        <f t="array" aca="1" ref="Q27" ca="1">IF(AUTOEVENTO="Manual",ROUND(SUMPRODUCT((CÁLCULO!$M$15:$M$36=EVENTOS!$C27)*(OFFSET(CÁLCULO!$AA$15:$AA$36,0,Q$13))),2),0)</f>
        <v>0</v>
      </c>
      <c r="R27" s="588" cm="1">
        <f t="array" aca="1" ref="R27" ca="1">IF(AUTOEVENTO="Manual",ROUND(SUMPRODUCT((CÁLCULO!$M$15:$M$36=EVENTOS!$C27)*(OFFSET(CÁLCULO!$AA$15:$AA$36,0,R$13))),2),0)</f>
        <v>0</v>
      </c>
      <c r="S27" s="588" cm="1">
        <f t="array" aca="1" ref="S27" ca="1">IF(AUTOEVENTO="Manual",ROUND(SUMPRODUCT((CÁLCULO!$M$15:$M$36=EVENTOS!$C27)*(OFFSET(CÁLCULO!$AA$15:$AA$36,0,S$13))),2),0)</f>
        <v>0</v>
      </c>
      <c r="T27" s="588" cm="1">
        <f t="array" aca="1" ref="T27" ca="1">IF(AUTOEVENTO="Manual",ROUND(SUMPRODUCT((CÁLCULO!$M$15:$M$36=EVENTOS!$C27)*(OFFSET(CÁLCULO!$AA$15:$AA$36,0,T$13))),2),0)</f>
        <v>0</v>
      </c>
      <c r="U27" s="588" cm="1">
        <f t="array" aca="1" ref="U27" ca="1">IF(AUTOEVENTO="Manual",ROUND(SUMPRODUCT((CÁLCULO!$M$15:$M$36=EVENTOS!$C27)*(OFFSET(CÁLCULO!$AA$15:$AA$36,0,U$13))),2),0)</f>
        <v>0</v>
      </c>
      <c r="V27" s="588" cm="1">
        <f t="array" aca="1" ref="V27" ca="1">IF(AUTOEVENTO="Manual",ROUND(SUMPRODUCT((CÁLCULO!$M$15:$M$36=EVENTOS!$C27)*(OFFSET(CÁLCULO!$AA$15:$AA$36,0,V$13))),2),0)</f>
        <v>0</v>
      </c>
      <c r="W27" s="588" cm="1">
        <f t="array" aca="1" ref="W27" ca="1">IF(AUTOEVENTO="Manual",ROUND(SUMPRODUCT((CÁLCULO!$M$15:$M$36=EVENTOS!$C27)*(OFFSET(CÁLCULO!$AA$15:$AA$36,0,W$13))),2),0)</f>
        <v>0</v>
      </c>
      <c r="X27" s="588" cm="1">
        <f t="array" aca="1" ref="X27" ca="1">IF(AUTOEVENTO="Manual",ROUND(SUMPRODUCT((CÁLCULO!$M$15:$M$36=EVENTOS!$C27)*(OFFSET(CÁLCULO!$AA$15:$AA$36,0,X$13))),2),0)</f>
        <v>0</v>
      </c>
      <c r="Y27" s="588" cm="1">
        <f t="array" aca="1" ref="Y27" ca="1">IF(AUTOEVENTO="Manual",ROUND(SUMPRODUCT((CÁLCULO!$M$15:$M$36=EVENTOS!$C27)*(OFFSET(CÁLCULO!$AA$15:$AA$36,0,Y$13))),2),0)</f>
        <v>0</v>
      </c>
    </row>
    <row r="28" spans="1:25" x14ac:dyDescent="0.25">
      <c r="A28" s="415" t="str">
        <f t="shared" si="3"/>
        <v/>
      </c>
      <c r="B28" t="str">
        <f t="shared" ca="1" si="4"/>
        <v/>
      </c>
      <c r="C28" s="586" t="str" cm="1">
        <f t="array" aca="1" ref="C28" ca="1">IF(OR(ROW(C28)=ROW(EVENTOS.firstrow)+1,AND(OFFSET(C28,-1,0)&lt;&gt;" ",OFFSET(C28,-1,1)&lt;&gt;"")),OFFSET(C28,-1,0)+1," ")</f>
        <v xml:space="preserve"> </v>
      </c>
      <c r="D28" s="587"/>
      <c r="E28" s="588" cm="1">
        <f t="array" aca="1" ref="E28" ca="1">IF(AUTOEVENTO="Manual",ROUND(SUMPRODUCT((CÁLCULO!$M$15:$M$36=EVENTOS!$C28)*(OFFSET(CÁLCULO!$AA$15:$AA$36,0,E$13))),2),0)</f>
        <v>0</v>
      </c>
      <c r="F28" s="589">
        <f ca="1">IF(AUTOEVENTO="Manual",ROUND(SUMPRODUCT((CÁLCULO!$M$15:$M$36=EVENTOS!$C28)*(OFFSET(CÁLCULO!$AA$15,0,1):OFFSET(CÁLCULO!$AL$36,0,-1))),2),0)</f>
        <v>0</v>
      </c>
      <c r="G28" s="590" t="str">
        <f ca="1">IF(AND(D28=0,F28&gt;0),"NOME",
 IF(AND(D28&lt;&gt;0,$F$14&gt;0,F28=0),"VALOR",
 IF(AND(Import.TipoArredondamento="TransfereGOV",$A28="F",LEN(D28)&gt;100),"Nome &gt;100","")))</f>
        <v/>
      </c>
      <c r="H28" s="588" cm="1">
        <f t="array" aca="1" ref="H28" ca="1">IF(AUTOEVENTO="Manual",ROUND(SUMPRODUCT((CÁLCULO!$M$15:$M$36=EVENTOS!$C28)*(OFFSET(CÁLCULO!$AA$15:$AA$36,0,H$13))),2),0)</f>
        <v>0</v>
      </c>
      <c r="I28" s="588" cm="1">
        <f t="array" aca="1" ref="I28" ca="1">IF(AUTOEVENTO="Manual",ROUND(SUMPRODUCT((CÁLCULO!$M$15:$M$36=EVENTOS!$C28)*(OFFSET(CÁLCULO!$AA$15:$AA$36,0,I$13))),2),0)</f>
        <v>0</v>
      </c>
      <c r="J28" s="588" cm="1">
        <f t="array" aca="1" ref="J28" ca="1">IF(AUTOEVENTO="Manual",ROUND(SUMPRODUCT((CÁLCULO!$M$15:$M$36=EVENTOS!$C28)*(OFFSET(CÁLCULO!$AA$15:$AA$36,0,J$13))),2),0)</f>
        <v>0</v>
      </c>
      <c r="K28" s="588" cm="1">
        <f t="array" aca="1" ref="K28" ca="1">IF(AUTOEVENTO="Manual",ROUND(SUMPRODUCT((CÁLCULO!$M$15:$M$36=EVENTOS!$C28)*(OFFSET(CÁLCULO!$AA$15:$AA$36,0,K$13))),2),0)</f>
        <v>0</v>
      </c>
      <c r="L28" s="588" cm="1">
        <f t="array" aca="1" ref="L28" ca="1">IF(AUTOEVENTO="Manual",ROUND(SUMPRODUCT((CÁLCULO!$M$15:$M$36=EVENTOS!$C28)*(OFFSET(CÁLCULO!$AA$15:$AA$36,0,L$13))),2),0)</f>
        <v>0</v>
      </c>
      <c r="M28" s="588" cm="1">
        <f t="array" aca="1" ref="M28" ca="1">IF(AUTOEVENTO="Manual",ROUND(SUMPRODUCT((CÁLCULO!$M$15:$M$36=EVENTOS!$C28)*(OFFSET(CÁLCULO!$AA$15:$AA$36,0,M$13))),2),0)</f>
        <v>0</v>
      </c>
      <c r="N28" s="588" cm="1">
        <f t="array" aca="1" ref="N28" ca="1">IF(AUTOEVENTO="Manual",ROUND(SUMPRODUCT((CÁLCULO!$M$15:$M$36=EVENTOS!$C28)*(OFFSET(CÁLCULO!$AA$15:$AA$36,0,N$13))),2),0)</f>
        <v>0</v>
      </c>
      <c r="O28" s="588" cm="1">
        <f t="array" aca="1" ref="O28" ca="1">IF(AUTOEVENTO="Manual",ROUND(SUMPRODUCT((CÁLCULO!$M$15:$M$36=EVENTOS!$C28)*(OFFSET(CÁLCULO!$AA$15:$AA$36,0,O$13))),2),0)</f>
        <v>0</v>
      </c>
      <c r="P28" s="588" cm="1">
        <f t="array" aca="1" ref="P28" ca="1">IF(AUTOEVENTO="Manual",ROUND(SUMPRODUCT((CÁLCULO!$M$15:$M$36=EVENTOS!$C28)*(OFFSET(CÁLCULO!$AA$15:$AA$36,0,P$13))),2),0)</f>
        <v>0</v>
      </c>
      <c r="Q28" s="588" cm="1">
        <f t="array" aca="1" ref="Q28" ca="1">IF(AUTOEVENTO="Manual",ROUND(SUMPRODUCT((CÁLCULO!$M$15:$M$36=EVENTOS!$C28)*(OFFSET(CÁLCULO!$AA$15:$AA$36,0,Q$13))),2),0)</f>
        <v>0</v>
      </c>
      <c r="R28" s="588" cm="1">
        <f t="array" aca="1" ref="R28" ca="1">IF(AUTOEVENTO="Manual",ROUND(SUMPRODUCT((CÁLCULO!$M$15:$M$36=EVENTOS!$C28)*(OFFSET(CÁLCULO!$AA$15:$AA$36,0,R$13))),2),0)</f>
        <v>0</v>
      </c>
      <c r="S28" s="588" cm="1">
        <f t="array" aca="1" ref="S28" ca="1">IF(AUTOEVENTO="Manual",ROUND(SUMPRODUCT((CÁLCULO!$M$15:$M$36=EVENTOS!$C28)*(OFFSET(CÁLCULO!$AA$15:$AA$36,0,S$13))),2),0)</f>
        <v>0</v>
      </c>
      <c r="T28" s="588" cm="1">
        <f t="array" aca="1" ref="T28" ca="1">IF(AUTOEVENTO="Manual",ROUND(SUMPRODUCT((CÁLCULO!$M$15:$M$36=EVENTOS!$C28)*(OFFSET(CÁLCULO!$AA$15:$AA$36,0,T$13))),2),0)</f>
        <v>0</v>
      </c>
      <c r="U28" s="588" cm="1">
        <f t="array" aca="1" ref="U28" ca="1">IF(AUTOEVENTO="Manual",ROUND(SUMPRODUCT((CÁLCULO!$M$15:$M$36=EVENTOS!$C28)*(OFFSET(CÁLCULO!$AA$15:$AA$36,0,U$13))),2),0)</f>
        <v>0</v>
      </c>
      <c r="V28" s="588" cm="1">
        <f t="array" aca="1" ref="V28" ca="1">IF(AUTOEVENTO="Manual",ROUND(SUMPRODUCT((CÁLCULO!$M$15:$M$36=EVENTOS!$C28)*(OFFSET(CÁLCULO!$AA$15:$AA$36,0,V$13))),2),0)</f>
        <v>0</v>
      </c>
      <c r="W28" s="588" cm="1">
        <f t="array" aca="1" ref="W28" ca="1">IF(AUTOEVENTO="Manual",ROUND(SUMPRODUCT((CÁLCULO!$M$15:$M$36=EVENTOS!$C28)*(OFFSET(CÁLCULO!$AA$15:$AA$36,0,W$13))),2),0)</f>
        <v>0</v>
      </c>
      <c r="X28" s="588" cm="1">
        <f t="array" aca="1" ref="X28" ca="1">IF(AUTOEVENTO="Manual",ROUND(SUMPRODUCT((CÁLCULO!$M$15:$M$36=EVENTOS!$C28)*(OFFSET(CÁLCULO!$AA$15:$AA$36,0,X$13))),2),0)</f>
        <v>0</v>
      </c>
      <c r="Y28" s="588" cm="1">
        <f t="array" aca="1" ref="Y28" ca="1">IF(AUTOEVENTO="Manual",ROUND(SUMPRODUCT((CÁLCULO!$M$15:$M$36=EVENTOS!$C28)*(OFFSET(CÁLCULO!$AA$15:$AA$36,0,Y$13))),2),0)</f>
        <v>0</v>
      </c>
    </row>
    <row r="29" spans="1:25" x14ac:dyDescent="0.25">
      <c r="A29" s="415" t="str">
        <f t="shared" si="3"/>
        <v/>
      </c>
      <c r="B29" t="str">
        <f t="shared" ca="1" si="4"/>
        <v/>
      </c>
      <c r="C29" s="586" t="str" cm="1">
        <f t="array" aca="1" ref="C29" ca="1">IF(OR(ROW(C29)=ROW(EVENTOS.firstrow)+1,AND(OFFSET(C29,-1,0)&lt;&gt;" ",OFFSET(C29,-1,1)&lt;&gt;"")),OFFSET(C29,-1,0)+1," ")</f>
        <v xml:space="preserve"> </v>
      </c>
      <c r="D29" s="587"/>
      <c r="E29" s="588" cm="1">
        <f t="array" aca="1" ref="E29" ca="1">IF(AUTOEVENTO="Manual",ROUND(SUMPRODUCT((CÁLCULO!$M$15:$M$36=EVENTOS!$C29)*(OFFSET(CÁLCULO!$AA$15:$AA$36,0,E$13))),2),0)</f>
        <v>0</v>
      </c>
      <c r="F29" s="589">
        <f ca="1">IF(AUTOEVENTO="Manual",ROUND(SUMPRODUCT((CÁLCULO!$M$15:$M$36=EVENTOS!$C29)*(OFFSET(CÁLCULO!$AA$15,0,1):OFFSET(CÁLCULO!$AL$36,0,-1))),2),0)</f>
        <v>0</v>
      </c>
      <c r="G29" s="590" t="str">
        <f ca="1">IF(AND(D29=0,F29&gt;0),"NOME",
 IF(AND(D29&lt;&gt;0,$F$14&gt;0,F29=0),"VALOR",
 IF(AND(Import.TipoArredondamento="TransfereGOV",$A29="F",LEN(D29)&gt;100),"Nome &gt;100","")))</f>
        <v/>
      </c>
      <c r="H29" s="588" cm="1">
        <f t="array" aca="1" ref="H29" ca="1">IF(AUTOEVENTO="Manual",ROUND(SUMPRODUCT((CÁLCULO!$M$15:$M$36=EVENTOS!$C29)*(OFFSET(CÁLCULO!$AA$15:$AA$36,0,H$13))),2),0)</f>
        <v>0</v>
      </c>
      <c r="I29" s="588" cm="1">
        <f t="array" aca="1" ref="I29" ca="1">IF(AUTOEVENTO="Manual",ROUND(SUMPRODUCT((CÁLCULO!$M$15:$M$36=EVENTOS!$C29)*(OFFSET(CÁLCULO!$AA$15:$AA$36,0,I$13))),2),0)</f>
        <v>0</v>
      </c>
      <c r="J29" s="588" cm="1">
        <f t="array" aca="1" ref="J29" ca="1">IF(AUTOEVENTO="Manual",ROUND(SUMPRODUCT((CÁLCULO!$M$15:$M$36=EVENTOS!$C29)*(OFFSET(CÁLCULO!$AA$15:$AA$36,0,J$13))),2),0)</f>
        <v>0</v>
      </c>
      <c r="K29" s="588" cm="1">
        <f t="array" aca="1" ref="K29" ca="1">IF(AUTOEVENTO="Manual",ROUND(SUMPRODUCT((CÁLCULO!$M$15:$M$36=EVENTOS!$C29)*(OFFSET(CÁLCULO!$AA$15:$AA$36,0,K$13))),2),0)</f>
        <v>0</v>
      </c>
      <c r="L29" s="588" cm="1">
        <f t="array" aca="1" ref="L29" ca="1">IF(AUTOEVENTO="Manual",ROUND(SUMPRODUCT((CÁLCULO!$M$15:$M$36=EVENTOS!$C29)*(OFFSET(CÁLCULO!$AA$15:$AA$36,0,L$13))),2),0)</f>
        <v>0</v>
      </c>
      <c r="M29" s="588" cm="1">
        <f t="array" aca="1" ref="M29" ca="1">IF(AUTOEVENTO="Manual",ROUND(SUMPRODUCT((CÁLCULO!$M$15:$M$36=EVENTOS!$C29)*(OFFSET(CÁLCULO!$AA$15:$AA$36,0,M$13))),2),0)</f>
        <v>0</v>
      </c>
      <c r="N29" s="588" cm="1">
        <f t="array" aca="1" ref="N29" ca="1">IF(AUTOEVENTO="Manual",ROUND(SUMPRODUCT((CÁLCULO!$M$15:$M$36=EVENTOS!$C29)*(OFFSET(CÁLCULO!$AA$15:$AA$36,0,N$13))),2),0)</f>
        <v>0</v>
      </c>
      <c r="O29" s="588" cm="1">
        <f t="array" aca="1" ref="O29" ca="1">IF(AUTOEVENTO="Manual",ROUND(SUMPRODUCT((CÁLCULO!$M$15:$M$36=EVENTOS!$C29)*(OFFSET(CÁLCULO!$AA$15:$AA$36,0,O$13))),2),0)</f>
        <v>0</v>
      </c>
      <c r="P29" s="588" cm="1">
        <f t="array" aca="1" ref="P29" ca="1">IF(AUTOEVENTO="Manual",ROUND(SUMPRODUCT((CÁLCULO!$M$15:$M$36=EVENTOS!$C29)*(OFFSET(CÁLCULO!$AA$15:$AA$36,0,P$13))),2),0)</f>
        <v>0</v>
      </c>
      <c r="Q29" s="588" cm="1">
        <f t="array" aca="1" ref="Q29" ca="1">IF(AUTOEVENTO="Manual",ROUND(SUMPRODUCT((CÁLCULO!$M$15:$M$36=EVENTOS!$C29)*(OFFSET(CÁLCULO!$AA$15:$AA$36,0,Q$13))),2),0)</f>
        <v>0</v>
      </c>
      <c r="R29" s="588" cm="1">
        <f t="array" aca="1" ref="R29" ca="1">IF(AUTOEVENTO="Manual",ROUND(SUMPRODUCT((CÁLCULO!$M$15:$M$36=EVENTOS!$C29)*(OFFSET(CÁLCULO!$AA$15:$AA$36,0,R$13))),2),0)</f>
        <v>0</v>
      </c>
      <c r="S29" s="588" cm="1">
        <f t="array" aca="1" ref="S29" ca="1">IF(AUTOEVENTO="Manual",ROUND(SUMPRODUCT((CÁLCULO!$M$15:$M$36=EVENTOS!$C29)*(OFFSET(CÁLCULO!$AA$15:$AA$36,0,S$13))),2),0)</f>
        <v>0</v>
      </c>
      <c r="T29" s="588" cm="1">
        <f t="array" aca="1" ref="T29" ca="1">IF(AUTOEVENTO="Manual",ROUND(SUMPRODUCT((CÁLCULO!$M$15:$M$36=EVENTOS!$C29)*(OFFSET(CÁLCULO!$AA$15:$AA$36,0,T$13))),2),0)</f>
        <v>0</v>
      </c>
      <c r="U29" s="588" cm="1">
        <f t="array" aca="1" ref="U29" ca="1">IF(AUTOEVENTO="Manual",ROUND(SUMPRODUCT((CÁLCULO!$M$15:$M$36=EVENTOS!$C29)*(OFFSET(CÁLCULO!$AA$15:$AA$36,0,U$13))),2),0)</f>
        <v>0</v>
      </c>
      <c r="V29" s="588" cm="1">
        <f t="array" aca="1" ref="V29" ca="1">IF(AUTOEVENTO="Manual",ROUND(SUMPRODUCT((CÁLCULO!$M$15:$M$36=EVENTOS!$C29)*(OFFSET(CÁLCULO!$AA$15:$AA$36,0,V$13))),2),0)</f>
        <v>0</v>
      </c>
      <c r="W29" s="588" cm="1">
        <f t="array" aca="1" ref="W29" ca="1">IF(AUTOEVENTO="Manual",ROUND(SUMPRODUCT((CÁLCULO!$M$15:$M$36=EVENTOS!$C29)*(OFFSET(CÁLCULO!$AA$15:$AA$36,0,W$13))),2),0)</f>
        <v>0</v>
      </c>
      <c r="X29" s="588" cm="1">
        <f t="array" aca="1" ref="X29" ca="1">IF(AUTOEVENTO="Manual",ROUND(SUMPRODUCT((CÁLCULO!$M$15:$M$36=EVENTOS!$C29)*(OFFSET(CÁLCULO!$AA$15:$AA$36,0,X$13))),2),0)</f>
        <v>0</v>
      </c>
      <c r="Y29" s="588" cm="1">
        <f t="array" aca="1" ref="Y29" ca="1">IF(AUTOEVENTO="Manual",ROUND(SUMPRODUCT((CÁLCULO!$M$15:$M$36=EVENTOS!$C29)*(OFFSET(CÁLCULO!$AA$15:$AA$36,0,Y$13))),2),0)</f>
        <v>0</v>
      </c>
    </row>
    <row r="30" spans="1:25" x14ac:dyDescent="0.25">
      <c r="A30" s="415" t="str">
        <f t="shared" si="3"/>
        <v/>
      </c>
      <c r="B30" t="str">
        <f t="shared" ca="1" si="4"/>
        <v/>
      </c>
      <c r="C30" s="586" t="str" cm="1">
        <f t="array" aca="1" ref="C30" ca="1">IF(OR(ROW(C30)=ROW(EVENTOS.firstrow)+1,AND(OFFSET(C30,-1,0)&lt;&gt;" ",OFFSET(C30,-1,1)&lt;&gt;"")),OFFSET(C30,-1,0)+1," ")</f>
        <v xml:space="preserve"> </v>
      </c>
      <c r="D30" s="587"/>
      <c r="E30" s="588" cm="1">
        <f t="array" aca="1" ref="E30" ca="1">IF(AUTOEVENTO="Manual",ROUND(SUMPRODUCT((CÁLCULO!$M$15:$M$36=EVENTOS!$C30)*(OFFSET(CÁLCULO!$AA$15:$AA$36,0,E$13))),2),0)</f>
        <v>0</v>
      </c>
      <c r="F30" s="589">
        <f ca="1">IF(AUTOEVENTO="Manual",ROUND(SUMPRODUCT((CÁLCULO!$M$15:$M$36=EVENTOS!$C30)*(OFFSET(CÁLCULO!$AA$15,0,1):OFFSET(CÁLCULO!$AL$36,0,-1))),2),0)</f>
        <v>0</v>
      </c>
      <c r="G30" s="590" t="str">
        <f ca="1">IF(AND(D30=0,F30&gt;0),"NOME",
 IF(AND(D30&lt;&gt;0,$F$14&gt;0,F30=0),"VALOR",
 IF(AND(Import.TipoArredondamento="TransfereGOV",$A30="F",LEN(D30)&gt;100),"Nome &gt;100","")))</f>
        <v/>
      </c>
      <c r="H30" s="588" cm="1">
        <f t="array" aca="1" ref="H30" ca="1">IF(AUTOEVENTO="Manual",ROUND(SUMPRODUCT((CÁLCULO!$M$15:$M$36=EVENTOS!$C30)*(OFFSET(CÁLCULO!$AA$15:$AA$36,0,H$13))),2),0)</f>
        <v>0</v>
      </c>
      <c r="I30" s="588" cm="1">
        <f t="array" aca="1" ref="I30" ca="1">IF(AUTOEVENTO="Manual",ROUND(SUMPRODUCT((CÁLCULO!$M$15:$M$36=EVENTOS!$C30)*(OFFSET(CÁLCULO!$AA$15:$AA$36,0,I$13))),2),0)</f>
        <v>0</v>
      </c>
      <c r="J30" s="588" cm="1">
        <f t="array" aca="1" ref="J30" ca="1">IF(AUTOEVENTO="Manual",ROUND(SUMPRODUCT((CÁLCULO!$M$15:$M$36=EVENTOS!$C30)*(OFFSET(CÁLCULO!$AA$15:$AA$36,0,J$13))),2),0)</f>
        <v>0</v>
      </c>
      <c r="K30" s="588" cm="1">
        <f t="array" aca="1" ref="K30" ca="1">IF(AUTOEVENTO="Manual",ROUND(SUMPRODUCT((CÁLCULO!$M$15:$M$36=EVENTOS!$C30)*(OFFSET(CÁLCULO!$AA$15:$AA$36,0,K$13))),2),0)</f>
        <v>0</v>
      </c>
      <c r="L30" s="588" cm="1">
        <f t="array" aca="1" ref="L30" ca="1">IF(AUTOEVENTO="Manual",ROUND(SUMPRODUCT((CÁLCULO!$M$15:$M$36=EVENTOS!$C30)*(OFFSET(CÁLCULO!$AA$15:$AA$36,0,L$13))),2),0)</f>
        <v>0</v>
      </c>
      <c r="M30" s="588" cm="1">
        <f t="array" aca="1" ref="M30" ca="1">IF(AUTOEVENTO="Manual",ROUND(SUMPRODUCT((CÁLCULO!$M$15:$M$36=EVENTOS!$C30)*(OFFSET(CÁLCULO!$AA$15:$AA$36,0,M$13))),2),0)</f>
        <v>0</v>
      </c>
      <c r="N30" s="588" cm="1">
        <f t="array" aca="1" ref="N30" ca="1">IF(AUTOEVENTO="Manual",ROUND(SUMPRODUCT((CÁLCULO!$M$15:$M$36=EVENTOS!$C30)*(OFFSET(CÁLCULO!$AA$15:$AA$36,0,N$13))),2),0)</f>
        <v>0</v>
      </c>
      <c r="O30" s="588" cm="1">
        <f t="array" aca="1" ref="O30" ca="1">IF(AUTOEVENTO="Manual",ROUND(SUMPRODUCT((CÁLCULO!$M$15:$M$36=EVENTOS!$C30)*(OFFSET(CÁLCULO!$AA$15:$AA$36,0,O$13))),2),0)</f>
        <v>0</v>
      </c>
      <c r="P30" s="588" cm="1">
        <f t="array" aca="1" ref="P30" ca="1">IF(AUTOEVENTO="Manual",ROUND(SUMPRODUCT((CÁLCULO!$M$15:$M$36=EVENTOS!$C30)*(OFFSET(CÁLCULO!$AA$15:$AA$36,0,P$13))),2),0)</f>
        <v>0</v>
      </c>
      <c r="Q30" s="588" cm="1">
        <f t="array" aca="1" ref="Q30" ca="1">IF(AUTOEVENTO="Manual",ROUND(SUMPRODUCT((CÁLCULO!$M$15:$M$36=EVENTOS!$C30)*(OFFSET(CÁLCULO!$AA$15:$AA$36,0,Q$13))),2),0)</f>
        <v>0</v>
      </c>
      <c r="R30" s="588" cm="1">
        <f t="array" aca="1" ref="R30" ca="1">IF(AUTOEVENTO="Manual",ROUND(SUMPRODUCT((CÁLCULO!$M$15:$M$36=EVENTOS!$C30)*(OFFSET(CÁLCULO!$AA$15:$AA$36,0,R$13))),2),0)</f>
        <v>0</v>
      </c>
      <c r="S30" s="588" cm="1">
        <f t="array" aca="1" ref="S30" ca="1">IF(AUTOEVENTO="Manual",ROUND(SUMPRODUCT((CÁLCULO!$M$15:$M$36=EVENTOS!$C30)*(OFFSET(CÁLCULO!$AA$15:$AA$36,0,S$13))),2),0)</f>
        <v>0</v>
      </c>
      <c r="T30" s="588" cm="1">
        <f t="array" aca="1" ref="T30" ca="1">IF(AUTOEVENTO="Manual",ROUND(SUMPRODUCT((CÁLCULO!$M$15:$M$36=EVENTOS!$C30)*(OFFSET(CÁLCULO!$AA$15:$AA$36,0,T$13))),2),0)</f>
        <v>0</v>
      </c>
      <c r="U30" s="588" cm="1">
        <f t="array" aca="1" ref="U30" ca="1">IF(AUTOEVENTO="Manual",ROUND(SUMPRODUCT((CÁLCULO!$M$15:$M$36=EVENTOS!$C30)*(OFFSET(CÁLCULO!$AA$15:$AA$36,0,U$13))),2),0)</f>
        <v>0</v>
      </c>
      <c r="V30" s="588" cm="1">
        <f t="array" aca="1" ref="V30" ca="1">IF(AUTOEVENTO="Manual",ROUND(SUMPRODUCT((CÁLCULO!$M$15:$M$36=EVENTOS!$C30)*(OFFSET(CÁLCULO!$AA$15:$AA$36,0,V$13))),2),0)</f>
        <v>0</v>
      </c>
      <c r="W30" s="588" cm="1">
        <f t="array" aca="1" ref="W30" ca="1">IF(AUTOEVENTO="Manual",ROUND(SUMPRODUCT((CÁLCULO!$M$15:$M$36=EVENTOS!$C30)*(OFFSET(CÁLCULO!$AA$15:$AA$36,0,W$13))),2),0)</f>
        <v>0</v>
      </c>
      <c r="X30" s="588" cm="1">
        <f t="array" aca="1" ref="X30" ca="1">IF(AUTOEVENTO="Manual",ROUND(SUMPRODUCT((CÁLCULO!$M$15:$M$36=EVENTOS!$C30)*(OFFSET(CÁLCULO!$AA$15:$AA$36,0,X$13))),2),0)</f>
        <v>0</v>
      </c>
      <c r="Y30" s="588" cm="1">
        <f t="array" aca="1" ref="Y30" ca="1">IF(AUTOEVENTO="Manual",ROUND(SUMPRODUCT((CÁLCULO!$M$15:$M$36=EVENTOS!$C30)*(OFFSET(CÁLCULO!$AA$15:$AA$36,0,Y$13))),2),0)</f>
        <v>0</v>
      </c>
    </row>
    <row r="31" spans="1:25" x14ac:dyDescent="0.25">
      <c r="A31" s="415" t="str">
        <f t="shared" si="3"/>
        <v/>
      </c>
      <c r="B31" t="str">
        <f t="shared" ca="1" si="4"/>
        <v/>
      </c>
      <c r="C31" s="586" t="str" cm="1">
        <f t="array" aca="1" ref="C31" ca="1">IF(OR(ROW(C31)=ROW(EVENTOS.firstrow)+1,AND(OFFSET(C31,-1,0)&lt;&gt;" ",OFFSET(C31,-1,1)&lt;&gt;"")),OFFSET(C31,-1,0)+1," ")</f>
        <v xml:space="preserve"> </v>
      </c>
      <c r="D31" s="587"/>
      <c r="E31" s="588" cm="1">
        <f t="array" aca="1" ref="E31" ca="1">IF(AUTOEVENTO="Manual",ROUND(SUMPRODUCT((CÁLCULO!$M$15:$M$36=EVENTOS!$C31)*(OFFSET(CÁLCULO!$AA$15:$AA$36,0,E$13))),2),0)</f>
        <v>0</v>
      </c>
      <c r="F31" s="589">
        <f ca="1">IF(AUTOEVENTO="Manual",ROUND(SUMPRODUCT((CÁLCULO!$M$15:$M$36=EVENTOS!$C31)*(OFFSET(CÁLCULO!$AA$15,0,1):OFFSET(CÁLCULO!$AL$36,0,-1))),2),0)</f>
        <v>0</v>
      </c>
      <c r="G31" s="590" t="str">
        <f ca="1">IF(AND(D31=0,F31&gt;0),"NOME",
 IF(AND(D31&lt;&gt;0,$F$14&gt;0,F31=0),"VALOR",
 IF(AND(Import.TipoArredondamento="TransfereGOV",$A31="F",LEN(D31)&gt;100),"Nome &gt;100","")))</f>
        <v/>
      </c>
      <c r="H31" s="588" cm="1">
        <f t="array" aca="1" ref="H31" ca="1">IF(AUTOEVENTO="Manual",ROUND(SUMPRODUCT((CÁLCULO!$M$15:$M$36=EVENTOS!$C31)*(OFFSET(CÁLCULO!$AA$15:$AA$36,0,H$13))),2),0)</f>
        <v>0</v>
      </c>
      <c r="I31" s="588" cm="1">
        <f t="array" aca="1" ref="I31" ca="1">IF(AUTOEVENTO="Manual",ROUND(SUMPRODUCT((CÁLCULO!$M$15:$M$36=EVENTOS!$C31)*(OFFSET(CÁLCULO!$AA$15:$AA$36,0,I$13))),2),0)</f>
        <v>0</v>
      </c>
      <c r="J31" s="588" cm="1">
        <f t="array" aca="1" ref="J31" ca="1">IF(AUTOEVENTO="Manual",ROUND(SUMPRODUCT((CÁLCULO!$M$15:$M$36=EVENTOS!$C31)*(OFFSET(CÁLCULO!$AA$15:$AA$36,0,J$13))),2),0)</f>
        <v>0</v>
      </c>
      <c r="K31" s="588" cm="1">
        <f t="array" aca="1" ref="K31" ca="1">IF(AUTOEVENTO="Manual",ROUND(SUMPRODUCT((CÁLCULO!$M$15:$M$36=EVENTOS!$C31)*(OFFSET(CÁLCULO!$AA$15:$AA$36,0,K$13))),2),0)</f>
        <v>0</v>
      </c>
      <c r="L31" s="588" cm="1">
        <f t="array" aca="1" ref="L31" ca="1">IF(AUTOEVENTO="Manual",ROUND(SUMPRODUCT((CÁLCULO!$M$15:$M$36=EVENTOS!$C31)*(OFFSET(CÁLCULO!$AA$15:$AA$36,0,L$13))),2),0)</f>
        <v>0</v>
      </c>
      <c r="M31" s="588" cm="1">
        <f t="array" aca="1" ref="M31" ca="1">IF(AUTOEVENTO="Manual",ROUND(SUMPRODUCT((CÁLCULO!$M$15:$M$36=EVENTOS!$C31)*(OFFSET(CÁLCULO!$AA$15:$AA$36,0,M$13))),2),0)</f>
        <v>0</v>
      </c>
      <c r="N31" s="588" cm="1">
        <f t="array" aca="1" ref="N31" ca="1">IF(AUTOEVENTO="Manual",ROUND(SUMPRODUCT((CÁLCULO!$M$15:$M$36=EVENTOS!$C31)*(OFFSET(CÁLCULO!$AA$15:$AA$36,0,N$13))),2),0)</f>
        <v>0</v>
      </c>
      <c r="O31" s="588" cm="1">
        <f t="array" aca="1" ref="O31" ca="1">IF(AUTOEVENTO="Manual",ROUND(SUMPRODUCT((CÁLCULO!$M$15:$M$36=EVENTOS!$C31)*(OFFSET(CÁLCULO!$AA$15:$AA$36,0,O$13))),2),0)</f>
        <v>0</v>
      </c>
      <c r="P31" s="588" cm="1">
        <f t="array" aca="1" ref="P31" ca="1">IF(AUTOEVENTO="Manual",ROUND(SUMPRODUCT((CÁLCULO!$M$15:$M$36=EVENTOS!$C31)*(OFFSET(CÁLCULO!$AA$15:$AA$36,0,P$13))),2),0)</f>
        <v>0</v>
      </c>
      <c r="Q31" s="588" cm="1">
        <f t="array" aca="1" ref="Q31" ca="1">IF(AUTOEVENTO="Manual",ROUND(SUMPRODUCT((CÁLCULO!$M$15:$M$36=EVENTOS!$C31)*(OFFSET(CÁLCULO!$AA$15:$AA$36,0,Q$13))),2),0)</f>
        <v>0</v>
      </c>
      <c r="R31" s="588" cm="1">
        <f t="array" aca="1" ref="R31" ca="1">IF(AUTOEVENTO="Manual",ROUND(SUMPRODUCT((CÁLCULO!$M$15:$M$36=EVENTOS!$C31)*(OFFSET(CÁLCULO!$AA$15:$AA$36,0,R$13))),2),0)</f>
        <v>0</v>
      </c>
      <c r="S31" s="588" cm="1">
        <f t="array" aca="1" ref="S31" ca="1">IF(AUTOEVENTO="Manual",ROUND(SUMPRODUCT((CÁLCULO!$M$15:$M$36=EVENTOS!$C31)*(OFFSET(CÁLCULO!$AA$15:$AA$36,0,S$13))),2),0)</f>
        <v>0</v>
      </c>
      <c r="T31" s="588" cm="1">
        <f t="array" aca="1" ref="T31" ca="1">IF(AUTOEVENTO="Manual",ROUND(SUMPRODUCT((CÁLCULO!$M$15:$M$36=EVENTOS!$C31)*(OFFSET(CÁLCULO!$AA$15:$AA$36,0,T$13))),2),0)</f>
        <v>0</v>
      </c>
      <c r="U31" s="588" cm="1">
        <f t="array" aca="1" ref="U31" ca="1">IF(AUTOEVENTO="Manual",ROUND(SUMPRODUCT((CÁLCULO!$M$15:$M$36=EVENTOS!$C31)*(OFFSET(CÁLCULO!$AA$15:$AA$36,0,U$13))),2),0)</f>
        <v>0</v>
      </c>
      <c r="V31" s="588" cm="1">
        <f t="array" aca="1" ref="V31" ca="1">IF(AUTOEVENTO="Manual",ROUND(SUMPRODUCT((CÁLCULO!$M$15:$M$36=EVENTOS!$C31)*(OFFSET(CÁLCULO!$AA$15:$AA$36,0,V$13))),2),0)</f>
        <v>0</v>
      </c>
      <c r="W31" s="588" cm="1">
        <f t="array" aca="1" ref="W31" ca="1">IF(AUTOEVENTO="Manual",ROUND(SUMPRODUCT((CÁLCULO!$M$15:$M$36=EVENTOS!$C31)*(OFFSET(CÁLCULO!$AA$15:$AA$36,0,W$13))),2),0)</f>
        <v>0</v>
      </c>
      <c r="X31" s="588" cm="1">
        <f t="array" aca="1" ref="X31" ca="1">IF(AUTOEVENTO="Manual",ROUND(SUMPRODUCT((CÁLCULO!$M$15:$M$36=EVENTOS!$C31)*(OFFSET(CÁLCULO!$AA$15:$AA$36,0,X$13))),2),0)</f>
        <v>0</v>
      </c>
      <c r="Y31" s="588" cm="1">
        <f t="array" aca="1" ref="Y31" ca="1">IF(AUTOEVENTO="Manual",ROUND(SUMPRODUCT((CÁLCULO!$M$15:$M$36=EVENTOS!$C31)*(OFFSET(CÁLCULO!$AA$15:$AA$36,0,Y$13))),2),0)</f>
        <v>0</v>
      </c>
    </row>
    <row r="32" spans="1:25" x14ac:dyDescent="0.25">
      <c r="A32" s="415" t="str">
        <f t="shared" si="3"/>
        <v/>
      </c>
      <c r="B32" t="str">
        <f t="shared" ca="1" si="4"/>
        <v/>
      </c>
      <c r="C32" s="586" t="str" cm="1">
        <f t="array" aca="1" ref="C32" ca="1">IF(OR(ROW(C32)=ROW(EVENTOS.firstrow)+1,AND(OFFSET(C32,-1,0)&lt;&gt;" ",OFFSET(C32,-1,1)&lt;&gt;"")),OFFSET(C32,-1,0)+1," ")</f>
        <v xml:space="preserve"> </v>
      </c>
      <c r="D32" s="587"/>
      <c r="E32" s="588" cm="1">
        <f t="array" aca="1" ref="E32" ca="1">IF(AUTOEVENTO="Manual",ROUND(SUMPRODUCT((CÁLCULO!$M$15:$M$36=EVENTOS!$C32)*(OFFSET(CÁLCULO!$AA$15:$AA$36,0,E$13))),2),0)</f>
        <v>0</v>
      </c>
      <c r="F32" s="589">
        <f ca="1">IF(AUTOEVENTO="Manual",ROUND(SUMPRODUCT((CÁLCULO!$M$15:$M$36=EVENTOS!$C32)*(OFFSET(CÁLCULO!$AA$15,0,1):OFFSET(CÁLCULO!$AL$36,0,-1))),2),0)</f>
        <v>0</v>
      </c>
      <c r="G32" s="590" t="str">
        <f ca="1">IF(AND(D32=0,F32&gt;0),"NOME",
 IF(AND(D32&lt;&gt;0,$F$14&gt;0,F32=0),"VALOR",
 IF(AND(Import.TipoArredondamento="TransfereGOV",$A32="F",LEN(D32)&gt;100),"Nome &gt;100","")))</f>
        <v/>
      </c>
      <c r="H32" s="588" cm="1">
        <f t="array" aca="1" ref="H32" ca="1">IF(AUTOEVENTO="Manual",ROUND(SUMPRODUCT((CÁLCULO!$M$15:$M$36=EVENTOS!$C32)*(OFFSET(CÁLCULO!$AA$15:$AA$36,0,H$13))),2),0)</f>
        <v>0</v>
      </c>
      <c r="I32" s="588" cm="1">
        <f t="array" aca="1" ref="I32" ca="1">IF(AUTOEVENTO="Manual",ROUND(SUMPRODUCT((CÁLCULO!$M$15:$M$36=EVENTOS!$C32)*(OFFSET(CÁLCULO!$AA$15:$AA$36,0,I$13))),2),0)</f>
        <v>0</v>
      </c>
      <c r="J32" s="588" cm="1">
        <f t="array" aca="1" ref="J32" ca="1">IF(AUTOEVENTO="Manual",ROUND(SUMPRODUCT((CÁLCULO!$M$15:$M$36=EVENTOS!$C32)*(OFFSET(CÁLCULO!$AA$15:$AA$36,0,J$13))),2),0)</f>
        <v>0</v>
      </c>
      <c r="K32" s="588" cm="1">
        <f t="array" aca="1" ref="K32" ca="1">IF(AUTOEVENTO="Manual",ROUND(SUMPRODUCT((CÁLCULO!$M$15:$M$36=EVENTOS!$C32)*(OFFSET(CÁLCULO!$AA$15:$AA$36,0,K$13))),2),0)</f>
        <v>0</v>
      </c>
      <c r="L32" s="588" cm="1">
        <f t="array" aca="1" ref="L32" ca="1">IF(AUTOEVENTO="Manual",ROUND(SUMPRODUCT((CÁLCULO!$M$15:$M$36=EVENTOS!$C32)*(OFFSET(CÁLCULO!$AA$15:$AA$36,0,L$13))),2),0)</f>
        <v>0</v>
      </c>
      <c r="M32" s="588" cm="1">
        <f t="array" aca="1" ref="M32" ca="1">IF(AUTOEVENTO="Manual",ROUND(SUMPRODUCT((CÁLCULO!$M$15:$M$36=EVENTOS!$C32)*(OFFSET(CÁLCULO!$AA$15:$AA$36,0,M$13))),2),0)</f>
        <v>0</v>
      </c>
      <c r="N32" s="588" cm="1">
        <f t="array" aca="1" ref="N32" ca="1">IF(AUTOEVENTO="Manual",ROUND(SUMPRODUCT((CÁLCULO!$M$15:$M$36=EVENTOS!$C32)*(OFFSET(CÁLCULO!$AA$15:$AA$36,0,N$13))),2),0)</f>
        <v>0</v>
      </c>
      <c r="O32" s="588" cm="1">
        <f t="array" aca="1" ref="O32" ca="1">IF(AUTOEVENTO="Manual",ROUND(SUMPRODUCT((CÁLCULO!$M$15:$M$36=EVENTOS!$C32)*(OFFSET(CÁLCULO!$AA$15:$AA$36,0,O$13))),2),0)</f>
        <v>0</v>
      </c>
      <c r="P32" s="588" cm="1">
        <f t="array" aca="1" ref="P32" ca="1">IF(AUTOEVENTO="Manual",ROUND(SUMPRODUCT((CÁLCULO!$M$15:$M$36=EVENTOS!$C32)*(OFFSET(CÁLCULO!$AA$15:$AA$36,0,P$13))),2),0)</f>
        <v>0</v>
      </c>
      <c r="Q32" s="588" cm="1">
        <f t="array" aca="1" ref="Q32" ca="1">IF(AUTOEVENTO="Manual",ROUND(SUMPRODUCT((CÁLCULO!$M$15:$M$36=EVENTOS!$C32)*(OFFSET(CÁLCULO!$AA$15:$AA$36,0,Q$13))),2),0)</f>
        <v>0</v>
      </c>
      <c r="R32" s="588" cm="1">
        <f t="array" aca="1" ref="R32" ca="1">IF(AUTOEVENTO="Manual",ROUND(SUMPRODUCT((CÁLCULO!$M$15:$M$36=EVENTOS!$C32)*(OFFSET(CÁLCULO!$AA$15:$AA$36,0,R$13))),2),0)</f>
        <v>0</v>
      </c>
      <c r="S32" s="588" cm="1">
        <f t="array" aca="1" ref="S32" ca="1">IF(AUTOEVENTO="Manual",ROUND(SUMPRODUCT((CÁLCULO!$M$15:$M$36=EVENTOS!$C32)*(OFFSET(CÁLCULO!$AA$15:$AA$36,0,S$13))),2),0)</f>
        <v>0</v>
      </c>
      <c r="T32" s="588" cm="1">
        <f t="array" aca="1" ref="T32" ca="1">IF(AUTOEVENTO="Manual",ROUND(SUMPRODUCT((CÁLCULO!$M$15:$M$36=EVENTOS!$C32)*(OFFSET(CÁLCULO!$AA$15:$AA$36,0,T$13))),2),0)</f>
        <v>0</v>
      </c>
      <c r="U32" s="588" cm="1">
        <f t="array" aca="1" ref="U32" ca="1">IF(AUTOEVENTO="Manual",ROUND(SUMPRODUCT((CÁLCULO!$M$15:$M$36=EVENTOS!$C32)*(OFFSET(CÁLCULO!$AA$15:$AA$36,0,U$13))),2),0)</f>
        <v>0</v>
      </c>
      <c r="V32" s="588" cm="1">
        <f t="array" aca="1" ref="V32" ca="1">IF(AUTOEVENTO="Manual",ROUND(SUMPRODUCT((CÁLCULO!$M$15:$M$36=EVENTOS!$C32)*(OFFSET(CÁLCULO!$AA$15:$AA$36,0,V$13))),2),0)</f>
        <v>0</v>
      </c>
      <c r="W32" s="588" cm="1">
        <f t="array" aca="1" ref="W32" ca="1">IF(AUTOEVENTO="Manual",ROUND(SUMPRODUCT((CÁLCULO!$M$15:$M$36=EVENTOS!$C32)*(OFFSET(CÁLCULO!$AA$15:$AA$36,0,W$13))),2),0)</f>
        <v>0</v>
      </c>
      <c r="X32" s="588" cm="1">
        <f t="array" aca="1" ref="X32" ca="1">IF(AUTOEVENTO="Manual",ROUND(SUMPRODUCT((CÁLCULO!$M$15:$M$36=EVENTOS!$C32)*(OFFSET(CÁLCULO!$AA$15:$AA$36,0,X$13))),2),0)</f>
        <v>0</v>
      </c>
      <c r="Y32" s="588" cm="1">
        <f t="array" aca="1" ref="Y32" ca="1">IF(AUTOEVENTO="Manual",ROUND(SUMPRODUCT((CÁLCULO!$M$15:$M$36=EVENTOS!$C32)*(OFFSET(CÁLCULO!$AA$15:$AA$36,0,Y$13))),2),0)</f>
        <v>0</v>
      </c>
    </row>
    <row r="33" spans="1:25" x14ac:dyDescent="0.25">
      <c r="A33" s="415" t="str">
        <f t="shared" si="3"/>
        <v/>
      </c>
      <c r="B33" t="str">
        <f t="shared" ca="1" si="4"/>
        <v/>
      </c>
      <c r="C33" s="586" t="str" cm="1">
        <f t="array" aca="1" ref="C33" ca="1">IF(OR(ROW(C33)=ROW(EVENTOS.firstrow)+1,AND(OFFSET(C33,-1,0)&lt;&gt;" ",OFFSET(C33,-1,1)&lt;&gt;"")),OFFSET(C33,-1,0)+1," ")</f>
        <v xml:space="preserve"> </v>
      </c>
      <c r="D33" s="587"/>
      <c r="E33" s="588" cm="1">
        <f t="array" aca="1" ref="E33" ca="1">IF(AUTOEVENTO="Manual",ROUND(SUMPRODUCT((CÁLCULO!$M$15:$M$36=EVENTOS!$C33)*(OFFSET(CÁLCULO!$AA$15:$AA$36,0,E$13))),2),0)</f>
        <v>0</v>
      </c>
      <c r="F33" s="589">
        <f ca="1">IF(AUTOEVENTO="Manual",ROUND(SUMPRODUCT((CÁLCULO!$M$15:$M$36=EVENTOS!$C33)*(OFFSET(CÁLCULO!$AA$15,0,1):OFFSET(CÁLCULO!$AL$36,0,-1))),2),0)</f>
        <v>0</v>
      </c>
      <c r="G33" s="590" t="str">
        <f ca="1">IF(AND(D33=0,F33&gt;0),"NOME",
 IF(AND(D33&lt;&gt;0,$F$14&gt;0,F33=0),"VALOR",
 IF(AND(Import.TipoArredondamento="TransfereGOV",$A33="F",LEN(D33)&gt;100),"Nome &gt;100","")))</f>
        <v/>
      </c>
      <c r="H33" s="588" cm="1">
        <f t="array" aca="1" ref="H33" ca="1">IF(AUTOEVENTO="Manual",ROUND(SUMPRODUCT((CÁLCULO!$M$15:$M$36=EVENTOS!$C33)*(OFFSET(CÁLCULO!$AA$15:$AA$36,0,H$13))),2),0)</f>
        <v>0</v>
      </c>
      <c r="I33" s="588" cm="1">
        <f t="array" aca="1" ref="I33" ca="1">IF(AUTOEVENTO="Manual",ROUND(SUMPRODUCT((CÁLCULO!$M$15:$M$36=EVENTOS!$C33)*(OFFSET(CÁLCULO!$AA$15:$AA$36,0,I$13))),2),0)</f>
        <v>0</v>
      </c>
      <c r="J33" s="588" cm="1">
        <f t="array" aca="1" ref="J33" ca="1">IF(AUTOEVENTO="Manual",ROUND(SUMPRODUCT((CÁLCULO!$M$15:$M$36=EVENTOS!$C33)*(OFFSET(CÁLCULO!$AA$15:$AA$36,0,J$13))),2),0)</f>
        <v>0</v>
      </c>
      <c r="K33" s="588" cm="1">
        <f t="array" aca="1" ref="K33" ca="1">IF(AUTOEVENTO="Manual",ROUND(SUMPRODUCT((CÁLCULO!$M$15:$M$36=EVENTOS!$C33)*(OFFSET(CÁLCULO!$AA$15:$AA$36,0,K$13))),2),0)</f>
        <v>0</v>
      </c>
      <c r="L33" s="588" cm="1">
        <f t="array" aca="1" ref="L33" ca="1">IF(AUTOEVENTO="Manual",ROUND(SUMPRODUCT((CÁLCULO!$M$15:$M$36=EVENTOS!$C33)*(OFFSET(CÁLCULO!$AA$15:$AA$36,0,L$13))),2),0)</f>
        <v>0</v>
      </c>
      <c r="M33" s="588" cm="1">
        <f t="array" aca="1" ref="M33" ca="1">IF(AUTOEVENTO="Manual",ROUND(SUMPRODUCT((CÁLCULO!$M$15:$M$36=EVENTOS!$C33)*(OFFSET(CÁLCULO!$AA$15:$AA$36,0,M$13))),2),0)</f>
        <v>0</v>
      </c>
      <c r="N33" s="588" cm="1">
        <f t="array" aca="1" ref="N33" ca="1">IF(AUTOEVENTO="Manual",ROUND(SUMPRODUCT((CÁLCULO!$M$15:$M$36=EVENTOS!$C33)*(OFFSET(CÁLCULO!$AA$15:$AA$36,0,N$13))),2),0)</f>
        <v>0</v>
      </c>
      <c r="O33" s="588" cm="1">
        <f t="array" aca="1" ref="O33" ca="1">IF(AUTOEVENTO="Manual",ROUND(SUMPRODUCT((CÁLCULO!$M$15:$M$36=EVENTOS!$C33)*(OFFSET(CÁLCULO!$AA$15:$AA$36,0,O$13))),2),0)</f>
        <v>0</v>
      </c>
      <c r="P33" s="588" cm="1">
        <f t="array" aca="1" ref="P33" ca="1">IF(AUTOEVENTO="Manual",ROUND(SUMPRODUCT((CÁLCULO!$M$15:$M$36=EVENTOS!$C33)*(OFFSET(CÁLCULO!$AA$15:$AA$36,0,P$13))),2),0)</f>
        <v>0</v>
      </c>
      <c r="Q33" s="588" cm="1">
        <f t="array" aca="1" ref="Q33" ca="1">IF(AUTOEVENTO="Manual",ROUND(SUMPRODUCT((CÁLCULO!$M$15:$M$36=EVENTOS!$C33)*(OFFSET(CÁLCULO!$AA$15:$AA$36,0,Q$13))),2),0)</f>
        <v>0</v>
      </c>
      <c r="R33" s="588" cm="1">
        <f t="array" aca="1" ref="R33" ca="1">IF(AUTOEVENTO="Manual",ROUND(SUMPRODUCT((CÁLCULO!$M$15:$M$36=EVENTOS!$C33)*(OFFSET(CÁLCULO!$AA$15:$AA$36,0,R$13))),2),0)</f>
        <v>0</v>
      </c>
      <c r="S33" s="588" cm="1">
        <f t="array" aca="1" ref="S33" ca="1">IF(AUTOEVENTO="Manual",ROUND(SUMPRODUCT((CÁLCULO!$M$15:$M$36=EVENTOS!$C33)*(OFFSET(CÁLCULO!$AA$15:$AA$36,0,S$13))),2),0)</f>
        <v>0</v>
      </c>
      <c r="T33" s="588" cm="1">
        <f t="array" aca="1" ref="T33" ca="1">IF(AUTOEVENTO="Manual",ROUND(SUMPRODUCT((CÁLCULO!$M$15:$M$36=EVENTOS!$C33)*(OFFSET(CÁLCULO!$AA$15:$AA$36,0,T$13))),2),0)</f>
        <v>0</v>
      </c>
      <c r="U33" s="588" cm="1">
        <f t="array" aca="1" ref="U33" ca="1">IF(AUTOEVENTO="Manual",ROUND(SUMPRODUCT((CÁLCULO!$M$15:$M$36=EVENTOS!$C33)*(OFFSET(CÁLCULO!$AA$15:$AA$36,0,U$13))),2),0)</f>
        <v>0</v>
      </c>
      <c r="V33" s="588" cm="1">
        <f t="array" aca="1" ref="V33" ca="1">IF(AUTOEVENTO="Manual",ROUND(SUMPRODUCT((CÁLCULO!$M$15:$M$36=EVENTOS!$C33)*(OFFSET(CÁLCULO!$AA$15:$AA$36,0,V$13))),2),0)</f>
        <v>0</v>
      </c>
      <c r="W33" s="588" cm="1">
        <f t="array" aca="1" ref="W33" ca="1">IF(AUTOEVENTO="Manual",ROUND(SUMPRODUCT((CÁLCULO!$M$15:$M$36=EVENTOS!$C33)*(OFFSET(CÁLCULO!$AA$15:$AA$36,0,W$13))),2),0)</f>
        <v>0</v>
      </c>
      <c r="X33" s="588" cm="1">
        <f t="array" aca="1" ref="X33" ca="1">IF(AUTOEVENTO="Manual",ROUND(SUMPRODUCT((CÁLCULO!$M$15:$M$36=EVENTOS!$C33)*(OFFSET(CÁLCULO!$AA$15:$AA$36,0,X$13))),2),0)</f>
        <v>0</v>
      </c>
      <c r="Y33" s="588" cm="1">
        <f t="array" aca="1" ref="Y33" ca="1">IF(AUTOEVENTO="Manual",ROUND(SUMPRODUCT((CÁLCULO!$M$15:$M$36=EVENTOS!$C33)*(OFFSET(CÁLCULO!$AA$15:$AA$36,0,Y$13))),2),0)</f>
        <v>0</v>
      </c>
    </row>
    <row r="34" spans="1:25" x14ac:dyDescent="0.25">
      <c r="A34" s="415" t="str">
        <f t="shared" si="3"/>
        <v/>
      </c>
      <c r="B34" t="str">
        <f t="shared" ca="1" si="4"/>
        <v/>
      </c>
      <c r="C34" s="586" t="str" cm="1">
        <f t="array" aca="1" ref="C34" ca="1">IF(OR(ROW(C34)=ROW(EVENTOS.firstrow)+1,AND(OFFSET(C34,-1,0)&lt;&gt;" ",OFFSET(C34,-1,1)&lt;&gt;"")),OFFSET(C34,-1,0)+1," ")</f>
        <v xml:space="preserve"> </v>
      </c>
      <c r="D34" s="587"/>
      <c r="E34" s="588" cm="1">
        <f t="array" aca="1" ref="E34" ca="1">IF(AUTOEVENTO="Manual",ROUND(SUMPRODUCT((CÁLCULO!$M$15:$M$36=EVENTOS!$C34)*(OFFSET(CÁLCULO!$AA$15:$AA$36,0,E$13))),2),0)</f>
        <v>0</v>
      </c>
      <c r="F34" s="589">
        <f ca="1">IF(AUTOEVENTO="Manual",ROUND(SUMPRODUCT((CÁLCULO!$M$15:$M$36=EVENTOS!$C34)*(OFFSET(CÁLCULO!$AA$15,0,1):OFFSET(CÁLCULO!$AL$36,0,-1))),2),0)</f>
        <v>0</v>
      </c>
      <c r="G34" s="590" t="str">
        <f ca="1">IF(AND(D34=0,F34&gt;0),"NOME",
 IF(AND(D34&lt;&gt;0,$F$14&gt;0,F34=0),"VALOR",
 IF(AND(Import.TipoArredondamento="TransfereGOV",$A34="F",LEN(D34)&gt;100),"Nome &gt;100","")))</f>
        <v/>
      </c>
      <c r="H34" s="588" cm="1">
        <f t="array" aca="1" ref="H34" ca="1">IF(AUTOEVENTO="Manual",ROUND(SUMPRODUCT((CÁLCULO!$M$15:$M$36=EVENTOS!$C34)*(OFFSET(CÁLCULO!$AA$15:$AA$36,0,H$13))),2),0)</f>
        <v>0</v>
      </c>
      <c r="I34" s="588" cm="1">
        <f t="array" aca="1" ref="I34" ca="1">IF(AUTOEVENTO="Manual",ROUND(SUMPRODUCT((CÁLCULO!$M$15:$M$36=EVENTOS!$C34)*(OFFSET(CÁLCULO!$AA$15:$AA$36,0,I$13))),2),0)</f>
        <v>0</v>
      </c>
      <c r="J34" s="588" cm="1">
        <f t="array" aca="1" ref="J34" ca="1">IF(AUTOEVENTO="Manual",ROUND(SUMPRODUCT((CÁLCULO!$M$15:$M$36=EVENTOS!$C34)*(OFFSET(CÁLCULO!$AA$15:$AA$36,0,J$13))),2),0)</f>
        <v>0</v>
      </c>
      <c r="K34" s="588" cm="1">
        <f t="array" aca="1" ref="K34" ca="1">IF(AUTOEVENTO="Manual",ROUND(SUMPRODUCT((CÁLCULO!$M$15:$M$36=EVENTOS!$C34)*(OFFSET(CÁLCULO!$AA$15:$AA$36,0,K$13))),2),0)</f>
        <v>0</v>
      </c>
      <c r="L34" s="588" cm="1">
        <f t="array" aca="1" ref="L34" ca="1">IF(AUTOEVENTO="Manual",ROUND(SUMPRODUCT((CÁLCULO!$M$15:$M$36=EVENTOS!$C34)*(OFFSET(CÁLCULO!$AA$15:$AA$36,0,L$13))),2),0)</f>
        <v>0</v>
      </c>
      <c r="M34" s="588" cm="1">
        <f t="array" aca="1" ref="M34" ca="1">IF(AUTOEVENTO="Manual",ROUND(SUMPRODUCT((CÁLCULO!$M$15:$M$36=EVENTOS!$C34)*(OFFSET(CÁLCULO!$AA$15:$AA$36,0,M$13))),2),0)</f>
        <v>0</v>
      </c>
      <c r="N34" s="588" cm="1">
        <f t="array" aca="1" ref="N34" ca="1">IF(AUTOEVENTO="Manual",ROUND(SUMPRODUCT((CÁLCULO!$M$15:$M$36=EVENTOS!$C34)*(OFFSET(CÁLCULO!$AA$15:$AA$36,0,N$13))),2),0)</f>
        <v>0</v>
      </c>
      <c r="O34" s="588" cm="1">
        <f t="array" aca="1" ref="O34" ca="1">IF(AUTOEVENTO="Manual",ROUND(SUMPRODUCT((CÁLCULO!$M$15:$M$36=EVENTOS!$C34)*(OFFSET(CÁLCULO!$AA$15:$AA$36,0,O$13))),2),0)</f>
        <v>0</v>
      </c>
      <c r="P34" s="588" cm="1">
        <f t="array" aca="1" ref="P34" ca="1">IF(AUTOEVENTO="Manual",ROUND(SUMPRODUCT((CÁLCULO!$M$15:$M$36=EVENTOS!$C34)*(OFFSET(CÁLCULO!$AA$15:$AA$36,0,P$13))),2),0)</f>
        <v>0</v>
      </c>
      <c r="Q34" s="588" cm="1">
        <f t="array" aca="1" ref="Q34" ca="1">IF(AUTOEVENTO="Manual",ROUND(SUMPRODUCT((CÁLCULO!$M$15:$M$36=EVENTOS!$C34)*(OFFSET(CÁLCULO!$AA$15:$AA$36,0,Q$13))),2),0)</f>
        <v>0</v>
      </c>
      <c r="R34" s="588" cm="1">
        <f t="array" aca="1" ref="R34" ca="1">IF(AUTOEVENTO="Manual",ROUND(SUMPRODUCT((CÁLCULO!$M$15:$M$36=EVENTOS!$C34)*(OFFSET(CÁLCULO!$AA$15:$AA$36,0,R$13))),2),0)</f>
        <v>0</v>
      </c>
      <c r="S34" s="588" cm="1">
        <f t="array" aca="1" ref="S34" ca="1">IF(AUTOEVENTO="Manual",ROUND(SUMPRODUCT((CÁLCULO!$M$15:$M$36=EVENTOS!$C34)*(OFFSET(CÁLCULO!$AA$15:$AA$36,0,S$13))),2),0)</f>
        <v>0</v>
      </c>
      <c r="T34" s="588" cm="1">
        <f t="array" aca="1" ref="T34" ca="1">IF(AUTOEVENTO="Manual",ROUND(SUMPRODUCT((CÁLCULO!$M$15:$M$36=EVENTOS!$C34)*(OFFSET(CÁLCULO!$AA$15:$AA$36,0,T$13))),2),0)</f>
        <v>0</v>
      </c>
      <c r="U34" s="588" cm="1">
        <f t="array" aca="1" ref="U34" ca="1">IF(AUTOEVENTO="Manual",ROUND(SUMPRODUCT((CÁLCULO!$M$15:$M$36=EVENTOS!$C34)*(OFFSET(CÁLCULO!$AA$15:$AA$36,0,U$13))),2),0)</f>
        <v>0</v>
      </c>
      <c r="V34" s="588" cm="1">
        <f t="array" aca="1" ref="V34" ca="1">IF(AUTOEVENTO="Manual",ROUND(SUMPRODUCT((CÁLCULO!$M$15:$M$36=EVENTOS!$C34)*(OFFSET(CÁLCULO!$AA$15:$AA$36,0,V$13))),2),0)</f>
        <v>0</v>
      </c>
      <c r="W34" s="588" cm="1">
        <f t="array" aca="1" ref="W34" ca="1">IF(AUTOEVENTO="Manual",ROUND(SUMPRODUCT((CÁLCULO!$M$15:$M$36=EVENTOS!$C34)*(OFFSET(CÁLCULO!$AA$15:$AA$36,0,W$13))),2),0)</f>
        <v>0</v>
      </c>
      <c r="X34" s="588" cm="1">
        <f t="array" aca="1" ref="X34" ca="1">IF(AUTOEVENTO="Manual",ROUND(SUMPRODUCT((CÁLCULO!$M$15:$M$36=EVENTOS!$C34)*(OFFSET(CÁLCULO!$AA$15:$AA$36,0,X$13))),2),0)</f>
        <v>0</v>
      </c>
      <c r="Y34" s="588" cm="1">
        <f t="array" aca="1" ref="Y34" ca="1">IF(AUTOEVENTO="Manual",ROUND(SUMPRODUCT((CÁLCULO!$M$15:$M$36=EVENTOS!$C34)*(OFFSET(CÁLCULO!$AA$15:$AA$36,0,Y$13))),2),0)</f>
        <v>0</v>
      </c>
    </row>
    <row r="35" spans="1:25" x14ac:dyDescent="0.25">
      <c r="A35" s="415" t="str">
        <f t="shared" si="3"/>
        <v/>
      </c>
      <c r="B35" t="str">
        <f t="shared" ca="1" si="4"/>
        <v/>
      </c>
      <c r="C35" s="586" t="str" cm="1">
        <f t="array" aca="1" ref="C35" ca="1">IF(OR(ROW(C35)=ROW(EVENTOS.firstrow)+1,AND(OFFSET(C35,-1,0)&lt;&gt;" ",OFFSET(C35,-1,1)&lt;&gt;"")),OFFSET(C35,-1,0)+1," ")</f>
        <v xml:space="preserve"> </v>
      </c>
      <c r="D35" s="587"/>
      <c r="E35" s="588" cm="1">
        <f t="array" aca="1" ref="E35" ca="1">IF(AUTOEVENTO="Manual",ROUND(SUMPRODUCT((CÁLCULO!$M$15:$M$36=EVENTOS!$C35)*(OFFSET(CÁLCULO!$AA$15:$AA$36,0,E$13))),2),0)</f>
        <v>0</v>
      </c>
      <c r="F35" s="589">
        <f ca="1">IF(AUTOEVENTO="Manual",ROUND(SUMPRODUCT((CÁLCULO!$M$15:$M$36=EVENTOS!$C35)*(OFFSET(CÁLCULO!$AA$15,0,1):OFFSET(CÁLCULO!$AL$36,0,-1))),2),0)</f>
        <v>0</v>
      </c>
      <c r="G35" s="590" t="str">
        <f ca="1">IF(AND(D35=0,F35&gt;0),"NOME",
 IF(AND(D35&lt;&gt;0,$F$14&gt;0,F35=0),"VALOR",
 IF(AND(Import.TipoArredondamento="TransfereGOV",$A35="F",LEN(D35)&gt;100),"Nome &gt;100","")))</f>
        <v/>
      </c>
      <c r="H35" s="588" cm="1">
        <f t="array" aca="1" ref="H35" ca="1">IF(AUTOEVENTO="Manual",ROUND(SUMPRODUCT((CÁLCULO!$M$15:$M$36=EVENTOS!$C35)*(OFFSET(CÁLCULO!$AA$15:$AA$36,0,H$13))),2),0)</f>
        <v>0</v>
      </c>
      <c r="I35" s="588" cm="1">
        <f t="array" aca="1" ref="I35" ca="1">IF(AUTOEVENTO="Manual",ROUND(SUMPRODUCT((CÁLCULO!$M$15:$M$36=EVENTOS!$C35)*(OFFSET(CÁLCULO!$AA$15:$AA$36,0,I$13))),2),0)</f>
        <v>0</v>
      </c>
      <c r="J35" s="588" cm="1">
        <f t="array" aca="1" ref="J35" ca="1">IF(AUTOEVENTO="Manual",ROUND(SUMPRODUCT((CÁLCULO!$M$15:$M$36=EVENTOS!$C35)*(OFFSET(CÁLCULO!$AA$15:$AA$36,0,J$13))),2),0)</f>
        <v>0</v>
      </c>
      <c r="K35" s="588" cm="1">
        <f t="array" aca="1" ref="K35" ca="1">IF(AUTOEVENTO="Manual",ROUND(SUMPRODUCT((CÁLCULO!$M$15:$M$36=EVENTOS!$C35)*(OFFSET(CÁLCULO!$AA$15:$AA$36,0,K$13))),2),0)</f>
        <v>0</v>
      </c>
      <c r="L35" s="588" cm="1">
        <f t="array" aca="1" ref="L35" ca="1">IF(AUTOEVENTO="Manual",ROUND(SUMPRODUCT((CÁLCULO!$M$15:$M$36=EVENTOS!$C35)*(OFFSET(CÁLCULO!$AA$15:$AA$36,0,L$13))),2),0)</f>
        <v>0</v>
      </c>
      <c r="M35" s="588" cm="1">
        <f t="array" aca="1" ref="M35" ca="1">IF(AUTOEVENTO="Manual",ROUND(SUMPRODUCT((CÁLCULO!$M$15:$M$36=EVENTOS!$C35)*(OFFSET(CÁLCULO!$AA$15:$AA$36,0,M$13))),2),0)</f>
        <v>0</v>
      </c>
      <c r="N35" s="588" cm="1">
        <f t="array" aca="1" ref="N35" ca="1">IF(AUTOEVENTO="Manual",ROUND(SUMPRODUCT((CÁLCULO!$M$15:$M$36=EVENTOS!$C35)*(OFFSET(CÁLCULO!$AA$15:$AA$36,0,N$13))),2),0)</f>
        <v>0</v>
      </c>
      <c r="O35" s="588" cm="1">
        <f t="array" aca="1" ref="O35" ca="1">IF(AUTOEVENTO="Manual",ROUND(SUMPRODUCT((CÁLCULO!$M$15:$M$36=EVENTOS!$C35)*(OFFSET(CÁLCULO!$AA$15:$AA$36,0,O$13))),2),0)</f>
        <v>0</v>
      </c>
      <c r="P35" s="588" cm="1">
        <f t="array" aca="1" ref="P35" ca="1">IF(AUTOEVENTO="Manual",ROUND(SUMPRODUCT((CÁLCULO!$M$15:$M$36=EVENTOS!$C35)*(OFFSET(CÁLCULO!$AA$15:$AA$36,0,P$13))),2),0)</f>
        <v>0</v>
      </c>
      <c r="Q35" s="588" cm="1">
        <f t="array" aca="1" ref="Q35" ca="1">IF(AUTOEVENTO="Manual",ROUND(SUMPRODUCT((CÁLCULO!$M$15:$M$36=EVENTOS!$C35)*(OFFSET(CÁLCULO!$AA$15:$AA$36,0,Q$13))),2),0)</f>
        <v>0</v>
      </c>
      <c r="R35" s="588" cm="1">
        <f t="array" aca="1" ref="R35" ca="1">IF(AUTOEVENTO="Manual",ROUND(SUMPRODUCT((CÁLCULO!$M$15:$M$36=EVENTOS!$C35)*(OFFSET(CÁLCULO!$AA$15:$AA$36,0,R$13))),2),0)</f>
        <v>0</v>
      </c>
      <c r="S35" s="588" cm="1">
        <f t="array" aca="1" ref="S35" ca="1">IF(AUTOEVENTO="Manual",ROUND(SUMPRODUCT((CÁLCULO!$M$15:$M$36=EVENTOS!$C35)*(OFFSET(CÁLCULO!$AA$15:$AA$36,0,S$13))),2),0)</f>
        <v>0</v>
      </c>
      <c r="T35" s="588" cm="1">
        <f t="array" aca="1" ref="T35" ca="1">IF(AUTOEVENTO="Manual",ROUND(SUMPRODUCT((CÁLCULO!$M$15:$M$36=EVENTOS!$C35)*(OFFSET(CÁLCULO!$AA$15:$AA$36,0,T$13))),2),0)</f>
        <v>0</v>
      </c>
      <c r="U35" s="588" cm="1">
        <f t="array" aca="1" ref="U35" ca="1">IF(AUTOEVENTO="Manual",ROUND(SUMPRODUCT((CÁLCULO!$M$15:$M$36=EVENTOS!$C35)*(OFFSET(CÁLCULO!$AA$15:$AA$36,0,U$13))),2),0)</f>
        <v>0</v>
      </c>
      <c r="V35" s="588" cm="1">
        <f t="array" aca="1" ref="V35" ca="1">IF(AUTOEVENTO="Manual",ROUND(SUMPRODUCT((CÁLCULO!$M$15:$M$36=EVENTOS!$C35)*(OFFSET(CÁLCULO!$AA$15:$AA$36,0,V$13))),2),0)</f>
        <v>0</v>
      </c>
      <c r="W35" s="588" cm="1">
        <f t="array" aca="1" ref="W35" ca="1">IF(AUTOEVENTO="Manual",ROUND(SUMPRODUCT((CÁLCULO!$M$15:$M$36=EVENTOS!$C35)*(OFFSET(CÁLCULO!$AA$15:$AA$36,0,W$13))),2),0)</f>
        <v>0</v>
      </c>
      <c r="X35" s="588" cm="1">
        <f t="array" aca="1" ref="X35" ca="1">IF(AUTOEVENTO="Manual",ROUND(SUMPRODUCT((CÁLCULO!$M$15:$M$36=EVENTOS!$C35)*(OFFSET(CÁLCULO!$AA$15:$AA$36,0,X$13))),2),0)</f>
        <v>0</v>
      </c>
      <c r="Y35" s="588" cm="1">
        <f t="array" aca="1" ref="Y35" ca="1">IF(AUTOEVENTO="Manual",ROUND(SUMPRODUCT((CÁLCULO!$M$15:$M$36=EVENTOS!$C35)*(OFFSET(CÁLCULO!$AA$15:$AA$36,0,Y$13))),2),0)</f>
        <v>0</v>
      </c>
    </row>
    <row r="36" spans="1:25" x14ac:dyDescent="0.25">
      <c r="A36" s="415" t="str">
        <f t="shared" si="3"/>
        <v/>
      </c>
      <c r="B36" t="str">
        <f t="shared" ca="1" si="4"/>
        <v/>
      </c>
      <c r="C36" s="586" t="str" cm="1">
        <f t="array" aca="1" ref="C36" ca="1">IF(OR(ROW(C36)=ROW(EVENTOS.firstrow)+1,AND(OFFSET(C36,-1,0)&lt;&gt;" ",OFFSET(C36,-1,1)&lt;&gt;"")),OFFSET(C36,-1,0)+1," ")</f>
        <v xml:space="preserve"> </v>
      </c>
      <c r="D36" s="587"/>
      <c r="E36" s="588" cm="1">
        <f t="array" aca="1" ref="E36" ca="1">IF(AUTOEVENTO="Manual",ROUND(SUMPRODUCT((CÁLCULO!$M$15:$M$36=EVENTOS!$C36)*(OFFSET(CÁLCULO!$AA$15:$AA$36,0,E$13))),2),0)</f>
        <v>0</v>
      </c>
      <c r="F36" s="589">
        <f ca="1">IF(AUTOEVENTO="Manual",ROUND(SUMPRODUCT((CÁLCULO!$M$15:$M$36=EVENTOS!$C36)*(OFFSET(CÁLCULO!$AA$15,0,1):OFFSET(CÁLCULO!$AL$36,0,-1))),2),0)</f>
        <v>0</v>
      </c>
      <c r="G36" s="590" t="str">
        <f ca="1">IF(AND(D36=0,F36&gt;0),"NOME",
 IF(AND(D36&lt;&gt;0,$F$14&gt;0,F36=0),"VALOR",
 IF(AND(Import.TipoArredondamento="TransfereGOV",$A36="F",LEN(D36)&gt;100),"Nome &gt;100","")))</f>
        <v/>
      </c>
      <c r="H36" s="588" cm="1">
        <f t="array" aca="1" ref="H36" ca="1">IF(AUTOEVENTO="Manual",ROUND(SUMPRODUCT((CÁLCULO!$M$15:$M$36=EVENTOS!$C36)*(OFFSET(CÁLCULO!$AA$15:$AA$36,0,H$13))),2),0)</f>
        <v>0</v>
      </c>
      <c r="I36" s="588" cm="1">
        <f t="array" aca="1" ref="I36" ca="1">IF(AUTOEVENTO="Manual",ROUND(SUMPRODUCT((CÁLCULO!$M$15:$M$36=EVENTOS!$C36)*(OFFSET(CÁLCULO!$AA$15:$AA$36,0,I$13))),2),0)</f>
        <v>0</v>
      </c>
      <c r="J36" s="588" cm="1">
        <f t="array" aca="1" ref="J36" ca="1">IF(AUTOEVENTO="Manual",ROUND(SUMPRODUCT((CÁLCULO!$M$15:$M$36=EVENTOS!$C36)*(OFFSET(CÁLCULO!$AA$15:$AA$36,0,J$13))),2),0)</f>
        <v>0</v>
      </c>
      <c r="K36" s="588" cm="1">
        <f t="array" aca="1" ref="K36" ca="1">IF(AUTOEVENTO="Manual",ROUND(SUMPRODUCT((CÁLCULO!$M$15:$M$36=EVENTOS!$C36)*(OFFSET(CÁLCULO!$AA$15:$AA$36,0,K$13))),2),0)</f>
        <v>0</v>
      </c>
      <c r="L36" s="588" cm="1">
        <f t="array" aca="1" ref="L36" ca="1">IF(AUTOEVENTO="Manual",ROUND(SUMPRODUCT((CÁLCULO!$M$15:$M$36=EVENTOS!$C36)*(OFFSET(CÁLCULO!$AA$15:$AA$36,0,L$13))),2),0)</f>
        <v>0</v>
      </c>
      <c r="M36" s="588" cm="1">
        <f t="array" aca="1" ref="M36" ca="1">IF(AUTOEVENTO="Manual",ROUND(SUMPRODUCT((CÁLCULO!$M$15:$M$36=EVENTOS!$C36)*(OFFSET(CÁLCULO!$AA$15:$AA$36,0,M$13))),2),0)</f>
        <v>0</v>
      </c>
      <c r="N36" s="588" cm="1">
        <f t="array" aca="1" ref="N36" ca="1">IF(AUTOEVENTO="Manual",ROUND(SUMPRODUCT((CÁLCULO!$M$15:$M$36=EVENTOS!$C36)*(OFFSET(CÁLCULO!$AA$15:$AA$36,0,N$13))),2),0)</f>
        <v>0</v>
      </c>
      <c r="O36" s="588" cm="1">
        <f t="array" aca="1" ref="O36" ca="1">IF(AUTOEVENTO="Manual",ROUND(SUMPRODUCT((CÁLCULO!$M$15:$M$36=EVENTOS!$C36)*(OFFSET(CÁLCULO!$AA$15:$AA$36,0,O$13))),2),0)</f>
        <v>0</v>
      </c>
      <c r="P36" s="588" cm="1">
        <f t="array" aca="1" ref="P36" ca="1">IF(AUTOEVENTO="Manual",ROUND(SUMPRODUCT((CÁLCULO!$M$15:$M$36=EVENTOS!$C36)*(OFFSET(CÁLCULO!$AA$15:$AA$36,0,P$13))),2),0)</f>
        <v>0</v>
      </c>
      <c r="Q36" s="588" cm="1">
        <f t="array" aca="1" ref="Q36" ca="1">IF(AUTOEVENTO="Manual",ROUND(SUMPRODUCT((CÁLCULO!$M$15:$M$36=EVENTOS!$C36)*(OFFSET(CÁLCULO!$AA$15:$AA$36,0,Q$13))),2),0)</f>
        <v>0</v>
      </c>
      <c r="R36" s="588" cm="1">
        <f t="array" aca="1" ref="R36" ca="1">IF(AUTOEVENTO="Manual",ROUND(SUMPRODUCT((CÁLCULO!$M$15:$M$36=EVENTOS!$C36)*(OFFSET(CÁLCULO!$AA$15:$AA$36,0,R$13))),2),0)</f>
        <v>0</v>
      </c>
      <c r="S36" s="588" cm="1">
        <f t="array" aca="1" ref="S36" ca="1">IF(AUTOEVENTO="Manual",ROUND(SUMPRODUCT((CÁLCULO!$M$15:$M$36=EVENTOS!$C36)*(OFFSET(CÁLCULO!$AA$15:$AA$36,0,S$13))),2),0)</f>
        <v>0</v>
      </c>
      <c r="T36" s="588" cm="1">
        <f t="array" aca="1" ref="T36" ca="1">IF(AUTOEVENTO="Manual",ROUND(SUMPRODUCT((CÁLCULO!$M$15:$M$36=EVENTOS!$C36)*(OFFSET(CÁLCULO!$AA$15:$AA$36,0,T$13))),2),0)</f>
        <v>0</v>
      </c>
      <c r="U36" s="588" cm="1">
        <f t="array" aca="1" ref="U36" ca="1">IF(AUTOEVENTO="Manual",ROUND(SUMPRODUCT((CÁLCULO!$M$15:$M$36=EVENTOS!$C36)*(OFFSET(CÁLCULO!$AA$15:$AA$36,0,U$13))),2),0)</f>
        <v>0</v>
      </c>
      <c r="V36" s="588" cm="1">
        <f t="array" aca="1" ref="V36" ca="1">IF(AUTOEVENTO="Manual",ROUND(SUMPRODUCT((CÁLCULO!$M$15:$M$36=EVENTOS!$C36)*(OFFSET(CÁLCULO!$AA$15:$AA$36,0,V$13))),2),0)</f>
        <v>0</v>
      </c>
      <c r="W36" s="588" cm="1">
        <f t="array" aca="1" ref="W36" ca="1">IF(AUTOEVENTO="Manual",ROUND(SUMPRODUCT((CÁLCULO!$M$15:$M$36=EVENTOS!$C36)*(OFFSET(CÁLCULO!$AA$15:$AA$36,0,W$13))),2),0)</f>
        <v>0</v>
      </c>
      <c r="X36" s="588" cm="1">
        <f t="array" aca="1" ref="X36" ca="1">IF(AUTOEVENTO="Manual",ROUND(SUMPRODUCT((CÁLCULO!$M$15:$M$36=EVENTOS!$C36)*(OFFSET(CÁLCULO!$AA$15:$AA$36,0,X$13))),2),0)</f>
        <v>0</v>
      </c>
      <c r="Y36" s="588" cm="1">
        <f t="array" aca="1" ref="Y36" ca="1">IF(AUTOEVENTO="Manual",ROUND(SUMPRODUCT((CÁLCULO!$M$15:$M$36=EVENTOS!$C36)*(OFFSET(CÁLCULO!$AA$15:$AA$36,0,Y$13))),2),0)</f>
        <v>0</v>
      </c>
    </row>
    <row r="37" spans="1:25" x14ac:dyDescent="0.25">
      <c r="A37" s="415" t="str">
        <f t="shared" si="3"/>
        <v/>
      </c>
      <c r="B37" t="str">
        <f t="shared" ca="1" si="4"/>
        <v/>
      </c>
      <c r="C37" s="586" t="str" cm="1">
        <f t="array" aca="1" ref="C37" ca="1">IF(OR(ROW(C37)=ROW(EVENTOS.firstrow)+1,AND(OFFSET(C37,-1,0)&lt;&gt;" ",OFFSET(C37,-1,1)&lt;&gt;"")),OFFSET(C37,-1,0)+1," ")</f>
        <v xml:space="preserve"> </v>
      </c>
      <c r="D37" s="587"/>
      <c r="E37" s="588" cm="1">
        <f t="array" aca="1" ref="E37" ca="1">IF(AUTOEVENTO="Manual",ROUND(SUMPRODUCT((CÁLCULO!$M$15:$M$36=EVENTOS!$C37)*(OFFSET(CÁLCULO!$AA$15:$AA$36,0,E$13))),2),0)</f>
        <v>0</v>
      </c>
      <c r="F37" s="589">
        <f ca="1">IF(AUTOEVENTO="Manual",ROUND(SUMPRODUCT((CÁLCULO!$M$15:$M$36=EVENTOS!$C37)*(OFFSET(CÁLCULO!$AA$15,0,1):OFFSET(CÁLCULO!$AL$36,0,-1))),2),0)</f>
        <v>0</v>
      </c>
      <c r="G37" s="590" t="str">
        <f ca="1">IF(AND(D37=0,F37&gt;0),"NOME",
 IF(AND(D37&lt;&gt;0,$F$14&gt;0,F37=0),"VALOR",
 IF(AND(Import.TipoArredondamento="TransfereGOV",$A37="F",LEN(D37)&gt;100),"Nome &gt;100","")))</f>
        <v/>
      </c>
      <c r="H37" s="588" cm="1">
        <f t="array" aca="1" ref="H37" ca="1">IF(AUTOEVENTO="Manual",ROUND(SUMPRODUCT((CÁLCULO!$M$15:$M$36=EVENTOS!$C37)*(OFFSET(CÁLCULO!$AA$15:$AA$36,0,H$13))),2),0)</f>
        <v>0</v>
      </c>
      <c r="I37" s="588" cm="1">
        <f t="array" aca="1" ref="I37" ca="1">IF(AUTOEVENTO="Manual",ROUND(SUMPRODUCT((CÁLCULO!$M$15:$M$36=EVENTOS!$C37)*(OFFSET(CÁLCULO!$AA$15:$AA$36,0,I$13))),2),0)</f>
        <v>0</v>
      </c>
      <c r="J37" s="588" cm="1">
        <f t="array" aca="1" ref="J37" ca="1">IF(AUTOEVENTO="Manual",ROUND(SUMPRODUCT((CÁLCULO!$M$15:$M$36=EVENTOS!$C37)*(OFFSET(CÁLCULO!$AA$15:$AA$36,0,J$13))),2),0)</f>
        <v>0</v>
      </c>
      <c r="K37" s="588" cm="1">
        <f t="array" aca="1" ref="K37" ca="1">IF(AUTOEVENTO="Manual",ROUND(SUMPRODUCT((CÁLCULO!$M$15:$M$36=EVENTOS!$C37)*(OFFSET(CÁLCULO!$AA$15:$AA$36,0,K$13))),2),0)</f>
        <v>0</v>
      </c>
      <c r="L37" s="588" cm="1">
        <f t="array" aca="1" ref="L37" ca="1">IF(AUTOEVENTO="Manual",ROUND(SUMPRODUCT((CÁLCULO!$M$15:$M$36=EVENTOS!$C37)*(OFFSET(CÁLCULO!$AA$15:$AA$36,0,L$13))),2),0)</f>
        <v>0</v>
      </c>
      <c r="M37" s="588" cm="1">
        <f t="array" aca="1" ref="M37" ca="1">IF(AUTOEVENTO="Manual",ROUND(SUMPRODUCT((CÁLCULO!$M$15:$M$36=EVENTOS!$C37)*(OFFSET(CÁLCULO!$AA$15:$AA$36,0,M$13))),2),0)</f>
        <v>0</v>
      </c>
      <c r="N37" s="588" cm="1">
        <f t="array" aca="1" ref="N37" ca="1">IF(AUTOEVENTO="Manual",ROUND(SUMPRODUCT((CÁLCULO!$M$15:$M$36=EVENTOS!$C37)*(OFFSET(CÁLCULO!$AA$15:$AA$36,0,N$13))),2),0)</f>
        <v>0</v>
      </c>
      <c r="O37" s="588" cm="1">
        <f t="array" aca="1" ref="O37" ca="1">IF(AUTOEVENTO="Manual",ROUND(SUMPRODUCT((CÁLCULO!$M$15:$M$36=EVENTOS!$C37)*(OFFSET(CÁLCULO!$AA$15:$AA$36,0,O$13))),2),0)</f>
        <v>0</v>
      </c>
      <c r="P37" s="588" cm="1">
        <f t="array" aca="1" ref="P37" ca="1">IF(AUTOEVENTO="Manual",ROUND(SUMPRODUCT((CÁLCULO!$M$15:$M$36=EVENTOS!$C37)*(OFFSET(CÁLCULO!$AA$15:$AA$36,0,P$13))),2),0)</f>
        <v>0</v>
      </c>
      <c r="Q37" s="588" cm="1">
        <f t="array" aca="1" ref="Q37" ca="1">IF(AUTOEVENTO="Manual",ROUND(SUMPRODUCT((CÁLCULO!$M$15:$M$36=EVENTOS!$C37)*(OFFSET(CÁLCULO!$AA$15:$AA$36,0,Q$13))),2),0)</f>
        <v>0</v>
      </c>
      <c r="R37" s="588" cm="1">
        <f t="array" aca="1" ref="R37" ca="1">IF(AUTOEVENTO="Manual",ROUND(SUMPRODUCT((CÁLCULO!$M$15:$M$36=EVENTOS!$C37)*(OFFSET(CÁLCULO!$AA$15:$AA$36,0,R$13))),2),0)</f>
        <v>0</v>
      </c>
      <c r="S37" s="588" cm="1">
        <f t="array" aca="1" ref="S37" ca="1">IF(AUTOEVENTO="Manual",ROUND(SUMPRODUCT((CÁLCULO!$M$15:$M$36=EVENTOS!$C37)*(OFFSET(CÁLCULO!$AA$15:$AA$36,0,S$13))),2),0)</f>
        <v>0</v>
      </c>
      <c r="T37" s="588" cm="1">
        <f t="array" aca="1" ref="T37" ca="1">IF(AUTOEVENTO="Manual",ROUND(SUMPRODUCT((CÁLCULO!$M$15:$M$36=EVENTOS!$C37)*(OFFSET(CÁLCULO!$AA$15:$AA$36,0,T$13))),2),0)</f>
        <v>0</v>
      </c>
      <c r="U37" s="588" cm="1">
        <f t="array" aca="1" ref="U37" ca="1">IF(AUTOEVENTO="Manual",ROUND(SUMPRODUCT((CÁLCULO!$M$15:$M$36=EVENTOS!$C37)*(OFFSET(CÁLCULO!$AA$15:$AA$36,0,U$13))),2),0)</f>
        <v>0</v>
      </c>
      <c r="V37" s="588" cm="1">
        <f t="array" aca="1" ref="V37" ca="1">IF(AUTOEVENTO="Manual",ROUND(SUMPRODUCT((CÁLCULO!$M$15:$M$36=EVENTOS!$C37)*(OFFSET(CÁLCULO!$AA$15:$AA$36,0,V$13))),2),0)</f>
        <v>0</v>
      </c>
      <c r="W37" s="588" cm="1">
        <f t="array" aca="1" ref="W37" ca="1">IF(AUTOEVENTO="Manual",ROUND(SUMPRODUCT((CÁLCULO!$M$15:$M$36=EVENTOS!$C37)*(OFFSET(CÁLCULO!$AA$15:$AA$36,0,W$13))),2),0)</f>
        <v>0</v>
      </c>
      <c r="X37" s="588" cm="1">
        <f t="array" aca="1" ref="X37" ca="1">IF(AUTOEVENTO="Manual",ROUND(SUMPRODUCT((CÁLCULO!$M$15:$M$36=EVENTOS!$C37)*(OFFSET(CÁLCULO!$AA$15:$AA$36,0,X$13))),2),0)</f>
        <v>0</v>
      </c>
      <c r="Y37" s="588" cm="1">
        <f t="array" aca="1" ref="Y37" ca="1">IF(AUTOEVENTO="Manual",ROUND(SUMPRODUCT((CÁLCULO!$M$15:$M$36=EVENTOS!$C37)*(OFFSET(CÁLCULO!$AA$15:$AA$36,0,Y$13))),2),0)</f>
        <v>0</v>
      </c>
    </row>
    <row r="38" spans="1:25" x14ac:dyDescent="0.25">
      <c r="A38" s="415" t="str">
        <f t="shared" si="3"/>
        <v/>
      </c>
      <c r="B38" t="str">
        <f t="shared" ca="1" si="4"/>
        <v/>
      </c>
      <c r="C38" s="586" t="str" cm="1">
        <f t="array" aca="1" ref="C38" ca="1">IF(OR(ROW(C38)=ROW(EVENTOS.firstrow)+1,AND(OFFSET(C38,-1,0)&lt;&gt;" ",OFFSET(C38,-1,1)&lt;&gt;"")),OFFSET(C38,-1,0)+1," ")</f>
        <v xml:space="preserve"> </v>
      </c>
      <c r="D38" s="587"/>
      <c r="E38" s="588" cm="1">
        <f t="array" aca="1" ref="E38" ca="1">IF(AUTOEVENTO="Manual",ROUND(SUMPRODUCT((CÁLCULO!$M$15:$M$36=EVENTOS!$C38)*(OFFSET(CÁLCULO!$AA$15:$AA$36,0,E$13))),2),0)</f>
        <v>0</v>
      </c>
      <c r="F38" s="589">
        <f ca="1">IF(AUTOEVENTO="Manual",ROUND(SUMPRODUCT((CÁLCULO!$M$15:$M$36=EVENTOS!$C38)*(OFFSET(CÁLCULO!$AA$15,0,1):OFFSET(CÁLCULO!$AL$36,0,-1))),2),0)</f>
        <v>0</v>
      </c>
      <c r="G38" s="590" t="str">
        <f ca="1">IF(AND(D38=0,F38&gt;0),"NOME",
 IF(AND(D38&lt;&gt;0,$F$14&gt;0,F38=0),"VALOR",
 IF(AND(Import.TipoArredondamento="TransfereGOV",$A38="F",LEN(D38)&gt;100),"Nome &gt;100","")))</f>
        <v/>
      </c>
      <c r="H38" s="588" cm="1">
        <f t="array" aca="1" ref="H38" ca="1">IF(AUTOEVENTO="Manual",ROUND(SUMPRODUCT((CÁLCULO!$M$15:$M$36=EVENTOS!$C38)*(OFFSET(CÁLCULO!$AA$15:$AA$36,0,H$13))),2),0)</f>
        <v>0</v>
      </c>
      <c r="I38" s="588" cm="1">
        <f t="array" aca="1" ref="I38" ca="1">IF(AUTOEVENTO="Manual",ROUND(SUMPRODUCT((CÁLCULO!$M$15:$M$36=EVENTOS!$C38)*(OFFSET(CÁLCULO!$AA$15:$AA$36,0,I$13))),2),0)</f>
        <v>0</v>
      </c>
      <c r="J38" s="588" cm="1">
        <f t="array" aca="1" ref="J38" ca="1">IF(AUTOEVENTO="Manual",ROUND(SUMPRODUCT((CÁLCULO!$M$15:$M$36=EVENTOS!$C38)*(OFFSET(CÁLCULO!$AA$15:$AA$36,0,J$13))),2),0)</f>
        <v>0</v>
      </c>
      <c r="K38" s="588" cm="1">
        <f t="array" aca="1" ref="K38" ca="1">IF(AUTOEVENTO="Manual",ROUND(SUMPRODUCT((CÁLCULO!$M$15:$M$36=EVENTOS!$C38)*(OFFSET(CÁLCULO!$AA$15:$AA$36,0,K$13))),2),0)</f>
        <v>0</v>
      </c>
      <c r="L38" s="588" cm="1">
        <f t="array" aca="1" ref="L38" ca="1">IF(AUTOEVENTO="Manual",ROUND(SUMPRODUCT((CÁLCULO!$M$15:$M$36=EVENTOS!$C38)*(OFFSET(CÁLCULO!$AA$15:$AA$36,0,L$13))),2),0)</f>
        <v>0</v>
      </c>
      <c r="M38" s="588" cm="1">
        <f t="array" aca="1" ref="M38" ca="1">IF(AUTOEVENTO="Manual",ROUND(SUMPRODUCT((CÁLCULO!$M$15:$M$36=EVENTOS!$C38)*(OFFSET(CÁLCULO!$AA$15:$AA$36,0,M$13))),2),0)</f>
        <v>0</v>
      </c>
      <c r="N38" s="588" cm="1">
        <f t="array" aca="1" ref="N38" ca="1">IF(AUTOEVENTO="Manual",ROUND(SUMPRODUCT((CÁLCULO!$M$15:$M$36=EVENTOS!$C38)*(OFFSET(CÁLCULO!$AA$15:$AA$36,0,N$13))),2),0)</f>
        <v>0</v>
      </c>
      <c r="O38" s="588" cm="1">
        <f t="array" aca="1" ref="O38" ca="1">IF(AUTOEVENTO="Manual",ROUND(SUMPRODUCT((CÁLCULO!$M$15:$M$36=EVENTOS!$C38)*(OFFSET(CÁLCULO!$AA$15:$AA$36,0,O$13))),2),0)</f>
        <v>0</v>
      </c>
      <c r="P38" s="588" cm="1">
        <f t="array" aca="1" ref="P38" ca="1">IF(AUTOEVENTO="Manual",ROUND(SUMPRODUCT((CÁLCULO!$M$15:$M$36=EVENTOS!$C38)*(OFFSET(CÁLCULO!$AA$15:$AA$36,0,P$13))),2),0)</f>
        <v>0</v>
      </c>
      <c r="Q38" s="588" cm="1">
        <f t="array" aca="1" ref="Q38" ca="1">IF(AUTOEVENTO="Manual",ROUND(SUMPRODUCT((CÁLCULO!$M$15:$M$36=EVENTOS!$C38)*(OFFSET(CÁLCULO!$AA$15:$AA$36,0,Q$13))),2),0)</f>
        <v>0</v>
      </c>
      <c r="R38" s="588" cm="1">
        <f t="array" aca="1" ref="R38" ca="1">IF(AUTOEVENTO="Manual",ROUND(SUMPRODUCT((CÁLCULO!$M$15:$M$36=EVENTOS!$C38)*(OFFSET(CÁLCULO!$AA$15:$AA$36,0,R$13))),2),0)</f>
        <v>0</v>
      </c>
      <c r="S38" s="588" cm="1">
        <f t="array" aca="1" ref="S38" ca="1">IF(AUTOEVENTO="Manual",ROUND(SUMPRODUCT((CÁLCULO!$M$15:$M$36=EVENTOS!$C38)*(OFFSET(CÁLCULO!$AA$15:$AA$36,0,S$13))),2),0)</f>
        <v>0</v>
      </c>
      <c r="T38" s="588" cm="1">
        <f t="array" aca="1" ref="T38" ca="1">IF(AUTOEVENTO="Manual",ROUND(SUMPRODUCT((CÁLCULO!$M$15:$M$36=EVENTOS!$C38)*(OFFSET(CÁLCULO!$AA$15:$AA$36,0,T$13))),2),0)</f>
        <v>0</v>
      </c>
      <c r="U38" s="588" cm="1">
        <f t="array" aca="1" ref="U38" ca="1">IF(AUTOEVENTO="Manual",ROUND(SUMPRODUCT((CÁLCULO!$M$15:$M$36=EVENTOS!$C38)*(OFFSET(CÁLCULO!$AA$15:$AA$36,0,U$13))),2),0)</f>
        <v>0</v>
      </c>
      <c r="V38" s="588" cm="1">
        <f t="array" aca="1" ref="V38" ca="1">IF(AUTOEVENTO="Manual",ROUND(SUMPRODUCT((CÁLCULO!$M$15:$M$36=EVENTOS!$C38)*(OFFSET(CÁLCULO!$AA$15:$AA$36,0,V$13))),2),0)</f>
        <v>0</v>
      </c>
      <c r="W38" s="588" cm="1">
        <f t="array" aca="1" ref="W38" ca="1">IF(AUTOEVENTO="Manual",ROUND(SUMPRODUCT((CÁLCULO!$M$15:$M$36=EVENTOS!$C38)*(OFFSET(CÁLCULO!$AA$15:$AA$36,0,W$13))),2),0)</f>
        <v>0</v>
      </c>
      <c r="X38" s="588" cm="1">
        <f t="array" aca="1" ref="X38" ca="1">IF(AUTOEVENTO="Manual",ROUND(SUMPRODUCT((CÁLCULO!$M$15:$M$36=EVENTOS!$C38)*(OFFSET(CÁLCULO!$AA$15:$AA$36,0,X$13))),2),0)</f>
        <v>0</v>
      </c>
      <c r="Y38" s="588" cm="1">
        <f t="array" aca="1" ref="Y38" ca="1">IF(AUTOEVENTO="Manual",ROUND(SUMPRODUCT((CÁLCULO!$M$15:$M$36=EVENTOS!$C38)*(OFFSET(CÁLCULO!$AA$15:$AA$36,0,Y$13))),2),0)</f>
        <v>0</v>
      </c>
    </row>
    <row r="39" spans="1:25" x14ac:dyDescent="0.25">
      <c r="A39" s="415" t="str">
        <f t="shared" si="3"/>
        <v/>
      </c>
      <c r="B39" t="str">
        <f t="shared" ca="1" si="4"/>
        <v/>
      </c>
      <c r="C39" s="586" t="str" cm="1">
        <f t="array" aca="1" ref="C39" ca="1">IF(OR(ROW(C39)=ROW(EVENTOS.firstrow)+1,AND(OFFSET(C39,-1,0)&lt;&gt;" ",OFFSET(C39,-1,1)&lt;&gt;"")),OFFSET(C39,-1,0)+1," ")</f>
        <v xml:space="preserve"> </v>
      </c>
      <c r="D39" s="587"/>
      <c r="E39" s="588" cm="1">
        <f t="array" aca="1" ref="E39" ca="1">IF(AUTOEVENTO="Manual",ROUND(SUMPRODUCT((CÁLCULO!$M$15:$M$36=EVENTOS!$C39)*(OFFSET(CÁLCULO!$AA$15:$AA$36,0,E$13))),2),0)</f>
        <v>0</v>
      </c>
      <c r="F39" s="589">
        <f ca="1">IF(AUTOEVENTO="Manual",ROUND(SUMPRODUCT((CÁLCULO!$M$15:$M$36=EVENTOS!$C39)*(OFFSET(CÁLCULO!$AA$15,0,1):OFFSET(CÁLCULO!$AL$36,0,-1))),2),0)</f>
        <v>0</v>
      </c>
      <c r="G39" s="590" t="str">
        <f ca="1">IF(AND(D39=0,F39&gt;0),"NOME",
 IF(AND(D39&lt;&gt;0,$F$14&gt;0,F39=0),"VALOR",
 IF(AND(Import.TipoArredondamento="TransfereGOV",$A39="F",LEN(D39)&gt;100),"Nome &gt;100","")))</f>
        <v/>
      </c>
      <c r="H39" s="588" cm="1">
        <f t="array" aca="1" ref="H39" ca="1">IF(AUTOEVENTO="Manual",ROUND(SUMPRODUCT((CÁLCULO!$M$15:$M$36=EVENTOS!$C39)*(OFFSET(CÁLCULO!$AA$15:$AA$36,0,H$13))),2),0)</f>
        <v>0</v>
      </c>
      <c r="I39" s="588" cm="1">
        <f t="array" aca="1" ref="I39" ca="1">IF(AUTOEVENTO="Manual",ROUND(SUMPRODUCT((CÁLCULO!$M$15:$M$36=EVENTOS!$C39)*(OFFSET(CÁLCULO!$AA$15:$AA$36,0,I$13))),2),0)</f>
        <v>0</v>
      </c>
      <c r="J39" s="588" cm="1">
        <f t="array" aca="1" ref="J39" ca="1">IF(AUTOEVENTO="Manual",ROUND(SUMPRODUCT((CÁLCULO!$M$15:$M$36=EVENTOS!$C39)*(OFFSET(CÁLCULO!$AA$15:$AA$36,0,J$13))),2),0)</f>
        <v>0</v>
      </c>
      <c r="K39" s="588" cm="1">
        <f t="array" aca="1" ref="K39" ca="1">IF(AUTOEVENTO="Manual",ROUND(SUMPRODUCT((CÁLCULO!$M$15:$M$36=EVENTOS!$C39)*(OFFSET(CÁLCULO!$AA$15:$AA$36,0,K$13))),2),0)</f>
        <v>0</v>
      </c>
      <c r="L39" s="588" cm="1">
        <f t="array" aca="1" ref="L39" ca="1">IF(AUTOEVENTO="Manual",ROUND(SUMPRODUCT((CÁLCULO!$M$15:$M$36=EVENTOS!$C39)*(OFFSET(CÁLCULO!$AA$15:$AA$36,0,L$13))),2),0)</f>
        <v>0</v>
      </c>
      <c r="M39" s="588" cm="1">
        <f t="array" aca="1" ref="M39" ca="1">IF(AUTOEVENTO="Manual",ROUND(SUMPRODUCT((CÁLCULO!$M$15:$M$36=EVENTOS!$C39)*(OFFSET(CÁLCULO!$AA$15:$AA$36,0,M$13))),2),0)</f>
        <v>0</v>
      </c>
      <c r="N39" s="588" cm="1">
        <f t="array" aca="1" ref="N39" ca="1">IF(AUTOEVENTO="Manual",ROUND(SUMPRODUCT((CÁLCULO!$M$15:$M$36=EVENTOS!$C39)*(OFFSET(CÁLCULO!$AA$15:$AA$36,0,N$13))),2),0)</f>
        <v>0</v>
      </c>
      <c r="O39" s="588" cm="1">
        <f t="array" aca="1" ref="O39" ca="1">IF(AUTOEVENTO="Manual",ROUND(SUMPRODUCT((CÁLCULO!$M$15:$M$36=EVENTOS!$C39)*(OFFSET(CÁLCULO!$AA$15:$AA$36,0,O$13))),2),0)</f>
        <v>0</v>
      </c>
      <c r="P39" s="588" cm="1">
        <f t="array" aca="1" ref="P39" ca="1">IF(AUTOEVENTO="Manual",ROUND(SUMPRODUCT((CÁLCULO!$M$15:$M$36=EVENTOS!$C39)*(OFFSET(CÁLCULO!$AA$15:$AA$36,0,P$13))),2),0)</f>
        <v>0</v>
      </c>
      <c r="Q39" s="588" cm="1">
        <f t="array" aca="1" ref="Q39" ca="1">IF(AUTOEVENTO="Manual",ROUND(SUMPRODUCT((CÁLCULO!$M$15:$M$36=EVENTOS!$C39)*(OFFSET(CÁLCULO!$AA$15:$AA$36,0,Q$13))),2),0)</f>
        <v>0</v>
      </c>
      <c r="R39" s="588" cm="1">
        <f t="array" aca="1" ref="R39" ca="1">IF(AUTOEVENTO="Manual",ROUND(SUMPRODUCT((CÁLCULO!$M$15:$M$36=EVENTOS!$C39)*(OFFSET(CÁLCULO!$AA$15:$AA$36,0,R$13))),2),0)</f>
        <v>0</v>
      </c>
      <c r="S39" s="588" cm="1">
        <f t="array" aca="1" ref="S39" ca="1">IF(AUTOEVENTO="Manual",ROUND(SUMPRODUCT((CÁLCULO!$M$15:$M$36=EVENTOS!$C39)*(OFFSET(CÁLCULO!$AA$15:$AA$36,0,S$13))),2),0)</f>
        <v>0</v>
      </c>
      <c r="T39" s="588" cm="1">
        <f t="array" aca="1" ref="T39" ca="1">IF(AUTOEVENTO="Manual",ROUND(SUMPRODUCT((CÁLCULO!$M$15:$M$36=EVENTOS!$C39)*(OFFSET(CÁLCULO!$AA$15:$AA$36,0,T$13))),2),0)</f>
        <v>0</v>
      </c>
      <c r="U39" s="588" cm="1">
        <f t="array" aca="1" ref="U39" ca="1">IF(AUTOEVENTO="Manual",ROUND(SUMPRODUCT((CÁLCULO!$M$15:$M$36=EVENTOS!$C39)*(OFFSET(CÁLCULO!$AA$15:$AA$36,0,U$13))),2),0)</f>
        <v>0</v>
      </c>
      <c r="V39" s="588" cm="1">
        <f t="array" aca="1" ref="V39" ca="1">IF(AUTOEVENTO="Manual",ROUND(SUMPRODUCT((CÁLCULO!$M$15:$M$36=EVENTOS!$C39)*(OFFSET(CÁLCULO!$AA$15:$AA$36,0,V$13))),2),0)</f>
        <v>0</v>
      </c>
      <c r="W39" s="588" cm="1">
        <f t="array" aca="1" ref="W39" ca="1">IF(AUTOEVENTO="Manual",ROUND(SUMPRODUCT((CÁLCULO!$M$15:$M$36=EVENTOS!$C39)*(OFFSET(CÁLCULO!$AA$15:$AA$36,0,W$13))),2),0)</f>
        <v>0</v>
      </c>
      <c r="X39" s="588" cm="1">
        <f t="array" aca="1" ref="X39" ca="1">IF(AUTOEVENTO="Manual",ROUND(SUMPRODUCT((CÁLCULO!$M$15:$M$36=EVENTOS!$C39)*(OFFSET(CÁLCULO!$AA$15:$AA$36,0,X$13))),2),0)</f>
        <v>0</v>
      </c>
      <c r="Y39" s="588" cm="1">
        <f t="array" aca="1" ref="Y39" ca="1">IF(AUTOEVENTO="Manual",ROUND(SUMPRODUCT((CÁLCULO!$M$15:$M$36=EVENTOS!$C39)*(OFFSET(CÁLCULO!$AA$15:$AA$36,0,Y$13))),2),0)</f>
        <v>0</v>
      </c>
    </row>
    <row r="40" spans="1:25" x14ac:dyDescent="0.25">
      <c r="A40" s="415" t="str">
        <f t="shared" si="3"/>
        <v/>
      </c>
      <c r="B40" t="str">
        <f t="shared" ca="1" si="4"/>
        <v/>
      </c>
      <c r="C40" s="586" t="str" cm="1">
        <f t="array" aca="1" ref="C40" ca="1">IF(OR(ROW(C40)=ROW(EVENTOS.firstrow)+1,AND(OFFSET(C40,-1,0)&lt;&gt;" ",OFFSET(C40,-1,1)&lt;&gt;"")),OFFSET(C40,-1,0)+1," ")</f>
        <v xml:space="preserve"> </v>
      </c>
      <c r="D40" s="587"/>
      <c r="E40" s="588" cm="1">
        <f t="array" aca="1" ref="E40" ca="1">IF(AUTOEVENTO="Manual",ROUND(SUMPRODUCT((CÁLCULO!$M$15:$M$36=EVENTOS!$C40)*(OFFSET(CÁLCULO!$AA$15:$AA$36,0,E$13))),2),0)</f>
        <v>0</v>
      </c>
      <c r="F40" s="589">
        <f ca="1">IF(AUTOEVENTO="Manual",ROUND(SUMPRODUCT((CÁLCULO!$M$15:$M$36=EVENTOS!$C40)*(OFFSET(CÁLCULO!$AA$15,0,1):OFFSET(CÁLCULO!$AL$36,0,-1))),2),0)</f>
        <v>0</v>
      </c>
      <c r="G40" s="590" t="str">
        <f ca="1">IF(AND(D40=0,F40&gt;0),"NOME",
 IF(AND(D40&lt;&gt;0,$F$14&gt;0,F40=0),"VALOR",
 IF(AND(Import.TipoArredondamento="TransfereGOV",$A40="F",LEN(D40)&gt;100),"Nome &gt;100","")))</f>
        <v/>
      </c>
      <c r="H40" s="588" cm="1">
        <f t="array" aca="1" ref="H40" ca="1">IF(AUTOEVENTO="Manual",ROUND(SUMPRODUCT((CÁLCULO!$M$15:$M$36=EVENTOS!$C40)*(OFFSET(CÁLCULO!$AA$15:$AA$36,0,H$13))),2),0)</f>
        <v>0</v>
      </c>
      <c r="I40" s="588" cm="1">
        <f t="array" aca="1" ref="I40" ca="1">IF(AUTOEVENTO="Manual",ROUND(SUMPRODUCT((CÁLCULO!$M$15:$M$36=EVENTOS!$C40)*(OFFSET(CÁLCULO!$AA$15:$AA$36,0,I$13))),2),0)</f>
        <v>0</v>
      </c>
      <c r="J40" s="588" cm="1">
        <f t="array" aca="1" ref="J40" ca="1">IF(AUTOEVENTO="Manual",ROUND(SUMPRODUCT((CÁLCULO!$M$15:$M$36=EVENTOS!$C40)*(OFFSET(CÁLCULO!$AA$15:$AA$36,0,J$13))),2),0)</f>
        <v>0</v>
      </c>
      <c r="K40" s="588" cm="1">
        <f t="array" aca="1" ref="K40" ca="1">IF(AUTOEVENTO="Manual",ROUND(SUMPRODUCT((CÁLCULO!$M$15:$M$36=EVENTOS!$C40)*(OFFSET(CÁLCULO!$AA$15:$AA$36,0,K$13))),2),0)</f>
        <v>0</v>
      </c>
      <c r="L40" s="588" cm="1">
        <f t="array" aca="1" ref="L40" ca="1">IF(AUTOEVENTO="Manual",ROUND(SUMPRODUCT((CÁLCULO!$M$15:$M$36=EVENTOS!$C40)*(OFFSET(CÁLCULO!$AA$15:$AA$36,0,L$13))),2),0)</f>
        <v>0</v>
      </c>
      <c r="M40" s="588" cm="1">
        <f t="array" aca="1" ref="M40" ca="1">IF(AUTOEVENTO="Manual",ROUND(SUMPRODUCT((CÁLCULO!$M$15:$M$36=EVENTOS!$C40)*(OFFSET(CÁLCULO!$AA$15:$AA$36,0,M$13))),2),0)</f>
        <v>0</v>
      </c>
      <c r="N40" s="588" cm="1">
        <f t="array" aca="1" ref="N40" ca="1">IF(AUTOEVENTO="Manual",ROUND(SUMPRODUCT((CÁLCULO!$M$15:$M$36=EVENTOS!$C40)*(OFFSET(CÁLCULO!$AA$15:$AA$36,0,N$13))),2),0)</f>
        <v>0</v>
      </c>
      <c r="O40" s="588" cm="1">
        <f t="array" aca="1" ref="O40" ca="1">IF(AUTOEVENTO="Manual",ROUND(SUMPRODUCT((CÁLCULO!$M$15:$M$36=EVENTOS!$C40)*(OFFSET(CÁLCULO!$AA$15:$AA$36,0,O$13))),2),0)</f>
        <v>0</v>
      </c>
      <c r="P40" s="588" cm="1">
        <f t="array" aca="1" ref="P40" ca="1">IF(AUTOEVENTO="Manual",ROUND(SUMPRODUCT((CÁLCULO!$M$15:$M$36=EVENTOS!$C40)*(OFFSET(CÁLCULO!$AA$15:$AA$36,0,P$13))),2),0)</f>
        <v>0</v>
      </c>
      <c r="Q40" s="588" cm="1">
        <f t="array" aca="1" ref="Q40" ca="1">IF(AUTOEVENTO="Manual",ROUND(SUMPRODUCT((CÁLCULO!$M$15:$M$36=EVENTOS!$C40)*(OFFSET(CÁLCULO!$AA$15:$AA$36,0,Q$13))),2),0)</f>
        <v>0</v>
      </c>
      <c r="R40" s="588" cm="1">
        <f t="array" aca="1" ref="R40" ca="1">IF(AUTOEVENTO="Manual",ROUND(SUMPRODUCT((CÁLCULO!$M$15:$M$36=EVENTOS!$C40)*(OFFSET(CÁLCULO!$AA$15:$AA$36,0,R$13))),2),0)</f>
        <v>0</v>
      </c>
      <c r="S40" s="588" cm="1">
        <f t="array" aca="1" ref="S40" ca="1">IF(AUTOEVENTO="Manual",ROUND(SUMPRODUCT((CÁLCULO!$M$15:$M$36=EVENTOS!$C40)*(OFFSET(CÁLCULO!$AA$15:$AA$36,0,S$13))),2),0)</f>
        <v>0</v>
      </c>
      <c r="T40" s="588" cm="1">
        <f t="array" aca="1" ref="T40" ca="1">IF(AUTOEVENTO="Manual",ROUND(SUMPRODUCT((CÁLCULO!$M$15:$M$36=EVENTOS!$C40)*(OFFSET(CÁLCULO!$AA$15:$AA$36,0,T$13))),2),0)</f>
        <v>0</v>
      </c>
      <c r="U40" s="588" cm="1">
        <f t="array" aca="1" ref="U40" ca="1">IF(AUTOEVENTO="Manual",ROUND(SUMPRODUCT((CÁLCULO!$M$15:$M$36=EVENTOS!$C40)*(OFFSET(CÁLCULO!$AA$15:$AA$36,0,U$13))),2),0)</f>
        <v>0</v>
      </c>
      <c r="V40" s="588" cm="1">
        <f t="array" aca="1" ref="V40" ca="1">IF(AUTOEVENTO="Manual",ROUND(SUMPRODUCT((CÁLCULO!$M$15:$M$36=EVENTOS!$C40)*(OFFSET(CÁLCULO!$AA$15:$AA$36,0,V$13))),2),0)</f>
        <v>0</v>
      </c>
      <c r="W40" s="588" cm="1">
        <f t="array" aca="1" ref="W40" ca="1">IF(AUTOEVENTO="Manual",ROUND(SUMPRODUCT((CÁLCULO!$M$15:$M$36=EVENTOS!$C40)*(OFFSET(CÁLCULO!$AA$15:$AA$36,0,W$13))),2),0)</f>
        <v>0</v>
      </c>
      <c r="X40" s="588" cm="1">
        <f t="array" aca="1" ref="X40" ca="1">IF(AUTOEVENTO="Manual",ROUND(SUMPRODUCT((CÁLCULO!$M$15:$M$36=EVENTOS!$C40)*(OFFSET(CÁLCULO!$AA$15:$AA$36,0,X$13))),2),0)</f>
        <v>0</v>
      </c>
      <c r="Y40" s="588" cm="1">
        <f t="array" aca="1" ref="Y40" ca="1">IF(AUTOEVENTO="Manual",ROUND(SUMPRODUCT((CÁLCULO!$M$15:$M$36=EVENTOS!$C40)*(OFFSET(CÁLCULO!$AA$15:$AA$36,0,Y$13))),2),0)</f>
        <v>0</v>
      </c>
    </row>
    <row r="41" spans="1:25" x14ac:dyDescent="0.25">
      <c r="A41" s="415" t="str">
        <f t="shared" si="3"/>
        <v/>
      </c>
      <c r="B41" t="str">
        <f t="shared" ca="1" si="4"/>
        <v/>
      </c>
      <c r="C41" s="586" t="str" cm="1">
        <f t="array" aca="1" ref="C41" ca="1">IF(OR(ROW(C41)=ROW(EVENTOS.firstrow)+1,AND(OFFSET(C41,-1,0)&lt;&gt;" ",OFFSET(C41,-1,1)&lt;&gt;"")),OFFSET(C41,-1,0)+1," ")</f>
        <v xml:space="preserve"> </v>
      </c>
      <c r="D41" s="587"/>
      <c r="E41" s="588" cm="1">
        <f t="array" aca="1" ref="E41" ca="1">IF(AUTOEVENTO="Manual",ROUND(SUMPRODUCT((CÁLCULO!$M$15:$M$36=EVENTOS!$C41)*(OFFSET(CÁLCULO!$AA$15:$AA$36,0,E$13))),2),0)</f>
        <v>0</v>
      </c>
      <c r="F41" s="589">
        <f ca="1">IF(AUTOEVENTO="Manual",ROUND(SUMPRODUCT((CÁLCULO!$M$15:$M$36=EVENTOS!$C41)*(OFFSET(CÁLCULO!$AA$15,0,1):OFFSET(CÁLCULO!$AL$36,0,-1))),2),0)</f>
        <v>0</v>
      </c>
      <c r="G41" s="590" t="str">
        <f ca="1">IF(AND(D41=0,F41&gt;0),"NOME",
 IF(AND(D41&lt;&gt;0,$F$14&gt;0,F41=0),"VALOR",
 IF(AND(Import.TipoArredondamento="TransfereGOV",$A41="F",LEN(D41)&gt;100),"Nome &gt;100","")))</f>
        <v/>
      </c>
      <c r="H41" s="588" cm="1">
        <f t="array" aca="1" ref="H41" ca="1">IF(AUTOEVENTO="Manual",ROUND(SUMPRODUCT((CÁLCULO!$M$15:$M$36=EVENTOS!$C41)*(OFFSET(CÁLCULO!$AA$15:$AA$36,0,H$13))),2),0)</f>
        <v>0</v>
      </c>
      <c r="I41" s="588" cm="1">
        <f t="array" aca="1" ref="I41" ca="1">IF(AUTOEVENTO="Manual",ROUND(SUMPRODUCT((CÁLCULO!$M$15:$M$36=EVENTOS!$C41)*(OFFSET(CÁLCULO!$AA$15:$AA$36,0,I$13))),2),0)</f>
        <v>0</v>
      </c>
      <c r="J41" s="588" cm="1">
        <f t="array" aca="1" ref="J41" ca="1">IF(AUTOEVENTO="Manual",ROUND(SUMPRODUCT((CÁLCULO!$M$15:$M$36=EVENTOS!$C41)*(OFFSET(CÁLCULO!$AA$15:$AA$36,0,J$13))),2),0)</f>
        <v>0</v>
      </c>
      <c r="K41" s="588" cm="1">
        <f t="array" aca="1" ref="K41" ca="1">IF(AUTOEVENTO="Manual",ROUND(SUMPRODUCT((CÁLCULO!$M$15:$M$36=EVENTOS!$C41)*(OFFSET(CÁLCULO!$AA$15:$AA$36,0,K$13))),2),0)</f>
        <v>0</v>
      </c>
      <c r="L41" s="588" cm="1">
        <f t="array" aca="1" ref="L41" ca="1">IF(AUTOEVENTO="Manual",ROUND(SUMPRODUCT((CÁLCULO!$M$15:$M$36=EVENTOS!$C41)*(OFFSET(CÁLCULO!$AA$15:$AA$36,0,L$13))),2),0)</f>
        <v>0</v>
      </c>
      <c r="M41" s="588" cm="1">
        <f t="array" aca="1" ref="M41" ca="1">IF(AUTOEVENTO="Manual",ROUND(SUMPRODUCT((CÁLCULO!$M$15:$M$36=EVENTOS!$C41)*(OFFSET(CÁLCULO!$AA$15:$AA$36,0,M$13))),2),0)</f>
        <v>0</v>
      </c>
      <c r="N41" s="588" cm="1">
        <f t="array" aca="1" ref="N41" ca="1">IF(AUTOEVENTO="Manual",ROUND(SUMPRODUCT((CÁLCULO!$M$15:$M$36=EVENTOS!$C41)*(OFFSET(CÁLCULO!$AA$15:$AA$36,0,N$13))),2),0)</f>
        <v>0</v>
      </c>
      <c r="O41" s="588" cm="1">
        <f t="array" aca="1" ref="O41" ca="1">IF(AUTOEVENTO="Manual",ROUND(SUMPRODUCT((CÁLCULO!$M$15:$M$36=EVENTOS!$C41)*(OFFSET(CÁLCULO!$AA$15:$AA$36,0,O$13))),2),0)</f>
        <v>0</v>
      </c>
      <c r="P41" s="588" cm="1">
        <f t="array" aca="1" ref="P41" ca="1">IF(AUTOEVENTO="Manual",ROUND(SUMPRODUCT((CÁLCULO!$M$15:$M$36=EVENTOS!$C41)*(OFFSET(CÁLCULO!$AA$15:$AA$36,0,P$13))),2),0)</f>
        <v>0</v>
      </c>
      <c r="Q41" s="588" cm="1">
        <f t="array" aca="1" ref="Q41" ca="1">IF(AUTOEVENTO="Manual",ROUND(SUMPRODUCT((CÁLCULO!$M$15:$M$36=EVENTOS!$C41)*(OFFSET(CÁLCULO!$AA$15:$AA$36,0,Q$13))),2),0)</f>
        <v>0</v>
      </c>
      <c r="R41" s="588" cm="1">
        <f t="array" aca="1" ref="R41" ca="1">IF(AUTOEVENTO="Manual",ROUND(SUMPRODUCT((CÁLCULO!$M$15:$M$36=EVENTOS!$C41)*(OFFSET(CÁLCULO!$AA$15:$AA$36,0,R$13))),2),0)</f>
        <v>0</v>
      </c>
      <c r="S41" s="588" cm="1">
        <f t="array" aca="1" ref="S41" ca="1">IF(AUTOEVENTO="Manual",ROUND(SUMPRODUCT((CÁLCULO!$M$15:$M$36=EVENTOS!$C41)*(OFFSET(CÁLCULO!$AA$15:$AA$36,0,S$13))),2),0)</f>
        <v>0</v>
      </c>
      <c r="T41" s="588" cm="1">
        <f t="array" aca="1" ref="T41" ca="1">IF(AUTOEVENTO="Manual",ROUND(SUMPRODUCT((CÁLCULO!$M$15:$M$36=EVENTOS!$C41)*(OFFSET(CÁLCULO!$AA$15:$AA$36,0,T$13))),2),0)</f>
        <v>0</v>
      </c>
      <c r="U41" s="588" cm="1">
        <f t="array" aca="1" ref="U41" ca="1">IF(AUTOEVENTO="Manual",ROUND(SUMPRODUCT((CÁLCULO!$M$15:$M$36=EVENTOS!$C41)*(OFFSET(CÁLCULO!$AA$15:$AA$36,0,U$13))),2),0)</f>
        <v>0</v>
      </c>
      <c r="V41" s="588" cm="1">
        <f t="array" aca="1" ref="V41" ca="1">IF(AUTOEVENTO="Manual",ROUND(SUMPRODUCT((CÁLCULO!$M$15:$M$36=EVENTOS!$C41)*(OFFSET(CÁLCULO!$AA$15:$AA$36,0,V$13))),2),0)</f>
        <v>0</v>
      </c>
      <c r="W41" s="588" cm="1">
        <f t="array" aca="1" ref="W41" ca="1">IF(AUTOEVENTO="Manual",ROUND(SUMPRODUCT((CÁLCULO!$M$15:$M$36=EVENTOS!$C41)*(OFFSET(CÁLCULO!$AA$15:$AA$36,0,W$13))),2),0)</f>
        <v>0</v>
      </c>
      <c r="X41" s="588" cm="1">
        <f t="array" aca="1" ref="X41" ca="1">IF(AUTOEVENTO="Manual",ROUND(SUMPRODUCT((CÁLCULO!$M$15:$M$36=EVENTOS!$C41)*(OFFSET(CÁLCULO!$AA$15:$AA$36,0,X$13))),2),0)</f>
        <v>0</v>
      </c>
      <c r="Y41" s="588" cm="1">
        <f t="array" aca="1" ref="Y41" ca="1">IF(AUTOEVENTO="Manual",ROUND(SUMPRODUCT((CÁLCULO!$M$15:$M$36=EVENTOS!$C41)*(OFFSET(CÁLCULO!$AA$15:$AA$36,0,Y$13))),2),0)</f>
        <v>0</v>
      </c>
    </row>
    <row r="42" spans="1:25" x14ac:dyDescent="0.25">
      <c r="A42" s="415" t="str">
        <f t="shared" si="3"/>
        <v/>
      </c>
      <c r="B42" t="str">
        <f t="shared" ca="1" si="4"/>
        <v/>
      </c>
      <c r="C42" s="586" t="str" cm="1">
        <f t="array" aca="1" ref="C42" ca="1">IF(OR(ROW(C42)=ROW(EVENTOS.firstrow)+1,AND(OFFSET(C42,-1,0)&lt;&gt;" ",OFFSET(C42,-1,1)&lt;&gt;"")),OFFSET(C42,-1,0)+1," ")</f>
        <v xml:space="preserve"> </v>
      </c>
      <c r="D42" s="587"/>
      <c r="E42" s="588" cm="1">
        <f t="array" aca="1" ref="E42" ca="1">IF(AUTOEVENTO="Manual",ROUND(SUMPRODUCT((CÁLCULO!$M$15:$M$36=EVENTOS!$C42)*(OFFSET(CÁLCULO!$AA$15:$AA$36,0,E$13))),2),0)</f>
        <v>0</v>
      </c>
      <c r="F42" s="589">
        <f ca="1">IF(AUTOEVENTO="Manual",ROUND(SUMPRODUCT((CÁLCULO!$M$15:$M$36=EVENTOS!$C42)*(OFFSET(CÁLCULO!$AA$15,0,1):OFFSET(CÁLCULO!$AL$36,0,-1))),2),0)</f>
        <v>0</v>
      </c>
      <c r="G42" s="590" t="str">
        <f ca="1">IF(AND(D42=0,F42&gt;0),"NOME",
 IF(AND(D42&lt;&gt;0,$F$14&gt;0,F42=0),"VALOR",
 IF(AND(Import.TipoArredondamento="TransfereGOV",$A42="F",LEN(D42)&gt;100),"Nome &gt;100","")))</f>
        <v/>
      </c>
      <c r="H42" s="588" cm="1">
        <f t="array" aca="1" ref="H42" ca="1">IF(AUTOEVENTO="Manual",ROUND(SUMPRODUCT((CÁLCULO!$M$15:$M$36=EVENTOS!$C42)*(OFFSET(CÁLCULO!$AA$15:$AA$36,0,H$13))),2),0)</f>
        <v>0</v>
      </c>
      <c r="I42" s="588" cm="1">
        <f t="array" aca="1" ref="I42" ca="1">IF(AUTOEVENTO="Manual",ROUND(SUMPRODUCT((CÁLCULO!$M$15:$M$36=EVENTOS!$C42)*(OFFSET(CÁLCULO!$AA$15:$AA$36,0,I$13))),2),0)</f>
        <v>0</v>
      </c>
      <c r="J42" s="588" cm="1">
        <f t="array" aca="1" ref="J42" ca="1">IF(AUTOEVENTO="Manual",ROUND(SUMPRODUCT((CÁLCULO!$M$15:$M$36=EVENTOS!$C42)*(OFFSET(CÁLCULO!$AA$15:$AA$36,0,J$13))),2),0)</f>
        <v>0</v>
      </c>
      <c r="K42" s="588" cm="1">
        <f t="array" aca="1" ref="K42" ca="1">IF(AUTOEVENTO="Manual",ROUND(SUMPRODUCT((CÁLCULO!$M$15:$M$36=EVENTOS!$C42)*(OFFSET(CÁLCULO!$AA$15:$AA$36,0,K$13))),2),0)</f>
        <v>0</v>
      </c>
      <c r="L42" s="588" cm="1">
        <f t="array" aca="1" ref="L42" ca="1">IF(AUTOEVENTO="Manual",ROUND(SUMPRODUCT((CÁLCULO!$M$15:$M$36=EVENTOS!$C42)*(OFFSET(CÁLCULO!$AA$15:$AA$36,0,L$13))),2),0)</f>
        <v>0</v>
      </c>
      <c r="M42" s="588" cm="1">
        <f t="array" aca="1" ref="M42" ca="1">IF(AUTOEVENTO="Manual",ROUND(SUMPRODUCT((CÁLCULO!$M$15:$M$36=EVENTOS!$C42)*(OFFSET(CÁLCULO!$AA$15:$AA$36,0,M$13))),2),0)</f>
        <v>0</v>
      </c>
      <c r="N42" s="588" cm="1">
        <f t="array" aca="1" ref="N42" ca="1">IF(AUTOEVENTO="Manual",ROUND(SUMPRODUCT((CÁLCULO!$M$15:$M$36=EVENTOS!$C42)*(OFFSET(CÁLCULO!$AA$15:$AA$36,0,N$13))),2),0)</f>
        <v>0</v>
      </c>
      <c r="O42" s="588" cm="1">
        <f t="array" aca="1" ref="O42" ca="1">IF(AUTOEVENTO="Manual",ROUND(SUMPRODUCT((CÁLCULO!$M$15:$M$36=EVENTOS!$C42)*(OFFSET(CÁLCULO!$AA$15:$AA$36,0,O$13))),2),0)</f>
        <v>0</v>
      </c>
      <c r="P42" s="588" cm="1">
        <f t="array" aca="1" ref="P42" ca="1">IF(AUTOEVENTO="Manual",ROUND(SUMPRODUCT((CÁLCULO!$M$15:$M$36=EVENTOS!$C42)*(OFFSET(CÁLCULO!$AA$15:$AA$36,0,P$13))),2),0)</f>
        <v>0</v>
      </c>
      <c r="Q42" s="588" cm="1">
        <f t="array" aca="1" ref="Q42" ca="1">IF(AUTOEVENTO="Manual",ROUND(SUMPRODUCT((CÁLCULO!$M$15:$M$36=EVENTOS!$C42)*(OFFSET(CÁLCULO!$AA$15:$AA$36,0,Q$13))),2),0)</f>
        <v>0</v>
      </c>
      <c r="R42" s="588" cm="1">
        <f t="array" aca="1" ref="R42" ca="1">IF(AUTOEVENTO="Manual",ROUND(SUMPRODUCT((CÁLCULO!$M$15:$M$36=EVENTOS!$C42)*(OFFSET(CÁLCULO!$AA$15:$AA$36,0,R$13))),2),0)</f>
        <v>0</v>
      </c>
      <c r="S42" s="588" cm="1">
        <f t="array" aca="1" ref="S42" ca="1">IF(AUTOEVENTO="Manual",ROUND(SUMPRODUCT((CÁLCULO!$M$15:$M$36=EVENTOS!$C42)*(OFFSET(CÁLCULO!$AA$15:$AA$36,0,S$13))),2),0)</f>
        <v>0</v>
      </c>
      <c r="T42" s="588" cm="1">
        <f t="array" aca="1" ref="T42" ca="1">IF(AUTOEVENTO="Manual",ROUND(SUMPRODUCT((CÁLCULO!$M$15:$M$36=EVENTOS!$C42)*(OFFSET(CÁLCULO!$AA$15:$AA$36,0,T$13))),2),0)</f>
        <v>0</v>
      </c>
      <c r="U42" s="588" cm="1">
        <f t="array" aca="1" ref="U42" ca="1">IF(AUTOEVENTO="Manual",ROUND(SUMPRODUCT((CÁLCULO!$M$15:$M$36=EVENTOS!$C42)*(OFFSET(CÁLCULO!$AA$15:$AA$36,0,U$13))),2),0)</f>
        <v>0</v>
      </c>
      <c r="V42" s="588" cm="1">
        <f t="array" aca="1" ref="V42" ca="1">IF(AUTOEVENTO="Manual",ROUND(SUMPRODUCT((CÁLCULO!$M$15:$M$36=EVENTOS!$C42)*(OFFSET(CÁLCULO!$AA$15:$AA$36,0,V$13))),2),0)</f>
        <v>0</v>
      </c>
      <c r="W42" s="588" cm="1">
        <f t="array" aca="1" ref="W42" ca="1">IF(AUTOEVENTO="Manual",ROUND(SUMPRODUCT((CÁLCULO!$M$15:$M$36=EVENTOS!$C42)*(OFFSET(CÁLCULO!$AA$15:$AA$36,0,W$13))),2),0)</f>
        <v>0</v>
      </c>
      <c r="X42" s="588" cm="1">
        <f t="array" aca="1" ref="X42" ca="1">IF(AUTOEVENTO="Manual",ROUND(SUMPRODUCT((CÁLCULO!$M$15:$M$36=EVENTOS!$C42)*(OFFSET(CÁLCULO!$AA$15:$AA$36,0,X$13))),2),0)</f>
        <v>0</v>
      </c>
      <c r="Y42" s="588" cm="1">
        <f t="array" aca="1" ref="Y42" ca="1">IF(AUTOEVENTO="Manual",ROUND(SUMPRODUCT((CÁLCULO!$M$15:$M$36=EVENTOS!$C42)*(OFFSET(CÁLCULO!$AA$15:$AA$36,0,Y$13))),2),0)</f>
        <v>0</v>
      </c>
    </row>
    <row r="43" spans="1:25" x14ac:dyDescent="0.25">
      <c r="A43" s="415" t="str">
        <f t="shared" si="3"/>
        <v/>
      </c>
      <c r="B43" t="str">
        <f t="shared" ca="1" si="4"/>
        <v/>
      </c>
      <c r="C43" s="586" t="str" cm="1">
        <f t="array" aca="1" ref="C43" ca="1">IF(OR(ROW(C43)=ROW(EVENTOS.firstrow)+1,AND(OFFSET(C43,-1,0)&lt;&gt;" ",OFFSET(C43,-1,1)&lt;&gt;"")),OFFSET(C43,-1,0)+1," ")</f>
        <v xml:space="preserve"> </v>
      </c>
      <c r="D43" s="587"/>
      <c r="E43" s="588" cm="1">
        <f t="array" aca="1" ref="E43" ca="1">IF(AUTOEVENTO="Manual",ROUND(SUMPRODUCT((CÁLCULO!$M$15:$M$36=EVENTOS!$C43)*(OFFSET(CÁLCULO!$AA$15:$AA$36,0,E$13))),2),0)</f>
        <v>0</v>
      </c>
      <c r="F43" s="589">
        <f ca="1">IF(AUTOEVENTO="Manual",ROUND(SUMPRODUCT((CÁLCULO!$M$15:$M$36=EVENTOS!$C43)*(OFFSET(CÁLCULO!$AA$15,0,1):OFFSET(CÁLCULO!$AL$36,0,-1))),2),0)</f>
        <v>0</v>
      </c>
      <c r="G43" s="590" t="str">
        <f ca="1">IF(AND(D43=0,F43&gt;0),"NOME",
 IF(AND(D43&lt;&gt;0,$F$14&gt;0,F43=0),"VALOR",
 IF(AND(Import.TipoArredondamento="TransfereGOV",$A43="F",LEN(D43)&gt;100),"Nome &gt;100","")))</f>
        <v/>
      </c>
      <c r="H43" s="588" cm="1">
        <f t="array" aca="1" ref="H43" ca="1">IF(AUTOEVENTO="Manual",ROUND(SUMPRODUCT((CÁLCULO!$M$15:$M$36=EVENTOS!$C43)*(OFFSET(CÁLCULO!$AA$15:$AA$36,0,H$13))),2),0)</f>
        <v>0</v>
      </c>
      <c r="I43" s="588" cm="1">
        <f t="array" aca="1" ref="I43" ca="1">IF(AUTOEVENTO="Manual",ROUND(SUMPRODUCT((CÁLCULO!$M$15:$M$36=EVENTOS!$C43)*(OFFSET(CÁLCULO!$AA$15:$AA$36,0,I$13))),2),0)</f>
        <v>0</v>
      </c>
      <c r="J43" s="588" cm="1">
        <f t="array" aca="1" ref="J43" ca="1">IF(AUTOEVENTO="Manual",ROUND(SUMPRODUCT((CÁLCULO!$M$15:$M$36=EVENTOS!$C43)*(OFFSET(CÁLCULO!$AA$15:$AA$36,0,J$13))),2),0)</f>
        <v>0</v>
      </c>
      <c r="K43" s="588" cm="1">
        <f t="array" aca="1" ref="K43" ca="1">IF(AUTOEVENTO="Manual",ROUND(SUMPRODUCT((CÁLCULO!$M$15:$M$36=EVENTOS!$C43)*(OFFSET(CÁLCULO!$AA$15:$AA$36,0,K$13))),2),0)</f>
        <v>0</v>
      </c>
      <c r="L43" s="588" cm="1">
        <f t="array" aca="1" ref="L43" ca="1">IF(AUTOEVENTO="Manual",ROUND(SUMPRODUCT((CÁLCULO!$M$15:$M$36=EVENTOS!$C43)*(OFFSET(CÁLCULO!$AA$15:$AA$36,0,L$13))),2),0)</f>
        <v>0</v>
      </c>
      <c r="M43" s="588" cm="1">
        <f t="array" aca="1" ref="M43" ca="1">IF(AUTOEVENTO="Manual",ROUND(SUMPRODUCT((CÁLCULO!$M$15:$M$36=EVENTOS!$C43)*(OFFSET(CÁLCULO!$AA$15:$AA$36,0,M$13))),2),0)</f>
        <v>0</v>
      </c>
      <c r="N43" s="588" cm="1">
        <f t="array" aca="1" ref="N43" ca="1">IF(AUTOEVENTO="Manual",ROUND(SUMPRODUCT((CÁLCULO!$M$15:$M$36=EVENTOS!$C43)*(OFFSET(CÁLCULO!$AA$15:$AA$36,0,N$13))),2),0)</f>
        <v>0</v>
      </c>
      <c r="O43" s="588" cm="1">
        <f t="array" aca="1" ref="O43" ca="1">IF(AUTOEVENTO="Manual",ROUND(SUMPRODUCT((CÁLCULO!$M$15:$M$36=EVENTOS!$C43)*(OFFSET(CÁLCULO!$AA$15:$AA$36,0,O$13))),2),0)</f>
        <v>0</v>
      </c>
      <c r="P43" s="588" cm="1">
        <f t="array" aca="1" ref="P43" ca="1">IF(AUTOEVENTO="Manual",ROUND(SUMPRODUCT((CÁLCULO!$M$15:$M$36=EVENTOS!$C43)*(OFFSET(CÁLCULO!$AA$15:$AA$36,0,P$13))),2),0)</f>
        <v>0</v>
      </c>
      <c r="Q43" s="588" cm="1">
        <f t="array" aca="1" ref="Q43" ca="1">IF(AUTOEVENTO="Manual",ROUND(SUMPRODUCT((CÁLCULO!$M$15:$M$36=EVENTOS!$C43)*(OFFSET(CÁLCULO!$AA$15:$AA$36,0,Q$13))),2),0)</f>
        <v>0</v>
      </c>
      <c r="R43" s="588" cm="1">
        <f t="array" aca="1" ref="R43" ca="1">IF(AUTOEVENTO="Manual",ROUND(SUMPRODUCT((CÁLCULO!$M$15:$M$36=EVENTOS!$C43)*(OFFSET(CÁLCULO!$AA$15:$AA$36,0,R$13))),2),0)</f>
        <v>0</v>
      </c>
      <c r="S43" s="588" cm="1">
        <f t="array" aca="1" ref="S43" ca="1">IF(AUTOEVENTO="Manual",ROUND(SUMPRODUCT((CÁLCULO!$M$15:$M$36=EVENTOS!$C43)*(OFFSET(CÁLCULO!$AA$15:$AA$36,0,S$13))),2),0)</f>
        <v>0</v>
      </c>
      <c r="T43" s="588" cm="1">
        <f t="array" aca="1" ref="T43" ca="1">IF(AUTOEVENTO="Manual",ROUND(SUMPRODUCT((CÁLCULO!$M$15:$M$36=EVENTOS!$C43)*(OFFSET(CÁLCULO!$AA$15:$AA$36,0,T$13))),2),0)</f>
        <v>0</v>
      </c>
      <c r="U43" s="588" cm="1">
        <f t="array" aca="1" ref="U43" ca="1">IF(AUTOEVENTO="Manual",ROUND(SUMPRODUCT((CÁLCULO!$M$15:$M$36=EVENTOS!$C43)*(OFFSET(CÁLCULO!$AA$15:$AA$36,0,U$13))),2),0)</f>
        <v>0</v>
      </c>
      <c r="V43" s="588" cm="1">
        <f t="array" aca="1" ref="V43" ca="1">IF(AUTOEVENTO="Manual",ROUND(SUMPRODUCT((CÁLCULO!$M$15:$M$36=EVENTOS!$C43)*(OFFSET(CÁLCULO!$AA$15:$AA$36,0,V$13))),2),0)</f>
        <v>0</v>
      </c>
      <c r="W43" s="588" cm="1">
        <f t="array" aca="1" ref="W43" ca="1">IF(AUTOEVENTO="Manual",ROUND(SUMPRODUCT((CÁLCULO!$M$15:$M$36=EVENTOS!$C43)*(OFFSET(CÁLCULO!$AA$15:$AA$36,0,W$13))),2),0)</f>
        <v>0</v>
      </c>
      <c r="X43" s="588" cm="1">
        <f t="array" aca="1" ref="X43" ca="1">IF(AUTOEVENTO="Manual",ROUND(SUMPRODUCT((CÁLCULO!$M$15:$M$36=EVENTOS!$C43)*(OFFSET(CÁLCULO!$AA$15:$AA$36,0,X$13))),2),0)</f>
        <v>0</v>
      </c>
      <c r="Y43" s="588" cm="1">
        <f t="array" aca="1" ref="Y43" ca="1">IF(AUTOEVENTO="Manual",ROUND(SUMPRODUCT((CÁLCULO!$M$15:$M$36=EVENTOS!$C43)*(OFFSET(CÁLCULO!$AA$15:$AA$36,0,Y$13))),2),0)</f>
        <v>0</v>
      </c>
    </row>
    <row r="44" spans="1:25" x14ac:dyDescent="0.25">
      <c r="A44" s="415" t="str">
        <f t="shared" si="3"/>
        <v/>
      </c>
      <c r="B44" t="str">
        <f t="shared" ca="1" si="4"/>
        <v/>
      </c>
      <c r="C44" s="586" t="str" cm="1">
        <f t="array" aca="1" ref="C44" ca="1">IF(OR(ROW(C44)=ROW(EVENTOS.firstrow)+1,AND(OFFSET(C44,-1,0)&lt;&gt;" ",OFFSET(C44,-1,1)&lt;&gt;"")),OFFSET(C44,-1,0)+1," ")</f>
        <v xml:space="preserve"> </v>
      </c>
      <c r="D44" s="587"/>
      <c r="E44" s="588" cm="1">
        <f t="array" aca="1" ref="E44" ca="1">IF(AUTOEVENTO="Manual",ROUND(SUMPRODUCT((CÁLCULO!$M$15:$M$36=EVENTOS!$C44)*(OFFSET(CÁLCULO!$AA$15:$AA$36,0,E$13))),2),0)</f>
        <v>0</v>
      </c>
      <c r="F44" s="589">
        <f ca="1">IF(AUTOEVENTO="Manual",ROUND(SUMPRODUCT((CÁLCULO!$M$15:$M$36=EVENTOS!$C44)*(OFFSET(CÁLCULO!$AA$15,0,1):OFFSET(CÁLCULO!$AL$36,0,-1))),2),0)</f>
        <v>0</v>
      </c>
      <c r="G44" s="590" t="str">
        <f ca="1">IF(AND(D44=0,F44&gt;0),"NOME",
 IF(AND(D44&lt;&gt;0,$F$14&gt;0,F44=0),"VALOR",
 IF(AND(Import.TipoArredondamento="TransfereGOV",$A44="F",LEN(D44)&gt;100),"Nome &gt;100","")))</f>
        <v/>
      </c>
      <c r="H44" s="588" cm="1">
        <f t="array" aca="1" ref="H44" ca="1">IF(AUTOEVENTO="Manual",ROUND(SUMPRODUCT((CÁLCULO!$M$15:$M$36=EVENTOS!$C44)*(OFFSET(CÁLCULO!$AA$15:$AA$36,0,H$13))),2),0)</f>
        <v>0</v>
      </c>
      <c r="I44" s="588" cm="1">
        <f t="array" aca="1" ref="I44" ca="1">IF(AUTOEVENTO="Manual",ROUND(SUMPRODUCT((CÁLCULO!$M$15:$M$36=EVENTOS!$C44)*(OFFSET(CÁLCULO!$AA$15:$AA$36,0,I$13))),2),0)</f>
        <v>0</v>
      </c>
      <c r="J44" s="588" cm="1">
        <f t="array" aca="1" ref="J44" ca="1">IF(AUTOEVENTO="Manual",ROUND(SUMPRODUCT((CÁLCULO!$M$15:$M$36=EVENTOS!$C44)*(OFFSET(CÁLCULO!$AA$15:$AA$36,0,J$13))),2),0)</f>
        <v>0</v>
      </c>
      <c r="K44" s="588" cm="1">
        <f t="array" aca="1" ref="K44" ca="1">IF(AUTOEVENTO="Manual",ROUND(SUMPRODUCT((CÁLCULO!$M$15:$M$36=EVENTOS!$C44)*(OFFSET(CÁLCULO!$AA$15:$AA$36,0,K$13))),2),0)</f>
        <v>0</v>
      </c>
      <c r="L44" s="588" cm="1">
        <f t="array" aca="1" ref="L44" ca="1">IF(AUTOEVENTO="Manual",ROUND(SUMPRODUCT((CÁLCULO!$M$15:$M$36=EVENTOS!$C44)*(OFFSET(CÁLCULO!$AA$15:$AA$36,0,L$13))),2),0)</f>
        <v>0</v>
      </c>
      <c r="M44" s="588" cm="1">
        <f t="array" aca="1" ref="M44" ca="1">IF(AUTOEVENTO="Manual",ROUND(SUMPRODUCT((CÁLCULO!$M$15:$M$36=EVENTOS!$C44)*(OFFSET(CÁLCULO!$AA$15:$AA$36,0,M$13))),2),0)</f>
        <v>0</v>
      </c>
      <c r="N44" s="588" cm="1">
        <f t="array" aca="1" ref="N44" ca="1">IF(AUTOEVENTO="Manual",ROUND(SUMPRODUCT((CÁLCULO!$M$15:$M$36=EVENTOS!$C44)*(OFFSET(CÁLCULO!$AA$15:$AA$36,0,N$13))),2),0)</f>
        <v>0</v>
      </c>
      <c r="O44" s="588" cm="1">
        <f t="array" aca="1" ref="O44" ca="1">IF(AUTOEVENTO="Manual",ROUND(SUMPRODUCT((CÁLCULO!$M$15:$M$36=EVENTOS!$C44)*(OFFSET(CÁLCULO!$AA$15:$AA$36,0,O$13))),2),0)</f>
        <v>0</v>
      </c>
      <c r="P44" s="588" cm="1">
        <f t="array" aca="1" ref="P44" ca="1">IF(AUTOEVENTO="Manual",ROUND(SUMPRODUCT((CÁLCULO!$M$15:$M$36=EVENTOS!$C44)*(OFFSET(CÁLCULO!$AA$15:$AA$36,0,P$13))),2),0)</f>
        <v>0</v>
      </c>
      <c r="Q44" s="588" cm="1">
        <f t="array" aca="1" ref="Q44" ca="1">IF(AUTOEVENTO="Manual",ROUND(SUMPRODUCT((CÁLCULO!$M$15:$M$36=EVENTOS!$C44)*(OFFSET(CÁLCULO!$AA$15:$AA$36,0,Q$13))),2),0)</f>
        <v>0</v>
      </c>
      <c r="R44" s="588" cm="1">
        <f t="array" aca="1" ref="R44" ca="1">IF(AUTOEVENTO="Manual",ROUND(SUMPRODUCT((CÁLCULO!$M$15:$M$36=EVENTOS!$C44)*(OFFSET(CÁLCULO!$AA$15:$AA$36,0,R$13))),2),0)</f>
        <v>0</v>
      </c>
      <c r="S44" s="588" cm="1">
        <f t="array" aca="1" ref="S44" ca="1">IF(AUTOEVENTO="Manual",ROUND(SUMPRODUCT((CÁLCULO!$M$15:$M$36=EVENTOS!$C44)*(OFFSET(CÁLCULO!$AA$15:$AA$36,0,S$13))),2),0)</f>
        <v>0</v>
      </c>
      <c r="T44" s="588" cm="1">
        <f t="array" aca="1" ref="T44" ca="1">IF(AUTOEVENTO="Manual",ROUND(SUMPRODUCT((CÁLCULO!$M$15:$M$36=EVENTOS!$C44)*(OFFSET(CÁLCULO!$AA$15:$AA$36,0,T$13))),2),0)</f>
        <v>0</v>
      </c>
      <c r="U44" s="588" cm="1">
        <f t="array" aca="1" ref="U44" ca="1">IF(AUTOEVENTO="Manual",ROUND(SUMPRODUCT((CÁLCULO!$M$15:$M$36=EVENTOS!$C44)*(OFFSET(CÁLCULO!$AA$15:$AA$36,0,U$13))),2),0)</f>
        <v>0</v>
      </c>
      <c r="V44" s="588" cm="1">
        <f t="array" aca="1" ref="V44" ca="1">IF(AUTOEVENTO="Manual",ROUND(SUMPRODUCT((CÁLCULO!$M$15:$M$36=EVENTOS!$C44)*(OFFSET(CÁLCULO!$AA$15:$AA$36,0,V$13))),2),0)</f>
        <v>0</v>
      </c>
      <c r="W44" s="588" cm="1">
        <f t="array" aca="1" ref="W44" ca="1">IF(AUTOEVENTO="Manual",ROUND(SUMPRODUCT((CÁLCULO!$M$15:$M$36=EVENTOS!$C44)*(OFFSET(CÁLCULO!$AA$15:$AA$36,0,W$13))),2),0)</f>
        <v>0</v>
      </c>
      <c r="X44" s="588" cm="1">
        <f t="array" aca="1" ref="X44" ca="1">IF(AUTOEVENTO="Manual",ROUND(SUMPRODUCT((CÁLCULO!$M$15:$M$36=EVENTOS!$C44)*(OFFSET(CÁLCULO!$AA$15:$AA$36,0,X$13))),2),0)</f>
        <v>0</v>
      </c>
      <c r="Y44" s="588" cm="1">
        <f t="array" aca="1" ref="Y44" ca="1">IF(AUTOEVENTO="Manual",ROUND(SUMPRODUCT((CÁLCULO!$M$15:$M$36=EVENTOS!$C44)*(OFFSET(CÁLCULO!$AA$15:$AA$36,0,Y$13))),2),0)</f>
        <v>0</v>
      </c>
    </row>
    <row r="45" spans="1:25" x14ac:dyDescent="0.25">
      <c r="A45" s="415" t="str">
        <f t="shared" si="3"/>
        <v/>
      </c>
      <c r="B45" t="str">
        <f t="shared" ca="1" si="4"/>
        <v/>
      </c>
      <c r="C45" s="586" t="str" cm="1">
        <f t="array" aca="1" ref="C45" ca="1">IF(OR(ROW(C45)=ROW(EVENTOS.firstrow)+1,AND(OFFSET(C45,-1,0)&lt;&gt;" ",OFFSET(C45,-1,1)&lt;&gt;"")),OFFSET(C45,-1,0)+1," ")</f>
        <v xml:space="preserve"> </v>
      </c>
      <c r="D45" s="587"/>
      <c r="E45" s="588" cm="1">
        <f t="array" aca="1" ref="E45" ca="1">IF(AUTOEVENTO="Manual",ROUND(SUMPRODUCT((CÁLCULO!$M$15:$M$36=EVENTOS!$C45)*(OFFSET(CÁLCULO!$AA$15:$AA$36,0,E$13))),2),0)</f>
        <v>0</v>
      </c>
      <c r="F45" s="589">
        <f ca="1">IF(AUTOEVENTO="Manual",ROUND(SUMPRODUCT((CÁLCULO!$M$15:$M$36=EVENTOS!$C45)*(OFFSET(CÁLCULO!$AA$15,0,1):OFFSET(CÁLCULO!$AL$36,0,-1))),2),0)</f>
        <v>0</v>
      </c>
      <c r="G45" s="590" t="str">
        <f ca="1">IF(AND(D45=0,F45&gt;0),"NOME",
 IF(AND(D45&lt;&gt;0,$F$14&gt;0,F45=0),"VALOR",
 IF(AND(Import.TipoArredondamento="TransfereGOV",$A45="F",LEN(D45)&gt;100),"Nome &gt;100","")))</f>
        <v/>
      </c>
      <c r="H45" s="588" cm="1">
        <f t="array" aca="1" ref="H45" ca="1">IF(AUTOEVENTO="Manual",ROUND(SUMPRODUCT((CÁLCULO!$M$15:$M$36=EVENTOS!$C45)*(OFFSET(CÁLCULO!$AA$15:$AA$36,0,H$13))),2),0)</f>
        <v>0</v>
      </c>
      <c r="I45" s="588" cm="1">
        <f t="array" aca="1" ref="I45" ca="1">IF(AUTOEVENTO="Manual",ROUND(SUMPRODUCT((CÁLCULO!$M$15:$M$36=EVENTOS!$C45)*(OFFSET(CÁLCULO!$AA$15:$AA$36,0,I$13))),2),0)</f>
        <v>0</v>
      </c>
      <c r="J45" s="588" cm="1">
        <f t="array" aca="1" ref="J45" ca="1">IF(AUTOEVENTO="Manual",ROUND(SUMPRODUCT((CÁLCULO!$M$15:$M$36=EVENTOS!$C45)*(OFFSET(CÁLCULO!$AA$15:$AA$36,0,J$13))),2),0)</f>
        <v>0</v>
      </c>
      <c r="K45" s="588" cm="1">
        <f t="array" aca="1" ref="K45" ca="1">IF(AUTOEVENTO="Manual",ROUND(SUMPRODUCT((CÁLCULO!$M$15:$M$36=EVENTOS!$C45)*(OFFSET(CÁLCULO!$AA$15:$AA$36,0,K$13))),2),0)</f>
        <v>0</v>
      </c>
      <c r="L45" s="588" cm="1">
        <f t="array" aca="1" ref="L45" ca="1">IF(AUTOEVENTO="Manual",ROUND(SUMPRODUCT((CÁLCULO!$M$15:$M$36=EVENTOS!$C45)*(OFFSET(CÁLCULO!$AA$15:$AA$36,0,L$13))),2),0)</f>
        <v>0</v>
      </c>
      <c r="M45" s="588" cm="1">
        <f t="array" aca="1" ref="M45" ca="1">IF(AUTOEVENTO="Manual",ROUND(SUMPRODUCT((CÁLCULO!$M$15:$M$36=EVENTOS!$C45)*(OFFSET(CÁLCULO!$AA$15:$AA$36,0,M$13))),2),0)</f>
        <v>0</v>
      </c>
      <c r="N45" s="588" cm="1">
        <f t="array" aca="1" ref="N45" ca="1">IF(AUTOEVENTO="Manual",ROUND(SUMPRODUCT((CÁLCULO!$M$15:$M$36=EVENTOS!$C45)*(OFFSET(CÁLCULO!$AA$15:$AA$36,0,N$13))),2),0)</f>
        <v>0</v>
      </c>
      <c r="O45" s="588" cm="1">
        <f t="array" aca="1" ref="O45" ca="1">IF(AUTOEVENTO="Manual",ROUND(SUMPRODUCT((CÁLCULO!$M$15:$M$36=EVENTOS!$C45)*(OFFSET(CÁLCULO!$AA$15:$AA$36,0,O$13))),2),0)</f>
        <v>0</v>
      </c>
      <c r="P45" s="588" cm="1">
        <f t="array" aca="1" ref="P45" ca="1">IF(AUTOEVENTO="Manual",ROUND(SUMPRODUCT((CÁLCULO!$M$15:$M$36=EVENTOS!$C45)*(OFFSET(CÁLCULO!$AA$15:$AA$36,0,P$13))),2),0)</f>
        <v>0</v>
      </c>
      <c r="Q45" s="588" cm="1">
        <f t="array" aca="1" ref="Q45" ca="1">IF(AUTOEVENTO="Manual",ROUND(SUMPRODUCT((CÁLCULO!$M$15:$M$36=EVENTOS!$C45)*(OFFSET(CÁLCULO!$AA$15:$AA$36,0,Q$13))),2),0)</f>
        <v>0</v>
      </c>
      <c r="R45" s="588" cm="1">
        <f t="array" aca="1" ref="R45" ca="1">IF(AUTOEVENTO="Manual",ROUND(SUMPRODUCT((CÁLCULO!$M$15:$M$36=EVENTOS!$C45)*(OFFSET(CÁLCULO!$AA$15:$AA$36,0,R$13))),2),0)</f>
        <v>0</v>
      </c>
      <c r="S45" s="588" cm="1">
        <f t="array" aca="1" ref="S45" ca="1">IF(AUTOEVENTO="Manual",ROUND(SUMPRODUCT((CÁLCULO!$M$15:$M$36=EVENTOS!$C45)*(OFFSET(CÁLCULO!$AA$15:$AA$36,0,S$13))),2),0)</f>
        <v>0</v>
      </c>
      <c r="T45" s="588" cm="1">
        <f t="array" aca="1" ref="T45" ca="1">IF(AUTOEVENTO="Manual",ROUND(SUMPRODUCT((CÁLCULO!$M$15:$M$36=EVENTOS!$C45)*(OFFSET(CÁLCULO!$AA$15:$AA$36,0,T$13))),2),0)</f>
        <v>0</v>
      </c>
      <c r="U45" s="588" cm="1">
        <f t="array" aca="1" ref="U45" ca="1">IF(AUTOEVENTO="Manual",ROUND(SUMPRODUCT((CÁLCULO!$M$15:$M$36=EVENTOS!$C45)*(OFFSET(CÁLCULO!$AA$15:$AA$36,0,U$13))),2),0)</f>
        <v>0</v>
      </c>
      <c r="V45" s="588" cm="1">
        <f t="array" aca="1" ref="V45" ca="1">IF(AUTOEVENTO="Manual",ROUND(SUMPRODUCT((CÁLCULO!$M$15:$M$36=EVENTOS!$C45)*(OFFSET(CÁLCULO!$AA$15:$AA$36,0,V$13))),2),0)</f>
        <v>0</v>
      </c>
      <c r="W45" s="588" cm="1">
        <f t="array" aca="1" ref="W45" ca="1">IF(AUTOEVENTO="Manual",ROUND(SUMPRODUCT((CÁLCULO!$M$15:$M$36=EVENTOS!$C45)*(OFFSET(CÁLCULO!$AA$15:$AA$36,0,W$13))),2),0)</f>
        <v>0</v>
      </c>
      <c r="X45" s="588" cm="1">
        <f t="array" aca="1" ref="X45" ca="1">IF(AUTOEVENTO="Manual",ROUND(SUMPRODUCT((CÁLCULO!$M$15:$M$36=EVENTOS!$C45)*(OFFSET(CÁLCULO!$AA$15:$AA$36,0,X$13))),2),0)</f>
        <v>0</v>
      </c>
      <c r="Y45" s="588" cm="1">
        <f t="array" aca="1" ref="Y45" ca="1">IF(AUTOEVENTO="Manual",ROUND(SUMPRODUCT((CÁLCULO!$M$15:$M$36=EVENTOS!$C45)*(OFFSET(CÁLCULO!$AA$15:$AA$36,0,Y$13))),2),0)</f>
        <v>0</v>
      </c>
    </row>
    <row r="46" spans="1:25" x14ac:dyDescent="0.25">
      <c r="A46" s="415" t="str">
        <f t="shared" si="3"/>
        <v/>
      </c>
      <c r="B46" t="str">
        <f t="shared" ca="1" si="4"/>
        <v/>
      </c>
      <c r="C46" s="586" t="str" cm="1">
        <f t="array" aca="1" ref="C46" ca="1">IF(OR(ROW(C46)=ROW(EVENTOS.firstrow)+1,AND(OFFSET(C46,-1,0)&lt;&gt;" ",OFFSET(C46,-1,1)&lt;&gt;"")),OFFSET(C46,-1,0)+1," ")</f>
        <v xml:space="preserve"> </v>
      </c>
      <c r="D46" s="587"/>
      <c r="E46" s="588" cm="1">
        <f t="array" aca="1" ref="E46" ca="1">IF(AUTOEVENTO="Manual",ROUND(SUMPRODUCT((CÁLCULO!$M$15:$M$36=EVENTOS!$C46)*(OFFSET(CÁLCULO!$AA$15:$AA$36,0,E$13))),2),0)</f>
        <v>0</v>
      </c>
      <c r="F46" s="589">
        <f ca="1">IF(AUTOEVENTO="Manual",ROUND(SUMPRODUCT((CÁLCULO!$M$15:$M$36=EVENTOS!$C46)*(OFFSET(CÁLCULO!$AA$15,0,1):OFFSET(CÁLCULO!$AL$36,0,-1))),2),0)</f>
        <v>0</v>
      </c>
      <c r="G46" s="590" t="str">
        <f ca="1">IF(AND(D46=0,F46&gt;0),"NOME",
 IF(AND(D46&lt;&gt;0,$F$14&gt;0,F46=0),"VALOR",
 IF(AND(Import.TipoArredondamento="TransfereGOV",$A46="F",LEN(D46)&gt;100),"Nome &gt;100","")))</f>
        <v/>
      </c>
      <c r="H46" s="588" cm="1">
        <f t="array" aca="1" ref="H46" ca="1">IF(AUTOEVENTO="Manual",ROUND(SUMPRODUCT((CÁLCULO!$M$15:$M$36=EVENTOS!$C46)*(OFFSET(CÁLCULO!$AA$15:$AA$36,0,H$13))),2),0)</f>
        <v>0</v>
      </c>
      <c r="I46" s="588" cm="1">
        <f t="array" aca="1" ref="I46" ca="1">IF(AUTOEVENTO="Manual",ROUND(SUMPRODUCT((CÁLCULO!$M$15:$M$36=EVENTOS!$C46)*(OFFSET(CÁLCULO!$AA$15:$AA$36,0,I$13))),2),0)</f>
        <v>0</v>
      </c>
      <c r="J46" s="588" cm="1">
        <f t="array" aca="1" ref="J46" ca="1">IF(AUTOEVENTO="Manual",ROUND(SUMPRODUCT((CÁLCULO!$M$15:$M$36=EVENTOS!$C46)*(OFFSET(CÁLCULO!$AA$15:$AA$36,0,J$13))),2),0)</f>
        <v>0</v>
      </c>
      <c r="K46" s="588" cm="1">
        <f t="array" aca="1" ref="K46" ca="1">IF(AUTOEVENTO="Manual",ROUND(SUMPRODUCT((CÁLCULO!$M$15:$M$36=EVENTOS!$C46)*(OFFSET(CÁLCULO!$AA$15:$AA$36,0,K$13))),2),0)</f>
        <v>0</v>
      </c>
      <c r="L46" s="588" cm="1">
        <f t="array" aca="1" ref="L46" ca="1">IF(AUTOEVENTO="Manual",ROUND(SUMPRODUCT((CÁLCULO!$M$15:$M$36=EVENTOS!$C46)*(OFFSET(CÁLCULO!$AA$15:$AA$36,0,L$13))),2),0)</f>
        <v>0</v>
      </c>
      <c r="M46" s="588" cm="1">
        <f t="array" aca="1" ref="M46" ca="1">IF(AUTOEVENTO="Manual",ROUND(SUMPRODUCT((CÁLCULO!$M$15:$M$36=EVENTOS!$C46)*(OFFSET(CÁLCULO!$AA$15:$AA$36,0,M$13))),2),0)</f>
        <v>0</v>
      </c>
      <c r="N46" s="588" cm="1">
        <f t="array" aca="1" ref="N46" ca="1">IF(AUTOEVENTO="Manual",ROUND(SUMPRODUCT((CÁLCULO!$M$15:$M$36=EVENTOS!$C46)*(OFFSET(CÁLCULO!$AA$15:$AA$36,0,N$13))),2),0)</f>
        <v>0</v>
      </c>
      <c r="O46" s="588" cm="1">
        <f t="array" aca="1" ref="O46" ca="1">IF(AUTOEVENTO="Manual",ROUND(SUMPRODUCT((CÁLCULO!$M$15:$M$36=EVENTOS!$C46)*(OFFSET(CÁLCULO!$AA$15:$AA$36,0,O$13))),2),0)</f>
        <v>0</v>
      </c>
      <c r="P46" s="588" cm="1">
        <f t="array" aca="1" ref="P46" ca="1">IF(AUTOEVENTO="Manual",ROUND(SUMPRODUCT((CÁLCULO!$M$15:$M$36=EVENTOS!$C46)*(OFFSET(CÁLCULO!$AA$15:$AA$36,0,P$13))),2),0)</f>
        <v>0</v>
      </c>
      <c r="Q46" s="588" cm="1">
        <f t="array" aca="1" ref="Q46" ca="1">IF(AUTOEVENTO="Manual",ROUND(SUMPRODUCT((CÁLCULO!$M$15:$M$36=EVENTOS!$C46)*(OFFSET(CÁLCULO!$AA$15:$AA$36,0,Q$13))),2),0)</f>
        <v>0</v>
      </c>
      <c r="R46" s="588" cm="1">
        <f t="array" aca="1" ref="R46" ca="1">IF(AUTOEVENTO="Manual",ROUND(SUMPRODUCT((CÁLCULO!$M$15:$M$36=EVENTOS!$C46)*(OFFSET(CÁLCULO!$AA$15:$AA$36,0,R$13))),2),0)</f>
        <v>0</v>
      </c>
      <c r="S46" s="588" cm="1">
        <f t="array" aca="1" ref="S46" ca="1">IF(AUTOEVENTO="Manual",ROUND(SUMPRODUCT((CÁLCULO!$M$15:$M$36=EVENTOS!$C46)*(OFFSET(CÁLCULO!$AA$15:$AA$36,0,S$13))),2),0)</f>
        <v>0</v>
      </c>
      <c r="T46" s="588" cm="1">
        <f t="array" aca="1" ref="T46" ca="1">IF(AUTOEVENTO="Manual",ROUND(SUMPRODUCT((CÁLCULO!$M$15:$M$36=EVENTOS!$C46)*(OFFSET(CÁLCULO!$AA$15:$AA$36,0,T$13))),2),0)</f>
        <v>0</v>
      </c>
      <c r="U46" s="588" cm="1">
        <f t="array" aca="1" ref="U46" ca="1">IF(AUTOEVENTO="Manual",ROUND(SUMPRODUCT((CÁLCULO!$M$15:$M$36=EVENTOS!$C46)*(OFFSET(CÁLCULO!$AA$15:$AA$36,0,U$13))),2),0)</f>
        <v>0</v>
      </c>
      <c r="V46" s="588" cm="1">
        <f t="array" aca="1" ref="V46" ca="1">IF(AUTOEVENTO="Manual",ROUND(SUMPRODUCT((CÁLCULO!$M$15:$M$36=EVENTOS!$C46)*(OFFSET(CÁLCULO!$AA$15:$AA$36,0,V$13))),2),0)</f>
        <v>0</v>
      </c>
      <c r="W46" s="588" cm="1">
        <f t="array" aca="1" ref="W46" ca="1">IF(AUTOEVENTO="Manual",ROUND(SUMPRODUCT((CÁLCULO!$M$15:$M$36=EVENTOS!$C46)*(OFFSET(CÁLCULO!$AA$15:$AA$36,0,W$13))),2),0)</f>
        <v>0</v>
      </c>
      <c r="X46" s="588" cm="1">
        <f t="array" aca="1" ref="X46" ca="1">IF(AUTOEVENTO="Manual",ROUND(SUMPRODUCT((CÁLCULO!$M$15:$M$36=EVENTOS!$C46)*(OFFSET(CÁLCULO!$AA$15:$AA$36,0,X$13))),2),0)</f>
        <v>0</v>
      </c>
      <c r="Y46" s="588" cm="1">
        <f t="array" aca="1" ref="Y46" ca="1">IF(AUTOEVENTO="Manual",ROUND(SUMPRODUCT((CÁLCULO!$M$15:$M$36=EVENTOS!$C46)*(OFFSET(CÁLCULO!$AA$15:$AA$36,0,Y$13))),2),0)</f>
        <v>0</v>
      </c>
    </row>
    <row r="47" spans="1:25" x14ac:dyDescent="0.25">
      <c r="A47" s="415" t="str">
        <f t="shared" si="3"/>
        <v/>
      </c>
      <c r="B47" t="str">
        <f t="shared" ca="1" si="4"/>
        <v/>
      </c>
      <c r="C47" s="586" t="str" cm="1">
        <f t="array" aca="1" ref="C47" ca="1">IF(OR(ROW(C47)=ROW(EVENTOS.firstrow)+1,AND(OFFSET(C47,-1,0)&lt;&gt;" ",OFFSET(C47,-1,1)&lt;&gt;"")),OFFSET(C47,-1,0)+1," ")</f>
        <v xml:space="preserve"> </v>
      </c>
      <c r="D47" s="587"/>
      <c r="E47" s="588" cm="1">
        <f t="array" aca="1" ref="E47" ca="1">IF(AUTOEVENTO="Manual",ROUND(SUMPRODUCT((CÁLCULO!$M$15:$M$36=EVENTOS!$C47)*(OFFSET(CÁLCULO!$AA$15:$AA$36,0,E$13))),2),0)</f>
        <v>0</v>
      </c>
      <c r="F47" s="589">
        <f ca="1">IF(AUTOEVENTO="Manual",ROUND(SUMPRODUCT((CÁLCULO!$M$15:$M$36=EVENTOS!$C47)*(OFFSET(CÁLCULO!$AA$15,0,1):OFFSET(CÁLCULO!$AL$36,0,-1))),2),0)</f>
        <v>0</v>
      </c>
      <c r="G47" s="590" t="str">
        <f ca="1">IF(AND(D47=0,F47&gt;0),"NOME",
 IF(AND(D47&lt;&gt;0,$F$14&gt;0,F47=0),"VALOR",
 IF(AND(Import.TipoArredondamento="TransfereGOV",$A47="F",LEN(D47)&gt;100),"Nome &gt;100","")))</f>
        <v/>
      </c>
      <c r="H47" s="588" cm="1">
        <f t="array" aca="1" ref="H47" ca="1">IF(AUTOEVENTO="Manual",ROUND(SUMPRODUCT((CÁLCULO!$M$15:$M$36=EVENTOS!$C47)*(OFFSET(CÁLCULO!$AA$15:$AA$36,0,H$13))),2),0)</f>
        <v>0</v>
      </c>
      <c r="I47" s="588" cm="1">
        <f t="array" aca="1" ref="I47" ca="1">IF(AUTOEVENTO="Manual",ROUND(SUMPRODUCT((CÁLCULO!$M$15:$M$36=EVENTOS!$C47)*(OFFSET(CÁLCULO!$AA$15:$AA$36,0,I$13))),2),0)</f>
        <v>0</v>
      </c>
      <c r="J47" s="588" cm="1">
        <f t="array" aca="1" ref="J47" ca="1">IF(AUTOEVENTO="Manual",ROUND(SUMPRODUCT((CÁLCULO!$M$15:$M$36=EVENTOS!$C47)*(OFFSET(CÁLCULO!$AA$15:$AA$36,0,J$13))),2),0)</f>
        <v>0</v>
      </c>
      <c r="K47" s="588" cm="1">
        <f t="array" aca="1" ref="K47" ca="1">IF(AUTOEVENTO="Manual",ROUND(SUMPRODUCT((CÁLCULO!$M$15:$M$36=EVENTOS!$C47)*(OFFSET(CÁLCULO!$AA$15:$AA$36,0,K$13))),2),0)</f>
        <v>0</v>
      </c>
      <c r="L47" s="588" cm="1">
        <f t="array" aca="1" ref="L47" ca="1">IF(AUTOEVENTO="Manual",ROUND(SUMPRODUCT((CÁLCULO!$M$15:$M$36=EVENTOS!$C47)*(OFFSET(CÁLCULO!$AA$15:$AA$36,0,L$13))),2),0)</f>
        <v>0</v>
      </c>
      <c r="M47" s="588" cm="1">
        <f t="array" aca="1" ref="M47" ca="1">IF(AUTOEVENTO="Manual",ROUND(SUMPRODUCT((CÁLCULO!$M$15:$M$36=EVENTOS!$C47)*(OFFSET(CÁLCULO!$AA$15:$AA$36,0,M$13))),2),0)</f>
        <v>0</v>
      </c>
      <c r="N47" s="588" cm="1">
        <f t="array" aca="1" ref="N47" ca="1">IF(AUTOEVENTO="Manual",ROUND(SUMPRODUCT((CÁLCULO!$M$15:$M$36=EVENTOS!$C47)*(OFFSET(CÁLCULO!$AA$15:$AA$36,0,N$13))),2),0)</f>
        <v>0</v>
      </c>
      <c r="O47" s="588" cm="1">
        <f t="array" aca="1" ref="O47" ca="1">IF(AUTOEVENTO="Manual",ROUND(SUMPRODUCT((CÁLCULO!$M$15:$M$36=EVENTOS!$C47)*(OFFSET(CÁLCULO!$AA$15:$AA$36,0,O$13))),2),0)</f>
        <v>0</v>
      </c>
      <c r="P47" s="588" cm="1">
        <f t="array" aca="1" ref="P47" ca="1">IF(AUTOEVENTO="Manual",ROUND(SUMPRODUCT((CÁLCULO!$M$15:$M$36=EVENTOS!$C47)*(OFFSET(CÁLCULO!$AA$15:$AA$36,0,P$13))),2),0)</f>
        <v>0</v>
      </c>
      <c r="Q47" s="588" cm="1">
        <f t="array" aca="1" ref="Q47" ca="1">IF(AUTOEVENTO="Manual",ROUND(SUMPRODUCT((CÁLCULO!$M$15:$M$36=EVENTOS!$C47)*(OFFSET(CÁLCULO!$AA$15:$AA$36,0,Q$13))),2),0)</f>
        <v>0</v>
      </c>
      <c r="R47" s="588" cm="1">
        <f t="array" aca="1" ref="R47" ca="1">IF(AUTOEVENTO="Manual",ROUND(SUMPRODUCT((CÁLCULO!$M$15:$M$36=EVENTOS!$C47)*(OFFSET(CÁLCULO!$AA$15:$AA$36,0,R$13))),2),0)</f>
        <v>0</v>
      </c>
      <c r="S47" s="588" cm="1">
        <f t="array" aca="1" ref="S47" ca="1">IF(AUTOEVENTO="Manual",ROUND(SUMPRODUCT((CÁLCULO!$M$15:$M$36=EVENTOS!$C47)*(OFFSET(CÁLCULO!$AA$15:$AA$36,0,S$13))),2),0)</f>
        <v>0</v>
      </c>
      <c r="T47" s="588" cm="1">
        <f t="array" aca="1" ref="T47" ca="1">IF(AUTOEVENTO="Manual",ROUND(SUMPRODUCT((CÁLCULO!$M$15:$M$36=EVENTOS!$C47)*(OFFSET(CÁLCULO!$AA$15:$AA$36,0,T$13))),2),0)</f>
        <v>0</v>
      </c>
      <c r="U47" s="588" cm="1">
        <f t="array" aca="1" ref="U47" ca="1">IF(AUTOEVENTO="Manual",ROUND(SUMPRODUCT((CÁLCULO!$M$15:$M$36=EVENTOS!$C47)*(OFFSET(CÁLCULO!$AA$15:$AA$36,0,U$13))),2),0)</f>
        <v>0</v>
      </c>
      <c r="V47" s="588" cm="1">
        <f t="array" aca="1" ref="V47" ca="1">IF(AUTOEVENTO="Manual",ROUND(SUMPRODUCT((CÁLCULO!$M$15:$M$36=EVENTOS!$C47)*(OFFSET(CÁLCULO!$AA$15:$AA$36,0,V$13))),2),0)</f>
        <v>0</v>
      </c>
      <c r="W47" s="588" cm="1">
        <f t="array" aca="1" ref="W47" ca="1">IF(AUTOEVENTO="Manual",ROUND(SUMPRODUCT((CÁLCULO!$M$15:$M$36=EVENTOS!$C47)*(OFFSET(CÁLCULO!$AA$15:$AA$36,0,W$13))),2),0)</f>
        <v>0</v>
      </c>
      <c r="X47" s="588" cm="1">
        <f t="array" aca="1" ref="X47" ca="1">IF(AUTOEVENTO="Manual",ROUND(SUMPRODUCT((CÁLCULO!$M$15:$M$36=EVENTOS!$C47)*(OFFSET(CÁLCULO!$AA$15:$AA$36,0,X$13))),2),0)</f>
        <v>0</v>
      </c>
      <c r="Y47" s="588" cm="1">
        <f t="array" aca="1" ref="Y47" ca="1">IF(AUTOEVENTO="Manual",ROUND(SUMPRODUCT((CÁLCULO!$M$15:$M$36=EVENTOS!$C47)*(OFFSET(CÁLCULO!$AA$15:$AA$36,0,Y$13))),2),0)</f>
        <v>0</v>
      </c>
    </row>
    <row r="48" spans="1:25" x14ac:dyDescent="0.25">
      <c r="A48" s="415" t="str">
        <f t="shared" si="3"/>
        <v/>
      </c>
      <c r="B48" t="str">
        <f t="shared" ca="1" si="4"/>
        <v/>
      </c>
      <c r="C48" s="586" t="str" cm="1">
        <f t="array" aca="1" ref="C48" ca="1">IF(OR(ROW(C48)=ROW(EVENTOS.firstrow)+1,AND(OFFSET(C48,-1,0)&lt;&gt;" ",OFFSET(C48,-1,1)&lt;&gt;"")),OFFSET(C48,-1,0)+1," ")</f>
        <v xml:space="preserve"> </v>
      </c>
      <c r="D48" s="587"/>
      <c r="E48" s="588" cm="1">
        <f t="array" aca="1" ref="E48" ca="1">IF(AUTOEVENTO="Manual",ROUND(SUMPRODUCT((CÁLCULO!$M$15:$M$36=EVENTOS!$C48)*(OFFSET(CÁLCULO!$AA$15:$AA$36,0,E$13))),2),0)</f>
        <v>0</v>
      </c>
      <c r="F48" s="589">
        <f ca="1">IF(AUTOEVENTO="Manual",ROUND(SUMPRODUCT((CÁLCULO!$M$15:$M$36=EVENTOS!$C48)*(OFFSET(CÁLCULO!$AA$15,0,1):OFFSET(CÁLCULO!$AL$36,0,-1))),2),0)</f>
        <v>0</v>
      </c>
      <c r="G48" s="590" t="str">
        <f ca="1">IF(AND(D48=0,F48&gt;0),"NOME",
 IF(AND(D48&lt;&gt;0,$F$14&gt;0,F48=0),"VALOR",
 IF(AND(Import.TipoArredondamento="TransfereGOV",$A48="F",LEN(D48)&gt;100),"Nome &gt;100","")))</f>
        <v/>
      </c>
      <c r="H48" s="588" cm="1">
        <f t="array" aca="1" ref="H48" ca="1">IF(AUTOEVENTO="Manual",ROUND(SUMPRODUCT((CÁLCULO!$M$15:$M$36=EVENTOS!$C48)*(OFFSET(CÁLCULO!$AA$15:$AA$36,0,H$13))),2),0)</f>
        <v>0</v>
      </c>
      <c r="I48" s="588" cm="1">
        <f t="array" aca="1" ref="I48" ca="1">IF(AUTOEVENTO="Manual",ROUND(SUMPRODUCT((CÁLCULO!$M$15:$M$36=EVENTOS!$C48)*(OFFSET(CÁLCULO!$AA$15:$AA$36,0,I$13))),2),0)</f>
        <v>0</v>
      </c>
      <c r="J48" s="588" cm="1">
        <f t="array" aca="1" ref="J48" ca="1">IF(AUTOEVENTO="Manual",ROUND(SUMPRODUCT((CÁLCULO!$M$15:$M$36=EVENTOS!$C48)*(OFFSET(CÁLCULO!$AA$15:$AA$36,0,J$13))),2),0)</f>
        <v>0</v>
      </c>
      <c r="K48" s="588" cm="1">
        <f t="array" aca="1" ref="K48" ca="1">IF(AUTOEVENTO="Manual",ROUND(SUMPRODUCT((CÁLCULO!$M$15:$M$36=EVENTOS!$C48)*(OFFSET(CÁLCULO!$AA$15:$AA$36,0,K$13))),2),0)</f>
        <v>0</v>
      </c>
      <c r="L48" s="588" cm="1">
        <f t="array" aca="1" ref="L48" ca="1">IF(AUTOEVENTO="Manual",ROUND(SUMPRODUCT((CÁLCULO!$M$15:$M$36=EVENTOS!$C48)*(OFFSET(CÁLCULO!$AA$15:$AA$36,0,L$13))),2),0)</f>
        <v>0</v>
      </c>
      <c r="M48" s="588" cm="1">
        <f t="array" aca="1" ref="M48" ca="1">IF(AUTOEVENTO="Manual",ROUND(SUMPRODUCT((CÁLCULO!$M$15:$M$36=EVENTOS!$C48)*(OFFSET(CÁLCULO!$AA$15:$AA$36,0,M$13))),2),0)</f>
        <v>0</v>
      </c>
      <c r="N48" s="588" cm="1">
        <f t="array" aca="1" ref="N48" ca="1">IF(AUTOEVENTO="Manual",ROUND(SUMPRODUCT((CÁLCULO!$M$15:$M$36=EVENTOS!$C48)*(OFFSET(CÁLCULO!$AA$15:$AA$36,0,N$13))),2),0)</f>
        <v>0</v>
      </c>
      <c r="O48" s="588" cm="1">
        <f t="array" aca="1" ref="O48" ca="1">IF(AUTOEVENTO="Manual",ROUND(SUMPRODUCT((CÁLCULO!$M$15:$M$36=EVENTOS!$C48)*(OFFSET(CÁLCULO!$AA$15:$AA$36,0,O$13))),2),0)</f>
        <v>0</v>
      </c>
      <c r="P48" s="588" cm="1">
        <f t="array" aca="1" ref="P48" ca="1">IF(AUTOEVENTO="Manual",ROUND(SUMPRODUCT((CÁLCULO!$M$15:$M$36=EVENTOS!$C48)*(OFFSET(CÁLCULO!$AA$15:$AA$36,0,P$13))),2),0)</f>
        <v>0</v>
      </c>
      <c r="Q48" s="588" cm="1">
        <f t="array" aca="1" ref="Q48" ca="1">IF(AUTOEVENTO="Manual",ROUND(SUMPRODUCT((CÁLCULO!$M$15:$M$36=EVENTOS!$C48)*(OFFSET(CÁLCULO!$AA$15:$AA$36,0,Q$13))),2),0)</f>
        <v>0</v>
      </c>
      <c r="R48" s="588" cm="1">
        <f t="array" aca="1" ref="R48" ca="1">IF(AUTOEVENTO="Manual",ROUND(SUMPRODUCT((CÁLCULO!$M$15:$M$36=EVENTOS!$C48)*(OFFSET(CÁLCULO!$AA$15:$AA$36,0,R$13))),2),0)</f>
        <v>0</v>
      </c>
      <c r="S48" s="588" cm="1">
        <f t="array" aca="1" ref="S48" ca="1">IF(AUTOEVENTO="Manual",ROUND(SUMPRODUCT((CÁLCULO!$M$15:$M$36=EVENTOS!$C48)*(OFFSET(CÁLCULO!$AA$15:$AA$36,0,S$13))),2),0)</f>
        <v>0</v>
      </c>
      <c r="T48" s="588" cm="1">
        <f t="array" aca="1" ref="T48" ca="1">IF(AUTOEVENTO="Manual",ROUND(SUMPRODUCT((CÁLCULO!$M$15:$M$36=EVENTOS!$C48)*(OFFSET(CÁLCULO!$AA$15:$AA$36,0,T$13))),2),0)</f>
        <v>0</v>
      </c>
      <c r="U48" s="588" cm="1">
        <f t="array" aca="1" ref="U48" ca="1">IF(AUTOEVENTO="Manual",ROUND(SUMPRODUCT((CÁLCULO!$M$15:$M$36=EVENTOS!$C48)*(OFFSET(CÁLCULO!$AA$15:$AA$36,0,U$13))),2),0)</f>
        <v>0</v>
      </c>
      <c r="V48" s="588" cm="1">
        <f t="array" aca="1" ref="V48" ca="1">IF(AUTOEVENTO="Manual",ROUND(SUMPRODUCT((CÁLCULO!$M$15:$M$36=EVENTOS!$C48)*(OFFSET(CÁLCULO!$AA$15:$AA$36,0,V$13))),2),0)</f>
        <v>0</v>
      </c>
      <c r="W48" s="588" cm="1">
        <f t="array" aca="1" ref="W48" ca="1">IF(AUTOEVENTO="Manual",ROUND(SUMPRODUCT((CÁLCULO!$M$15:$M$36=EVENTOS!$C48)*(OFFSET(CÁLCULO!$AA$15:$AA$36,0,W$13))),2),0)</f>
        <v>0</v>
      </c>
      <c r="X48" s="588" cm="1">
        <f t="array" aca="1" ref="X48" ca="1">IF(AUTOEVENTO="Manual",ROUND(SUMPRODUCT((CÁLCULO!$M$15:$M$36=EVENTOS!$C48)*(OFFSET(CÁLCULO!$AA$15:$AA$36,0,X$13))),2),0)</f>
        <v>0</v>
      </c>
      <c r="Y48" s="588" cm="1">
        <f t="array" aca="1" ref="Y48" ca="1">IF(AUTOEVENTO="Manual",ROUND(SUMPRODUCT((CÁLCULO!$M$15:$M$36=EVENTOS!$C48)*(OFFSET(CÁLCULO!$AA$15:$AA$36,0,Y$13))),2),0)</f>
        <v>0</v>
      </c>
    </row>
    <row r="49" spans="1:25" x14ac:dyDescent="0.25">
      <c r="A49" s="415" t="str">
        <f t="shared" si="3"/>
        <v/>
      </c>
      <c r="B49" t="str">
        <f t="shared" ca="1" si="4"/>
        <v/>
      </c>
      <c r="C49" s="586" t="str" cm="1">
        <f t="array" aca="1" ref="C49" ca="1">IF(OR(ROW(C49)=ROW(EVENTOS.firstrow)+1,AND(OFFSET(C49,-1,0)&lt;&gt;" ",OFFSET(C49,-1,1)&lt;&gt;"")),OFFSET(C49,-1,0)+1," ")</f>
        <v xml:space="preserve"> </v>
      </c>
      <c r="D49" s="587"/>
      <c r="E49" s="588" cm="1">
        <f t="array" aca="1" ref="E49" ca="1">IF(AUTOEVENTO="Manual",ROUND(SUMPRODUCT((CÁLCULO!$M$15:$M$36=EVENTOS!$C49)*(OFFSET(CÁLCULO!$AA$15:$AA$36,0,E$13))),2),0)</f>
        <v>0</v>
      </c>
      <c r="F49" s="589">
        <f ca="1">IF(AUTOEVENTO="Manual",ROUND(SUMPRODUCT((CÁLCULO!$M$15:$M$36=EVENTOS!$C49)*(OFFSET(CÁLCULO!$AA$15,0,1):OFFSET(CÁLCULO!$AL$36,0,-1))),2),0)</f>
        <v>0</v>
      </c>
      <c r="G49" s="590" t="str">
        <f ca="1">IF(AND(D49=0,F49&gt;0),"NOME",
 IF(AND(D49&lt;&gt;0,$F$14&gt;0,F49=0),"VALOR",
 IF(AND(Import.TipoArredondamento="TransfereGOV",$A49="F",LEN(D49)&gt;100),"Nome &gt;100","")))</f>
        <v/>
      </c>
      <c r="H49" s="588" cm="1">
        <f t="array" aca="1" ref="H49" ca="1">IF(AUTOEVENTO="Manual",ROUND(SUMPRODUCT((CÁLCULO!$M$15:$M$36=EVENTOS!$C49)*(OFFSET(CÁLCULO!$AA$15:$AA$36,0,H$13))),2),0)</f>
        <v>0</v>
      </c>
      <c r="I49" s="588" cm="1">
        <f t="array" aca="1" ref="I49" ca="1">IF(AUTOEVENTO="Manual",ROUND(SUMPRODUCT((CÁLCULO!$M$15:$M$36=EVENTOS!$C49)*(OFFSET(CÁLCULO!$AA$15:$AA$36,0,I$13))),2),0)</f>
        <v>0</v>
      </c>
      <c r="J49" s="588" cm="1">
        <f t="array" aca="1" ref="J49" ca="1">IF(AUTOEVENTO="Manual",ROUND(SUMPRODUCT((CÁLCULO!$M$15:$M$36=EVENTOS!$C49)*(OFFSET(CÁLCULO!$AA$15:$AA$36,0,J$13))),2),0)</f>
        <v>0</v>
      </c>
      <c r="K49" s="588" cm="1">
        <f t="array" aca="1" ref="K49" ca="1">IF(AUTOEVENTO="Manual",ROUND(SUMPRODUCT((CÁLCULO!$M$15:$M$36=EVENTOS!$C49)*(OFFSET(CÁLCULO!$AA$15:$AA$36,0,K$13))),2),0)</f>
        <v>0</v>
      </c>
      <c r="L49" s="588" cm="1">
        <f t="array" aca="1" ref="L49" ca="1">IF(AUTOEVENTO="Manual",ROUND(SUMPRODUCT((CÁLCULO!$M$15:$M$36=EVENTOS!$C49)*(OFFSET(CÁLCULO!$AA$15:$AA$36,0,L$13))),2),0)</f>
        <v>0</v>
      </c>
      <c r="M49" s="588" cm="1">
        <f t="array" aca="1" ref="M49" ca="1">IF(AUTOEVENTO="Manual",ROUND(SUMPRODUCT((CÁLCULO!$M$15:$M$36=EVENTOS!$C49)*(OFFSET(CÁLCULO!$AA$15:$AA$36,0,M$13))),2),0)</f>
        <v>0</v>
      </c>
      <c r="N49" s="588" cm="1">
        <f t="array" aca="1" ref="N49" ca="1">IF(AUTOEVENTO="Manual",ROUND(SUMPRODUCT((CÁLCULO!$M$15:$M$36=EVENTOS!$C49)*(OFFSET(CÁLCULO!$AA$15:$AA$36,0,N$13))),2),0)</f>
        <v>0</v>
      </c>
      <c r="O49" s="588" cm="1">
        <f t="array" aca="1" ref="O49" ca="1">IF(AUTOEVENTO="Manual",ROUND(SUMPRODUCT((CÁLCULO!$M$15:$M$36=EVENTOS!$C49)*(OFFSET(CÁLCULO!$AA$15:$AA$36,0,O$13))),2),0)</f>
        <v>0</v>
      </c>
      <c r="P49" s="588" cm="1">
        <f t="array" aca="1" ref="P49" ca="1">IF(AUTOEVENTO="Manual",ROUND(SUMPRODUCT((CÁLCULO!$M$15:$M$36=EVENTOS!$C49)*(OFFSET(CÁLCULO!$AA$15:$AA$36,0,P$13))),2),0)</f>
        <v>0</v>
      </c>
      <c r="Q49" s="588" cm="1">
        <f t="array" aca="1" ref="Q49" ca="1">IF(AUTOEVENTO="Manual",ROUND(SUMPRODUCT((CÁLCULO!$M$15:$M$36=EVENTOS!$C49)*(OFFSET(CÁLCULO!$AA$15:$AA$36,0,Q$13))),2),0)</f>
        <v>0</v>
      </c>
      <c r="R49" s="588" cm="1">
        <f t="array" aca="1" ref="R49" ca="1">IF(AUTOEVENTO="Manual",ROUND(SUMPRODUCT((CÁLCULO!$M$15:$M$36=EVENTOS!$C49)*(OFFSET(CÁLCULO!$AA$15:$AA$36,0,R$13))),2),0)</f>
        <v>0</v>
      </c>
      <c r="S49" s="588" cm="1">
        <f t="array" aca="1" ref="S49" ca="1">IF(AUTOEVENTO="Manual",ROUND(SUMPRODUCT((CÁLCULO!$M$15:$M$36=EVENTOS!$C49)*(OFFSET(CÁLCULO!$AA$15:$AA$36,0,S$13))),2),0)</f>
        <v>0</v>
      </c>
      <c r="T49" s="588" cm="1">
        <f t="array" aca="1" ref="T49" ca="1">IF(AUTOEVENTO="Manual",ROUND(SUMPRODUCT((CÁLCULO!$M$15:$M$36=EVENTOS!$C49)*(OFFSET(CÁLCULO!$AA$15:$AA$36,0,T$13))),2),0)</f>
        <v>0</v>
      </c>
      <c r="U49" s="588" cm="1">
        <f t="array" aca="1" ref="U49" ca="1">IF(AUTOEVENTO="Manual",ROUND(SUMPRODUCT((CÁLCULO!$M$15:$M$36=EVENTOS!$C49)*(OFFSET(CÁLCULO!$AA$15:$AA$36,0,U$13))),2),0)</f>
        <v>0</v>
      </c>
      <c r="V49" s="588" cm="1">
        <f t="array" aca="1" ref="V49" ca="1">IF(AUTOEVENTO="Manual",ROUND(SUMPRODUCT((CÁLCULO!$M$15:$M$36=EVENTOS!$C49)*(OFFSET(CÁLCULO!$AA$15:$AA$36,0,V$13))),2),0)</f>
        <v>0</v>
      </c>
      <c r="W49" s="588" cm="1">
        <f t="array" aca="1" ref="W49" ca="1">IF(AUTOEVENTO="Manual",ROUND(SUMPRODUCT((CÁLCULO!$M$15:$M$36=EVENTOS!$C49)*(OFFSET(CÁLCULO!$AA$15:$AA$36,0,W$13))),2),0)</f>
        <v>0</v>
      </c>
      <c r="X49" s="588" cm="1">
        <f t="array" aca="1" ref="X49" ca="1">IF(AUTOEVENTO="Manual",ROUND(SUMPRODUCT((CÁLCULO!$M$15:$M$36=EVENTOS!$C49)*(OFFSET(CÁLCULO!$AA$15:$AA$36,0,X$13))),2),0)</f>
        <v>0</v>
      </c>
      <c r="Y49" s="588" cm="1">
        <f t="array" aca="1" ref="Y49" ca="1">IF(AUTOEVENTO="Manual",ROUND(SUMPRODUCT((CÁLCULO!$M$15:$M$36=EVENTOS!$C49)*(OFFSET(CÁLCULO!$AA$15:$AA$36,0,Y$13))),2),0)</f>
        <v>0</v>
      </c>
    </row>
    <row r="50" spans="1:25" x14ac:dyDescent="0.25">
      <c r="A50" s="415" t="str">
        <f t="shared" si="3"/>
        <v/>
      </c>
      <c r="B50" t="str">
        <f t="shared" ca="1" si="4"/>
        <v/>
      </c>
      <c r="C50" s="586" t="str" cm="1">
        <f t="array" aca="1" ref="C50" ca="1">IF(OR(ROW(C50)=ROW(EVENTOS.firstrow)+1,AND(OFFSET(C50,-1,0)&lt;&gt;" ",OFFSET(C50,-1,1)&lt;&gt;"")),OFFSET(C50,-1,0)+1," ")</f>
        <v xml:space="preserve"> </v>
      </c>
      <c r="D50" s="587"/>
      <c r="E50" s="588" cm="1">
        <f t="array" aca="1" ref="E50" ca="1">IF(AUTOEVENTO="Manual",ROUND(SUMPRODUCT((CÁLCULO!$M$15:$M$36=EVENTOS!$C50)*(OFFSET(CÁLCULO!$AA$15:$AA$36,0,E$13))),2),0)</f>
        <v>0</v>
      </c>
      <c r="F50" s="589">
        <f ca="1">IF(AUTOEVENTO="Manual",ROUND(SUMPRODUCT((CÁLCULO!$M$15:$M$36=EVENTOS!$C50)*(OFFSET(CÁLCULO!$AA$15,0,1):OFFSET(CÁLCULO!$AL$36,0,-1))),2),0)</f>
        <v>0</v>
      </c>
      <c r="G50" s="590" t="str">
        <f ca="1">IF(AND(D50=0,F50&gt;0),"NOME",
 IF(AND(D50&lt;&gt;0,$F$14&gt;0,F50=0),"VALOR",
 IF(AND(Import.TipoArredondamento="TransfereGOV",$A50="F",LEN(D50)&gt;100),"Nome &gt;100","")))</f>
        <v/>
      </c>
      <c r="H50" s="588" cm="1">
        <f t="array" aca="1" ref="H50" ca="1">IF(AUTOEVENTO="Manual",ROUND(SUMPRODUCT((CÁLCULO!$M$15:$M$36=EVENTOS!$C50)*(OFFSET(CÁLCULO!$AA$15:$AA$36,0,H$13))),2),0)</f>
        <v>0</v>
      </c>
      <c r="I50" s="588" cm="1">
        <f t="array" aca="1" ref="I50" ca="1">IF(AUTOEVENTO="Manual",ROUND(SUMPRODUCT((CÁLCULO!$M$15:$M$36=EVENTOS!$C50)*(OFFSET(CÁLCULO!$AA$15:$AA$36,0,I$13))),2),0)</f>
        <v>0</v>
      </c>
      <c r="J50" s="588" cm="1">
        <f t="array" aca="1" ref="J50" ca="1">IF(AUTOEVENTO="Manual",ROUND(SUMPRODUCT((CÁLCULO!$M$15:$M$36=EVENTOS!$C50)*(OFFSET(CÁLCULO!$AA$15:$AA$36,0,J$13))),2),0)</f>
        <v>0</v>
      </c>
      <c r="K50" s="588" cm="1">
        <f t="array" aca="1" ref="K50" ca="1">IF(AUTOEVENTO="Manual",ROUND(SUMPRODUCT((CÁLCULO!$M$15:$M$36=EVENTOS!$C50)*(OFFSET(CÁLCULO!$AA$15:$AA$36,0,K$13))),2),0)</f>
        <v>0</v>
      </c>
      <c r="L50" s="588" cm="1">
        <f t="array" aca="1" ref="L50" ca="1">IF(AUTOEVENTO="Manual",ROUND(SUMPRODUCT((CÁLCULO!$M$15:$M$36=EVENTOS!$C50)*(OFFSET(CÁLCULO!$AA$15:$AA$36,0,L$13))),2),0)</f>
        <v>0</v>
      </c>
      <c r="M50" s="588" cm="1">
        <f t="array" aca="1" ref="M50" ca="1">IF(AUTOEVENTO="Manual",ROUND(SUMPRODUCT((CÁLCULO!$M$15:$M$36=EVENTOS!$C50)*(OFFSET(CÁLCULO!$AA$15:$AA$36,0,M$13))),2),0)</f>
        <v>0</v>
      </c>
      <c r="N50" s="588" cm="1">
        <f t="array" aca="1" ref="N50" ca="1">IF(AUTOEVENTO="Manual",ROUND(SUMPRODUCT((CÁLCULO!$M$15:$M$36=EVENTOS!$C50)*(OFFSET(CÁLCULO!$AA$15:$AA$36,0,N$13))),2),0)</f>
        <v>0</v>
      </c>
      <c r="O50" s="588" cm="1">
        <f t="array" aca="1" ref="O50" ca="1">IF(AUTOEVENTO="Manual",ROUND(SUMPRODUCT((CÁLCULO!$M$15:$M$36=EVENTOS!$C50)*(OFFSET(CÁLCULO!$AA$15:$AA$36,0,O$13))),2),0)</f>
        <v>0</v>
      </c>
      <c r="P50" s="588" cm="1">
        <f t="array" aca="1" ref="P50" ca="1">IF(AUTOEVENTO="Manual",ROUND(SUMPRODUCT((CÁLCULO!$M$15:$M$36=EVENTOS!$C50)*(OFFSET(CÁLCULO!$AA$15:$AA$36,0,P$13))),2),0)</f>
        <v>0</v>
      </c>
      <c r="Q50" s="588" cm="1">
        <f t="array" aca="1" ref="Q50" ca="1">IF(AUTOEVENTO="Manual",ROUND(SUMPRODUCT((CÁLCULO!$M$15:$M$36=EVENTOS!$C50)*(OFFSET(CÁLCULO!$AA$15:$AA$36,0,Q$13))),2),0)</f>
        <v>0</v>
      </c>
      <c r="R50" s="588" cm="1">
        <f t="array" aca="1" ref="R50" ca="1">IF(AUTOEVENTO="Manual",ROUND(SUMPRODUCT((CÁLCULO!$M$15:$M$36=EVENTOS!$C50)*(OFFSET(CÁLCULO!$AA$15:$AA$36,0,R$13))),2),0)</f>
        <v>0</v>
      </c>
      <c r="S50" s="588" cm="1">
        <f t="array" aca="1" ref="S50" ca="1">IF(AUTOEVENTO="Manual",ROUND(SUMPRODUCT((CÁLCULO!$M$15:$M$36=EVENTOS!$C50)*(OFFSET(CÁLCULO!$AA$15:$AA$36,0,S$13))),2),0)</f>
        <v>0</v>
      </c>
      <c r="T50" s="588" cm="1">
        <f t="array" aca="1" ref="T50" ca="1">IF(AUTOEVENTO="Manual",ROUND(SUMPRODUCT((CÁLCULO!$M$15:$M$36=EVENTOS!$C50)*(OFFSET(CÁLCULO!$AA$15:$AA$36,0,T$13))),2),0)</f>
        <v>0</v>
      </c>
      <c r="U50" s="588" cm="1">
        <f t="array" aca="1" ref="U50" ca="1">IF(AUTOEVENTO="Manual",ROUND(SUMPRODUCT((CÁLCULO!$M$15:$M$36=EVENTOS!$C50)*(OFFSET(CÁLCULO!$AA$15:$AA$36,0,U$13))),2),0)</f>
        <v>0</v>
      </c>
      <c r="V50" s="588" cm="1">
        <f t="array" aca="1" ref="V50" ca="1">IF(AUTOEVENTO="Manual",ROUND(SUMPRODUCT((CÁLCULO!$M$15:$M$36=EVENTOS!$C50)*(OFFSET(CÁLCULO!$AA$15:$AA$36,0,V$13))),2),0)</f>
        <v>0</v>
      </c>
      <c r="W50" s="588" cm="1">
        <f t="array" aca="1" ref="W50" ca="1">IF(AUTOEVENTO="Manual",ROUND(SUMPRODUCT((CÁLCULO!$M$15:$M$36=EVENTOS!$C50)*(OFFSET(CÁLCULO!$AA$15:$AA$36,0,W$13))),2),0)</f>
        <v>0</v>
      </c>
      <c r="X50" s="588" cm="1">
        <f t="array" aca="1" ref="X50" ca="1">IF(AUTOEVENTO="Manual",ROUND(SUMPRODUCT((CÁLCULO!$M$15:$M$36=EVENTOS!$C50)*(OFFSET(CÁLCULO!$AA$15:$AA$36,0,X$13))),2),0)</f>
        <v>0</v>
      </c>
      <c r="Y50" s="588" cm="1">
        <f t="array" aca="1" ref="Y50" ca="1">IF(AUTOEVENTO="Manual",ROUND(SUMPRODUCT((CÁLCULO!$M$15:$M$36=EVENTOS!$C50)*(OFFSET(CÁLCULO!$AA$15:$AA$36,0,Y$13))),2),0)</f>
        <v>0</v>
      </c>
    </row>
    <row r="51" spans="1:25" x14ac:dyDescent="0.25">
      <c r="A51" s="415" t="str">
        <f t="shared" si="3"/>
        <v/>
      </c>
      <c r="B51" t="str">
        <f t="shared" ca="1" si="4"/>
        <v/>
      </c>
      <c r="C51" s="586" t="str" cm="1">
        <f t="array" aca="1" ref="C51" ca="1">IF(OR(ROW(C51)=ROW(EVENTOS.firstrow)+1,AND(OFFSET(C51,-1,0)&lt;&gt;" ",OFFSET(C51,-1,1)&lt;&gt;"")),OFFSET(C51,-1,0)+1," ")</f>
        <v xml:space="preserve"> </v>
      </c>
      <c r="D51" s="587"/>
      <c r="E51" s="588" cm="1">
        <f t="array" aca="1" ref="E51" ca="1">IF(AUTOEVENTO="Manual",ROUND(SUMPRODUCT((CÁLCULO!$M$15:$M$36=EVENTOS!$C51)*(OFFSET(CÁLCULO!$AA$15:$AA$36,0,E$13))),2),0)</f>
        <v>0</v>
      </c>
      <c r="F51" s="589">
        <f ca="1">IF(AUTOEVENTO="Manual",ROUND(SUMPRODUCT((CÁLCULO!$M$15:$M$36=EVENTOS!$C51)*(OFFSET(CÁLCULO!$AA$15,0,1):OFFSET(CÁLCULO!$AL$36,0,-1))),2),0)</f>
        <v>0</v>
      </c>
      <c r="G51" s="590" t="str">
        <f ca="1">IF(AND(D51=0,F51&gt;0),"NOME",
 IF(AND(D51&lt;&gt;0,$F$14&gt;0,F51=0),"VALOR",
 IF(AND(Import.TipoArredondamento="TransfereGOV",$A51="F",LEN(D51)&gt;100),"Nome &gt;100","")))</f>
        <v/>
      </c>
      <c r="H51" s="588" cm="1">
        <f t="array" aca="1" ref="H51" ca="1">IF(AUTOEVENTO="Manual",ROUND(SUMPRODUCT((CÁLCULO!$M$15:$M$36=EVENTOS!$C51)*(OFFSET(CÁLCULO!$AA$15:$AA$36,0,H$13))),2),0)</f>
        <v>0</v>
      </c>
      <c r="I51" s="588" cm="1">
        <f t="array" aca="1" ref="I51" ca="1">IF(AUTOEVENTO="Manual",ROUND(SUMPRODUCT((CÁLCULO!$M$15:$M$36=EVENTOS!$C51)*(OFFSET(CÁLCULO!$AA$15:$AA$36,0,I$13))),2),0)</f>
        <v>0</v>
      </c>
      <c r="J51" s="588" cm="1">
        <f t="array" aca="1" ref="J51" ca="1">IF(AUTOEVENTO="Manual",ROUND(SUMPRODUCT((CÁLCULO!$M$15:$M$36=EVENTOS!$C51)*(OFFSET(CÁLCULO!$AA$15:$AA$36,0,J$13))),2),0)</f>
        <v>0</v>
      </c>
      <c r="K51" s="588" cm="1">
        <f t="array" aca="1" ref="K51" ca="1">IF(AUTOEVENTO="Manual",ROUND(SUMPRODUCT((CÁLCULO!$M$15:$M$36=EVENTOS!$C51)*(OFFSET(CÁLCULO!$AA$15:$AA$36,0,K$13))),2),0)</f>
        <v>0</v>
      </c>
      <c r="L51" s="588" cm="1">
        <f t="array" aca="1" ref="L51" ca="1">IF(AUTOEVENTO="Manual",ROUND(SUMPRODUCT((CÁLCULO!$M$15:$M$36=EVENTOS!$C51)*(OFFSET(CÁLCULO!$AA$15:$AA$36,0,L$13))),2),0)</f>
        <v>0</v>
      </c>
      <c r="M51" s="588" cm="1">
        <f t="array" aca="1" ref="M51" ca="1">IF(AUTOEVENTO="Manual",ROUND(SUMPRODUCT((CÁLCULO!$M$15:$M$36=EVENTOS!$C51)*(OFFSET(CÁLCULO!$AA$15:$AA$36,0,M$13))),2),0)</f>
        <v>0</v>
      </c>
      <c r="N51" s="588" cm="1">
        <f t="array" aca="1" ref="N51" ca="1">IF(AUTOEVENTO="Manual",ROUND(SUMPRODUCT((CÁLCULO!$M$15:$M$36=EVENTOS!$C51)*(OFFSET(CÁLCULO!$AA$15:$AA$36,0,N$13))),2),0)</f>
        <v>0</v>
      </c>
      <c r="O51" s="588" cm="1">
        <f t="array" aca="1" ref="O51" ca="1">IF(AUTOEVENTO="Manual",ROUND(SUMPRODUCT((CÁLCULO!$M$15:$M$36=EVENTOS!$C51)*(OFFSET(CÁLCULO!$AA$15:$AA$36,0,O$13))),2),0)</f>
        <v>0</v>
      </c>
      <c r="P51" s="588" cm="1">
        <f t="array" aca="1" ref="P51" ca="1">IF(AUTOEVENTO="Manual",ROUND(SUMPRODUCT((CÁLCULO!$M$15:$M$36=EVENTOS!$C51)*(OFFSET(CÁLCULO!$AA$15:$AA$36,0,P$13))),2),0)</f>
        <v>0</v>
      </c>
      <c r="Q51" s="588" cm="1">
        <f t="array" aca="1" ref="Q51" ca="1">IF(AUTOEVENTO="Manual",ROUND(SUMPRODUCT((CÁLCULO!$M$15:$M$36=EVENTOS!$C51)*(OFFSET(CÁLCULO!$AA$15:$AA$36,0,Q$13))),2),0)</f>
        <v>0</v>
      </c>
      <c r="R51" s="588" cm="1">
        <f t="array" aca="1" ref="R51" ca="1">IF(AUTOEVENTO="Manual",ROUND(SUMPRODUCT((CÁLCULO!$M$15:$M$36=EVENTOS!$C51)*(OFFSET(CÁLCULO!$AA$15:$AA$36,0,R$13))),2),0)</f>
        <v>0</v>
      </c>
      <c r="S51" s="588" cm="1">
        <f t="array" aca="1" ref="S51" ca="1">IF(AUTOEVENTO="Manual",ROUND(SUMPRODUCT((CÁLCULO!$M$15:$M$36=EVENTOS!$C51)*(OFFSET(CÁLCULO!$AA$15:$AA$36,0,S$13))),2),0)</f>
        <v>0</v>
      </c>
      <c r="T51" s="588" cm="1">
        <f t="array" aca="1" ref="T51" ca="1">IF(AUTOEVENTO="Manual",ROUND(SUMPRODUCT((CÁLCULO!$M$15:$M$36=EVENTOS!$C51)*(OFFSET(CÁLCULO!$AA$15:$AA$36,0,T$13))),2),0)</f>
        <v>0</v>
      </c>
      <c r="U51" s="588" cm="1">
        <f t="array" aca="1" ref="U51" ca="1">IF(AUTOEVENTO="Manual",ROUND(SUMPRODUCT((CÁLCULO!$M$15:$M$36=EVENTOS!$C51)*(OFFSET(CÁLCULO!$AA$15:$AA$36,0,U$13))),2),0)</f>
        <v>0</v>
      </c>
      <c r="V51" s="588" cm="1">
        <f t="array" aca="1" ref="V51" ca="1">IF(AUTOEVENTO="Manual",ROUND(SUMPRODUCT((CÁLCULO!$M$15:$M$36=EVENTOS!$C51)*(OFFSET(CÁLCULO!$AA$15:$AA$36,0,V$13))),2),0)</f>
        <v>0</v>
      </c>
      <c r="W51" s="588" cm="1">
        <f t="array" aca="1" ref="W51" ca="1">IF(AUTOEVENTO="Manual",ROUND(SUMPRODUCT((CÁLCULO!$M$15:$M$36=EVENTOS!$C51)*(OFFSET(CÁLCULO!$AA$15:$AA$36,0,W$13))),2),0)</f>
        <v>0</v>
      </c>
      <c r="X51" s="588" cm="1">
        <f t="array" aca="1" ref="X51" ca="1">IF(AUTOEVENTO="Manual",ROUND(SUMPRODUCT((CÁLCULO!$M$15:$M$36=EVENTOS!$C51)*(OFFSET(CÁLCULO!$AA$15:$AA$36,0,X$13))),2),0)</f>
        <v>0</v>
      </c>
      <c r="Y51" s="588" cm="1">
        <f t="array" aca="1" ref="Y51" ca="1">IF(AUTOEVENTO="Manual",ROUND(SUMPRODUCT((CÁLCULO!$M$15:$M$36=EVENTOS!$C51)*(OFFSET(CÁLCULO!$AA$15:$AA$36,0,Y$13))),2),0)</f>
        <v>0</v>
      </c>
    </row>
    <row r="52" spans="1:25" x14ac:dyDescent="0.25">
      <c r="A52" s="415" t="str">
        <f t="shared" si="3"/>
        <v/>
      </c>
      <c r="B52" t="str">
        <f t="shared" ca="1" si="4"/>
        <v/>
      </c>
      <c r="C52" s="586" t="str" cm="1">
        <f t="array" aca="1" ref="C52" ca="1">IF(OR(ROW(C52)=ROW(EVENTOS.firstrow)+1,AND(OFFSET(C52,-1,0)&lt;&gt;" ",OFFSET(C52,-1,1)&lt;&gt;"")),OFFSET(C52,-1,0)+1," ")</f>
        <v xml:space="preserve"> </v>
      </c>
      <c r="D52" s="587"/>
      <c r="E52" s="588" cm="1">
        <f t="array" aca="1" ref="E52" ca="1">IF(AUTOEVENTO="Manual",ROUND(SUMPRODUCT((CÁLCULO!$M$15:$M$36=EVENTOS!$C52)*(OFFSET(CÁLCULO!$AA$15:$AA$36,0,E$13))),2),0)</f>
        <v>0</v>
      </c>
      <c r="F52" s="589">
        <f ca="1">IF(AUTOEVENTO="Manual",ROUND(SUMPRODUCT((CÁLCULO!$M$15:$M$36=EVENTOS!$C52)*(OFFSET(CÁLCULO!$AA$15,0,1):OFFSET(CÁLCULO!$AL$36,0,-1))),2),0)</f>
        <v>0</v>
      </c>
      <c r="G52" s="590" t="str">
        <f ca="1">IF(AND(D52=0,F52&gt;0),"NOME",
 IF(AND(D52&lt;&gt;0,$F$14&gt;0,F52=0),"VALOR",
 IF(AND(Import.TipoArredondamento="TransfereGOV",$A52="F",LEN(D52)&gt;100),"Nome &gt;100","")))</f>
        <v/>
      </c>
      <c r="H52" s="588" cm="1">
        <f t="array" aca="1" ref="H52" ca="1">IF(AUTOEVENTO="Manual",ROUND(SUMPRODUCT((CÁLCULO!$M$15:$M$36=EVENTOS!$C52)*(OFFSET(CÁLCULO!$AA$15:$AA$36,0,H$13))),2),0)</f>
        <v>0</v>
      </c>
      <c r="I52" s="588" cm="1">
        <f t="array" aca="1" ref="I52" ca="1">IF(AUTOEVENTO="Manual",ROUND(SUMPRODUCT((CÁLCULO!$M$15:$M$36=EVENTOS!$C52)*(OFFSET(CÁLCULO!$AA$15:$AA$36,0,I$13))),2),0)</f>
        <v>0</v>
      </c>
      <c r="J52" s="588" cm="1">
        <f t="array" aca="1" ref="J52" ca="1">IF(AUTOEVENTO="Manual",ROUND(SUMPRODUCT((CÁLCULO!$M$15:$M$36=EVENTOS!$C52)*(OFFSET(CÁLCULO!$AA$15:$AA$36,0,J$13))),2),0)</f>
        <v>0</v>
      </c>
      <c r="K52" s="588" cm="1">
        <f t="array" aca="1" ref="K52" ca="1">IF(AUTOEVENTO="Manual",ROUND(SUMPRODUCT((CÁLCULO!$M$15:$M$36=EVENTOS!$C52)*(OFFSET(CÁLCULO!$AA$15:$AA$36,0,K$13))),2),0)</f>
        <v>0</v>
      </c>
      <c r="L52" s="588" cm="1">
        <f t="array" aca="1" ref="L52" ca="1">IF(AUTOEVENTO="Manual",ROUND(SUMPRODUCT((CÁLCULO!$M$15:$M$36=EVENTOS!$C52)*(OFFSET(CÁLCULO!$AA$15:$AA$36,0,L$13))),2),0)</f>
        <v>0</v>
      </c>
      <c r="M52" s="588" cm="1">
        <f t="array" aca="1" ref="M52" ca="1">IF(AUTOEVENTO="Manual",ROUND(SUMPRODUCT((CÁLCULO!$M$15:$M$36=EVENTOS!$C52)*(OFFSET(CÁLCULO!$AA$15:$AA$36,0,M$13))),2),0)</f>
        <v>0</v>
      </c>
      <c r="N52" s="588" cm="1">
        <f t="array" aca="1" ref="N52" ca="1">IF(AUTOEVENTO="Manual",ROUND(SUMPRODUCT((CÁLCULO!$M$15:$M$36=EVENTOS!$C52)*(OFFSET(CÁLCULO!$AA$15:$AA$36,0,N$13))),2),0)</f>
        <v>0</v>
      </c>
      <c r="O52" s="588" cm="1">
        <f t="array" aca="1" ref="O52" ca="1">IF(AUTOEVENTO="Manual",ROUND(SUMPRODUCT((CÁLCULO!$M$15:$M$36=EVENTOS!$C52)*(OFFSET(CÁLCULO!$AA$15:$AA$36,0,O$13))),2),0)</f>
        <v>0</v>
      </c>
      <c r="P52" s="588" cm="1">
        <f t="array" aca="1" ref="P52" ca="1">IF(AUTOEVENTO="Manual",ROUND(SUMPRODUCT((CÁLCULO!$M$15:$M$36=EVENTOS!$C52)*(OFFSET(CÁLCULO!$AA$15:$AA$36,0,P$13))),2),0)</f>
        <v>0</v>
      </c>
      <c r="Q52" s="588" cm="1">
        <f t="array" aca="1" ref="Q52" ca="1">IF(AUTOEVENTO="Manual",ROUND(SUMPRODUCT((CÁLCULO!$M$15:$M$36=EVENTOS!$C52)*(OFFSET(CÁLCULO!$AA$15:$AA$36,0,Q$13))),2),0)</f>
        <v>0</v>
      </c>
      <c r="R52" s="588" cm="1">
        <f t="array" aca="1" ref="R52" ca="1">IF(AUTOEVENTO="Manual",ROUND(SUMPRODUCT((CÁLCULO!$M$15:$M$36=EVENTOS!$C52)*(OFFSET(CÁLCULO!$AA$15:$AA$36,0,R$13))),2),0)</f>
        <v>0</v>
      </c>
      <c r="S52" s="588" cm="1">
        <f t="array" aca="1" ref="S52" ca="1">IF(AUTOEVENTO="Manual",ROUND(SUMPRODUCT((CÁLCULO!$M$15:$M$36=EVENTOS!$C52)*(OFFSET(CÁLCULO!$AA$15:$AA$36,0,S$13))),2),0)</f>
        <v>0</v>
      </c>
      <c r="T52" s="588" cm="1">
        <f t="array" aca="1" ref="T52" ca="1">IF(AUTOEVENTO="Manual",ROUND(SUMPRODUCT((CÁLCULO!$M$15:$M$36=EVENTOS!$C52)*(OFFSET(CÁLCULO!$AA$15:$AA$36,0,T$13))),2),0)</f>
        <v>0</v>
      </c>
      <c r="U52" s="588" cm="1">
        <f t="array" aca="1" ref="U52" ca="1">IF(AUTOEVENTO="Manual",ROUND(SUMPRODUCT((CÁLCULO!$M$15:$M$36=EVENTOS!$C52)*(OFFSET(CÁLCULO!$AA$15:$AA$36,0,U$13))),2),0)</f>
        <v>0</v>
      </c>
      <c r="V52" s="588" cm="1">
        <f t="array" aca="1" ref="V52" ca="1">IF(AUTOEVENTO="Manual",ROUND(SUMPRODUCT((CÁLCULO!$M$15:$M$36=EVENTOS!$C52)*(OFFSET(CÁLCULO!$AA$15:$AA$36,0,V$13))),2),0)</f>
        <v>0</v>
      </c>
      <c r="W52" s="588" cm="1">
        <f t="array" aca="1" ref="W52" ca="1">IF(AUTOEVENTO="Manual",ROUND(SUMPRODUCT((CÁLCULO!$M$15:$M$36=EVENTOS!$C52)*(OFFSET(CÁLCULO!$AA$15:$AA$36,0,W$13))),2),0)</f>
        <v>0</v>
      </c>
      <c r="X52" s="588" cm="1">
        <f t="array" aca="1" ref="X52" ca="1">IF(AUTOEVENTO="Manual",ROUND(SUMPRODUCT((CÁLCULO!$M$15:$M$36=EVENTOS!$C52)*(OFFSET(CÁLCULO!$AA$15:$AA$36,0,X$13))),2),0)</f>
        <v>0</v>
      </c>
      <c r="Y52" s="588" cm="1">
        <f t="array" aca="1" ref="Y52" ca="1">IF(AUTOEVENTO="Manual",ROUND(SUMPRODUCT((CÁLCULO!$M$15:$M$36=EVENTOS!$C52)*(OFFSET(CÁLCULO!$AA$15:$AA$36,0,Y$13))),2),0)</f>
        <v>0</v>
      </c>
    </row>
    <row r="53" spans="1:25" x14ac:dyDescent="0.25">
      <c r="A53" s="415" t="str">
        <f t="shared" si="3"/>
        <v/>
      </c>
      <c r="B53" t="str">
        <f t="shared" ca="1" si="4"/>
        <v/>
      </c>
      <c r="C53" s="586" t="str" cm="1">
        <f t="array" aca="1" ref="C53" ca="1">IF(OR(ROW(C53)=ROW(EVENTOS.firstrow)+1,AND(OFFSET(C53,-1,0)&lt;&gt;" ",OFFSET(C53,-1,1)&lt;&gt;"")),OFFSET(C53,-1,0)+1," ")</f>
        <v xml:space="preserve"> </v>
      </c>
      <c r="D53" s="587"/>
      <c r="E53" s="588" cm="1">
        <f t="array" aca="1" ref="E53" ca="1">IF(AUTOEVENTO="Manual",ROUND(SUMPRODUCT((CÁLCULO!$M$15:$M$36=EVENTOS!$C53)*(OFFSET(CÁLCULO!$AA$15:$AA$36,0,E$13))),2),0)</f>
        <v>0</v>
      </c>
      <c r="F53" s="589">
        <f ca="1">IF(AUTOEVENTO="Manual",ROUND(SUMPRODUCT((CÁLCULO!$M$15:$M$36=EVENTOS!$C53)*(OFFSET(CÁLCULO!$AA$15,0,1):OFFSET(CÁLCULO!$AL$36,0,-1))),2),0)</f>
        <v>0</v>
      </c>
      <c r="G53" s="590" t="str">
        <f ca="1">IF(AND(D53=0,F53&gt;0),"NOME",
 IF(AND(D53&lt;&gt;0,$F$14&gt;0,F53=0),"VALOR",
 IF(AND(Import.TipoArredondamento="TransfereGOV",$A53="F",LEN(D53)&gt;100),"Nome &gt;100","")))</f>
        <v/>
      </c>
      <c r="H53" s="588" cm="1">
        <f t="array" aca="1" ref="H53" ca="1">IF(AUTOEVENTO="Manual",ROUND(SUMPRODUCT((CÁLCULO!$M$15:$M$36=EVENTOS!$C53)*(OFFSET(CÁLCULO!$AA$15:$AA$36,0,H$13))),2),0)</f>
        <v>0</v>
      </c>
      <c r="I53" s="588" cm="1">
        <f t="array" aca="1" ref="I53" ca="1">IF(AUTOEVENTO="Manual",ROUND(SUMPRODUCT((CÁLCULO!$M$15:$M$36=EVENTOS!$C53)*(OFFSET(CÁLCULO!$AA$15:$AA$36,0,I$13))),2),0)</f>
        <v>0</v>
      </c>
      <c r="J53" s="588" cm="1">
        <f t="array" aca="1" ref="J53" ca="1">IF(AUTOEVENTO="Manual",ROUND(SUMPRODUCT((CÁLCULO!$M$15:$M$36=EVENTOS!$C53)*(OFFSET(CÁLCULO!$AA$15:$AA$36,0,J$13))),2),0)</f>
        <v>0</v>
      </c>
      <c r="K53" s="588" cm="1">
        <f t="array" aca="1" ref="K53" ca="1">IF(AUTOEVENTO="Manual",ROUND(SUMPRODUCT((CÁLCULO!$M$15:$M$36=EVENTOS!$C53)*(OFFSET(CÁLCULO!$AA$15:$AA$36,0,K$13))),2),0)</f>
        <v>0</v>
      </c>
      <c r="L53" s="588" cm="1">
        <f t="array" aca="1" ref="L53" ca="1">IF(AUTOEVENTO="Manual",ROUND(SUMPRODUCT((CÁLCULO!$M$15:$M$36=EVENTOS!$C53)*(OFFSET(CÁLCULO!$AA$15:$AA$36,0,L$13))),2),0)</f>
        <v>0</v>
      </c>
      <c r="M53" s="588" cm="1">
        <f t="array" aca="1" ref="M53" ca="1">IF(AUTOEVENTO="Manual",ROUND(SUMPRODUCT((CÁLCULO!$M$15:$M$36=EVENTOS!$C53)*(OFFSET(CÁLCULO!$AA$15:$AA$36,0,M$13))),2),0)</f>
        <v>0</v>
      </c>
      <c r="N53" s="588" cm="1">
        <f t="array" aca="1" ref="N53" ca="1">IF(AUTOEVENTO="Manual",ROUND(SUMPRODUCT((CÁLCULO!$M$15:$M$36=EVENTOS!$C53)*(OFFSET(CÁLCULO!$AA$15:$AA$36,0,N$13))),2),0)</f>
        <v>0</v>
      </c>
      <c r="O53" s="588" cm="1">
        <f t="array" aca="1" ref="O53" ca="1">IF(AUTOEVENTO="Manual",ROUND(SUMPRODUCT((CÁLCULO!$M$15:$M$36=EVENTOS!$C53)*(OFFSET(CÁLCULO!$AA$15:$AA$36,0,O$13))),2),0)</f>
        <v>0</v>
      </c>
      <c r="P53" s="588" cm="1">
        <f t="array" aca="1" ref="P53" ca="1">IF(AUTOEVENTO="Manual",ROUND(SUMPRODUCT((CÁLCULO!$M$15:$M$36=EVENTOS!$C53)*(OFFSET(CÁLCULO!$AA$15:$AA$36,0,P$13))),2),0)</f>
        <v>0</v>
      </c>
      <c r="Q53" s="588" cm="1">
        <f t="array" aca="1" ref="Q53" ca="1">IF(AUTOEVENTO="Manual",ROUND(SUMPRODUCT((CÁLCULO!$M$15:$M$36=EVENTOS!$C53)*(OFFSET(CÁLCULO!$AA$15:$AA$36,0,Q$13))),2),0)</f>
        <v>0</v>
      </c>
      <c r="R53" s="588" cm="1">
        <f t="array" aca="1" ref="R53" ca="1">IF(AUTOEVENTO="Manual",ROUND(SUMPRODUCT((CÁLCULO!$M$15:$M$36=EVENTOS!$C53)*(OFFSET(CÁLCULO!$AA$15:$AA$36,0,R$13))),2),0)</f>
        <v>0</v>
      </c>
      <c r="S53" s="588" cm="1">
        <f t="array" aca="1" ref="S53" ca="1">IF(AUTOEVENTO="Manual",ROUND(SUMPRODUCT((CÁLCULO!$M$15:$M$36=EVENTOS!$C53)*(OFFSET(CÁLCULO!$AA$15:$AA$36,0,S$13))),2),0)</f>
        <v>0</v>
      </c>
      <c r="T53" s="588" cm="1">
        <f t="array" aca="1" ref="T53" ca="1">IF(AUTOEVENTO="Manual",ROUND(SUMPRODUCT((CÁLCULO!$M$15:$M$36=EVENTOS!$C53)*(OFFSET(CÁLCULO!$AA$15:$AA$36,0,T$13))),2),0)</f>
        <v>0</v>
      </c>
      <c r="U53" s="588" cm="1">
        <f t="array" aca="1" ref="U53" ca="1">IF(AUTOEVENTO="Manual",ROUND(SUMPRODUCT((CÁLCULO!$M$15:$M$36=EVENTOS!$C53)*(OFFSET(CÁLCULO!$AA$15:$AA$36,0,U$13))),2),0)</f>
        <v>0</v>
      </c>
      <c r="V53" s="588" cm="1">
        <f t="array" aca="1" ref="V53" ca="1">IF(AUTOEVENTO="Manual",ROUND(SUMPRODUCT((CÁLCULO!$M$15:$M$36=EVENTOS!$C53)*(OFFSET(CÁLCULO!$AA$15:$AA$36,0,V$13))),2),0)</f>
        <v>0</v>
      </c>
      <c r="W53" s="588" cm="1">
        <f t="array" aca="1" ref="W53" ca="1">IF(AUTOEVENTO="Manual",ROUND(SUMPRODUCT((CÁLCULO!$M$15:$M$36=EVENTOS!$C53)*(OFFSET(CÁLCULO!$AA$15:$AA$36,0,W$13))),2),0)</f>
        <v>0</v>
      </c>
      <c r="X53" s="588" cm="1">
        <f t="array" aca="1" ref="X53" ca="1">IF(AUTOEVENTO="Manual",ROUND(SUMPRODUCT((CÁLCULO!$M$15:$M$36=EVENTOS!$C53)*(OFFSET(CÁLCULO!$AA$15:$AA$36,0,X$13))),2),0)</f>
        <v>0</v>
      </c>
      <c r="Y53" s="588" cm="1">
        <f t="array" aca="1" ref="Y53" ca="1">IF(AUTOEVENTO="Manual",ROUND(SUMPRODUCT((CÁLCULO!$M$15:$M$36=EVENTOS!$C53)*(OFFSET(CÁLCULO!$AA$15:$AA$36,0,Y$13))),2),0)</f>
        <v>0</v>
      </c>
    </row>
    <row r="54" spans="1:25" x14ac:dyDescent="0.25">
      <c r="A54" s="415" t="str">
        <f t="shared" si="3"/>
        <v/>
      </c>
      <c r="B54" t="str">
        <f t="shared" ca="1" si="4"/>
        <v/>
      </c>
      <c r="C54" s="586" t="str" cm="1">
        <f t="array" aca="1" ref="C54" ca="1">IF(OR(ROW(C54)=ROW(EVENTOS.firstrow)+1,AND(OFFSET(C54,-1,0)&lt;&gt;" ",OFFSET(C54,-1,1)&lt;&gt;"")),OFFSET(C54,-1,0)+1," ")</f>
        <v xml:space="preserve"> </v>
      </c>
      <c r="D54" s="587"/>
      <c r="E54" s="588" cm="1">
        <f t="array" aca="1" ref="E54" ca="1">IF(AUTOEVENTO="Manual",ROUND(SUMPRODUCT((CÁLCULO!$M$15:$M$36=EVENTOS!$C54)*(OFFSET(CÁLCULO!$AA$15:$AA$36,0,E$13))),2),0)</f>
        <v>0</v>
      </c>
      <c r="F54" s="589">
        <f ca="1">IF(AUTOEVENTO="Manual",ROUND(SUMPRODUCT((CÁLCULO!$M$15:$M$36=EVENTOS!$C54)*(OFFSET(CÁLCULO!$AA$15,0,1):OFFSET(CÁLCULO!$AL$36,0,-1))),2),0)</f>
        <v>0</v>
      </c>
      <c r="G54" s="590" t="str">
        <f ca="1">IF(AND(D54=0,F54&gt;0),"NOME",
 IF(AND(D54&lt;&gt;0,$F$14&gt;0,F54=0),"VALOR",
 IF(AND(Import.TipoArredondamento="TransfereGOV",$A54="F",LEN(D54)&gt;100),"Nome &gt;100","")))</f>
        <v/>
      </c>
      <c r="H54" s="588" cm="1">
        <f t="array" aca="1" ref="H54" ca="1">IF(AUTOEVENTO="Manual",ROUND(SUMPRODUCT((CÁLCULO!$M$15:$M$36=EVENTOS!$C54)*(OFFSET(CÁLCULO!$AA$15:$AA$36,0,H$13))),2),0)</f>
        <v>0</v>
      </c>
      <c r="I54" s="588" cm="1">
        <f t="array" aca="1" ref="I54" ca="1">IF(AUTOEVENTO="Manual",ROUND(SUMPRODUCT((CÁLCULO!$M$15:$M$36=EVENTOS!$C54)*(OFFSET(CÁLCULO!$AA$15:$AA$36,0,I$13))),2),0)</f>
        <v>0</v>
      </c>
      <c r="J54" s="588" cm="1">
        <f t="array" aca="1" ref="J54" ca="1">IF(AUTOEVENTO="Manual",ROUND(SUMPRODUCT((CÁLCULO!$M$15:$M$36=EVENTOS!$C54)*(OFFSET(CÁLCULO!$AA$15:$AA$36,0,J$13))),2),0)</f>
        <v>0</v>
      </c>
      <c r="K54" s="588" cm="1">
        <f t="array" aca="1" ref="K54" ca="1">IF(AUTOEVENTO="Manual",ROUND(SUMPRODUCT((CÁLCULO!$M$15:$M$36=EVENTOS!$C54)*(OFFSET(CÁLCULO!$AA$15:$AA$36,0,K$13))),2),0)</f>
        <v>0</v>
      </c>
      <c r="L54" s="588" cm="1">
        <f t="array" aca="1" ref="L54" ca="1">IF(AUTOEVENTO="Manual",ROUND(SUMPRODUCT((CÁLCULO!$M$15:$M$36=EVENTOS!$C54)*(OFFSET(CÁLCULO!$AA$15:$AA$36,0,L$13))),2),0)</f>
        <v>0</v>
      </c>
      <c r="M54" s="588" cm="1">
        <f t="array" aca="1" ref="M54" ca="1">IF(AUTOEVENTO="Manual",ROUND(SUMPRODUCT((CÁLCULO!$M$15:$M$36=EVENTOS!$C54)*(OFFSET(CÁLCULO!$AA$15:$AA$36,0,M$13))),2),0)</f>
        <v>0</v>
      </c>
      <c r="N54" s="588" cm="1">
        <f t="array" aca="1" ref="N54" ca="1">IF(AUTOEVENTO="Manual",ROUND(SUMPRODUCT((CÁLCULO!$M$15:$M$36=EVENTOS!$C54)*(OFFSET(CÁLCULO!$AA$15:$AA$36,0,N$13))),2),0)</f>
        <v>0</v>
      </c>
      <c r="O54" s="588" cm="1">
        <f t="array" aca="1" ref="O54" ca="1">IF(AUTOEVENTO="Manual",ROUND(SUMPRODUCT((CÁLCULO!$M$15:$M$36=EVENTOS!$C54)*(OFFSET(CÁLCULO!$AA$15:$AA$36,0,O$13))),2),0)</f>
        <v>0</v>
      </c>
      <c r="P54" s="588" cm="1">
        <f t="array" aca="1" ref="P54" ca="1">IF(AUTOEVENTO="Manual",ROUND(SUMPRODUCT((CÁLCULO!$M$15:$M$36=EVENTOS!$C54)*(OFFSET(CÁLCULO!$AA$15:$AA$36,0,P$13))),2),0)</f>
        <v>0</v>
      </c>
      <c r="Q54" s="588" cm="1">
        <f t="array" aca="1" ref="Q54" ca="1">IF(AUTOEVENTO="Manual",ROUND(SUMPRODUCT((CÁLCULO!$M$15:$M$36=EVENTOS!$C54)*(OFFSET(CÁLCULO!$AA$15:$AA$36,0,Q$13))),2),0)</f>
        <v>0</v>
      </c>
      <c r="R54" s="588" cm="1">
        <f t="array" aca="1" ref="R54" ca="1">IF(AUTOEVENTO="Manual",ROUND(SUMPRODUCT((CÁLCULO!$M$15:$M$36=EVENTOS!$C54)*(OFFSET(CÁLCULO!$AA$15:$AA$36,0,R$13))),2),0)</f>
        <v>0</v>
      </c>
      <c r="S54" s="588" cm="1">
        <f t="array" aca="1" ref="S54" ca="1">IF(AUTOEVENTO="Manual",ROUND(SUMPRODUCT((CÁLCULO!$M$15:$M$36=EVENTOS!$C54)*(OFFSET(CÁLCULO!$AA$15:$AA$36,0,S$13))),2),0)</f>
        <v>0</v>
      </c>
      <c r="T54" s="588" cm="1">
        <f t="array" aca="1" ref="T54" ca="1">IF(AUTOEVENTO="Manual",ROUND(SUMPRODUCT((CÁLCULO!$M$15:$M$36=EVENTOS!$C54)*(OFFSET(CÁLCULO!$AA$15:$AA$36,0,T$13))),2),0)</f>
        <v>0</v>
      </c>
      <c r="U54" s="588" cm="1">
        <f t="array" aca="1" ref="U54" ca="1">IF(AUTOEVENTO="Manual",ROUND(SUMPRODUCT((CÁLCULO!$M$15:$M$36=EVENTOS!$C54)*(OFFSET(CÁLCULO!$AA$15:$AA$36,0,U$13))),2),0)</f>
        <v>0</v>
      </c>
      <c r="V54" s="588" cm="1">
        <f t="array" aca="1" ref="V54" ca="1">IF(AUTOEVENTO="Manual",ROUND(SUMPRODUCT((CÁLCULO!$M$15:$M$36=EVENTOS!$C54)*(OFFSET(CÁLCULO!$AA$15:$AA$36,0,V$13))),2),0)</f>
        <v>0</v>
      </c>
      <c r="W54" s="588" cm="1">
        <f t="array" aca="1" ref="W54" ca="1">IF(AUTOEVENTO="Manual",ROUND(SUMPRODUCT((CÁLCULO!$M$15:$M$36=EVENTOS!$C54)*(OFFSET(CÁLCULO!$AA$15:$AA$36,0,W$13))),2),0)</f>
        <v>0</v>
      </c>
      <c r="X54" s="588" cm="1">
        <f t="array" aca="1" ref="X54" ca="1">IF(AUTOEVENTO="Manual",ROUND(SUMPRODUCT((CÁLCULO!$M$15:$M$36=EVENTOS!$C54)*(OFFSET(CÁLCULO!$AA$15:$AA$36,0,X$13))),2),0)</f>
        <v>0</v>
      </c>
      <c r="Y54" s="588" cm="1">
        <f t="array" aca="1" ref="Y54" ca="1">IF(AUTOEVENTO="Manual",ROUND(SUMPRODUCT((CÁLCULO!$M$15:$M$36=EVENTOS!$C54)*(OFFSET(CÁLCULO!$AA$15:$AA$36,0,Y$13))),2),0)</f>
        <v>0</v>
      </c>
    </row>
    <row r="55" spans="1:25" x14ac:dyDescent="0.25">
      <c r="A55" s="415" t="str">
        <f t="shared" si="3"/>
        <v/>
      </c>
      <c r="B55" t="str">
        <f t="shared" ca="1" si="4"/>
        <v/>
      </c>
      <c r="C55" s="586" t="str" cm="1">
        <f t="array" aca="1" ref="C55" ca="1">IF(OR(ROW(C55)=ROW(EVENTOS.firstrow)+1,AND(OFFSET(C55,-1,0)&lt;&gt;" ",OFFSET(C55,-1,1)&lt;&gt;"")),OFFSET(C55,-1,0)+1," ")</f>
        <v xml:space="preserve"> </v>
      </c>
      <c r="D55" s="587"/>
      <c r="E55" s="588" cm="1">
        <f t="array" aca="1" ref="E55" ca="1">IF(AUTOEVENTO="Manual",ROUND(SUMPRODUCT((CÁLCULO!$M$15:$M$36=EVENTOS!$C55)*(OFFSET(CÁLCULO!$AA$15:$AA$36,0,E$13))),2),0)</f>
        <v>0</v>
      </c>
      <c r="F55" s="589">
        <f ca="1">IF(AUTOEVENTO="Manual",ROUND(SUMPRODUCT((CÁLCULO!$M$15:$M$36=EVENTOS!$C55)*(OFFSET(CÁLCULO!$AA$15,0,1):OFFSET(CÁLCULO!$AL$36,0,-1))),2),0)</f>
        <v>0</v>
      </c>
      <c r="G55" s="590" t="str">
        <f ca="1">IF(AND(D55=0,F55&gt;0),"NOME",
 IF(AND(D55&lt;&gt;0,$F$14&gt;0,F55=0),"VALOR",
 IF(AND(Import.TipoArredondamento="TransfereGOV",$A55="F",LEN(D55)&gt;100),"Nome &gt;100","")))</f>
        <v/>
      </c>
      <c r="H55" s="588" cm="1">
        <f t="array" aca="1" ref="H55" ca="1">IF(AUTOEVENTO="Manual",ROUND(SUMPRODUCT((CÁLCULO!$M$15:$M$36=EVENTOS!$C55)*(OFFSET(CÁLCULO!$AA$15:$AA$36,0,H$13))),2),0)</f>
        <v>0</v>
      </c>
      <c r="I55" s="588" cm="1">
        <f t="array" aca="1" ref="I55" ca="1">IF(AUTOEVENTO="Manual",ROUND(SUMPRODUCT((CÁLCULO!$M$15:$M$36=EVENTOS!$C55)*(OFFSET(CÁLCULO!$AA$15:$AA$36,0,I$13))),2),0)</f>
        <v>0</v>
      </c>
      <c r="J55" s="588" cm="1">
        <f t="array" aca="1" ref="J55" ca="1">IF(AUTOEVENTO="Manual",ROUND(SUMPRODUCT((CÁLCULO!$M$15:$M$36=EVENTOS!$C55)*(OFFSET(CÁLCULO!$AA$15:$AA$36,0,J$13))),2),0)</f>
        <v>0</v>
      </c>
      <c r="K55" s="588" cm="1">
        <f t="array" aca="1" ref="K55" ca="1">IF(AUTOEVENTO="Manual",ROUND(SUMPRODUCT((CÁLCULO!$M$15:$M$36=EVENTOS!$C55)*(OFFSET(CÁLCULO!$AA$15:$AA$36,0,K$13))),2),0)</f>
        <v>0</v>
      </c>
      <c r="L55" s="588" cm="1">
        <f t="array" aca="1" ref="L55" ca="1">IF(AUTOEVENTO="Manual",ROUND(SUMPRODUCT((CÁLCULO!$M$15:$M$36=EVENTOS!$C55)*(OFFSET(CÁLCULO!$AA$15:$AA$36,0,L$13))),2),0)</f>
        <v>0</v>
      </c>
      <c r="M55" s="588" cm="1">
        <f t="array" aca="1" ref="M55" ca="1">IF(AUTOEVENTO="Manual",ROUND(SUMPRODUCT((CÁLCULO!$M$15:$M$36=EVENTOS!$C55)*(OFFSET(CÁLCULO!$AA$15:$AA$36,0,M$13))),2),0)</f>
        <v>0</v>
      </c>
      <c r="N55" s="588" cm="1">
        <f t="array" aca="1" ref="N55" ca="1">IF(AUTOEVENTO="Manual",ROUND(SUMPRODUCT((CÁLCULO!$M$15:$M$36=EVENTOS!$C55)*(OFFSET(CÁLCULO!$AA$15:$AA$36,0,N$13))),2),0)</f>
        <v>0</v>
      </c>
      <c r="O55" s="588" cm="1">
        <f t="array" aca="1" ref="O55" ca="1">IF(AUTOEVENTO="Manual",ROUND(SUMPRODUCT((CÁLCULO!$M$15:$M$36=EVENTOS!$C55)*(OFFSET(CÁLCULO!$AA$15:$AA$36,0,O$13))),2),0)</f>
        <v>0</v>
      </c>
      <c r="P55" s="588" cm="1">
        <f t="array" aca="1" ref="P55" ca="1">IF(AUTOEVENTO="Manual",ROUND(SUMPRODUCT((CÁLCULO!$M$15:$M$36=EVENTOS!$C55)*(OFFSET(CÁLCULO!$AA$15:$AA$36,0,P$13))),2),0)</f>
        <v>0</v>
      </c>
      <c r="Q55" s="588" cm="1">
        <f t="array" aca="1" ref="Q55" ca="1">IF(AUTOEVENTO="Manual",ROUND(SUMPRODUCT((CÁLCULO!$M$15:$M$36=EVENTOS!$C55)*(OFFSET(CÁLCULO!$AA$15:$AA$36,0,Q$13))),2),0)</f>
        <v>0</v>
      </c>
      <c r="R55" s="588" cm="1">
        <f t="array" aca="1" ref="R55" ca="1">IF(AUTOEVENTO="Manual",ROUND(SUMPRODUCT((CÁLCULO!$M$15:$M$36=EVENTOS!$C55)*(OFFSET(CÁLCULO!$AA$15:$AA$36,0,R$13))),2),0)</f>
        <v>0</v>
      </c>
      <c r="S55" s="588" cm="1">
        <f t="array" aca="1" ref="S55" ca="1">IF(AUTOEVENTO="Manual",ROUND(SUMPRODUCT((CÁLCULO!$M$15:$M$36=EVENTOS!$C55)*(OFFSET(CÁLCULO!$AA$15:$AA$36,0,S$13))),2),0)</f>
        <v>0</v>
      </c>
      <c r="T55" s="588" cm="1">
        <f t="array" aca="1" ref="T55" ca="1">IF(AUTOEVENTO="Manual",ROUND(SUMPRODUCT((CÁLCULO!$M$15:$M$36=EVENTOS!$C55)*(OFFSET(CÁLCULO!$AA$15:$AA$36,0,T$13))),2),0)</f>
        <v>0</v>
      </c>
      <c r="U55" s="588" cm="1">
        <f t="array" aca="1" ref="U55" ca="1">IF(AUTOEVENTO="Manual",ROUND(SUMPRODUCT((CÁLCULO!$M$15:$M$36=EVENTOS!$C55)*(OFFSET(CÁLCULO!$AA$15:$AA$36,0,U$13))),2),0)</f>
        <v>0</v>
      </c>
      <c r="V55" s="588" cm="1">
        <f t="array" aca="1" ref="V55" ca="1">IF(AUTOEVENTO="Manual",ROUND(SUMPRODUCT((CÁLCULO!$M$15:$M$36=EVENTOS!$C55)*(OFFSET(CÁLCULO!$AA$15:$AA$36,0,V$13))),2),0)</f>
        <v>0</v>
      </c>
      <c r="W55" s="588" cm="1">
        <f t="array" aca="1" ref="W55" ca="1">IF(AUTOEVENTO="Manual",ROUND(SUMPRODUCT((CÁLCULO!$M$15:$M$36=EVENTOS!$C55)*(OFFSET(CÁLCULO!$AA$15:$AA$36,0,W$13))),2),0)</f>
        <v>0</v>
      </c>
      <c r="X55" s="588" cm="1">
        <f t="array" aca="1" ref="X55" ca="1">IF(AUTOEVENTO="Manual",ROUND(SUMPRODUCT((CÁLCULO!$M$15:$M$36=EVENTOS!$C55)*(OFFSET(CÁLCULO!$AA$15:$AA$36,0,X$13))),2),0)</f>
        <v>0</v>
      </c>
      <c r="Y55" s="588" cm="1">
        <f t="array" aca="1" ref="Y55" ca="1">IF(AUTOEVENTO="Manual",ROUND(SUMPRODUCT((CÁLCULO!$M$15:$M$36=EVENTOS!$C55)*(OFFSET(CÁLCULO!$AA$15:$AA$36,0,Y$13))),2),0)</f>
        <v>0</v>
      </c>
    </row>
    <row r="56" spans="1:25" x14ac:dyDescent="0.25">
      <c r="A56" s="415" t="str">
        <f t="shared" si="3"/>
        <v/>
      </c>
      <c r="B56" t="str">
        <f t="shared" ca="1" si="4"/>
        <v/>
      </c>
      <c r="C56" s="586" t="str" cm="1">
        <f t="array" aca="1" ref="C56" ca="1">IF(OR(ROW(C56)=ROW(EVENTOS.firstrow)+1,AND(OFFSET(C56,-1,0)&lt;&gt;" ",OFFSET(C56,-1,1)&lt;&gt;"")),OFFSET(C56,-1,0)+1," ")</f>
        <v xml:space="preserve"> </v>
      </c>
      <c r="D56" s="587"/>
      <c r="E56" s="588" cm="1">
        <f t="array" aca="1" ref="E56" ca="1">IF(AUTOEVENTO="Manual",ROUND(SUMPRODUCT((CÁLCULO!$M$15:$M$36=EVENTOS!$C56)*(OFFSET(CÁLCULO!$AA$15:$AA$36,0,E$13))),2),0)</f>
        <v>0</v>
      </c>
      <c r="F56" s="589">
        <f ca="1">IF(AUTOEVENTO="Manual",ROUND(SUMPRODUCT((CÁLCULO!$M$15:$M$36=EVENTOS!$C56)*(OFFSET(CÁLCULO!$AA$15,0,1):OFFSET(CÁLCULO!$AL$36,0,-1))),2),0)</f>
        <v>0</v>
      </c>
      <c r="G56" s="590" t="str">
        <f ca="1">IF(AND(D56=0,F56&gt;0),"NOME",
 IF(AND(D56&lt;&gt;0,$F$14&gt;0,F56=0),"VALOR",
 IF(AND(Import.TipoArredondamento="TransfereGOV",$A56="F",LEN(D56)&gt;100),"Nome &gt;100","")))</f>
        <v/>
      </c>
      <c r="H56" s="588" cm="1">
        <f t="array" aca="1" ref="H56" ca="1">IF(AUTOEVENTO="Manual",ROUND(SUMPRODUCT((CÁLCULO!$M$15:$M$36=EVENTOS!$C56)*(OFFSET(CÁLCULO!$AA$15:$AA$36,0,H$13))),2),0)</f>
        <v>0</v>
      </c>
      <c r="I56" s="588" cm="1">
        <f t="array" aca="1" ref="I56" ca="1">IF(AUTOEVENTO="Manual",ROUND(SUMPRODUCT((CÁLCULO!$M$15:$M$36=EVENTOS!$C56)*(OFFSET(CÁLCULO!$AA$15:$AA$36,0,I$13))),2),0)</f>
        <v>0</v>
      </c>
      <c r="J56" s="588" cm="1">
        <f t="array" aca="1" ref="J56" ca="1">IF(AUTOEVENTO="Manual",ROUND(SUMPRODUCT((CÁLCULO!$M$15:$M$36=EVENTOS!$C56)*(OFFSET(CÁLCULO!$AA$15:$AA$36,0,J$13))),2),0)</f>
        <v>0</v>
      </c>
      <c r="K56" s="588" cm="1">
        <f t="array" aca="1" ref="K56" ca="1">IF(AUTOEVENTO="Manual",ROUND(SUMPRODUCT((CÁLCULO!$M$15:$M$36=EVENTOS!$C56)*(OFFSET(CÁLCULO!$AA$15:$AA$36,0,K$13))),2),0)</f>
        <v>0</v>
      </c>
      <c r="L56" s="588" cm="1">
        <f t="array" aca="1" ref="L56" ca="1">IF(AUTOEVENTO="Manual",ROUND(SUMPRODUCT((CÁLCULO!$M$15:$M$36=EVENTOS!$C56)*(OFFSET(CÁLCULO!$AA$15:$AA$36,0,L$13))),2),0)</f>
        <v>0</v>
      </c>
      <c r="M56" s="588" cm="1">
        <f t="array" aca="1" ref="M56" ca="1">IF(AUTOEVENTO="Manual",ROUND(SUMPRODUCT((CÁLCULO!$M$15:$M$36=EVENTOS!$C56)*(OFFSET(CÁLCULO!$AA$15:$AA$36,0,M$13))),2),0)</f>
        <v>0</v>
      </c>
      <c r="N56" s="588" cm="1">
        <f t="array" aca="1" ref="N56" ca="1">IF(AUTOEVENTO="Manual",ROUND(SUMPRODUCT((CÁLCULO!$M$15:$M$36=EVENTOS!$C56)*(OFFSET(CÁLCULO!$AA$15:$AA$36,0,N$13))),2),0)</f>
        <v>0</v>
      </c>
      <c r="O56" s="588" cm="1">
        <f t="array" aca="1" ref="O56" ca="1">IF(AUTOEVENTO="Manual",ROUND(SUMPRODUCT((CÁLCULO!$M$15:$M$36=EVENTOS!$C56)*(OFFSET(CÁLCULO!$AA$15:$AA$36,0,O$13))),2),0)</f>
        <v>0</v>
      </c>
      <c r="P56" s="588" cm="1">
        <f t="array" aca="1" ref="P56" ca="1">IF(AUTOEVENTO="Manual",ROUND(SUMPRODUCT((CÁLCULO!$M$15:$M$36=EVENTOS!$C56)*(OFFSET(CÁLCULO!$AA$15:$AA$36,0,P$13))),2),0)</f>
        <v>0</v>
      </c>
      <c r="Q56" s="588" cm="1">
        <f t="array" aca="1" ref="Q56" ca="1">IF(AUTOEVENTO="Manual",ROUND(SUMPRODUCT((CÁLCULO!$M$15:$M$36=EVENTOS!$C56)*(OFFSET(CÁLCULO!$AA$15:$AA$36,0,Q$13))),2),0)</f>
        <v>0</v>
      </c>
      <c r="R56" s="588" cm="1">
        <f t="array" aca="1" ref="R56" ca="1">IF(AUTOEVENTO="Manual",ROUND(SUMPRODUCT((CÁLCULO!$M$15:$M$36=EVENTOS!$C56)*(OFFSET(CÁLCULO!$AA$15:$AA$36,0,R$13))),2),0)</f>
        <v>0</v>
      </c>
      <c r="S56" s="588" cm="1">
        <f t="array" aca="1" ref="S56" ca="1">IF(AUTOEVENTO="Manual",ROUND(SUMPRODUCT((CÁLCULO!$M$15:$M$36=EVENTOS!$C56)*(OFFSET(CÁLCULO!$AA$15:$AA$36,0,S$13))),2),0)</f>
        <v>0</v>
      </c>
      <c r="T56" s="588" cm="1">
        <f t="array" aca="1" ref="T56" ca="1">IF(AUTOEVENTO="Manual",ROUND(SUMPRODUCT((CÁLCULO!$M$15:$M$36=EVENTOS!$C56)*(OFFSET(CÁLCULO!$AA$15:$AA$36,0,T$13))),2),0)</f>
        <v>0</v>
      </c>
      <c r="U56" s="588" cm="1">
        <f t="array" aca="1" ref="U56" ca="1">IF(AUTOEVENTO="Manual",ROUND(SUMPRODUCT((CÁLCULO!$M$15:$M$36=EVENTOS!$C56)*(OFFSET(CÁLCULO!$AA$15:$AA$36,0,U$13))),2),0)</f>
        <v>0</v>
      </c>
      <c r="V56" s="588" cm="1">
        <f t="array" aca="1" ref="V56" ca="1">IF(AUTOEVENTO="Manual",ROUND(SUMPRODUCT((CÁLCULO!$M$15:$M$36=EVENTOS!$C56)*(OFFSET(CÁLCULO!$AA$15:$AA$36,0,V$13))),2),0)</f>
        <v>0</v>
      </c>
      <c r="W56" s="588" cm="1">
        <f t="array" aca="1" ref="W56" ca="1">IF(AUTOEVENTO="Manual",ROUND(SUMPRODUCT((CÁLCULO!$M$15:$M$36=EVENTOS!$C56)*(OFFSET(CÁLCULO!$AA$15:$AA$36,0,W$13))),2),0)</f>
        <v>0</v>
      </c>
      <c r="X56" s="588" cm="1">
        <f t="array" aca="1" ref="X56" ca="1">IF(AUTOEVENTO="Manual",ROUND(SUMPRODUCT((CÁLCULO!$M$15:$M$36=EVENTOS!$C56)*(OFFSET(CÁLCULO!$AA$15:$AA$36,0,X$13))),2),0)</f>
        <v>0</v>
      </c>
      <c r="Y56" s="588" cm="1">
        <f t="array" aca="1" ref="Y56" ca="1">IF(AUTOEVENTO="Manual",ROUND(SUMPRODUCT((CÁLCULO!$M$15:$M$36=EVENTOS!$C56)*(OFFSET(CÁLCULO!$AA$15:$AA$36,0,Y$13))),2),0)</f>
        <v>0</v>
      </c>
    </row>
    <row r="57" spans="1:25" x14ac:dyDescent="0.25">
      <c r="A57" s="415" t="str">
        <f t="shared" si="3"/>
        <v/>
      </c>
      <c r="B57" t="str">
        <f t="shared" ca="1" si="4"/>
        <v/>
      </c>
      <c r="C57" s="586" t="str" cm="1">
        <f t="array" aca="1" ref="C57" ca="1">IF(OR(ROW(C57)=ROW(EVENTOS.firstrow)+1,AND(OFFSET(C57,-1,0)&lt;&gt;" ",OFFSET(C57,-1,1)&lt;&gt;"")),OFFSET(C57,-1,0)+1," ")</f>
        <v xml:space="preserve"> </v>
      </c>
      <c r="D57" s="587"/>
      <c r="E57" s="588" cm="1">
        <f t="array" aca="1" ref="E57" ca="1">IF(AUTOEVENTO="Manual",ROUND(SUMPRODUCT((CÁLCULO!$M$15:$M$36=EVENTOS!$C57)*(OFFSET(CÁLCULO!$AA$15:$AA$36,0,E$13))),2),0)</f>
        <v>0</v>
      </c>
      <c r="F57" s="589">
        <f ca="1">IF(AUTOEVENTO="Manual",ROUND(SUMPRODUCT((CÁLCULO!$M$15:$M$36=EVENTOS!$C57)*(OFFSET(CÁLCULO!$AA$15,0,1):OFFSET(CÁLCULO!$AL$36,0,-1))),2),0)</f>
        <v>0</v>
      </c>
      <c r="G57" s="590" t="str">
        <f ca="1">IF(AND(D57=0,F57&gt;0),"NOME",
 IF(AND(D57&lt;&gt;0,$F$14&gt;0,F57=0),"VALOR",
 IF(AND(Import.TipoArredondamento="TransfereGOV",$A57="F",LEN(D57)&gt;100),"Nome &gt;100","")))</f>
        <v/>
      </c>
      <c r="H57" s="588" cm="1">
        <f t="array" aca="1" ref="H57" ca="1">IF(AUTOEVENTO="Manual",ROUND(SUMPRODUCT((CÁLCULO!$M$15:$M$36=EVENTOS!$C57)*(OFFSET(CÁLCULO!$AA$15:$AA$36,0,H$13))),2),0)</f>
        <v>0</v>
      </c>
      <c r="I57" s="588" cm="1">
        <f t="array" aca="1" ref="I57" ca="1">IF(AUTOEVENTO="Manual",ROUND(SUMPRODUCT((CÁLCULO!$M$15:$M$36=EVENTOS!$C57)*(OFFSET(CÁLCULO!$AA$15:$AA$36,0,I$13))),2),0)</f>
        <v>0</v>
      </c>
      <c r="J57" s="588" cm="1">
        <f t="array" aca="1" ref="J57" ca="1">IF(AUTOEVENTO="Manual",ROUND(SUMPRODUCT((CÁLCULO!$M$15:$M$36=EVENTOS!$C57)*(OFFSET(CÁLCULO!$AA$15:$AA$36,0,J$13))),2),0)</f>
        <v>0</v>
      </c>
      <c r="K57" s="588" cm="1">
        <f t="array" aca="1" ref="K57" ca="1">IF(AUTOEVENTO="Manual",ROUND(SUMPRODUCT((CÁLCULO!$M$15:$M$36=EVENTOS!$C57)*(OFFSET(CÁLCULO!$AA$15:$AA$36,0,K$13))),2),0)</f>
        <v>0</v>
      </c>
      <c r="L57" s="588" cm="1">
        <f t="array" aca="1" ref="L57" ca="1">IF(AUTOEVENTO="Manual",ROUND(SUMPRODUCT((CÁLCULO!$M$15:$M$36=EVENTOS!$C57)*(OFFSET(CÁLCULO!$AA$15:$AA$36,0,L$13))),2),0)</f>
        <v>0</v>
      </c>
      <c r="M57" s="588" cm="1">
        <f t="array" aca="1" ref="M57" ca="1">IF(AUTOEVENTO="Manual",ROUND(SUMPRODUCT((CÁLCULO!$M$15:$M$36=EVENTOS!$C57)*(OFFSET(CÁLCULO!$AA$15:$AA$36,0,M$13))),2),0)</f>
        <v>0</v>
      </c>
      <c r="N57" s="588" cm="1">
        <f t="array" aca="1" ref="N57" ca="1">IF(AUTOEVENTO="Manual",ROUND(SUMPRODUCT((CÁLCULO!$M$15:$M$36=EVENTOS!$C57)*(OFFSET(CÁLCULO!$AA$15:$AA$36,0,N$13))),2),0)</f>
        <v>0</v>
      </c>
      <c r="O57" s="588" cm="1">
        <f t="array" aca="1" ref="O57" ca="1">IF(AUTOEVENTO="Manual",ROUND(SUMPRODUCT((CÁLCULO!$M$15:$M$36=EVENTOS!$C57)*(OFFSET(CÁLCULO!$AA$15:$AA$36,0,O$13))),2),0)</f>
        <v>0</v>
      </c>
      <c r="P57" s="588" cm="1">
        <f t="array" aca="1" ref="P57" ca="1">IF(AUTOEVENTO="Manual",ROUND(SUMPRODUCT((CÁLCULO!$M$15:$M$36=EVENTOS!$C57)*(OFFSET(CÁLCULO!$AA$15:$AA$36,0,P$13))),2),0)</f>
        <v>0</v>
      </c>
      <c r="Q57" s="588" cm="1">
        <f t="array" aca="1" ref="Q57" ca="1">IF(AUTOEVENTO="Manual",ROUND(SUMPRODUCT((CÁLCULO!$M$15:$M$36=EVENTOS!$C57)*(OFFSET(CÁLCULO!$AA$15:$AA$36,0,Q$13))),2),0)</f>
        <v>0</v>
      </c>
      <c r="R57" s="588" cm="1">
        <f t="array" aca="1" ref="R57" ca="1">IF(AUTOEVENTO="Manual",ROUND(SUMPRODUCT((CÁLCULO!$M$15:$M$36=EVENTOS!$C57)*(OFFSET(CÁLCULO!$AA$15:$AA$36,0,R$13))),2),0)</f>
        <v>0</v>
      </c>
      <c r="S57" s="588" cm="1">
        <f t="array" aca="1" ref="S57" ca="1">IF(AUTOEVENTO="Manual",ROUND(SUMPRODUCT((CÁLCULO!$M$15:$M$36=EVENTOS!$C57)*(OFFSET(CÁLCULO!$AA$15:$AA$36,0,S$13))),2),0)</f>
        <v>0</v>
      </c>
      <c r="T57" s="588" cm="1">
        <f t="array" aca="1" ref="T57" ca="1">IF(AUTOEVENTO="Manual",ROUND(SUMPRODUCT((CÁLCULO!$M$15:$M$36=EVENTOS!$C57)*(OFFSET(CÁLCULO!$AA$15:$AA$36,0,T$13))),2),0)</f>
        <v>0</v>
      </c>
      <c r="U57" s="588" cm="1">
        <f t="array" aca="1" ref="U57" ca="1">IF(AUTOEVENTO="Manual",ROUND(SUMPRODUCT((CÁLCULO!$M$15:$M$36=EVENTOS!$C57)*(OFFSET(CÁLCULO!$AA$15:$AA$36,0,U$13))),2),0)</f>
        <v>0</v>
      </c>
      <c r="V57" s="588" cm="1">
        <f t="array" aca="1" ref="V57" ca="1">IF(AUTOEVENTO="Manual",ROUND(SUMPRODUCT((CÁLCULO!$M$15:$M$36=EVENTOS!$C57)*(OFFSET(CÁLCULO!$AA$15:$AA$36,0,V$13))),2),0)</f>
        <v>0</v>
      </c>
      <c r="W57" s="588" cm="1">
        <f t="array" aca="1" ref="W57" ca="1">IF(AUTOEVENTO="Manual",ROUND(SUMPRODUCT((CÁLCULO!$M$15:$M$36=EVENTOS!$C57)*(OFFSET(CÁLCULO!$AA$15:$AA$36,0,W$13))),2),0)</f>
        <v>0</v>
      </c>
      <c r="X57" s="588" cm="1">
        <f t="array" aca="1" ref="X57" ca="1">IF(AUTOEVENTO="Manual",ROUND(SUMPRODUCT((CÁLCULO!$M$15:$M$36=EVENTOS!$C57)*(OFFSET(CÁLCULO!$AA$15:$AA$36,0,X$13))),2),0)</f>
        <v>0</v>
      </c>
      <c r="Y57" s="588" cm="1">
        <f t="array" aca="1" ref="Y57" ca="1">IF(AUTOEVENTO="Manual",ROUND(SUMPRODUCT((CÁLCULO!$M$15:$M$36=EVENTOS!$C57)*(OFFSET(CÁLCULO!$AA$15:$AA$36,0,Y$13))),2),0)</f>
        <v>0</v>
      </c>
    </row>
    <row r="58" spans="1:25" x14ac:dyDescent="0.25">
      <c r="A58" s="415" t="str">
        <f t="shared" si="3"/>
        <v/>
      </c>
      <c r="B58" t="str">
        <f t="shared" ca="1" si="4"/>
        <v/>
      </c>
      <c r="C58" s="586" t="str" cm="1">
        <f t="array" aca="1" ref="C58" ca="1">IF(OR(ROW(C58)=ROW(EVENTOS.firstrow)+1,AND(OFFSET(C58,-1,0)&lt;&gt;" ",OFFSET(C58,-1,1)&lt;&gt;"")),OFFSET(C58,-1,0)+1," ")</f>
        <v xml:space="preserve"> </v>
      </c>
      <c r="D58" s="587"/>
      <c r="E58" s="588" cm="1">
        <f t="array" aca="1" ref="E58" ca="1">IF(AUTOEVENTO="Manual",ROUND(SUMPRODUCT((CÁLCULO!$M$15:$M$36=EVENTOS!$C58)*(OFFSET(CÁLCULO!$AA$15:$AA$36,0,E$13))),2),0)</f>
        <v>0</v>
      </c>
      <c r="F58" s="589">
        <f ca="1">IF(AUTOEVENTO="Manual",ROUND(SUMPRODUCT((CÁLCULO!$M$15:$M$36=EVENTOS!$C58)*(OFFSET(CÁLCULO!$AA$15,0,1):OFFSET(CÁLCULO!$AL$36,0,-1))),2),0)</f>
        <v>0</v>
      </c>
      <c r="G58" s="590" t="str">
        <f ca="1">IF(AND(D58=0,F58&gt;0),"NOME",
 IF(AND(D58&lt;&gt;0,$F$14&gt;0,F58=0),"VALOR",
 IF(AND(Import.TipoArredondamento="TransfereGOV",$A58="F",LEN(D58)&gt;100),"Nome &gt;100","")))</f>
        <v/>
      </c>
      <c r="H58" s="588" cm="1">
        <f t="array" aca="1" ref="H58" ca="1">IF(AUTOEVENTO="Manual",ROUND(SUMPRODUCT((CÁLCULO!$M$15:$M$36=EVENTOS!$C58)*(OFFSET(CÁLCULO!$AA$15:$AA$36,0,H$13))),2),0)</f>
        <v>0</v>
      </c>
      <c r="I58" s="588" cm="1">
        <f t="array" aca="1" ref="I58" ca="1">IF(AUTOEVENTO="Manual",ROUND(SUMPRODUCT((CÁLCULO!$M$15:$M$36=EVENTOS!$C58)*(OFFSET(CÁLCULO!$AA$15:$AA$36,0,I$13))),2),0)</f>
        <v>0</v>
      </c>
      <c r="J58" s="588" cm="1">
        <f t="array" aca="1" ref="J58" ca="1">IF(AUTOEVENTO="Manual",ROUND(SUMPRODUCT((CÁLCULO!$M$15:$M$36=EVENTOS!$C58)*(OFFSET(CÁLCULO!$AA$15:$AA$36,0,J$13))),2),0)</f>
        <v>0</v>
      </c>
      <c r="K58" s="588" cm="1">
        <f t="array" aca="1" ref="K58" ca="1">IF(AUTOEVENTO="Manual",ROUND(SUMPRODUCT((CÁLCULO!$M$15:$M$36=EVENTOS!$C58)*(OFFSET(CÁLCULO!$AA$15:$AA$36,0,K$13))),2),0)</f>
        <v>0</v>
      </c>
      <c r="L58" s="588" cm="1">
        <f t="array" aca="1" ref="L58" ca="1">IF(AUTOEVENTO="Manual",ROUND(SUMPRODUCT((CÁLCULO!$M$15:$M$36=EVENTOS!$C58)*(OFFSET(CÁLCULO!$AA$15:$AA$36,0,L$13))),2),0)</f>
        <v>0</v>
      </c>
      <c r="M58" s="588" cm="1">
        <f t="array" aca="1" ref="M58" ca="1">IF(AUTOEVENTO="Manual",ROUND(SUMPRODUCT((CÁLCULO!$M$15:$M$36=EVENTOS!$C58)*(OFFSET(CÁLCULO!$AA$15:$AA$36,0,M$13))),2),0)</f>
        <v>0</v>
      </c>
      <c r="N58" s="588" cm="1">
        <f t="array" aca="1" ref="N58" ca="1">IF(AUTOEVENTO="Manual",ROUND(SUMPRODUCT((CÁLCULO!$M$15:$M$36=EVENTOS!$C58)*(OFFSET(CÁLCULO!$AA$15:$AA$36,0,N$13))),2),0)</f>
        <v>0</v>
      </c>
      <c r="O58" s="588" cm="1">
        <f t="array" aca="1" ref="O58" ca="1">IF(AUTOEVENTO="Manual",ROUND(SUMPRODUCT((CÁLCULO!$M$15:$M$36=EVENTOS!$C58)*(OFFSET(CÁLCULO!$AA$15:$AA$36,0,O$13))),2),0)</f>
        <v>0</v>
      </c>
      <c r="P58" s="588" cm="1">
        <f t="array" aca="1" ref="P58" ca="1">IF(AUTOEVENTO="Manual",ROUND(SUMPRODUCT((CÁLCULO!$M$15:$M$36=EVENTOS!$C58)*(OFFSET(CÁLCULO!$AA$15:$AA$36,0,P$13))),2),0)</f>
        <v>0</v>
      </c>
      <c r="Q58" s="588" cm="1">
        <f t="array" aca="1" ref="Q58" ca="1">IF(AUTOEVENTO="Manual",ROUND(SUMPRODUCT((CÁLCULO!$M$15:$M$36=EVENTOS!$C58)*(OFFSET(CÁLCULO!$AA$15:$AA$36,0,Q$13))),2),0)</f>
        <v>0</v>
      </c>
      <c r="R58" s="588" cm="1">
        <f t="array" aca="1" ref="R58" ca="1">IF(AUTOEVENTO="Manual",ROUND(SUMPRODUCT((CÁLCULO!$M$15:$M$36=EVENTOS!$C58)*(OFFSET(CÁLCULO!$AA$15:$AA$36,0,R$13))),2),0)</f>
        <v>0</v>
      </c>
      <c r="S58" s="588" cm="1">
        <f t="array" aca="1" ref="S58" ca="1">IF(AUTOEVENTO="Manual",ROUND(SUMPRODUCT((CÁLCULO!$M$15:$M$36=EVENTOS!$C58)*(OFFSET(CÁLCULO!$AA$15:$AA$36,0,S$13))),2),0)</f>
        <v>0</v>
      </c>
      <c r="T58" s="588" cm="1">
        <f t="array" aca="1" ref="T58" ca="1">IF(AUTOEVENTO="Manual",ROUND(SUMPRODUCT((CÁLCULO!$M$15:$M$36=EVENTOS!$C58)*(OFFSET(CÁLCULO!$AA$15:$AA$36,0,T$13))),2),0)</f>
        <v>0</v>
      </c>
      <c r="U58" s="588" cm="1">
        <f t="array" aca="1" ref="U58" ca="1">IF(AUTOEVENTO="Manual",ROUND(SUMPRODUCT((CÁLCULO!$M$15:$M$36=EVENTOS!$C58)*(OFFSET(CÁLCULO!$AA$15:$AA$36,0,U$13))),2),0)</f>
        <v>0</v>
      </c>
      <c r="V58" s="588" cm="1">
        <f t="array" aca="1" ref="V58" ca="1">IF(AUTOEVENTO="Manual",ROUND(SUMPRODUCT((CÁLCULO!$M$15:$M$36=EVENTOS!$C58)*(OFFSET(CÁLCULO!$AA$15:$AA$36,0,V$13))),2),0)</f>
        <v>0</v>
      </c>
      <c r="W58" s="588" cm="1">
        <f t="array" aca="1" ref="W58" ca="1">IF(AUTOEVENTO="Manual",ROUND(SUMPRODUCT((CÁLCULO!$M$15:$M$36=EVENTOS!$C58)*(OFFSET(CÁLCULO!$AA$15:$AA$36,0,W$13))),2),0)</f>
        <v>0</v>
      </c>
      <c r="X58" s="588" cm="1">
        <f t="array" aca="1" ref="X58" ca="1">IF(AUTOEVENTO="Manual",ROUND(SUMPRODUCT((CÁLCULO!$M$15:$M$36=EVENTOS!$C58)*(OFFSET(CÁLCULO!$AA$15:$AA$36,0,X$13))),2),0)</f>
        <v>0</v>
      </c>
      <c r="Y58" s="588" cm="1">
        <f t="array" aca="1" ref="Y58" ca="1">IF(AUTOEVENTO="Manual",ROUND(SUMPRODUCT((CÁLCULO!$M$15:$M$36=EVENTOS!$C58)*(OFFSET(CÁLCULO!$AA$15:$AA$36,0,Y$13))),2),0)</f>
        <v>0</v>
      </c>
    </row>
    <row r="59" spans="1:25" x14ac:dyDescent="0.25">
      <c r="A59" s="415" t="str">
        <f t="shared" si="3"/>
        <v/>
      </c>
      <c r="B59" t="str">
        <f t="shared" ca="1" si="4"/>
        <v/>
      </c>
      <c r="C59" s="586" t="str" cm="1">
        <f t="array" aca="1" ref="C59" ca="1">IF(OR(ROW(C59)=ROW(EVENTOS.firstrow)+1,AND(OFFSET(C59,-1,0)&lt;&gt;" ",OFFSET(C59,-1,1)&lt;&gt;"")),OFFSET(C59,-1,0)+1," ")</f>
        <v xml:space="preserve"> </v>
      </c>
      <c r="D59" s="587"/>
      <c r="E59" s="588" cm="1">
        <f t="array" aca="1" ref="E59" ca="1">IF(AUTOEVENTO="Manual",ROUND(SUMPRODUCT((CÁLCULO!$M$15:$M$36=EVENTOS!$C59)*(OFFSET(CÁLCULO!$AA$15:$AA$36,0,E$13))),2),0)</f>
        <v>0</v>
      </c>
      <c r="F59" s="589">
        <f ca="1">IF(AUTOEVENTO="Manual",ROUND(SUMPRODUCT((CÁLCULO!$M$15:$M$36=EVENTOS!$C59)*(OFFSET(CÁLCULO!$AA$15,0,1):OFFSET(CÁLCULO!$AL$36,0,-1))),2),0)</f>
        <v>0</v>
      </c>
      <c r="G59" s="590" t="str">
        <f ca="1">IF(AND(D59=0,F59&gt;0),"NOME",
 IF(AND(D59&lt;&gt;0,$F$14&gt;0,F59=0),"VALOR",
 IF(AND(Import.TipoArredondamento="TransfereGOV",$A59="F",LEN(D59)&gt;100),"Nome &gt;100","")))</f>
        <v/>
      </c>
      <c r="H59" s="588" cm="1">
        <f t="array" aca="1" ref="H59" ca="1">IF(AUTOEVENTO="Manual",ROUND(SUMPRODUCT((CÁLCULO!$M$15:$M$36=EVENTOS!$C59)*(OFFSET(CÁLCULO!$AA$15:$AA$36,0,H$13))),2),0)</f>
        <v>0</v>
      </c>
      <c r="I59" s="588" cm="1">
        <f t="array" aca="1" ref="I59" ca="1">IF(AUTOEVENTO="Manual",ROUND(SUMPRODUCT((CÁLCULO!$M$15:$M$36=EVENTOS!$C59)*(OFFSET(CÁLCULO!$AA$15:$AA$36,0,I$13))),2),0)</f>
        <v>0</v>
      </c>
      <c r="J59" s="588" cm="1">
        <f t="array" aca="1" ref="J59" ca="1">IF(AUTOEVENTO="Manual",ROUND(SUMPRODUCT((CÁLCULO!$M$15:$M$36=EVENTOS!$C59)*(OFFSET(CÁLCULO!$AA$15:$AA$36,0,J$13))),2),0)</f>
        <v>0</v>
      </c>
      <c r="K59" s="588" cm="1">
        <f t="array" aca="1" ref="K59" ca="1">IF(AUTOEVENTO="Manual",ROUND(SUMPRODUCT((CÁLCULO!$M$15:$M$36=EVENTOS!$C59)*(OFFSET(CÁLCULO!$AA$15:$AA$36,0,K$13))),2),0)</f>
        <v>0</v>
      </c>
      <c r="L59" s="588" cm="1">
        <f t="array" aca="1" ref="L59" ca="1">IF(AUTOEVENTO="Manual",ROUND(SUMPRODUCT((CÁLCULO!$M$15:$M$36=EVENTOS!$C59)*(OFFSET(CÁLCULO!$AA$15:$AA$36,0,L$13))),2),0)</f>
        <v>0</v>
      </c>
      <c r="M59" s="588" cm="1">
        <f t="array" aca="1" ref="M59" ca="1">IF(AUTOEVENTO="Manual",ROUND(SUMPRODUCT((CÁLCULO!$M$15:$M$36=EVENTOS!$C59)*(OFFSET(CÁLCULO!$AA$15:$AA$36,0,M$13))),2),0)</f>
        <v>0</v>
      </c>
      <c r="N59" s="588" cm="1">
        <f t="array" aca="1" ref="N59" ca="1">IF(AUTOEVENTO="Manual",ROUND(SUMPRODUCT((CÁLCULO!$M$15:$M$36=EVENTOS!$C59)*(OFFSET(CÁLCULO!$AA$15:$AA$36,0,N$13))),2),0)</f>
        <v>0</v>
      </c>
      <c r="O59" s="588" cm="1">
        <f t="array" aca="1" ref="O59" ca="1">IF(AUTOEVENTO="Manual",ROUND(SUMPRODUCT((CÁLCULO!$M$15:$M$36=EVENTOS!$C59)*(OFFSET(CÁLCULO!$AA$15:$AA$36,0,O$13))),2),0)</f>
        <v>0</v>
      </c>
      <c r="P59" s="588" cm="1">
        <f t="array" aca="1" ref="P59" ca="1">IF(AUTOEVENTO="Manual",ROUND(SUMPRODUCT((CÁLCULO!$M$15:$M$36=EVENTOS!$C59)*(OFFSET(CÁLCULO!$AA$15:$AA$36,0,P$13))),2),0)</f>
        <v>0</v>
      </c>
      <c r="Q59" s="588" cm="1">
        <f t="array" aca="1" ref="Q59" ca="1">IF(AUTOEVENTO="Manual",ROUND(SUMPRODUCT((CÁLCULO!$M$15:$M$36=EVENTOS!$C59)*(OFFSET(CÁLCULO!$AA$15:$AA$36,0,Q$13))),2),0)</f>
        <v>0</v>
      </c>
      <c r="R59" s="588" cm="1">
        <f t="array" aca="1" ref="R59" ca="1">IF(AUTOEVENTO="Manual",ROUND(SUMPRODUCT((CÁLCULO!$M$15:$M$36=EVENTOS!$C59)*(OFFSET(CÁLCULO!$AA$15:$AA$36,0,R$13))),2),0)</f>
        <v>0</v>
      </c>
      <c r="S59" s="588" cm="1">
        <f t="array" aca="1" ref="S59" ca="1">IF(AUTOEVENTO="Manual",ROUND(SUMPRODUCT((CÁLCULO!$M$15:$M$36=EVENTOS!$C59)*(OFFSET(CÁLCULO!$AA$15:$AA$36,0,S$13))),2),0)</f>
        <v>0</v>
      </c>
      <c r="T59" s="588" cm="1">
        <f t="array" aca="1" ref="T59" ca="1">IF(AUTOEVENTO="Manual",ROUND(SUMPRODUCT((CÁLCULO!$M$15:$M$36=EVENTOS!$C59)*(OFFSET(CÁLCULO!$AA$15:$AA$36,0,T$13))),2),0)</f>
        <v>0</v>
      </c>
      <c r="U59" s="588" cm="1">
        <f t="array" aca="1" ref="U59" ca="1">IF(AUTOEVENTO="Manual",ROUND(SUMPRODUCT((CÁLCULO!$M$15:$M$36=EVENTOS!$C59)*(OFFSET(CÁLCULO!$AA$15:$AA$36,0,U$13))),2),0)</f>
        <v>0</v>
      </c>
      <c r="V59" s="588" cm="1">
        <f t="array" aca="1" ref="V59" ca="1">IF(AUTOEVENTO="Manual",ROUND(SUMPRODUCT((CÁLCULO!$M$15:$M$36=EVENTOS!$C59)*(OFFSET(CÁLCULO!$AA$15:$AA$36,0,V$13))),2),0)</f>
        <v>0</v>
      </c>
      <c r="W59" s="588" cm="1">
        <f t="array" aca="1" ref="W59" ca="1">IF(AUTOEVENTO="Manual",ROUND(SUMPRODUCT((CÁLCULO!$M$15:$M$36=EVENTOS!$C59)*(OFFSET(CÁLCULO!$AA$15:$AA$36,0,W$13))),2),0)</f>
        <v>0</v>
      </c>
      <c r="X59" s="588" cm="1">
        <f t="array" aca="1" ref="X59" ca="1">IF(AUTOEVENTO="Manual",ROUND(SUMPRODUCT((CÁLCULO!$M$15:$M$36=EVENTOS!$C59)*(OFFSET(CÁLCULO!$AA$15:$AA$36,0,X$13))),2),0)</f>
        <v>0</v>
      </c>
      <c r="Y59" s="588" cm="1">
        <f t="array" aca="1" ref="Y59" ca="1">IF(AUTOEVENTO="Manual",ROUND(SUMPRODUCT((CÁLCULO!$M$15:$M$36=EVENTOS!$C59)*(OFFSET(CÁLCULO!$AA$15:$AA$36,0,Y$13))),2),0)</f>
        <v>0</v>
      </c>
    </row>
    <row r="60" spans="1:25" x14ac:dyDescent="0.25">
      <c r="A60" s="415" t="str">
        <f t="shared" si="3"/>
        <v/>
      </c>
      <c r="B60" t="str">
        <f t="shared" ca="1" si="4"/>
        <v/>
      </c>
      <c r="C60" s="586" t="str" cm="1">
        <f t="array" aca="1" ref="C60" ca="1">IF(OR(ROW(C60)=ROW(EVENTOS.firstrow)+1,AND(OFFSET(C60,-1,0)&lt;&gt;" ",OFFSET(C60,-1,1)&lt;&gt;"")),OFFSET(C60,-1,0)+1," ")</f>
        <v xml:space="preserve"> </v>
      </c>
      <c r="D60" s="587"/>
      <c r="E60" s="588" cm="1">
        <f t="array" aca="1" ref="E60" ca="1">IF(AUTOEVENTO="Manual",ROUND(SUMPRODUCT((CÁLCULO!$M$15:$M$36=EVENTOS!$C60)*(OFFSET(CÁLCULO!$AA$15:$AA$36,0,E$13))),2),0)</f>
        <v>0</v>
      </c>
      <c r="F60" s="589">
        <f ca="1">IF(AUTOEVENTO="Manual",ROUND(SUMPRODUCT((CÁLCULO!$M$15:$M$36=EVENTOS!$C60)*(OFFSET(CÁLCULO!$AA$15,0,1):OFFSET(CÁLCULO!$AL$36,0,-1))),2),0)</f>
        <v>0</v>
      </c>
      <c r="G60" s="590" t="str">
        <f ca="1">IF(AND(D60=0,F60&gt;0),"NOME",
 IF(AND(D60&lt;&gt;0,$F$14&gt;0,F60=0),"VALOR",
 IF(AND(Import.TipoArredondamento="TransfereGOV",$A60="F",LEN(D60)&gt;100),"Nome &gt;100","")))</f>
        <v/>
      </c>
      <c r="H60" s="588" cm="1">
        <f t="array" aca="1" ref="H60" ca="1">IF(AUTOEVENTO="Manual",ROUND(SUMPRODUCT((CÁLCULO!$M$15:$M$36=EVENTOS!$C60)*(OFFSET(CÁLCULO!$AA$15:$AA$36,0,H$13))),2),0)</f>
        <v>0</v>
      </c>
      <c r="I60" s="588" cm="1">
        <f t="array" aca="1" ref="I60" ca="1">IF(AUTOEVENTO="Manual",ROUND(SUMPRODUCT((CÁLCULO!$M$15:$M$36=EVENTOS!$C60)*(OFFSET(CÁLCULO!$AA$15:$AA$36,0,I$13))),2),0)</f>
        <v>0</v>
      </c>
      <c r="J60" s="588" cm="1">
        <f t="array" aca="1" ref="J60" ca="1">IF(AUTOEVENTO="Manual",ROUND(SUMPRODUCT((CÁLCULO!$M$15:$M$36=EVENTOS!$C60)*(OFFSET(CÁLCULO!$AA$15:$AA$36,0,J$13))),2),0)</f>
        <v>0</v>
      </c>
      <c r="K60" s="588" cm="1">
        <f t="array" aca="1" ref="K60" ca="1">IF(AUTOEVENTO="Manual",ROUND(SUMPRODUCT((CÁLCULO!$M$15:$M$36=EVENTOS!$C60)*(OFFSET(CÁLCULO!$AA$15:$AA$36,0,K$13))),2),0)</f>
        <v>0</v>
      </c>
      <c r="L60" s="588" cm="1">
        <f t="array" aca="1" ref="L60" ca="1">IF(AUTOEVENTO="Manual",ROUND(SUMPRODUCT((CÁLCULO!$M$15:$M$36=EVENTOS!$C60)*(OFFSET(CÁLCULO!$AA$15:$AA$36,0,L$13))),2),0)</f>
        <v>0</v>
      </c>
      <c r="M60" s="588" cm="1">
        <f t="array" aca="1" ref="M60" ca="1">IF(AUTOEVENTO="Manual",ROUND(SUMPRODUCT((CÁLCULO!$M$15:$M$36=EVENTOS!$C60)*(OFFSET(CÁLCULO!$AA$15:$AA$36,0,M$13))),2),0)</f>
        <v>0</v>
      </c>
      <c r="N60" s="588" cm="1">
        <f t="array" aca="1" ref="N60" ca="1">IF(AUTOEVENTO="Manual",ROUND(SUMPRODUCT((CÁLCULO!$M$15:$M$36=EVENTOS!$C60)*(OFFSET(CÁLCULO!$AA$15:$AA$36,0,N$13))),2),0)</f>
        <v>0</v>
      </c>
      <c r="O60" s="588" cm="1">
        <f t="array" aca="1" ref="O60" ca="1">IF(AUTOEVENTO="Manual",ROUND(SUMPRODUCT((CÁLCULO!$M$15:$M$36=EVENTOS!$C60)*(OFFSET(CÁLCULO!$AA$15:$AA$36,0,O$13))),2),0)</f>
        <v>0</v>
      </c>
      <c r="P60" s="588" cm="1">
        <f t="array" aca="1" ref="P60" ca="1">IF(AUTOEVENTO="Manual",ROUND(SUMPRODUCT((CÁLCULO!$M$15:$M$36=EVENTOS!$C60)*(OFFSET(CÁLCULO!$AA$15:$AA$36,0,P$13))),2),0)</f>
        <v>0</v>
      </c>
      <c r="Q60" s="588" cm="1">
        <f t="array" aca="1" ref="Q60" ca="1">IF(AUTOEVENTO="Manual",ROUND(SUMPRODUCT((CÁLCULO!$M$15:$M$36=EVENTOS!$C60)*(OFFSET(CÁLCULO!$AA$15:$AA$36,0,Q$13))),2),0)</f>
        <v>0</v>
      </c>
      <c r="R60" s="588" cm="1">
        <f t="array" aca="1" ref="R60" ca="1">IF(AUTOEVENTO="Manual",ROUND(SUMPRODUCT((CÁLCULO!$M$15:$M$36=EVENTOS!$C60)*(OFFSET(CÁLCULO!$AA$15:$AA$36,0,R$13))),2),0)</f>
        <v>0</v>
      </c>
      <c r="S60" s="588" cm="1">
        <f t="array" aca="1" ref="S60" ca="1">IF(AUTOEVENTO="Manual",ROUND(SUMPRODUCT((CÁLCULO!$M$15:$M$36=EVENTOS!$C60)*(OFFSET(CÁLCULO!$AA$15:$AA$36,0,S$13))),2),0)</f>
        <v>0</v>
      </c>
      <c r="T60" s="588" cm="1">
        <f t="array" aca="1" ref="T60" ca="1">IF(AUTOEVENTO="Manual",ROUND(SUMPRODUCT((CÁLCULO!$M$15:$M$36=EVENTOS!$C60)*(OFFSET(CÁLCULO!$AA$15:$AA$36,0,T$13))),2),0)</f>
        <v>0</v>
      </c>
      <c r="U60" s="588" cm="1">
        <f t="array" aca="1" ref="U60" ca="1">IF(AUTOEVENTO="Manual",ROUND(SUMPRODUCT((CÁLCULO!$M$15:$M$36=EVENTOS!$C60)*(OFFSET(CÁLCULO!$AA$15:$AA$36,0,U$13))),2),0)</f>
        <v>0</v>
      </c>
      <c r="V60" s="588" cm="1">
        <f t="array" aca="1" ref="V60" ca="1">IF(AUTOEVENTO="Manual",ROUND(SUMPRODUCT((CÁLCULO!$M$15:$M$36=EVENTOS!$C60)*(OFFSET(CÁLCULO!$AA$15:$AA$36,0,V$13))),2),0)</f>
        <v>0</v>
      </c>
      <c r="W60" s="588" cm="1">
        <f t="array" aca="1" ref="W60" ca="1">IF(AUTOEVENTO="Manual",ROUND(SUMPRODUCT((CÁLCULO!$M$15:$M$36=EVENTOS!$C60)*(OFFSET(CÁLCULO!$AA$15:$AA$36,0,W$13))),2),0)</f>
        <v>0</v>
      </c>
      <c r="X60" s="588" cm="1">
        <f t="array" aca="1" ref="X60" ca="1">IF(AUTOEVENTO="Manual",ROUND(SUMPRODUCT((CÁLCULO!$M$15:$M$36=EVENTOS!$C60)*(OFFSET(CÁLCULO!$AA$15:$AA$36,0,X$13))),2),0)</f>
        <v>0</v>
      </c>
      <c r="Y60" s="588" cm="1">
        <f t="array" aca="1" ref="Y60" ca="1">IF(AUTOEVENTO="Manual",ROUND(SUMPRODUCT((CÁLCULO!$M$15:$M$36=EVENTOS!$C60)*(OFFSET(CÁLCULO!$AA$15:$AA$36,0,Y$13))),2),0)</f>
        <v>0</v>
      </c>
    </row>
    <row r="61" spans="1:25" x14ac:dyDescent="0.25">
      <c r="A61" s="415" t="str">
        <f t="shared" si="3"/>
        <v/>
      </c>
      <c r="B61" t="str">
        <f t="shared" ca="1" si="4"/>
        <v/>
      </c>
      <c r="C61" s="586" t="str" cm="1">
        <f t="array" aca="1" ref="C61" ca="1">IF(OR(ROW(C61)=ROW(EVENTOS.firstrow)+1,AND(OFFSET(C61,-1,0)&lt;&gt;" ",OFFSET(C61,-1,1)&lt;&gt;"")),OFFSET(C61,-1,0)+1," ")</f>
        <v xml:space="preserve"> </v>
      </c>
      <c r="D61" s="587"/>
      <c r="E61" s="588" cm="1">
        <f t="array" aca="1" ref="E61" ca="1">IF(AUTOEVENTO="Manual",ROUND(SUMPRODUCT((CÁLCULO!$M$15:$M$36=EVENTOS!$C61)*(OFFSET(CÁLCULO!$AA$15:$AA$36,0,E$13))),2),0)</f>
        <v>0</v>
      </c>
      <c r="F61" s="589">
        <f ca="1">IF(AUTOEVENTO="Manual",ROUND(SUMPRODUCT((CÁLCULO!$M$15:$M$36=EVENTOS!$C61)*(OFFSET(CÁLCULO!$AA$15,0,1):OFFSET(CÁLCULO!$AL$36,0,-1))),2),0)</f>
        <v>0</v>
      </c>
      <c r="G61" s="590" t="str">
        <f ca="1">IF(AND(D61=0,F61&gt;0),"NOME",
 IF(AND(D61&lt;&gt;0,$F$14&gt;0,F61=0),"VALOR",
 IF(AND(Import.TipoArredondamento="TransfereGOV",$A61="F",LEN(D61)&gt;100),"Nome &gt;100","")))</f>
        <v/>
      </c>
      <c r="H61" s="588" cm="1">
        <f t="array" aca="1" ref="H61" ca="1">IF(AUTOEVENTO="Manual",ROUND(SUMPRODUCT((CÁLCULO!$M$15:$M$36=EVENTOS!$C61)*(OFFSET(CÁLCULO!$AA$15:$AA$36,0,H$13))),2),0)</f>
        <v>0</v>
      </c>
      <c r="I61" s="588" cm="1">
        <f t="array" aca="1" ref="I61" ca="1">IF(AUTOEVENTO="Manual",ROUND(SUMPRODUCT((CÁLCULO!$M$15:$M$36=EVENTOS!$C61)*(OFFSET(CÁLCULO!$AA$15:$AA$36,0,I$13))),2),0)</f>
        <v>0</v>
      </c>
      <c r="J61" s="588" cm="1">
        <f t="array" aca="1" ref="J61" ca="1">IF(AUTOEVENTO="Manual",ROUND(SUMPRODUCT((CÁLCULO!$M$15:$M$36=EVENTOS!$C61)*(OFFSET(CÁLCULO!$AA$15:$AA$36,0,J$13))),2),0)</f>
        <v>0</v>
      </c>
      <c r="K61" s="588" cm="1">
        <f t="array" aca="1" ref="K61" ca="1">IF(AUTOEVENTO="Manual",ROUND(SUMPRODUCT((CÁLCULO!$M$15:$M$36=EVENTOS!$C61)*(OFFSET(CÁLCULO!$AA$15:$AA$36,0,K$13))),2),0)</f>
        <v>0</v>
      </c>
      <c r="L61" s="588" cm="1">
        <f t="array" aca="1" ref="L61" ca="1">IF(AUTOEVENTO="Manual",ROUND(SUMPRODUCT((CÁLCULO!$M$15:$M$36=EVENTOS!$C61)*(OFFSET(CÁLCULO!$AA$15:$AA$36,0,L$13))),2),0)</f>
        <v>0</v>
      </c>
      <c r="M61" s="588" cm="1">
        <f t="array" aca="1" ref="M61" ca="1">IF(AUTOEVENTO="Manual",ROUND(SUMPRODUCT((CÁLCULO!$M$15:$M$36=EVENTOS!$C61)*(OFFSET(CÁLCULO!$AA$15:$AA$36,0,M$13))),2),0)</f>
        <v>0</v>
      </c>
      <c r="N61" s="588" cm="1">
        <f t="array" aca="1" ref="N61" ca="1">IF(AUTOEVENTO="Manual",ROUND(SUMPRODUCT((CÁLCULO!$M$15:$M$36=EVENTOS!$C61)*(OFFSET(CÁLCULO!$AA$15:$AA$36,0,N$13))),2),0)</f>
        <v>0</v>
      </c>
      <c r="O61" s="588" cm="1">
        <f t="array" aca="1" ref="O61" ca="1">IF(AUTOEVENTO="Manual",ROUND(SUMPRODUCT((CÁLCULO!$M$15:$M$36=EVENTOS!$C61)*(OFFSET(CÁLCULO!$AA$15:$AA$36,0,O$13))),2),0)</f>
        <v>0</v>
      </c>
      <c r="P61" s="588" cm="1">
        <f t="array" aca="1" ref="P61" ca="1">IF(AUTOEVENTO="Manual",ROUND(SUMPRODUCT((CÁLCULO!$M$15:$M$36=EVENTOS!$C61)*(OFFSET(CÁLCULO!$AA$15:$AA$36,0,P$13))),2),0)</f>
        <v>0</v>
      </c>
      <c r="Q61" s="588" cm="1">
        <f t="array" aca="1" ref="Q61" ca="1">IF(AUTOEVENTO="Manual",ROUND(SUMPRODUCT((CÁLCULO!$M$15:$M$36=EVENTOS!$C61)*(OFFSET(CÁLCULO!$AA$15:$AA$36,0,Q$13))),2),0)</f>
        <v>0</v>
      </c>
      <c r="R61" s="588" cm="1">
        <f t="array" aca="1" ref="R61" ca="1">IF(AUTOEVENTO="Manual",ROUND(SUMPRODUCT((CÁLCULO!$M$15:$M$36=EVENTOS!$C61)*(OFFSET(CÁLCULO!$AA$15:$AA$36,0,R$13))),2),0)</f>
        <v>0</v>
      </c>
      <c r="S61" s="588" cm="1">
        <f t="array" aca="1" ref="S61" ca="1">IF(AUTOEVENTO="Manual",ROUND(SUMPRODUCT((CÁLCULO!$M$15:$M$36=EVENTOS!$C61)*(OFFSET(CÁLCULO!$AA$15:$AA$36,0,S$13))),2),0)</f>
        <v>0</v>
      </c>
      <c r="T61" s="588" cm="1">
        <f t="array" aca="1" ref="T61" ca="1">IF(AUTOEVENTO="Manual",ROUND(SUMPRODUCT((CÁLCULO!$M$15:$M$36=EVENTOS!$C61)*(OFFSET(CÁLCULO!$AA$15:$AA$36,0,T$13))),2),0)</f>
        <v>0</v>
      </c>
      <c r="U61" s="588" cm="1">
        <f t="array" aca="1" ref="U61" ca="1">IF(AUTOEVENTO="Manual",ROUND(SUMPRODUCT((CÁLCULO!$M$15:$M$36=EVENTOS!$C61)*(OFFSET(CÁLCULO!$AA$15:$AA$36,0,U$13))),2),0)</f>
        <v>0</v>
      </c>
      <c r="V61" s="588" cm="1">
        <f t="array" aca="1" ref="V61" ca="1">IF(AUTOEVENTO="Manual",ROUND(SUMPRODUCT((CÁLCULO!$M$15:$M$36=EVENTOS!$C61)*(OFFSET(CÁLCULO!$AA$15:$AA$36,0,V$13))),2),0)</f>
        <v>0</v>
      </c>
      <c r="W61" s="588" cm="1">
        <f t="array" aca="1" ref="W61" ca="1">IF(AUTOEVENTO="Manual",ROUND(SUMPRODUCT((CÁLCULO!$M$15:$M$36=EVENTOS!$C61)*(OFFSET(CÁLCULO!$AA$15:$AA$36,0,W$13))),2),0)</f>
        <v>0</v>
      </c>
      <c r="X61" s="588" cm="1">
        <f t="array" aca="1" ref="X61" ca="1">IF(AUTOEVENTO="Manual",ROUND(SUMPRODUCT((CÁLCULO!$M$15:$M$36=EVENTOS!$C61)*(OFFSET(CÁLCULO!$AA$15:$AA$36,0,X$13))),2),0)</f>
        <v>0</v>
      </c>
      <c r="Y61" s="588" cm="1">
        <f t="array" aca="1" ref="Y61" ca="1">IF(AUTOEVENTO="Manual",ROUND(SUMPRODUCT((CÁLCULO!$M$15:$M$36=EVENTOS!$C61)*(OFFSET(CÁLCULO!$AA$15:$AA$36,0,Y$13))),2),0)</f>
        <v>0</v>
      </c>
    </row>
    <row r="62" spans="1:25" x14ac:dyDescent="0.25">
      <c r="A62" s="415" t="str">
        <f t="shared" si="3"/>
        <v/>
      </c>
      <c r="B62" t="str">
        <f t="shared" ca="1" si="4"/>
        <v/>
      </c>
      <c r="C62" s="586" t="str" cm="1">
        <f t="array" aca="1" ref="C62" ca="1">IF(OR(ROW(C62)=ROW(EVENTOS.firstrow)+1,AND(OFFSET(C62,-1,0)&lt;&gt;" ",OFFSET(C62,-1,1)&lt;&gt;"")),OFFSET(C62,-1,0)+1," ")</f>
        <v xml:space="preserve"> </v>
      </c>
      <c r="D62" s="587"/>
      <c r="E62" s="588" cm="1">
        <f t="array" aca="1" ref="E62" ca="1">IF(AUTOEVENTO="Manual",ROUND(SUMPRODUCT((CÁLCULO!$M$15:$M$36=EVENTOS!$C62)*(OFFSET(CÁLCULO!$AA$15:$AA$36,0,E$13))),2),0)</f>
        <v>0</v>
      </c>
      <c r="F62" s="589">
        <f ca="1">IF(AUTOEVENTO="Manual",ROUND(SUMPRODUCT((CÁLCULO!$M$15:$M$36=EVENTOS!$C62)*(OFFSET(CÁLCULO!$AA$15,0,1):OFFSET(CÁLCULO!$AL$36,0,-1))),2),0)</f>
        <v>0</v>
      </c>
      <c r="G62" s="590" t="str">
        <f ca="1">IF(AND(D62=0,F62&gt;0),"NOME",
 IF(AND(D62&lt;&gt;0,$F$14&gt;0,F62=0),"VALOR",
 IF(AND(Import.TipoArredondamento="TransfereGOV",$A62="F",LEN(D62)&gt;100),"Nome &gt;100","")))</f>
        <v/>
      </c>
      <c r="H62" s="588" cm="1">
        <f t="array" aca="1" ref="H62" ca="1">IF(AUTOEVENTO="Manual",ROUND(SUMPRODUCT((CÁLCULO!$M$15:$M$36=EVENTOS!$C62)*(OFFSET(CÁLCULO!$AA$15:$AA$36,0,H$13))),2),0)</f>
        <v>0</v>
      </c>
      <c r="I62" s="588" cm="1">
        <f t="array" aca="1" ref="I62" ca="1">IF(AUTOEVENTO="Manual",ROUND(SUMPRODUCT((CÁLCULO!$M$15:$M$36=EVENTOS!$C62)*(OFFSET(CÁLCULO!$AA$15:$AA$36,0,I$13))),2),0)</f>
        <v>0</v>
      </c>
      <c r="J62" s="588" cm="1">
        <f t="array" aca="1" ref="J62" ca="1">IF(AUTOEVENTO="Manual",ROUND(SUMPRODUCT((CÁLCULO!$M$15:$M$36=EVENTOS!$C62)*(OFFSET(CÁLCULO!$AA$15:$AA$36,0,J$13))),2),0)</f>
        <v>0</v>
      </c>
      <c r="K62" s="588" cm="1">
        <f t="array" aca="1" ref="K62" ca="1">IF(AUTOEVENTO="Manual",ROUND(SUMPRODUCT((CÁLCULO!$M$15:$M$36=EVENTOS!$C62)*(OFFSET(CÁLCULO!$AA$15:$AA$36,0,K$13))),2),0)</f>
        <v>0</v>
      </c>
      <c r="L62" s="588" cm="1">
        <f t="array" aca="1" ref="L62" ca="1">IF(AUTOEVENTO="Manual",ROUND(SUMPRODUCT((CÁLCULO!$M$15:$M$36=EVENTOS!$C62)*(OFFSET(CÁLCULO!$AA$15:$AA$36,0,L$13))),2),0)</f>
        <v>0</v>
      </c>
      <c r="M62" s="588" cm="1">
        <f t="array" aca="1" ref="M62" ca="1">IF(AUTOEVENTO="Manual",ROUND(SUMPRODUCT((CÁLCULO!$M$15:$M$36=EVENTOS!$C62)*(OFFSET(CÁLCULO!$AA$15:$AA$36,0,M$13))),2),0)</f>
        <v>0</v>
      </c>
      <c r="N62" s="588" cm="1">
        <f t="array" aca="1" ref="N62" ca="1">IF(AUTOEVENTO="Manual",ROUND(SUMPRODUCT((CÁLCULO!$M$15:$M$36=EVENTOS!$C62)*(OFFSET(CÁLCULO!$AA$15:$AA$36,0,N$13))),2),0)</f>
        <v>0</v>
      </c>
      <c r="O62" s="588" cm="1">
        <f t="array" aca="1" ref="O62" ca="1">IF(AUTOEVENTO="Manual",ROUND(SUMPRODUCT((CÁLCULO!$M$15:$M$36=EVENTOS!$C62)*(OFFSET(CÁLCULO!$AA$15:$AA$36,0,O$13))),2),0)</f>
        <v>0</v>
      </c>
      <c r="P62" s="588" cm="1">
        <f t="array" aca="1" ref="P62" ca="1">IF(AUTOEVENTO="Manual",ROUND(SUMPRODUCT((CÁLCULO!$M$15:$M$36=EVENTOS!$C62)*(OFFSET(CÁLCULO!$AA$15:$AA$36,0,P$13))),2),0)</f>
        <v>0</v>
      </c>
      <c r="Q62" s="588" cm="1">
        <f t="array" aca="1" ref="Q62" ca="1">IF(AUTOEVENTO="Manual",ROUND(SUMPRODUCT((CÁLCULO!$M$15:$M$36=EVENTOS!$C62)*(OFFSET(CÁLCULO!$AA$15:$AA$36,0,Q$13))),2),0)</f>
        <v>0</v>
      </c>
      <c r="R62" s="588" cm="1">
        <f t="array" aca="1" ref="R62" ca="1">IF(AUTOEVENTO="Manual",ROUND(SUMPRODUCT((CÁLCULO!$M$15:$M$36=EVENTOS!$C62)*(OFFSET(CÁLCULO!$AA$15:$AA$36,0,R$13))),2),0)</f>
        <v>0</v>
      </c>
      <c r="S62" s="588" cm="1">
        <f t="array" aca="1" ref="S62" ca="1">IF(AUTOEVENTO="Manual",ROUND(SUMPRODUCT((CÁLCULO!$M$15:$M$36=EVENTOS!$C62)*(OFFSET(CÁLCULO!$AA$15:$AA$36,0,S$13))),2),0)</f>
        <v>0</v>
      </c>
      <c r="T62" s="588" cm="1">
        <f t="array" aca="1" ref="T62" ca="1">IF(AUTOEVENTO="Manual",ROUND(SUMPRODUCT((CÁLCULO!$M$15:$M$36=EVENTOS!$C62)*(OFFSET(CÁLCULO!$AA$15:$AA$36,0,T$13))),2),0)</f>
        <v>0</v>
      </c>
      <c r="U62" s="588" cm="1">
        <f t="array" aca="1" ref="U62" ca="1">IF(AUTOEVENTO="Manual",ROUND(SUMPRODUCT((CÁLCULO!$M$15:$M$36=EVENTOS!$C62)*(OFFSET(CÁLCULO!$AA$15:$AA$36,0,U$13))),2),0)</f>
        <v>0</v>
      </c>
      <c r="V62" s="588" cm="1">
        <f t="array" aca="1" ref="V62" ca="1">IF(AUTOEVENTO="Manual",ROUND(SUMPRODUCT((CÁLCULO!$M$15:$M$36=EVENTOS!$C62)*(OFFSET(CÁLCULO!$AA$15:$AA$36,0,V$13))),2),0)</f>
        <v>0</v>
      </c>
      <c r="W62" s="588" cm="1">
        <f t="array" aca="1" ref="W62" ca="1">IF(AUTOEVENTO="Manual",ROUND(SUMPRODUCT((CÁLCULO!$M$15:$M$36=EVENTOS!$C62)*(OFFSET(CÁLCULO!$AA$15:$AA$36,0,W$13))),2),0)</f>
        <v>0</v>
      </c>
      <c r="X62" s="588" cm="1">
        <f t="array" aca="1" ref="X62" ca="1">IF(AUTOEVENTO="Manual",ROUND(SUMPRODUCT((CÁLCULO!$M$15:$M$36=EVENTOS!$C62)*(OFFSET(CÁLCULO!$AA$15:$AA$36,0,X$13))),2),0)</f>
        <v>0</v>
      </c>
      <c r="Y62" s="588" cm="1">
        <f t="array" aca="1" ref="Y62" ca="1">IF(AUTOEVENTO="Manual",ROUND(SUMPRODUCT((CÁLCULO!$M$15:$M$36=EVENTOS!$C62)*(OFFSET(CÁLCULO!$AA$15:$AA$36,0,Y$13))),2),0)</f>
        <v>0</v>
      </c>
    </row>
    <row r="63" spans="1:25" x14ac:dyDescent="0.25">
      <c r="A63" s="415" t="str">
        <f t="shared" si="3"/>
        <v/>
      </c>
      <c r="B63" t="str">
        <f t="shared" ca="1" si="4"/>
        <v/>
      </c>
      <c r="C63" s="586" t="str" cm="1">
        <f t="array" aca="1" ref="C63" ca="1">IF(OR(ROW(C63)=ROW(EVENTOS.firstrow)+1,AND(OFFSET(C63,-1,0)&lt;&gt;" ",OFFSET(C63,-1,1)&lt;&gt;"")),OFFSET(C63,-1,0)+1," ")</f>
        <v xml:space="preserve"> </v>
      </c>
      <c r="D63" s="587"/>
      <c r="E63" s="588" cm="1">
        <f t="array" aca="1" ref="E63" ca="1">IF(AUTOEVENTO="Manual",ROUND(SUMPRODUCT((CÁLCULO!$M$15:$M$36=EVENTOS!$C63)*(OFFSET(CÁLCULO!$AA$15:$AA$36,0,E$13))),2),0)</f>
        <v>0</v>
      </c>
      <c r="F63" s="589">
        <f ca="1">IF(AUTOEVENTO="Manual",ROUND(SUMPRODUCT((CÁLCULO!$M$15:$M$36=EVENTOS!$C63)*(OFFSET(CÁLCULO!$AA$15,0,1):OFFSET(CÁLCULO!$AL$36,0,-1))),2),0)</f>
        <v>0</v>
      </c>
      <c r="G63" s="590" t="str">
        <f ca="1">IF(AND(D63=0,F63&gt;0),"NOME",
 IF(AND(D63&lt;&gt;0,$F$14&gt;0,F63=0),"VALOR",
 IF(AND(Import.TipoArredondamento="TransfereGOV",$A63="F",LEN(D63)&gt;100),"Nome &gt;100","")))</f>
        <v/>
      </c>
      <c r="H63" s="588" cm="1">
        <f t="array" aca="1" ref="H63" ca="1">IF(AUTOEVENTO="Manual",ROUND(SUMPRODUCT((CÁLCULO!$M$15:$M$36=EVENTOS!$C63)*(OFFSET(CÁLCULO!$AA$15:$AA$36,0,H$13))),2),0)</f>
        <v>0</v>
      </c>
      <c r="I63" s="588" cm="1">
        <f t="array" aca="1" ref="I63" ca="1">IF(AUTOEVENTO="Manual",ROUND(SUMPRODUCT((CÁLCULO!$M$15:$M$36=EVENTOS!$C63)*(OFFSET(CÁLCULO!$AA$15:$AA$36,0,I$13))),2),0)</f>
        <v>0</v>
      </c>
      <c r="J63" s="588" cm="1">
        <f t="array" aca="1" ref="J63" ca="1">IF(AUTOEVENTO="Manual",ROUND(SUMPRODUCT((CÁLCULO!$M$15:$M$36=EVENTOS!$C63)*(OFFSET(CÁLCULO!$AA$15:$AA$36,0,J$13))),2),0)</f>
        <v>0</v>
      </c>
      <c r="K63" s="588" cm="1">
        <f t="array" aca="1" ref="K63" ca="1">IF(AUTOEVENTO="Manual",ROUND(SUMPRODUCT((CÁLCULO!$M$15:$M$36=EVENTOS!$C63)*(OFFSET(CÁLCULO!$AA$15:$AA$36,0,K$13))),2),0)</f>
        <v>0</v>
      </c>
      <c r="L63" s="588" cm="1">
        <f t="array" aca="1" ref="L63" ca="1">IF(AUTOEVENTO="Manual",ROUND(SUMPRODUCT((CÁLCULO!$M$15:$M$36=EVENTOS!$C63)*(OFFSET(CÁLCULO!$AA$15:$AA$36,0,L$13))),2),0)</f>
        <v>0</v>
      </c>
      <c r="M63" s="588" cm="1">
        <f t="array" aca="1" ref="M63" ca="1">IF(AUTOEVENTO="Manual",ROUND(SUMPRODUCT((CÁLCULO!$M$15:$M$36=EVENTOS!$C63)*(OFFSET(CÁLCULO!$AA$15:$AA$36,0,M$13))),2),0)</f>
        <v>0</v>
      </c>
      <c r="N63" s="588" cm="1">
        <f t="array" aca="1" ref="N63" ca="1">IF(AUTOEVENTO="Manual",ROUND(SUMPRODUCT((CÁLCULO!$M$15:$M$36=EVENTOS!$C63)*(OFFSET(CÁLCULO!$AA$15:$AA$36,0,N$13))),2),0)</f>
        <v>0</v>
      </c>
      <c r="O63" s="588" cm="1">
        <f t="array" aca="1" ref="O63" ca="1">IF(AUTOEVENTO="Manual",ROUND(SUMPRODUCT((CÁLCULO!$M$15:$M$36=EVENTOS!$C63)*(OFFSET(CÁLCULO!$AA$15:$AA$36,0,O$13))),2),0)</f>
        <v>0</v>
      </c>
      <c r="P63" s="588" cm="1">
        <f t="array" aca="1" ref="P63" ca="1">IF(AUTOEVENTO="Manual",ROUND(SUMPRODUCT((CÁLCULO!$M$15:$M$36=EVENTOS!$C63)*(OFFSET(CÁLCULO!$AA$15:$AA$36,0,P$13))),2),0)</f>
        <v>0</v>
      </c>
      <c r="Q63" s="588" cm="1">
        <f t="array" aca="1" ref="Q63" ca="1">IF(AUTOEVENTO="Manual",ROUND(SUMPRODUCT((CÁLCULO!$M$15:$M$36=EVENTOS!$C63)*(OFFSET(CÁLCULO!$AA$15:$AA$36,0,Q$13))),2),0)</f>
        <v>0</v>
      </c>
      <c r="R63" s="588" cm="1">
        <f t="array" aca="1" ref="R63" ca="1">IF(AUTOEVENTO="Manual",ROUND(SUMPRODUCT((CÁLCULO!$M$15:$M$36=EVENTOS!$C63)*(OFFSET(CÁLCULO!$AA$15:$AA$36,0,R$13))),2),0)</f>
        <v>0</v>
      </c>
      <c r="S63" s="588" cm="1">
        <f t="array" aca="1" ref="S63" ca="1">IF(AUTOEVENTO="Manual",ROUND(SUMPRODUCT((CÁLCULO!$M$15:$M$36=EVENTOS!$C63)*(OFFSET(CÁLCULO!$AA$15:$AA$36,0,S$13))),2),0)</f>
        <v>0</v>
      </c>
      <c r="T63" s="588" cm="1">
        <f t="array" aca="1" ref="T63" ca="1">IF(AUTOEVENTO="Manual",ROUND(SUMPRODUCT((CÁLCULO!$M$15:$M$36=EVENTOS!$C63)*(OFFSET(CÁLCULO!$AA$15:$AA$36,0,T$13))),2),0)</f>
        <v>0</v>
      </c>
      <c r="U63" s="588" cm="1">
        <f t="array" aca="1" ref="U63" ca="1">IF(AUTOEVENTO="Manual",ROUND(SUMPRODUCT((CÁLCULO!$M$15:$M$36=EVENTOS!$C63)*(OFFSET(CÁLCULO!$AA$15:$AA$36,0,U$13))),2),0)</f>
        <v>0</v>
      </c>
      <c r="V63" s="588" cm="1">
        <f t="array" aca="1" ref="V63" ca="1">IF(AUTOEVENTO="Manual",ROUND(SUMPRODUCT((CÁLCULO!$M$15:$M$36=EVENTOS!$C63)*(OFFSET(CÁLCULO!$AA$15:$AA$36,0,V$13))),2),0)</f>
        <v>0</v>
      </c>
      <c r="W63" s="588" cm="1">
        <f t="array" aca="1" ref="W63" ca="1">IF(AUTOEVENTO="Manual",ROUND(SUMPRODUCT((CÁLCULO!$M$15:$M$36=EVENTOS!$C63)*(OFFSET(CÁLCULO!$AA$15:$AA$36,0,W$13))),2),0)</f>
        <v>0</v>
      </c>
      <c r="X63" s="588" cm="1">
        <f t="array" aca="1" ref="X63" ca="1">IF(AUTOEVENTO="Manual",ROUND(SUMPRODUCT((CÁLCULO!$M$15:$M$36=EVENTOS!$C63)*(OFFSET(CÁLCULO!$AA$15:$AA$36,0,X$13))),2),0)</f>
        <v>0</v>
      </c>
      <c r="Y63" s="588" cm="1">
        <f t="array" aca="1" ref="Y63" ca="1">IF(AUTOEVENTO="Manual",ROUND(SUMPRODUCT((CÁLCULO!$M$15:$M$36=EVENTOS!$C63)*(OFFSET(CÁLCULO!$AA$15:$AA$36,0,Y$13))),2),0)</f>
        <v>0</v>
      </c>
    </row>
    <row r="64" spans="1:25" x14ac:dyDescent="0.25">
      <c r="A64" s="415" t="str">
        <f t="shared" si="3"/>
        <v/>
      </c>
      <c r="B64" t="str">
        <f t="shared" ca="1" si="4"/>
        <v/>
      </c>
      <c r="C64" s="586" t="str" cm="1">
        <f t="array" aca="1" ref="C64" ca="1">IF(OR(ROW(C64)=ROW(EVENTOS.firstrow)+1,AND(OFFSET(C64,-1,0)&lt;&gt;" ",OFFSET(C64,-1,1)&lt;&gt;"")),OFFSET(C64,-1,0)+1," ")</f>
        <v xml:space="preserve"> </v>
      </c>
      <c r="D64" s="587"/>
      <c r="E64" s="588" cm="1">
        <f t="array" aca="1" ref="E64" ca="1">IF(AUTOEVENTO="Manual",ROUND(SUMPRODUCT((CÁLCULO!$M$15:$M$36=EVENTOS!$C64)*(OFFSET(CÁLCULO!$AA$15:$AA$36,0,E$13))),2),0)</f>
        <v>0</v>
      </c>
      <c r="F64" s="589">
        <f ca="1">IF(AUTOEVENTO="Manual",ROUND(SUMPRODUCT((CÁLCULO!$M$15:$M$36=EVENTOS!$C64)*(OFFSET(CÁLCULO!$AA$15,0,1):OFFSET(CÁLCULO!$AL$36,0,-1))),2),0)</f>
        <v>0</v>
      </c>
      <c r="G64" s="590" t="str">
        <f ca="1">IF(AND(D64=0,F64&gt;0),"NOME",
 IF(AND(D64&lt;&gt;0,$F$14&gt;0,F64=0),"VALOR",
 IF(AND(Import.TipoArredondamento="TransfereGOV",$A64="F",LEN(D64)&gt;100),"Nome &gt;100","")))</f>
        <v/>
      </c>
      <c r="H64" s="588" cm="1">
        <f t="array" aca="1" ref="H64" ca="1">IF(AUTOEVENTO="Manual",ROUND(SUMPRODUCT((CÁLCULO!$M$15:$M$36=EVENTOS!$C64)*(OFFSET(CÁLCULO!$AA$15:$AA$36,0,H$13))),2),0)</f>
        <v>0</v>
      </c>
      <c r="I64" s="588" cm="1">
        <f t="array" aca="1" ref="I64" ca="1">IF(AUTOEVENTO="Manual",ROUND(SUMPRODUCT((CÁLCULO!$M$15:$M$36=EVENTOS!$C64)*(OFFSET(CÁLCULO!$AA$15:$AA$36,0,I$13))),2),0)</f>
        <v>0</v>
      </c>
      <c r="J64" s="588" cm="1">
        <f t="array" aca="1" ref="J64" ca="1">IF(AUTOEVENTO="Manual",ROUND(SUMPRODUCT((CÁLCULO!$M$15:$M$36=EVENTOS!$C64)*(OFFSET(CÁLCULO!$AA$15:$AA$36,0,J$13))),2),0)</f>
        <v>0</v>
      </c>
      <c r="K64" s="588" cm="1">
        <f t="array" aca="1" ref="K64" ca="1">IF(AUTOEVENTO="Manual",ROUND(SUMPRODUCT((CÁLCULO!$M$15:$M$36=EVENTOS!$C64)*(OFFSET(CÁLCULO!$AA$15:$AA$36,0,K$13))),2),0)</f>
        <v>0</v>
      </c>
      <c r="L64" s="588" cm="1">
        <f t="array" aca="1" ref="L64" ca="1">IF(AUTOEVENTO="Manual",ROUND(SUMPRODUCT((CÁLCULO!$M$15:$M$36=EVENTOS!$C64)*(OFFSET(CÁLCULO!$AA$15:$AA$36,0,L$13))),2),0)</f>
        <v>0</v>
      </c>
      <c r="M64" s="588" cm="1">
        <f t="array" aca="1" ref="M64" ca="1">IF(AUTOEVENTO="Manual",ROUND(SUMPRODUCT((CÁLCULO!$M$15:$M$36=EVENTOS!$C64)*(OFFSET(CÁLCULO!$AA$15:$AA$36,0,M$13))),2),0)</f>
        <v>0</v>
      </c>
      <c r="N64" s="588" cm="1">
        <f t="array" aca="1" ref="N64" ca="1">IF(AUTOEVENTO="Manual",ROUND(SUMPRODUCT((CÁLCULO!$M$15:$M$36=EVENTOS!$C64)*(OFFSET(CÁLCULO!$AA$15:$AA$36,0,N$13))),2),0)</f>
        <v>0</v>
      </c>
      <c r="O64" s="588" cm="1">
        <f t="array" aca="1" ref="O64" ca="1">IF(AUTOEVENTO="Manual",ROUND(SUMPRODUCT((CÁLCULO!$M$15:$M$36=EVENTOS!$C64)*(OFFSET(CÁLCULO!$AA$15:$AA$36,0,O$13))),2),0)</f>
        <v>0</v>
      </c>
      <c r="P64" s="588" cm="1">
        <f t="array" aca="1" ref="P64" ca="1">IF(AUTOEVENTO="Manual",ROUND(SUMPRODUCT((CÁLCULO!$M$15:$M$36=EVENTOS!$C64)*(OFFSET(CÁLCULO!$AA$15:$AA$36,0,P$13))),2),0)</f>
        <v>0</v>
      </c>
      <c r="Q64" s="588" cm="1">
        <f t="array" aca="1" ref="Q64" ca="1">IF(AUTOEVENTO="Manual",ROUND(SUMPRODUCT((CÁLCULO!$M$15:$M$36=EVENTOS!$C64)*(OFFSET(CÁLCULO!$AA$15:$AA$36,0,Q$13))),2),0)</f>
        <v>0</v>
      </c>
      <c r="R64" s="588" cm="1">
        <f t="array" aca="1" ref="R64" ca="1">IF(AUTOEVENTO="Manual",ROUND(SUMPRODUCT((CÁLCULO!$M$15:$M$36=EVENTOS!$C64)*(OFFSET(CÁLCULO!$AA$15:$AA$36,0,R$13))),2),0)</f>
        <v>0</v>
      </c>
      <c r="S64" s="588" cm="1">
        <f t="array" aca="1" ref="S64" ca="1">IF(AUTOEVENTO="Manual",ROUND(SUMPRODUCT((CÁLCULO!$M$15:$M$36=EVENTOS!$C64)*(OFFSET(CÁLCULO!$AA$15:$AA$36,0,S$13))),2),0)</f>
        <v>0</v>
      </c>
      <c r="T64" s="588" cm="1">
        <f t="array" aca="1" ref="T64" ca="1">IF(AUTOEVENTO="Manual",ROUND(SUMPRODUCT((CÁLCULO!$M$15:$M$36=EVENTOS!$C64)*(OFFSET(CÁLCULO!$AA$15:$AA$36,0,T$13))),2),0)</f>
        <v>0</v>
      </c>
      <c r="U64" s="588" cm="1">
        <f t="array" aca="1" ref="U64" ca="1">IF(AUTOEVENTO="Manual",ROUND(SUMPRODUCT((CÁLCULO!$M$15:$M$36=EVENTOS!$C64)*(OFFSET(CÁLCULO!$AA$15:$AA$36,0,U$13))),2),0)</f>
        <v>0</v>
      </c>
      <c r="V64" s="588" cm="1">
        <f t="array" aca="1" ref="V64" ca="1">IF(AUTOEVENTO="Manual",ROUND(SUMPRODUCT((CÁLCULO!$M$15:$M$36=EVENTOS!$C64)*(OFFSET(CÁLCULO!$AA$15:$AA$36,0,V$13))),2),0)</f>
        <v>0</v>
      </c>
      <c r="W64" s="588" cm="1">
        <f t="array" aca="1" ref="W64" ca="1">IF(AUTOEVENTO="Manual",ROUND(SUMPRODUCT((CÁLCULO!$M$15:$M$36=EVENTOS!$C64)*(OFFSET(CÁLCULO!$AA$15:$AA$36,0,W$13))),2),0)</f>
        <v>0</v>
      </c>
      <c r="X64" s="588" cm="1">
        <f t="array" aca="1" ref="X64" ca="1">IF(AUTOEVENTO="Manual",ROUND(SUMPRODUCT((CÁLCULO!$M$15:$M$36=EVENTOS!$C64)*(OFFSET(CÁLCULO!$AA$15:$AA$36,0,X$13))),2),0)</f>
        <v>0</v>
      </c>
      <c r="Y64" s="588" cm="1">
        <f t="array" aca="1" ref="Y64" ca="1">IF(AUTOEVENTO="Manual",ROUND(SUMPRODUCT((CÁLCULO!$M$15:$M$36=EVENTOS!$C64)*(OFFSET(CÁLCULO!$AA$15:$AA$36,0,Y$13))),2),0)</f>
        <v>0</v>
      </c>
    </row>
    <row r="65" spans="1:25" ht="5.0999999999999996" customHeight="1" x14ac:dyDescent="0.25">
      <c r="A65" s="415" t="s">
        <v>542</v>
      </c>
      <c r="C65" s="601"/>
      <c r="D65" s="602"/>
      <c r="E65" s="603"/>
      <c r="F65" s="604"/>
      <c r="G65" s="603"/>
      <c r="H65" s="603"/>
      <c r="I65" s="603"/>
      <c r="J65" s="603"/>
      <c r="K65" s="603"/>
      <c r="L65" s="603"/>
      <c r="M65" s="603"/>
      <c r="N65" s="603"/>
      <c r="O65" s="603"/>
      <c r="P65" s="603"/>
      <c r="Q65" s="603"/>
      <c r="R65" s="603"/>
      <c r="S65" s="603"/>
      <c r="T65" s="603"/>
      <c r="U65" s="603"/>
      <c r="V65" s="603"/>
      <c r="W65" s="603"/>
      <c r="X65" s="603"/>
      <c r="Y65" s="603"/>
    </row>
    <row r="66" spans="1:25" x14ac:dyDescent="0.25">
      <c r="A66" s="415" t="s">
        <v>542</v>
      </c>
    </row>
    <row r="67" spans="1:25" x14ac:dyDescent="0.25">
      <c r="A67" s="415" t="s">
        <v>542</v>
      </c>
    </row>
    <row r="68" spans="1:25" ht="13.8" x14ac:dyDescent="0.25">
      <c r="A68" s="415" t="s">
        <v>542</v>
      </c>
      <c r="D68" s="404" t="str">
        <f>Import.Município</f>
        <v>URUARÁ-PARÁ</v>
      </c>
      <c r="L68" s="371"/>
      <c r="M68" s="335"/>
      <c r="N68" s="335"/>
      <c r="O68" s="335"/>
      <c r="V68" s="371"/>
      <c r="W68" s="335"/>
      <c r="X68" s="335"/>
      <c r="Y68" s="335"/>
    </row>
    <row r="69" spans="1:25" x14ac:dyDescent="0.25">
      <c r="A69" s="415" t="s">
        <v>542</v>
      </c>
      <c r="D69" s="7" t="s">
        <v>700</v>
      </c>
      <c r="H69" s="458"/>
      <c r="I69" s="458"/>
      <c r="J69" s="458"/>
      <c r="L69" s="535" t="s">
        <v>703</v>
      </c>
      <c r="V69" s="535" t="s">
        <v>703</v>
      </c>
    </row>
    <row r="70" spans="1:25" x14ac:dyDescent="0.25">
      <c r="A70" s="415" t="s">
        <v>542</v>
      </c>
      <c r="H70" s="458"/>
      <c r="I70" s="458"/>
      <c r="J70" s="458"/>
      <c r="L70" s="316" t="str">
        <f t="array" aca="1" ref="L70:L72" ca="1">OFFSET(Import.RespOrçamento,0,-1) &amp; " " &amp; Import.RespOrçamento</f>
        <v>Nome: DOUGLAS NASCIMENTO DOS SANTOS</v>
      </c>
      <c r="V70" s="316" t="str">
        <f t="array" aca="1" ref="V70:V72" ca="1">OFFSET(Import.RespOrçamento,0,-1) &amp; " " &amp; Import.RespOrçamento</f>
        <v>Nome: DOUGLAS NASCIMENTO DOS SANTOS</v>
      </c>
    </row>
    <row r="71" spans="1:25" x14ac:dyDescent="0.25">
      <c r="A71" s="415" t="s">
        <v>542</v>
      </c>
      <c r="D71" s="405">
        <f>DADOS!$C$25</f>
        <v>46144</v>
      </c>
      <c r="L71" s="316" t="str">
        <f ca="1"/>
        <v>CREA/CAU: 151536623-5</v>
      </c>
      <c r="V71" s="316" t="str">
        <f ca="1"/>
        <v>CREA/CAU: 151536623-5</v>
      </c>
    </row>
    <row r="72" spans="1:25" x14ac:dyDescent="0.25">
      <c r="A72" s="415" t="s">
        <v>542</v>
      </c>
      <c r="D72" s="7" t="s">
        <v>701</v>
      </c>
      <c r="L72" s="316" t="str">
        <f ca="1"/>
        <v xml:space="preserve">ART/RRT: </v>
      </c>
      <c r="V72" s="316" t="str">
        <f ca="1"/>
        <v xml:space="preserve">ART/RRT: </v>
      </c>
    </row>
  </sheetData>
  <sheetProtection algorithmName="SHA-512" hashValue="PpZ/vfW5XEo52dambRRFht5mlqOyaAlllU/fVDu5baJZ3pETHEi9LkybQoOyjZ3VRtx2zN9a1P5spLQnHA5Zjg==" saltValue="/J6+A3/HTNpfEzmhPPop5Q==" spinCount="100000" sheet="1" objects="1" scenarios="1" autoFilter="0"/>
  <autoFilter ref="A13:A72" xr:uid="{00000000-0009-0000-0000-000005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3 K10:Y13 C14:Y15 C1:Z1 Z10:Z15 C16:Z65">
    <cfRule type="expression" dxfId="391" priority="1" stopIfTrue="1">
      <formula>OR(AUTOEVENTO&lt;&gt;"Manual",ACOMPANHAMENTO="BM",C$10=0,C$13=0,$C1=" ")</formula>
    </cfRule>
  </conditionalFormatting>
  <conditionalFormatting sqref="A15 C15:XFD15">
    <cfRule type="expression" dxfId="390" priority="151">
      <formula>$C$15=0</formula>
    </cfRule>
  </conditionalFormatting>
  <dataValidations count="1">
    <dataValidation type="list" allowBlank="1" showErrorMessage="1" sqref="C8" xr:uid="{00000000-0002-0000-0500-000000000000}">
      <mc:AlternateContent xmlns:x12ac="http://schemas.microsoft.com/office/spreadsheetml/2011/1/ac" xmlns:mc="http://schemas.openxmlformats.org/markup-compatibility/2006">
        <mc:Choice Requires="x12ac">
          <x12ac:list>"Automática, conforme os agrupadores Nível 2 do Orçamento","Automática, conforme os agrupadores Nível 3 do Orçamento","Automática, conforme os agrupadores Nível 4 do Orçamento",Definir Manualmente</x12ac:list>
        </mc:Choice>
        <mc:Fallback>
          <formula1>"Automática, conforme os agrupadores Nível 2 do Orçamento,Automática, conforme os agrupadores Nível 3 do Orçamento,Automática, conforme os agrupadores Nível 4 do Orçamento,Definir Manualmente"</formula1>
        </mc:Fallback>
      </mc:AlternateContent>
      <formula2>0</formula2>
    </dataValidation>
  </dataValidations>
  <pageMargins left="0.78740157480314998" right="0.78740157480314998" top="0.78740157480314998" bottom="0.78740157480314998" header="5.7086614173228396" footer="0.59055118110236204"/>
  <pageSetup paperSize="9" scale="22" firstPageNumber="0" orientation="portrait" horizontalDpi="300" verticalDpi="300" r:id="rId1"/>
  <headerFooter alignWithMargins="0">
    <oddHeader>&amp;L_</oddHeader>
    <oddFooter>&amp;LPMv3.08&amp;R&amp;P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04"/>
  <sheetViews>
    <sheetView showGridLines="0" zoomScale="85" zoomScaleNormal="85" zoomScaleSheetLayoutView="90" workbookViewId="0">
      <pane xSplit="8" ySplit="15" topLeftCell="I16" activePane="bottomRight" state="frozen"/>
      <selection pane="topRight" activeCell="I1" sqref="I1"/>
      <selection pane="bottomLeft" activeCell="C16" sqref="C16"/>
      <selection pane="bottomRight" activeCell="A40" sqref="A40"/>
    </sheetView>
  </sheetViews>
  <sheetFormatPr defaultRowHeight="0" customHeight="1" zeroHeight="1" x14ac:dyDescent="0.25"/>
  <cols>
    <col min="1" max="2" width="9.109375" style="5" hidden="1" customWidth="1"/>
    <col min="3" max="3" width="3.6640625" style="5" customWidth="1"/>
    <col min="4" max="4" width="8.6640625" customWidth="1"/>
    <col min="5" max="5" width="12.6640625" customWidth="1"/>
    <col min="6" max="6" width="65.6640625" customWidth="1"/>
    <col min="7" max="7" width="10.6640625" customWidth="1"/>
    <col min="8" max="8" width="14.6640625" customWidth="1"/>
    <col min="9" max="9" width="29.6640625" customWidth="1"/>
    <col min="10" max="10" width="1.6640625" customWidth="1"/>
    <col min="11" max="11" width="4.6640625" customWidth="1"/>
    <col min="12" max="12" width="0.88671875" customWidth="1"/>
    <col min="13" max="13" width="9.109375" style="5" hidden="1" customWidth="1"/>
    <col min="14" max="14" width="31.6640625" customWidth="1"/>
    <col min="15" max="15" width="9.109375" hidden="1" customWidth="1"/>
    <col min="16" max="16" width="1.6640625" customWidth="1"/>
    <col min="17" max="26" width="11.6640625" customWidth="1"/>
    <col min="27" max="59" width="9.109375" hidden="1" customWidth="1"/>
    <col min="60" max="60" width="1.6640625" hidden="1" customWidth="1"/>
  </cols>
  <sheetData>
    <row r="1" spans="1:59" ht="12.75" hidden="1" customHeight="1" x14ac:dyDescent="0.25">
      <c r="M1" s="5" cm="1">
        <f t="array" aca="1" ref="M1" ca="1">CÁLCULO.FrentesPreenchidas</f>
        <v>0</v>
      </c>
      <c r="O1" s="605">
        <f>IF(OR(ACOMPANHAMENTO="BM",N1=0,O12=""),0,1)</f>
        <v>0</v>
      </c>
      <c r="P1" t="s">
        <v>788</v>
      </c>
      <c r="Q1" s="605">
        <f>IF(OR(ACOMPANHAMENTO="BM",P1=0,Q12=""),0,1)</f>
        <v>0</v>
      </c>
      <c r="R1" s="605">
        <f>IF(OR(ACOMPANHAMENTO="BM",Q1=0,R12=""),0,1)</f>
        <v>0</v>
      </c>
      <c r="S1" s="605">
        <f>IF(OR(ACOMPANHAMENTO="BM",R1=0,S12=""),0,1)</f>
        <v>0</v>
      </c>
      <c r="T1" s="605">
        <f>IF(OR(ACOMPANHAMENTO="BM",S1=0,T12=""),0,1)</f>
        <v>0</v>
      </c>
      <c r="U1" s="605">
        <f>IF(OR(ACOMPANHAMENTO="BM",T1=0,U12=""),0,1)</f>
        <v>0</v>
      </c>
      <c r="V1" s="605">
        <f>IF(OR(ACOMPANHAMENTO="BM",U1=0,V12=""),0,1)</f>
        <v>0</v>
      </c>
      <c r="W1" s="605">
        <f>IF(OR(ACOMPANHAMENTO="BM",V1=0,W12=""),0,1)</f>
        <v>0</v>
      </c>
      <c r="X1" s="605">
        <f>IF(OR(ACOMPANHAMENTO="BM",W1=0,X12=""),0,1)</f>
        <v>0</v>
      </c>
      <c r="Y1" s="605">
        <f>IF(OR(ACOMPANHAMENTO="BM",X1=0,Y12=""),0,1)</f>
        <v>0</v>
      </c>
      <c r="Z1" s="605">
        <f>IF(OR(ACOMPANHAMENTO="BM",Y1=0,Z12=""),0,1)</f>
        <v>0</v>
      </c>
      <c r="AB1" t="s">
        <v>789</v>
      </c>
      <c r="AM1" t="s">
        <v>790</v>
      </c>
      <c r="AX1" t="s">
        <v>791</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26" t="str">
        <f>IF(ACOMPANHAMENTO="BM","MEMÓRIA DE CÁLCULO","PLQ - PLANILHA DE LEVANTAMENTO DE QUANTIDADES")</f>
        <v>MEMÓRIA DE CÁLCULO</v>
      </c>
      <c r="G6" s="726"/>
      <c r="H6" s="726"/>
      <c r="I6" s="522"/>
      <c r="K6" s="522"/>
      <c r="L6" s="522"/>
      <c r="M6" s="107"/>
      <c r="N6" s="522"/>
      <c r="P6" s="522"/>
      <c r="Q6" s="695" t="s">
        <v>650</v>
      </c>
      <c r="R6" s="695"/>
      <c r="Y6" s="695" t="s">
        <v>650</v>
      </c>
      <c r="Z6" s="695"/>
    </row>
    <row r="7" spans="1:59" ht="15" customHeight="1" x14ac:dyDescent="0.25">
      <c r="F7" s="727" t="str">
        <f>IF(ACOMPANHAMENTO="BM","","Memória de Cálculo")&amp;" - "&amp;import.recurso</f>
        <v xml:space="preserve"> - OGU</v>
      </c>
      <c r="G7" s="727"/>
      <c r="H7" s="727"/>
      <c r="I7" s="523"/>
      <c r="K7" s="523"/>
      <c r="L7" s="523"/>
      <c r="M7" s="108"/>
      <c r="N7" s="523"/>
      <c r="P7" s="523"/>
      <c r="Q7" s="696" t="s">
        <v>653</v>
      </c>
      <c r="R7" s="696"/>
      <c r="Y7" s="696" t="s">
        <v>653</v>
      </c>
      <c r="Z7" s="696"/>
    </row>
    <row r="8" spans="1:59" ht="12.75" customHeight="1" x14ac:dyDescent="0.25">
      <c r="AE8" s="387"/>
    </row>
    <row r="9" spans="1:59" ht="12.75" customHeight="1" x14ac:dyDescent="0.25">
      <c r="E9" s="690" t="s">
        <v>715</v>
      </c>
      <c r="F9" s="690"/>
      <c r="G9" s="690" t="s">
        <v>714</v>
      </c>
      <c r="H9" s="690"/>
      <c r="I9" s="66" t="s">
        <v>656</v>
      </c>
      <c r="K9" s="109" t="s">
        <v>658</v>
      </c>
      <c r="L9" s="110"/>
      <c r="M9" s="110"/>
      <c r="N9" s="110"/>
      <c r="O9" s="110"/>
      <c r="P9" s="110"/>
      <c r="Q9" s="110"/>
      <c r="R9" s="111"/>
      <c r="S9" s="690" t="s">
        <v>656</v>
      </c>
      <c r="T9" s="690"/>
      <c r="U9" s="690" t="s">
        <v>658</v>
      </c>
      <c r="V9" s="690"/>
      <c r="W9" s="690"/>
      <c r="X9" s="690"/>
      <c r="Y9" s="690"/>
      <c r="Z9" s="690"/>
    </row>
    <row r="10" spans="1:59" ht="12.75" customHeight="1" x14ac:dyDescent="0.25">
      <c r="E10" s="694" t="str">
        <f>Import.Apelido</f>
        <v>PAVIMENTAÇÃO DE VIAS NO MUNICÍPIO DE URUARÁ - PARÁ</v>
      </c>
      <c r="F10" s="694"/>
      <c r="G10" s="694" t="str" cm="1">
        <f t="array" ref="G10">Import.TransfereGOV</f>
        <v>S/ INFORMAÇÃO</v>
      </c>
      <c r="H10" s="694"/>
      <c r="I10" s="68" t="str">
        <f>Import.CR</f>
        <v>S/ INFORMAÇÃO</v>
      </c>
      <c r="K10" s="112" t="str">
        <f>Import.Proponente</f>
        <v>PREFEITURA MUNICIPAL DE URUARÁ</v>
      </c>
      <c r="L10" s="113"/>
      <c r="M10" s="74"/>
      <c r="N10" s="113"/>
      <c r="O10" s="113"/>
      <c r="P10" s="113"/>
      <c r="Q10" s="113"/>
      <c r="R10" s="69"/>
      <c r="S10" s="694" t="str">
        <f>Import.CR</f>
        <v>S/ INFORMAÇÃO</v>
      </c>
      <c r="T10" s="694"/>
      <c r="U10" s="694" t="str">
        <f>Import.Proponente</f>
        <v>PREFEITURA MUNICIPAL DE URUARÁ</v>
      </c>
      <c r="V10" s="694"/>
      <c r="W10" s="694"/>
      <c r="X10" s="694"/>
      <c r="Y10" s="694"/>
      <c r="Z10" s="694"/>
    </row>
    <row r="11" spans="1:59" ht="12.75" customHeight="1" x14ac:dyDescent="0.25">
      <c r="F11" s="479" t="str">
        <f ca="1">IF(AND(ACOMPANHAMENTO="PLE",CÁLCULO.FrentesPreenchidas=0),"Preencher os nomes das Frentes de Obra",
  IF(COUNTIF($J$15:$J$36,"►")&gt;0,"Não pode haver serviços sem agrupador de eventos",
  IF(COUNTIF($P$11:$AA$11,"▼")&gt;0,"Não pode haver frentes de obra sem quantidades",
  IF(COUNTIF($P$11:$AA$11,"Nome &gt;100")&gt;0,"Nome da frente de obra com mais de 100 caracteres",""))))</f>
        <v/>
      </c>
      <c r="N11" s="486" t="str">
        <f ca="1">IF(OR(COUNTIF($J$15:$J$36,"►")&gt;0,COUNTIF($J$15:$J$36,"►►")&gt;0),"",
IF(COUNTIF($P$11:$AA$11,"▼")&gt;0,"Falta preencher a frente de obra nº " &amp; HLOOKUP("▼",$P$11:$AA$13,3,FALSE),
IF(COUNTIF($P$11:$AA$11,"Nome &gt;100")&gt;0,"Resuma o nome da frente de obra nº " &amp; HLOOKUP("Nome &gt;100",$P$11:$AA$13,3,FALSE),"")))</f>
        <v/>
      </c>
      <c r="O11" s="478" t="e">
        <f ca="1">IF(AND(O1=1,O15=0),"▼",IF(AND(O1=1,LEN(O12)&gt;100),"Nome &gt;100",""))</f>
        <v>#VALUE!</v>
      </c>
      <c r="P11" s="5"/>
      <c r="Q11" s="478" t="str">
        <f ca="1">IF(AND(Q1=1,Q15=0),"▼",IF(AND(Q1=1,LEN(Q12)&gt;100),"Nome &gt;100",""))</f>
        <v/>
      </c>
      <c r="R11" s="478" t="str">
        <f t="shared" ref="R11:Z11" ca="1" si="0">IF(AND(R1=1,R15=0),"▼",IF(AND(R1=1,LEN(R12)&gt;100),"Nome &gt;100",""))</f>
        <v/>
      </c>
      <c r="S11" s="478" t="str">
        <f t="shared" ca="1" si="0"/>
        <v/>
      </c>
      <c r="T11" s="478" t="str">
        <f t="shared" ca="1" si="0"/>
        <v/>
      </c>
      <c r="U11" s="478" t="str">
        <f t="shared" ca="1" si="0"/>
        <v/>
      </c>
      <c r="V11" s="478" t="str">
        <f t="shared" ca="1" si="0"/>
        <v/>
      </c>
      <c r="W11" s="478" t="str">
        <f t="shared" ca="1" si="0"/>
        <v/>
      </c>
      <c r="X11" s="478" t="str">
        <f t="shared" ca="1" si="0"/>
        <v/>
      </c>
      <c r="Y11" s="478" t="str">
        <f t="shared" ca="1" si="0"/>
        <v/>
      </c>
      <c r="Z11" s="478" t="str">
        <f t="shared" ca="1" si="0"/>
        <v/>
      </c>
    </row>
    <row r="12" spans="1:59" ht="69.900000000000006" customHeight="1" x14ac:dyDescent="0.25">
      <c r="A12" s="114">
        <f ca="1">IF(OFFSET(EVENTOS!$C$7,1,0)="Automática, conforme os agrupadores Nível 4 do Orçamento",4,IF(OFFSET(EVENTOS!$C$7,1,0)="Automática, conforme os agrupadores Nível 3 do Orçamento",3,IF(OFFSET(EVENTOS!$C$7,1,0)="Definir Manualmente","Manual",2)))</f>
        <v>2</v>
      </c>
      <c r="B12" s="5" t="s">
        <v>792</v>
      </c>
      <c r="C12" s="400" t="s">
        <v>661</v>
      </c>
      <c r="H12" s="115"/>
      <c r="I12" s="489" t="str">
        <f ca="1">IF(COUNTIF($J$15:$J$36,"►")&gt;0,"Falta Definir o Agrupador de Evento na linha "&amp;MATCH("►",$J$15:$J$36,0)+ROW($J$14),
  IF(COUNTIF($J$15:$J$36,"►►")&gt;0,"Falta preencher a quantidade do serviço na linha "&amp;MATCH("►►",$J$15:$J$36,0)+ROW($J$14),
  IF(AND(COUNTIF($P$11:$AA$11,"▼")=0,COUNTIF($J$15:$J$36,"◄")&gt;0),"Falta Preencher o Memorial de Cálculo na linha "&amp;MATCH("◄",$J$15:$J$36,0)+ROW($J$14),"")))</f>
        <v>Falta Preencher o Memorial de Cálculo na linha 18</v>
      </c>
      <c r="J12" s="116" t="s">
        <v>788</v>
      </c>
      <c r="K12" s="117" t="s">
        <v>793</v>
      </c>
      <c r="L12" s="116" t="s">
        <v>788</v>
      </c>
      <c r="M12" s="482">
        <f>IF(ACOMPANHAMENTO="BM",0,MAX($M$15:$M$36))</f>
        <v>0</v>
      </c>
      <c r="N12" s="487" t="s">
        <v>794</v>
      </c>
      <c r="O12" s="118"/>
      <c r="P12" s="116" t="s">
        <v>788</v>
      </c>
      <c r="Q12" s="364" t="s">
        <v>956</v>
      </c>
      <c r="R12" s="118"/>
      <c r="S12" s="118"/>
      <c r="T12" s="430"/>
      <c r="U12" s="118"/>
      <c r="V12" s="118"/>
      <c r="W12" s="118"/>
      <c r="X12" s="118"/>
      <c r="Y12" s="118"/>
      <c r="Z12" s="119"/>
      <c r="AA12" s="116" t="s">
        <v>788</v>
      </c>
      <c r="AB12" s="120">
        <f ca="1">IF(OFFSET($P$1,0,AB$13)=0,0,OFFSET($P$12,0,AB$13))</f>
        <v>0</v>
      </c>
      <c r="AC12" s="120">
        <f t="shared" ref="AC12:AK12" ca="1" si="1">IF(OFFSET($P$1,0,AC$13)=0,0,OFFSET($P$12,0,AC$13))</f>
        <v>0</v>
      </c>
      <c r="AD12" s="120">
        <f t="shared" ca="1" si="1"/>
        <v>0</v>
      </c>
      <c r="AE12" s="120">
        <f t="shared" ca="1" si="1"/>
        <v>0</v>
      </c>
      <c r="AF12" s="120">
        <f t="shared" ca="1" si="1"/>
        <v>0</v>
      </c>
      <c r="AG12" s="120">
        <f t="shared" ca="1" si="1"/>
        <v>0</v>
      </c>
      <c r="AH12" s="120">
        <f t="shared" ca="1" si="1"/>
        <v>0</v>
      </c>
      <c r="AI12" s="120">
        <f t="shared" ca="1" si="1"/>
        <v>0</v>
      </c>
      <c r="AJ12" s="120">
        <f t="shared" ca="1" si="1"/>
        <v>0</v>
      </c>
      <c r="AK12" s="120">
        <f t="shared" ca="1" si="1"/>
        <v>0</v>
      </c>
      <c r="AM12" s="120">
        <f t="shared" ref="AM12:BG12" ca="1" si="2">IF(OFFSET($P$1,0,AM$13)=0,0,OFFSET($P$12,0,AM$13))</f>
        <v>0</v>
      </c>
      <c r="AN12" s="121">
        <f t="shared" ca="1" si="2"/>
        <v>0</v>
      </c>
      <c r="AO12" s="121">
        <f t="shared" ca="1" si="2"/>
        <v>0</v>
      </c>
      <c r="AP12" s="121">
        <f t="shared" ca="1" si="2"/>
        <v>0</v>
      </c>
      <c r="AQ12" s="121">
        <f t="shared" ca="1" si="2"/>
        <v>0</v>
      </c>
      <c r="AR12" s="121">
        <f t="shared" ca="1" si="2"/>
        <v>0</v>
      </c>
      <c r="AS12" s="121">
        <f t="shared" ca="1" si="2"/>
        <v>0</v>
      </c>
      <c r="AT12" s="121">
        <f t="shared" ca="1" si="2"/>
        <v>0</v>
      </c>
      <c r="AU12" s="121">
        <f t="shared" ca="1" si="2"/>
        <v>0</v>
      </c>
      <c r="AV12" s="122">
        <f t="shared" ca="1" si="2"/>
        <v>0</v>
      </c>
      <c r="AX12" s="120">
        <f t="shared" ca="1" si="2"/>
        <v>0</v>
      </c>
      <c r="AY12" s="121">
        <f t="shared" ca="1" si="2"/>
        <v>0</v>
      </c>
      <c r="AZ12" s="121">
        <f t="shared" ca="1" si="2"/>
        <v>0</v>
      </c>
      <c r="BA12" s="121">
        <f t="shared" ca="1" si="2"/>
        <v>0</v>
      </c>
      <c r="BB12" s="121">
        <f t="shared" ca="1" si="2"/>
        <v>0</v>
      </c>
      <c r="BC12" s="121">
        <f t="shared" ca="1" si="2"/>
        <v>0</v>
      </c>
      <c r="BD12" s="121">
        <f t="shared" ca="1" si="2"/>
        <v>0</v>
      </c>
      <c r="BE12" s="121">
        <f t="shared" ca="1" si="2"/>
        <v>0</v>
      </c>
      <c r="BF12" s="121">
        <f t="shared" ca="1" si="2"/>
        <v>0</v>
      </c>
      <c r="BG12" s="122">
        <f t="shared" ca="1" si="2"/>
        <v>0</v>
      </c>
    </row>
    <row r="13" spans="1:59" ht="12.75" customHeight="1" x14ac:dyDescent="0.25">
      <c r="A13" s="62" t="s">
        <v>795</v>
      </c>
      <c r="B13" s="5" t="s">
        <v>792</v>
      </c>
      <c r="C13" s="401" t="s">
        <v>666</v>
      </c>
      <c r="D13" s="80" t="s">
        <v>740</v>
      </c>
      <c r="E13" s="80" t="s">
        <v>742</v>
      </c>
      <c r="F13" s="80" t="s">
        <v>115</v>
      </c>
      <c r="G13" s="532" t="s">
        <v>745</v>
      </c>
      <c r="H13" s="80" t="s">
        <v>719</v>
      </c>
      <c r="I13" s="80" t="s">
        <v>796</v>
      </c>
      <c r="J13" s="432"/>
      <c r="K13" s="568" t="s">
        <v>797</v>
      </c>
      <c r="L13" s="116"/>
      <c r="M13" s="80" t="s">
        <v>798</v>
      </c>
      <c r="N13" s="80" t="s">
        <v>799</v>
      </c>
      <c r="O13" s="606" t="e">
        <f ca="1">OFFSET(O13,0,-1)+1</f>
        <v>#VALUE!</v>
      </c>
      <c r="Q13" s="566">
        <f t="shared" ref="Q13:Z13" ca="1" si="3">OFFSET(Q13,0,-1)+1</f>
        <v>1</v>
      </c>
      <c r="R13" s="606">
        <f t="shared" ca="1" si="3"/>
        <v>2</v>
      </c>
      <c r="S13" s="606">
        <f t="shared" ca="1" si="3"/>
        <v>3</v>
      </c>
      <c r="T13" s="606">
        <f t="shared" ca="1" si="3"/>
        <v>4</v>
      </c>
      <c r="U13" s="606">
        <f t="shared" ca="1" si="3"/>
        <v>5</v>
      </c>
      <c r="V13" s="606">
        <f t="shared" ca="1" si="3"/>
        <v>6</v>
      </c>
      <c r="W13" s="606">
        <f t="shared" ca="1" si="3"/>
        <v>7</v>
      </c>
      <c r="X13" s="606">
        <f t="shared" ca="1" si="3"/>
        <v>8</v>
      </c>
      <c r="Y13" s="606">
        <f t="shared" ca="1" si="3"/>
        <v>9</v>
      </c>
      <c r="Z13" s="569">
        <f t="shared" ca="1" si="3"/>
        <v>10</v>
      </c>
      <c r="AB13" s="84">
        <f t="shared" ref="AB13:BG13" ca="1" si="4">OFFSET(AB13,0,-1)+1</f>
        <v>1</v>
      </c>
      <c r="AC13" s="123">
        <f t="shared" ca="1" si="4"/>
        <v>2</v>
      </c>
      <c r="AD13" s="123">
        <f t="shared" ca="1" si="4"/>
        <v>3</v>
      </c>
      <c r="AE13" s="123">
        <f t="shared" ca="1" si="4"/>
        <v>4</v>
      </c>
      <c r="AF13" s="123">
        <f t="shared" ca="1" si="4"/>
        <v>5</v>
      </c>
      <c r="AG13" s="123">
        <f t="shared" ca="1" si="4"/>
        <v>6</v>
      </c>
      <c r="AH13" s="123">
        <f t="shared" ca="1" si="4"/>
        <v>7</v>
      </c>
      <c r="AI13" s="123">
        <f t="shared" ca="1" si="4"/>
        <v>8</v>
      </c>
      <c r="AJ13" s="123">
        <f t="shared" ca="1" si="4"/>
        <v>9</v>
      </c>
      <c r="AK13" s="124">
        <f t="shared" ca="1" si="4"/>
        <v>10</v>
      </c>
      <c r="AM13" s="84">
        <f t="shared" ca="1" si="4"/>
        <v>1</v>
      </c>
      <c r="AN13" s="123">
        <f t="shared" ca="1" si="4"/>
        <v>2</v>
      </c>
      <c r="AO13" s="123">
        <f t="shared" ca="1" si="4"/>
        <v>3</v>
      </c>
      <c r="AP13" s="123">
        <f t="shared" ca="1" si="4"/>
        <v>4</v>
      </c>
      <c r="AQ13" s="123">
        <f t="shared" ca="1" si="4"/>
        <v>5</v>
      </c>
      <c r="AR13" s="123">
        <f t="shared" ca="1" si="4"/>
        <v>6</v>
      </c>
      <c r="AS13" s="123">
        <f t="shared" ca="1" si="4"/>
        <v>7</v>
      </c>
      <c r="AT13" s="123">
        <f t="shared" ca="1" si="4"/>
        <v>8</v>
      </c>
      <c r="AU13" s="123">
        <f t="shared" ca="1" si="4"/>
        <v>9</v>
      </c>
      <c r="AV13" s="124">
        <f t="shared" ca="1" si="4"/>
        <v>10</v>
      </c>
      <c r="AX13" s="84">
        <f t="shared" ca="1" si="4"/>
        <v>1</v>
      </c>
      <c r="AY13" s="123">
        <f t="shared" ca="1" si="4"/>
        <v>2</v>
      </c>
      <c r="AZ13" s="123">
        <f t="shared" ca="1" si="4"/>
        <v>3</v>
      </c>
      <c r="BA13" s="123">
        <f t="shared" ca="1" si="4"/>
        <v>4</v>
      </c>
      <c r="BB13" s="123">
        <f t="shared" ca="1" si="4"/>
        <v>5</v>
      </c>
      <c r="BC13" s="123">
        <f t="shared" ca="1" si="4"/>
        <v>6</v>
      </c>
      <c r="BD13" s="123">
        <f t="shared" ca="1" si="4"/>
        <v>7</v>
      </c>
      <c r="BE13" s="123">
        <f t="shared" ca="1" si="4"/>
        <v>8</v>
      </c>
      <c r="BF13" s="123">
        <f t="shared" ca="1" si="4"/>
        <v>9</v>
      </c>
      <c r="BG13" s="124">
        <f t="shared" ca="1" si="4"/>
        <v>10</v>
      </c>
    </row>
    <row r="14" spans="1:59" ht="13.2" hidden="1" x14ac:dyDescent="0.25">
      <c r="A14" s="5" t="str">
        <f ca="1">IF(AUTOEVENTO="Manual",IF(K14&lt;&gt;"",MIN(VALUE(LEFT(K14,FIND(".",K14)-1)),COUNTA(EVENTOS.Lista)),0),IF(OR($B14&gt;AUTOEVENTO,$B14="S",$B14=0),SUBSTITUTE(OFFSET($A14,-1,0),IF($D14="Serviço",".",""),""),ROW(A14)-ROW($A$15)&amp;"."))</f>
        <v>AUTOEVENTO</v>
      </c>
      <c r="B14" s="5" t="str">
        <f ca="1">OFFSET(ORÇAMENTO!C$15,ROW(B14)-ROW(B$15),0)</f>
        <v>S</v>
      </c>
      <c r="C14" s="5" t="str">
        <f ca="1">OFFSET(ORÇAMENTO!L$15,ROW(C14)-ROW(C$15),0)</f>
        <v/>
      </c>
      <c r="D14" s="87" t="str">
        <f ca="1">OFFSET(ORÇAMENTO!N$15,ROW(D14)-ROW(D$15),0)</f>
        <v>Serviço</v>
      </c>
      <c r="E14" s="88" t="str">
        <f ca="1">OFFSET(ORÇAMENTO!O$15,ROW(E14)-ROW(E$15),0)</f>
        <v>-</v>
      </c>
      <c r="F14" s="125" t="str">
        <f ca="1">OFFSET(ORÇAMENTO!R$15,ROW(F14)-ROW(F$15),0)</f>
        <v>(Sem Código)</v>
      </c>
      <c r="G14" s="126" t="str">
        <f ca="1">IF($D14&lt;&gt;"Serviço","",OFFSET(ORÇAMENTO!S$15,ROW(G14)-ROW(G$15),0))</f>
        <v>-</v>
      </c>
      <c r="H14" s="93" cm="1">
        <f t="array" aca="1" ref="H14" ca="1">IF($D14&lt;&gt;"Serviço",0,IF(_xlfn.SINGLE(ACOMPANHAMENTO)="BM",ROUND(OFFSET(ORÇAMENTO!AJ$15,ROW(H14)-ROW(H$15),0),15-13*ORÇAMENTO!$AF$7),SUMPRODUCT(($Q$1:$AA$1)*ROUND($Q14:$AA14,15-13*ORÇAMENTO!$AF$7))))</f>
        <v>0</v>
      </c>
      <c r="I14" s="379"/>
      <c r="J14" s="488" t="e" cm="1">
        <f t="array" aca="1" ref="J14" ca="1">IF(B14&lt;&gt;"S","",IF(AND(ACOMPANHAMENTO="PLE",AUTOEVENTO="Manual",OR(H14&gt;0,ORÇAMENTO!AC14="QUANT."),OR(K14="",M14=0,N14="")),"►",IF(AND(ACOMPANHAMENTO="PLE",ORÇAMENTO!AC14="QUANT."),"►►",IF(AND(COUNTIF($P$11:$AA$11,"▼")=0,H14&gt;0,I14=""),"◄",""))))</f>
        <v>#VALUE!</v>
      </c>
      <c r="K14" s="607"/>
      <c r="L14" s="127" t="s">
        <v>788</v>
      </c>
      <c r="M14" s="128" t="str">
        <f ca="1">IF($D14&lt;&gt;"Serviço","",
          IF(AUTOEVENTO="manual",$A14,
                IF(ISERROR(MATCH($A14,$A$15:OFFSET($A14,-1,0),0)),MAX($M$15:OFFSET(M14,-1,0))+1,
                      INDEX($M$15:OFFSET(M14,-1,0),MATCH($A14,$A$15:OFFSET($A14,-1,0),0)))))</f>
        <v># Evento</v>
      </c>
      <c r="N14" s="129" t="e">
        <f ca="1">IF($D14&lt;&gt;"Serviço","",
         IF(AUTOEVENTO="Manual",
                IF($A14=0,"&lt;-- defina o número do agrupador",
                       OFFSET(EVENTOS!$D$15,$A14-$A$15,0)),
                OFFSET($F$15,$A14,0)))</f>
        <v>#VALUE!</v>
      </c>
      <c r="O14" s="130"/>
      <c r="Q14" s="130"/>
      <c r="R14" s="131"/>
      <c r="S14" s="131"/>
      <c r="T14" s="131"/>
      <c r="U14" s="131"/>
      <c r="V14" s="131"/>
      <c r="W14" s="131"/>
      <c r="X14" s="131"/>
      <c r="Y14" s="131"/>
      <c r="Z14" s="132"/>
      <c r="AB14" s="365">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365">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365">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365">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365">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365">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365">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365">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365">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365">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33" t="e">
        <f ca="1">IF(OR($D14&lt;&gt;"Serviço",AND(AUTOEVENTO="Manual",$M14=$A$15)),0,
         IF(OFFSET(CRONOPLE!$F$15,$M14-$A$15,AM$13)="",10^12,OFFSET(CRONOPLE!$F$15,$M14-$A$15,AM$13)))</f>
        <v>#VALUE!</v>
      </c>
      <c r="AN14" s="133" t="e">
        <f ca="1">IF(OR($D14&lt;&gt;"Serviço",AND(AUTOEVENTO="Manual",$M14=$A$15)),0,
         IF(OFFSET(CRONOPLE!$F$15,$M14-$A$15,AN$13)="",10^12,OFFSET(CRONOPLE!$F$15,$M14-$A$15,AN$13)))</f>
        <v>#VALUE!</v>
      </c>
      <c r="AO14" s="133" t="e">
        <f ca="1">IF(OR($D14&lt;&gt;"Serviço",AND(AUTOEVENTO="Manual",$M14=$A$15)),0,
         IF(OFFSET(CRONOPLE!$F$15,$M14-$A$15,AO$13)="",10^12,OFFSET(CRONOPLE!$F$15,$M14-$A$15,AO$13)))</f>
        <v>#VALUE!</v>
      </c>
      <c r="AP14" s="133" t="e">
        <f ca="1">IF(OR($D14&lt;&gt;"Serviço",AND(AUTOEVENTO="Manual",$M14=$A$15)),0,
         IF(OFFSET(CRONOPLE!$F$15,$M14-$A$15,AP$13)="",10^12,OFFSET(CRONOPLE!$F$15,$M14-$A$15,AP$13)))</f>
        <v>#VALUE!</v>
      </c>
      <c r="AQ14" s="133" t="e">
        <f ca="1">IF(OR($D14&lt;&gt;"Serviço",AND(AUTOEVENTO="Manual",$M14=$A$15)),0,
         IF(OFFSET(CRONOPLE!$F$15,$M14-$A$15,AQ$13)="",10^12,OFFSET(CRONOPLE!$F$15,$M14-$A$15,AQ$13)))</f>
        <v>#VALUE!</v>
      </c>
      <c r="AR14" s="133" t="e">
        <f ca="1">IF(OR($D14&lt;&gt;"Serviço",AND(AUTOEVENTO="Manual",$M14=$A$15)),0,
         IF(OFFSET(CRONOPLE!$F$15,$M14-$A$15,AR$13)="",10^12,OFFSET(CRONOPLE!$F$15,$M14-$A$15,AR$13)))</f>
        <v>#VALUE!</v>
      </c>
      <c r="AS14" s="133" t="e">
        <f ca="1">IF(OR($D14&lt;&gt;"Serviço",AND(AUTOEVENTO="Manual",$M14=$A$15)),0,
         IF(OFFSET(CRONOPLE!$F$15,$M14-$A$15,AS$13)="",10^12,OFFSET(CRONOPLE!$F$15,$M14-$A$15,AS$13)))</f>
        <v>#VALUE!</v>
      </c>
      <c r="AT14" s="133" t="e">
        <f ca="1">IF(OR($D14&lt;&gt;"Serviço",AND(AUTOEVENTO="Manual",$M14=$A$15)),0,
         IF(OFFSET(CRONOPLE!$F$15,$M14-$A$15,AT$13)="",10^12,OFFSET(CRONOPLE!$F$15,$M14-$A$15,AT$13)))</f>
        <v>#VALUE!</v>
      </c>
      <c r="AU14" s="133" t="e">
        <f ca="1">IF(OR($D14&lt;&gt;"Serviço",AND(AUTOEVENTO="Manual",$M14=$A$15)),0,
         IF(OFFSET(CRONOPLE!$F$15,$M14-$A$15,AU$13)="",10^12,OFFSET(CRONOPLE!$F$15,$M14-$A$15,AU$13)))</f>
        <v>#VALUE!</v>
      </c>
      <c r="AV14" s="133" t="e">
        <f ca="1">IF(OR($D14&lt;&gt;"Serviço",AND(AUTOEVENTO="Manual",$M14=$A$15)),0,
         IF(OFFSET(CRONOPLE!$F$15,$M14-$A$15,AV$13)="",10^12,OFFSET(CRONOPLE!$F$15,$M14-$A$15,AV$13)))</f>
        <v>#VALUE!</v>
      </c>
      <c r="AX14" s="134">
        <f ca="1">IF(OR($D14&lt;&gt;"Serviço",AND(AUTOEVENTO="Manual",$M14=$A$15),$M14&gt;(ROW(PLE.lastrow)-ROW(PLE.firstrow))),0,
           IF(OFFSET(PLE!$G$15,$M14-$A$15,AX$13)="",10^12,OFFSET(PLE!$G$15,$M14-$A$15,AX$13)))</f>
        <v>0</v>
      </c>
      <c r="AY14" s="134">
        <f ca="1">IF(OR($D14&lt;&gt;"Serviço",AND(AUTOEVENTO="Manual",$M14=$A$15),$M14&gt;(ROW(PLE.lastrow)-ROW(PLE.firstrow))),0,
           IF(OFFSET(PLE!$G$15,$M14-$A$15,AY$13)="",10^12,OFFSET(PLE!$G$15,$M14-$A$15,AY$13)))</f>
        <v>0</v>
      </c>
      <c r="AZ14" s="134">
        <f ca="1">IF(OR($D14&lt;&gt;"Serviço",AND(AUTOEVENTO="Manual",$M14=$A$15),$M14&gt;(ROW(PLE.lastrow)-ROW(PLE.firstrow))),0,
           IF(OFFSET(PLE!$G$15,$M14-$A$15,AZ$13)="",10^12,OFFSET(PLE!$G$15,$M14-$A$15,AZ$13)))</f>
        <v>0</v>
      </c>
      <c r="BA14" s="134">
        <f ca="1">IF(OR($D14&lt;&gt;"Serviço",AND(AUTOEVENTO="Manual",$M14=$A$15),$M14&gt;(ROW(PLE.lastrow)-ROW(PLE.firstrow))),0,
           IF(OFFSET(PLE!$G$15,$M14-$A$15,BA$13)="",10^12,OFFSET(PLE!$G$15,$M14-$A$15,BA$13)))</f>
        <v>0</v>
      </c>
      <c r="BB14" s="134">
        <f ca="1">IF(OR($D14&lt;&gt;"Serviço",AND(AUTOEVENTO="Manual",$M14=$A$15),$M14&gt;(ROW(PLE.lastrow)-ROW(PLE.firstrow))),0,
           IF(OFFSET(PLE!$G$15,$M14-$A$15,BB$13)="",10^12,OFFSET(PLE!$G$15,$M14-$A$15,BB$13)))</f>
        <v>0</v>
      </c>
      <c r="BC14" s="134">
        <f ca="1">IF(OR($D14&lt;&gt;"Serviço",AND(AUTOEVENTO="Manual",$M14=$A$15),$M14&gt;(ROW(PLE.lastrow)-ROW(PLE.firstrow))),0,
           IF(OFFSET(PLE!$G$15,$M14-$A$15,BC$13)="",10^12,OFFSET(PLE!$G$15,$M14-$A$15,BC$13)))</f>
        <v>0</v>
      </c>
      <c r="BD14" s="134">
        <f ca="1">IF(OR($D14&lt;&gt;"Serviço",AND(AUTOEVENTO="Manual",$M14=$A$15),$M14&gt;(ROW(PLE.lastrow)-ROW(PLE.firstrow))),0,
           IF(OFFSET(PLE!$G$15,$M14-$A$15,BD$13)="",10^12,OFFSET(PLE!$G$15,$M14-$A$15,BD$13)))</f>
        <v>0</v>
      </c>
      <c r="BE14" s="134">
        <f ca="1">IF(OR($D14&lt;&gt;"Serviço",AND(AUTOEVENTO="Manual",$M14=$A$15),$M14&gt;(ROW(PLE.lastrow)-ROW(PLE.firstrow))),0,
           IF(OFFSET(PLE!$G$15,$M14-$A$15,BE$13)="",10^12,OFFSET(PLE!$G$15,$M14-$A$15,BE$13)))</f>
        <v>0</v>
      </c>
      <c r="BF14" s="134">
        <f ca="1">IF(OR($D14&lt;&gt;"Serviço",AND(AUTOEVENTO="Manual",$M14=$A$15),$M14&gt;(ROW(PLE.lastrow)-ROW(PLE.firstrow))),0,
           IF(OFFSET(PLE!$G$15,$M14-$A$15,BF$13)="",10^12,OFFSET(PLE!$G$15,$M14-$A$15,BF$13)))</f>
        <v>0</v>
      </c>
      <c r="BG14" s="134">
        <f ca="1">IF(OR($D14&lt;&gt;"Serviço",AND(AUTOEVENTO="Manual",$M14=$A$15),$M14&gt;(ROW(PLE.lastrow)-ROW(PLE.firstrow))),0,
           IF(OFFSET(PLE!$G$15,$M14-$A$15,BG$13)="",10^12,OFFSET(PLE!$G$15,$M14-$A$15,BG$13)))</f>
        <v>0</v>
      </c>
    </row>
    <row r="15" spans="1:59" ht="12.75" customHeight="1" x14ac:dyDescent="0.25">
      <c r="A15" s="5" cm="1">
        <f t="array" aca="1" ref="A15" ca="1">IF(AdmLocal="Automática",1,0)</f>
        <v>0</v>
      </c>
      <c r="B15" s="5" t="str">
        <f ca="1">OFFSET(ORÇAMENTO!C$15,ROW(B15)-ROW(B$15),0)</f>
        <v>L</v>
      </c>
      <c r="C15" s="5" t="str">
        <f ca="1">OFFSET(ORÇAMENTO!L$15,ROW(C15)-ROW(C$15),0)</f>
        <v>F</v>
      </c>
      <c r="D15" s="101" t="str">
        <f>IF(TIPOORCAMENTO="LICITADO","CTEF","LOTE")</f>
        <v>LOTE</v>
      </c>
      <c r="E15" s="725" t="str">
        <f>Import.DescLote</f>
        <v>PAVIMENTAÇÃO DE VIAS NO MUNICÍPIO DE URUARÁ - PARÁ</v>
      </c>
      <c r="F15" s="725"/>
      <c r="G15" s="725"/>
      <c r="H15" s="725"/>
      <c r="I15" s="380"/>
      <c r="J15" s="432"/>
      <c r="K15" s="608"/>
      <c r="L15" s="127" t="s">
        <v>788</v>
      </c>
      <c r="M15" s="480">
        <v>0</v>
      </c>
      <c r="N15" s="135" t="s">
        <v>800</v>
      </c>
      <c r="O15" s="136" t="e">
        <f ca="1">OFFSET($AA$15,0,O$13)</f>
        <v>#VALUE!</v>
      </c>
      <c r="Q15" s="137">
        <f t="shared" ref="Q15:Z15" ca="1" si="5">OFFSET($AA$15,0,Q$13)</f>
        <v>0</v>
      </c>
      <c r="R15" s="136">
        <f t="shared" ca="1" si="5"/>
        <v>0</v>
      </c>
      <c r="S15" s="136">
        <f t="shared" ca="1" si="5"/>
        <v>0</v>
      </c>
      <c r="T15" s="136">
        <f t="shared" ca="1" si="5"/>
        <v>0</v>
      </c>
      <c r="U15" s="136">
        <f t="shared" ca="1" si="5"/>
        <v>0</v>
      </c>
      <c r="V15" s="136">
        <f t="shared" ca="1" si="5"/>
        <v>0</v>
      </c>
      <c r="W15" s="136">
        <f t="shared" ca="1" si="5"/>
        <v>0</v>
      </c>
      <c r="X15" s="136">
        <f t="shared" ca="1" si="5"/>
        <v>0</v>
      </c>
      <c r="Y15" s="136">
        <f t="shared" ca="1" si="5"/>
        <v>0</v>
      </c>
      <c r="Z15" s="138">
        <f t="shared" ca="1" si="5"/>
        <v>0</v>
      </c>
      <c r="AB15" s="139">
        <f ca="1">ROUND(SUM(OFFSET(AB$15,1,0):AB$36),2)</f>
        <v>0</v>
      </c>
      <c r="AC15" s="139">
        <f ca="1">SUM(OFFSET(AC$15,1,0):AC$36)</f>
        <v>0</v>
      </c>
      <c r="AD15" s="139">
        <f ca="1">SUM(OFFSET(AD$15,1,0):AD$36)</f>
        <v>0</v>
      </c>
      <c r="AE15" s="139">
        <f ca="1">SUM(OFFSET(AE$15,1,0):AE$36)</f>
        <v>0</v>
      </c>
      <c r="AF15" s="139">
        <f ca="1">SUM(OFFSET(AF$15,1,0):AF$36)</f>
        <v>0</v>
      </c>
      <c r="AG15" s="139">
        <f ca="1">SUM(OFFSET(AG$15,1,0):AG$36)</f>
        <v>0</v>
      </c>
      <c r="AH15" s="139">
        <f ca="1">SUM(OFFSET(AH$15,1,0):AH$36)</f>
        <v>0</v>
      </c>
      <c r="AI15" s="139">
        <f ca="1">SUM(OFFSET(AI$15,1,0):AI$36)</f>
        <v>0</v>
      </c>
      <c r="AJ15" s="139">
        <f ca="1">SUM(OFFSET(AJ$15,1,0):AJ$36)</f>
        <v>0</v>
      </c>
      <c r="AK15" s="139">
        <f ca="1">SUM(OFFSET(AK$15,1,0):AK$36)</f>
        <v>0</v>
      </c>
      <c r="AM15" s="140">
        <f>10^12</f>
        <v>1000000000000</v>
      </c>
      <c r="AN15" s="140">
        <f t="shared" ref="AN15:AV15" si="6">10^12</f>
        <v>1000000000000</v>
      </c>
      <c r="AO15" s="140">
        <f t="shared" si="6"/>
        <v>1000000000000</v>
      </c>
      <c r="AP15" s="140">
        <f t="shared" si="6"/>
        <v>1000000000000</v>
      </c>
      <c r="AQ15" s="140">
        <f t="shared" si="6"/>
        <v>1000000000000</v>
      </c>
      <c r="AR15" s="140">
        <f t="shared" si="6"/>
        <v>1000000000000</v>
      </c>
      <c r="AS15" s="140">
        <f t="shared" si="6"/>
        <v>1000000000000</v>
      </c>
      <c r="AT15" s="140">
        <f t="shared" si="6"/>
        <v>1000000000000</v>
      </c>
      <c r="AU15" s="140">
        <f t="shared" si="6"/>
        <v>1000000000000</v>
      </c>
      <c r="AV15" s="140">
        <f t="shared" si="6"/>
        <v>1000000000000</v>
      </c>
      <c r="AX15" s="140">
        <f t="shared" ref="AX15:BG15" si="7">10^12</f>
        <v>1000000000000</v>
      </c>
      <c r="AY15" s="140">
        <f t="shared" si="7"/>
        <v>1000000000000</v>
      </c>
      <c r="AZ15" s="140">
        <f t="shared" si="7"/>
        <v>1000000000000</v>
      </c>
      <c r="BA15" s="140">
        <f t="shared" si="7"/>
        <v>1000000000000</v>
      </c>
      <c r="BB15" s="140">
        <f t="shared" si="7"/>
        <v>1000000000000</v>
      </c>
      <c r="BC15" s="140">
        <f t="shared" si="7"/>
        <v>1000000000000</v>
      </c>
      <c r="BD15" s="140">
        <f t="shared" si="7"/>
        <v>1000000000000</v>
      </c>
      <c r="BE15" s="140">
        <f t="shared" si="7"/>
        <v>1000000000000</v>
      </c>
      <c r="BF15" s="140">
        <f t="shared" si="7"/>
        <v>1000000000000</v>
      </c>
      <c r="BG15" s="140">
        <f t="shared" si="7"/>
        <v>1000000000000</v>
      </c>
    </row>
    <row r="16" spans="1:59" ht="13.2" x14ac:dyDescent="0.25">
      <c r="A16" s="5" t="str">
        <f ca="1">IF(AUTOEVENTO="Manual",IF(K16&lt;&gt;"",MIN(VALUE(LEFT(K16,FIND(".",K16)-1)),COUNTA(EVENTOS.Lista)),0),IF(OR($B16&gt;AUTOEVENTO,$B16="S",$B16=0),SUBSTITUTE(OFFSET($A16,-1,0),IF($D16="Serviço",".",""),""),ROW(A16)-ROW($A$15)&amp;"."))</f>
        <v>1.</v>
      </c>
      <c r="B16" s="5">
        <f ca="1">OFFSET(ORÇAMENTO!C$15,ROW(B16)-ROW(B$15),0)</f>
        <v>1</v>
      </c>
      <c r="C16" s="5" t="str">
        <f ca="1">OFFSET(ORÇAMENTO!L$15,ROW(C16)-ROW(C$15),0)</f>
        <v>F</v>
      </c>
      <c r="D16" s="87" t="str">
        <f ca="1">OFFSET(ORÇAMENTO!N$15,ROW(D16)-ROW(D$15),0)</f>
        <v>Meta</v>
      </c>
      <c r="E16" s="88" t="str">
        <f ca="1">OFFSET(ORÇAMENTO!O$15,ROW(E16)-ROW(E$15),0)</f>
        <v>1.</v>
      </c>
      <c r="F16" s="125" t="str">
        <f ca="1">OFFSET(ORÇAMENTO!R$15,ROW(F16)-ROW(F$15),0)</f>
        <v>PAVIMENTAÇÃO ASFÁLTICA</v>
      </c>
      <c r="G16" s="126" t="str">
        <f ca="1">IF($D16&lt;&gt;"Serviço","",OFFSET(ORÇAMENTO!S$15,ROW(G16)-ROW(G$15),0))</f>
        <v/>
      </c>
      <c r="H16" s="93" cm="1">
        <f t="array" aca="1" ref="H16" ca="1">IF($D16&lt;&gt;"Serviço",0,IF(_xlfn.SINGLE(ACOMPANHAMENTO)="BM",ROUND(OFFSET(ORÇAMENTO!AJ$15,ROW(H16)-ROW(H$15),0),15-13*ORÇAMENTO!$AF$7),SUMPRODUCT(($Q$1:$AA$1)*ROUND($Q16:$AA16,15-13*ORÇAMENTO!$AF$7))))</f>
        <v>0</v>
      </c>
      <c r="I16" s="379"/>
      <c r="J16" s="488" t="str" cm="1">
        <f t="array" aca="1" ref="J16" ca="1">IF(B16&lt;&gt;"S","",IF(AND(ACOMPANHAMENTO="PLE",AUTOEVENTO="Manual",OR(H16&gt;0,ORÇAMENTO!AC16="QUANT."),OR(K16="",M16=0,N16="")),"►",IF(AND(ACOMPANHAMENTO="PLE",ORÇAMENTO!AC16="QUANT."),"►►",IF(AND(COUNTIF($P$11:$AA$11,"▼")=0,H16&gt;0,I16=""),"◄",""))))</f>
        <v/>
      </c>
      <c r="K16" s="607"/>
      <c r="L16" s="127" t="s">
        <v>788</v>
      </c>
      <c r="M16" s="128" t="str">
        <f ca="1">IF($D16&lt;&gt;"Serviço","",
          IF(AUTOEVENTO="manual",$A16,
                IF(ISERROR(MATCH($A16,$A$15:OFFSET($A16,-1,0),0)),MAX($M$15:OFFSET(M16,-1,0))+1,
                      INDEX($M$15:OFFSET(M16,-1,0),MATCH($A16,$A$15:OFFSET($A16,-1,0),0)))))</f>
        <v/>
      </c>
      <c r="N16" s="129" t="str">
        <f ca="1">IF($D16&lt;&gt;"Serviço","",
         IF(AUTOEVENTO="Manual",
                IF($A16=0,"&lt;-- defina o número do agrupador",
                       OFFSET(EVENTOS!$D$15,$A16-$A$15,0)),
                OFFSET($F$15,$A16,0)))</f>
        <v/>
      </c>
      <c r="O16" s="130"/>
      <c r="Q16" s="130"/>
      <c r="R16" s="131"/>
      <c r="S16" s="131"/>
      <c r="T16" s="131"/>
      <c r="U16" s="131"/>
      <c r="V16" s="131"/>
      <c r="W16" s="131"/>
      <c r="X16" s="131"/>
      <c r="Y16" s="131"/>
      <c r="Z16" s="132"/>
      <c r="AB16" s="365">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365">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365">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365">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365">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365">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365">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365">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365">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365">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33">
        <f ca="1">IF(OR($D16&lt;&gt;"Serviço",AND(AUTOEVENTO="Manual",$M16=$A$15)),0,
         IF(OFFSET(CRONOPLE!$F$15,$M16-$A$15,AM$13)="",10^12,OFFSET(CRONOPLE!$F$15,$M16-$A$15,AM$13)))</f>
        <v>0</v>
      </c>
      <c r="AN16" s="133">
        <f ca="1">IF(OR($D16&lt;&gt;"Serviço",AND(AUTOEVENTO="Manual",$M16=$A$15)),0,
         IF(OFFSET(CRONOPLE!$F$15,$M16-$A$15,AN$13)="",10^12,OFFSET(CRONOPLE!$F$15,$M16-$A$15,AN$13)))</f>
        <v>0</v>
      </c>
      <c r="AO16" s="133">
        <f ca="1">IF(OR($D16&lt;&gt;"Serviço",AND(AUTOEVENTO="Manual",$M16=$A$15)),0,
         IF(OFFSET(CRONOPLE!$F$15,$M16-$A$15,AO$13)="",10^12,OFFSET(CRONOPLE!$F$15,$M16-$A$15,AO$13)))</f>
        <v>0</v>
      </c>
      <c r="AP16" s="133">
        <f ca="1">IF(OR($D16&lt;&gt;"Serviço",AND(AUTOEVENTO="Manual",$M16=$A$15)),0,
         IF(OFFSET(CRONOPLE!$F$15,$M16-$A$15,AP$13)="",10^12,OFFSET(CRONOPLE!$F$15,$M16-$A$15,AP$13)))</f>
        <v>0</v>
      </c>
      <c r="AQ16" s="133">
        <f ca="1">IF(OR($D16&lt;&gt;"Serviço",AND(AUTOEVENTO="Manual",$M16=$A$15)),0,
         IF(OFFSET(CRONOPLE!$F$15,$M16-$A$15,AQ$13)="",10^12,OFFSET(CRONOPLE!$F$15,$M16-$A$15,AQ$13)))</f>
        <v>0</v>
      </c>
      <c r="AR16" s="133">
        <f ca="1">IF(OR($D16&lt;&gt;"Serviço",AND(AUTOEVENTO="Manual",$M16=$A$15)),0,
         IF(OFFSET(CRONOPLE!$F$15,$M16-$A$15,AR$13)="",10^12,OFFSET(CRONOPLE!$F$15,$M16-$A$15,AR$13)))</f>
        <v>0</v>
      </c>
      <c r="AS16" s="133">
        <f ca="1">IF(OR($D16&lt;&gt;"Serviço",AND(AUTOEVENTO="Manual",$M16=$A$15)),0,
         IF(OFFSET(CRONOPLE!$F$15,$M16-$A$15,AS$13)="",10^12,OFFSET(CRONOPLE!$F$15,$M16-$A$15,AS$13)))</f>
        <v>0</v>
      </c>
      <c r="AT16" s="133">
        <f ca="1">IF(OR($D16&lt;&gt;"Serviço",AND(AUTOEVENTO="Manual",$M16=$A$15)),0,
         IF(OFFSET(CRONOPLE!$F$15,$M16-$A$15,AT$13)="",10^12,OFFSET(CRONOPLE!$F$15,$M16-$A$15,AT$13)))</f>
        <v>0</v>
      </c>
      <c r="AU16" s="133">
        <f ca="1">IF(OR($D16&lt;&gt;"Serviço",AND(AUTOEVENTO="Manual",$M16=$A$15)),0,
         IF(OFFSET(CRONOPLE!$F$15,$M16-$A$15,AU$13)="",10^12,OFFSET(CRONOPLE!$F$15,$M16-$A$15,AU$13)))</f>
        <v>0</v>
      </c>
      <c r="AV16" s="133">
        <f ca="1">IF(OR($D16&lt;&gt;"Serviço",AND(AUTOEVENTO="Manual",$M16=$A$15)),0,
         IF(OFFSET(CRONOPLE!$F$15,$M16-$A$15,AV$13)="",10^12,OFFSET(CRONOPLE!$F$15,$M16-$A$15,AV$13)))</f>
        <v>0</v>
      </c>
      <c r="AX16" s="134">
        <f ca="1">IF(OR($D16&lt;&gt;"Serviço",AND(AUTOEVENTO="Manual",$M16=$A$15),$M16&gt;(ROW(PLE.lastrow)-ROW(PLE.firstrow))),0,
           IF(OFFSET(PLE!$G$15,$M16-$A$15,AX$13)="",10^12,OFFSET(PLE!$G$15,$M16-$A$15,AX$13)))</f>
        <v>0</v>
      </c>
      <c r="AY16" s="134">
        <f ca="1">IF(OR($D16&lt;&gt;"Serviço",AND(AUTOEVENTO="Manual",$M16=$A$15),$M16&gt;(ROW(PLE.lastrow)-ROW(PLE.firstrow))),0,
           IF(OFFSET(PLE!$G$15,$M16-$A$15,AY$13)="",10^12,OFFSET(PLE!$G$15,$M16-$A$15,AY$13)))</f>
        <v>0</v>
      </c>
      <c r="AZ16" s="134">
        <f ca="1">IF(OR($D16&lt;&gt;"Serviço",AND(AUTOEVENTO="Manual",$M16=$A$15),$M16&gt;(ROW(PLE.lastrow)-ROW(PLE.firstrow))),0,
           IF(OFFSET(PLE!$G$15,$M16-$A$15,AZ$13)="",10^12,OFFSET(PLE!$G$15,$M16-$A$15,AZ$13)))</f>
        <v>0</v>
      </c>
      <c r="BA16" s="134">
        <f ca="1">IF(OR($D16&lt;&gt;"Serviço",AND(AUTOEVENTO="Manual",$M16=$A$15),$M16&gt;(ROW(PLE.lastrow)-ROW(PLE.firstrow))),0,
           IF(OFFSET(PLE!$G$15,$M16-$A$15,BA$13)="",10^12,OFFSET(PLE!$G$15,$M16-$A$15,BA$13)))</f>
        <v>0</v>
      </c>
      <c r="BB16" s="134">
        <f ca="1">IF(OR($D16&lt;&gt;"Serviço",AND(AUTOEVENTO="Manual",$M16=$A$15),$M16&gt;(ROW(PLE.lastrow)-ROW(PLE.firstrow))),0,
           IF(OFFSET(PLE!$G$15,$M16-$A$15,BB$13)="",10^12,OFFSET(PLE!$G$15,$M16-$A$15,BB$13)))</f>
        <v>0</v>
      </c>
      <c r="BC16" s="134">
        <f ca="1">IF(OR($D16&lt;&gt;"Serviço",AND(AUTOEVENTO="Manual",$M16=$A$15),$M16&gt;(ROW(PLE.lastrow)-ROW(PLE.firstrow))),0,
           IF(OFFSET(PLE!$G$15,$M16-$A$15,BC$13)="",10^12,OFFSET(PLE!$G$15,$M16-$A$15,BC$13)))</f>
        <v>0</v>
      </c>
      <c r="BD16" s="134">
        <f ca="1">IF(OR($D16&lt;&gt;"Serviço",AND(AUTOEVENTO="Manual",$M16=$A$15),$M16&gt;(ROW(PLE.lastrow)-ROW(PLE.firstrow))),0,
           IF(OFFSET(PLE!$G$15,$M16-$A$15,BD$13)="",10^12,OFFSET(PLE!$G$15,$M16-$A$15,BD$13)))</f>
        <v>0</v>
      </c>
      <c r="BE16" s="134">
        <f ca="1">IF(OR($D16&lt;&gt;"Serviço",AND(AUTOEVENTO="Manual",$M16=$A$15),$M16&gt;(ROW(PLE.lastrow)-ROW(PLE.firstrow))),0,
           IF(OFFSET(PLE!$G$15,$M16-$A$15,BE$13)="",10^12,OFFSET(PLE!$G$15,$M16-$A$15,BE$13)))</f>
        <v>0</v>
      </c>
      <c r="BF16" s="134">
        <f ca="1">IF(OR($D16&lt;&gt;"Serviço",AND(AUTOEVENTO="Manual",$M16=$A$15),$M16&gt;(ROW(PLE.lastrow)-ROW(PLE.firstrow))),0,
           IF(OFFSET(PLE!$G$15,$M16-$A$15,BF$13)="",10^12,OFFSET(PLE!$G$15,$M16-$A$15,BF$13)))</f>
        <v>0</v>
      </c>
      <c r="BG16" s="134">
        <f ca="1">IF(OR($D16&lt;&gt;"Serviço",AND(AUTOEVENTO="Manual",$M16=$A$15),$M16&gt;(ROW(PLE.lastrow)-ROW(PLE.firstrow))),0,
           IF(OFFSET(PLE!$G$15,$M16-$A$15,BG$13)="",10^12,OFFSET(PLE!$G$15,$M16-$A$15,BG$13)))</f>
        <v>0</v>
      </c>
    </row>
    <row r="17" spans="1:59" ht="13.2" x14ac:dyDescent="0.25">
      <c r="A17" s="5" t="str">
        <f ca="1">IF(AUTOEVENTO="Manual",IF(K17&lt;&gt;"",MIN(VALUE(LEFT(K17,FIND(".",K17)-1)),COUNTA(EVENTOS.Lista)),0),IF(OR($B17&gt;AUTOEVENTO,$B17="S",$B17=0),SUBSTITUTE(OFFSET($A17,-1,0),IF($D17="Serviço",".",""),""),ROW(A17)-ROW($A$15)&amp;"."))</f>
        <v>2.</v>
      </c>
      <c r="B17" s="5">
        <f ca="1">OFFSET(ORÇAMENTO!C$15,ROW(B17)-ROW(B$15),0)</f>
        <v>2</v>
      </c>
      <c r="C17" s="5" t="str">
        <f ca="1">OFFSET(ORÇAMENTO!L$15,ROW(C17)-ROW(C$15),0)</f>
        <v>F</v>
      </c>
      <c r="D17" s="87" t="str">
        <f ca="1">OFFSET(ORÇAMENTO!N$15,ROW(D17)-ROW(D$15),0)</f>
        <v>Nível 2</v>
      </c>
      <c r="E17" s="88" t="str">
        <f ca="1">OFFSET(ORÇAMENTO!O$15,ROW(E17)-ROW(E$15),0)</f>
        <v>1.1.</v>
      </c>
      <c r="F17" s="125" t="str">
        <f ca="1">OFFSET(ORÇAMENTO!R$15,ROW(F17)-ROW(F$15),0)</f>
        <v>ADMINISTRAÇÃO DE OBRA</v>
      </c>
      <c r="G17" s="126" t="str">
        <f ca="1">IF($D17&lt;&gt;"Serviço","",OFFSET(ORÇAMENTO!S$15,ROW(G17)-ROW(G$15),0))</f>
        <v/>
      </c>
      <c r="H17" s="93" cm="1">
        <f t="array" aca="1" ref="H17" ca="1">IF($D17&lt;&gt;"Serviço",0,IF(_xlfn.SINGLE(ACOMPANHAMENTO)="BM",ROUND(OFFSET(ORÇAMENTO!AJ$15,ROW(H17)-ROW(H$15),0),15-13*ORÇAMENTO!$AF$7),SUMPRODUCT(($Q$1:$AA$1)*ROUND($Q17:$AA17,15-13*ORÇAMENTO!$AF$7))))</f>
        <v>0</v>
      </c>
      <c r="I17" s="379"/>
      <c r="J17" s="488" t="str" cm="1">
        <f t="array" aca="1" ref="J17" ca="1">IF(B17&lt;&gt;"S","",IF(AND(ACOMPANHAMENTO="PLE",AUTOEVENTO="Manual",OR(H17&gt;0,ORÇAMENTO!AC17="QUANT."),OR(K17="",M17=0,N17="")),"►",IF(AND(ACOMPANHAMENTO="PLE",ORÇAMENTO!AC17="QUANT."),"►►",IF(AND(COUNTIF($P$11:$AA$11,"▼")=0,H17&gt;0,I17=""),"◄",""))))</f>
        <v/>
      </c>
      <c r="K17" s="607"/>
      <c r="L17" s="127" t="s">
        <v>788</v>
      </c>
      <c r="M17" s="128" t="str">
        <f ca="1">IF($D17&lt;&gt;"Serviço","",
          IF(AUTOEVENTO="manual",$A17,
                IF(ISERROR(MATCH($A17,$A$15:OFFSET($A17,-1,0),0)),MAX($M$15:OFFSET(M17,-1,0))+1,
                      INDEX($M$15:OFFSET(M17,-1,0),MATCH($A17,$A$15:OFFSET($A17,-1,0),0)))))</f>
        <v/>
      </c>
      <c r="N17" s="129" t="str">
        <f ca="1">IF($D17&lt;&gt;"Serviço","",
         IF(AUTOEVENTO="Manual",
                IF($A17=0,"&lt;-- defina o número do agrupador",
                       OFFSET(EVENTOS!$D$15,$A17-$A$15,0)),
                OFFSET($F$15,$A17,0)))</f>
        <v/>
      </c>
      <c r="O17" s="130"/>
      <c r="Q17" s="130"/>
      <c r="R17" s="131"/>
      <c r="S17" s="131"/>
      <c r="T17" s="131"/>
      <c r="U17" s="131"/>
      <c r="V17" s="131"/>
      <c r="W17" s="131"/>
      <c r="X17" s="131"/>
      <c r="Y17" s="131"/>
      <c r="Z17" s="132"/>
      <c r="AB17" s="365">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365">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365">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365">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365">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365">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365">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365">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365">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365">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33">
        <f ca="1">IF(OR($D17&lt;&gt;"Serviço",AND(AUTOEVENTO="Manual",$M17=$A$15)),0,
         IF(OFFSET(CRONOPLE!$F$15,$M17-$A$15,AM$13)="",10^12,OFFSET(CRONOPLE!$F$15,$M17-$A$15,AM$13)))</f>
        <v>0</v>
      </c>
      <c r="AN17" s="133">
        <f ca="1">IF(OR($D17&lt;&gt;"Serviço",AND(AUTOEVENTO="Manual",$M17=$A$15)),0,
         IF(OFFSET(CRONOPLE!$F$15,$M17-$A$15,AN$13)="",10^12,OFFSET(CRONOPLE!$F$15,$M17-$A$15,AN$13)))</f>
        <v>0</v>
      </c>
      <c r="AO17" s="133">
        <f ca="1">IF(OR($D17&lt;&gt;"Serviço",AND(AUTOEVENTO="Manual",$M17=$A$15)),0,
         IF(OFFSET(CRONOPLE!$F$15,$M17-$A$15,AO$13)="",10^12,OFFSET(CRONOPLE!$F$15,$M17-$A$15,AO$13)))</f>
        <v>0</v>
      </c>
      <c r="AP17" s="133">
        <f ca="1">IF(OR($D17&lt;&gt;"Serviço",AND(AUTOEVENTO="Manual",$M17=$A$15)),0,
         IF(OFFSET(CRONOPLE!$F$15,$M17-$A$15,AP$13)="",10^12,OFFSET(CRONOPLE!$F$15,$M17-$A$15,AP$13)))</f>
        <v>0</v>
      </c>
      <c r="AQ17" s="133">
        <f ca="1">IF(OR($D17&lt;&gt;"Serviço",AND(AUTOEVENTO="Manual",$M17=$A$15)),0,
         IF(OFFSET(CRONOPLE!$F$15,$M17-$A$15,AQ$13)="",10^12,OFFSET(CRONOPLE!$F$15,$M17-$A$15,AQ$13)))</f>
        <v>0</v>
      </c>
      <c r="AR17" s="133">
        <f ca="1">IF(OR($D17&lt;&gt;"Serviço",AND(AUTOEVENTO="Manual",$M17=$A$15)),0,
         IF(OFFSET(CRONOPLE!$F$15,$M17-$A$15,AR$13)="",10^12,OFFSET(CRONOPLE!$F$15,$M17-$A$15,AR$13)))</f>
        <v>0</v>
      </c>
      <c r="AS17" s="133">
        <f ca="1">IF(OR($D17&lt;&gt;"Serviço",AND(AUTOEVENTO="Manual",$M17=$A$15)),0,
         IF(OFFSET(CRONOPLE!$F$15,$M17-$A$15,AS$13)="",10^12,OFFSET(CRONOPLE!$F$15,$M17-$A$15,AS$13)))</f>
        <v>0</v>
      </c>
      <c r="AT17" s="133">
        <f ca="1">IF(OR($D17&lt;&gt;"Serviço",AND(AUTOEVENTO="Manual",$M17=$A$15)),0,
         IF(OFFSET(CRONOPLE!$F$15,$M17-$A$15,AT$13)="",10^12,OFFSET(CRONOPLE!$F$15,$M17-$A$15,AT$13)))</f>
        <v>0</v>
      </c>
      <c r="AU17" s="133">
        <f ca="1">IF(OR($D17&lt;&gt;"Serviço",AND(AUTOEVENTO="Manual",$M17=$A$15)),0,
         IF(OFFSET(CRONOPLE!$F$15,$M17-$A$15,AU$13)="",10^12,OFFSET(CRONOPLE!$F$15,$M17-$A$15,AU$13)))</f>
        <v>0</v>
      </c>
      <c r="AV17" s="133">
        <f ca="1">IF(OR($D17&lt;&gt;"Serviço",AND(AUTOEVENTO="Manual",$M17=$A$15)),0,
         IF(OFFSET(CRONOPLE!$F$15,$M17-$A$15,AV$13)="",10^12,OFFSET(CRONOPLE!$F$15,$M17-$A$15,AV$13)))</f>
        <v>0</v>
      </c>
      <c r="AX17" s="134">
        <f ca="1">IF(OR($D17&lt;&gt;"Serviço",AND(AUTOEVENTO="Manual",$M17=$A$15),$M17&gt;(ROW(PLE.lastrow)-ROW(PLE.firstrow))),0,
           IF(OFFSET(PLE!$G$15,$M17-$A$15,AX$13)="",10^12,OFFSET(PLE!$G$15,$M17-$A$15,AX$13)))</f>
        <v>0</v>
      </c>
      <c r="AY17" s="134">
        <f ca="1">IF(OR($D17&lt;&gt;"Serviço",AND(AUTOEVENTO="Manual",$M17=$A$15),$M17&gt;(ROW(PLE.lastrow)-ROW(PLE.firstrow))),0,
           IF(OFFSET(PLE!$G$15,$M17-$A$15,AY$13)="",10^12,OFFSET(PLE!$G$15,$M17-$A$15,AY$13)))</f>
        <v>0</v>
      </c>
      <c r="AZ17" s="134">
        <f ca="1">IF(OR($D17&lt;&gt;"Serviço",AND(AUTOEVENTO="Manual",$M17=$A$15),$M17&gt;(ROW(PLE.lastrow)-ROW(PLE.firstrow))),0,
           IF(OFFSET(PLE!$G$15,$M17-$A$15,AZ$13)="",10^12,OFFSET(PLE!$G$15,$M17-$A$15,AZ$13)))</f>
        <v>0</v>
      </c>
      <c r="BA17" s="134">
        <f ca="1">IF(OR($D17&lt;&gt;"Serviço",AND(AUTOEVENTO="Manual",$M17=$A$15),$M17&gt;(ROW(PLE.lastrow)-ROW(PLE.firstrow))),0,
           IF(OFFSET(PLE!$G$15,$M17-$A$15,BA$13)="",10^12,OFFSET(PLE!$G$15,$M17-$A$15,BA$13)))</f>
        <v>0</v>
      </c>
      <c r="BB17" s="134">
        <f ca="1">IF(OR($D17&lt;&gt;"Serviço",AND(AUTOEVENTO="Manual",$M17=$A$15),$M17&gt;(ROW(PLE.lastrow)-ROW(PLE.firstrow))),0,
           IF(OFFSET(PLE!$G$15,$M17-$A$15,BB$13)="",10^12,OFFSET(PLE!$G$15,$M17-$A$15,BB$13)))</f>
        <v>0</v>
      </c>
      <c r="BC17" s="134">
        <f ca="1">IF(OR($D17&lt;&gt;"Serviço",AND(AUTOEVENTO="Manual",$M17=$A$15),$M17&gt;(ROW(PLE.lastrow)-ROW(PLE.firstrow))),0,
           IF(OFFSET(PLE!$G$15,$M17-$A$15,BC$13)="",10^12,OFFSET(PLE!$G$15,$M17-$A$15,BC$13)))</f>
        <v>0</v>
      </c>
      <c r="BD17" s="134">
        <f ca="1">IF(OR($D17&lt;&gt;"Serviço",AND(AUTOEVENTO="Manual",$M17=$A$15),$M17&gt;(ROW(PLE.lastrow)-ROW(PLE.firstrow))),0,
           IF(OFFSET(PLE!$G$15,$M17-$A$15,BD$13)="",10^12,OFFSET(PLE!$G$15,$M17-$A$15,BD$13)))</f>
        <v>0</v>
      </c>
      <c r="BE17" s="134">
        <f ca="1">IF(OR($D17&lt;&gt;"Serviço",AND(AUTOEVENTO="Manual",$M17=$A$15),$M17&gt;(ROW(PLE.lastrow)-ROW(PLE.firstrow))),0,
           IF(OFFSET(PLE!$G$15,$M17-$A$15,BE$13)="",10^12,OFFSET(PLE!$G$15,$M17-$A$15,BE$13)))</f>
        <v>0</v>
      </c>
      <c r="BF17" s="134">
        <f ca="1">IF(OR($D17&lt;&gt;"Serviço",AND(AUTOEVENTO="Manual",$M17=$A$15),$M17&gt;(ROW(PLE.lastrow)-ROW(PLE.firstrow))),0,
           IF(OFFSET(PLE!$G$15,$M17-$A$15,BF$13)="",10^12,OFFSET(PLE!$G$15,$M17-$A$15,BF$13)))</f>
        <v>0</v>
      </c>
      <c r="BG17" s="134">
        <f ca="1">IF(OR($D17&lt;&gt;"Serviço",AND(AUTOEVENTO="Manual",$M17=$A$15),$M17&gt;(ROW(PLE.lastrow)-ROW(PLE.firstrow))),0,
           IF(OFFSET(PLE!$G$15,$M17-$A$15,BG$13)="",10^12,OFFSET(PLE!$G$15,$M17-$A$15,BG$13)))</f>
        <v>0</v>
      </c>
    </row>
    <row r="18" spans="1:59" ht="13.2" x14ac:dyDescent="0.25">
      <c r="A18" s="5" t="str">
        <f ca="1">IF(AUTOEVENTO="Manual",IF(K18&lt;&gt;"",MIN(VALUE(LEFT(K18,FIND(".",K18)-1)),COUNTA(EVENTOS.Lista)),0),IF(OR($B18&gt;AUTOEVENTO,$B18="S",$B18=0),SUBSTITUTE(OFFSET($A18,-1,0),IF($D18="Serviço",".",""),""),ROW(A18)-ROW($A$15)&amp;"."))</f>
        <v>2</v>
      </c>
      <c r="B18" s="5" t="str">
        <f ca="1">OFFSET(ORÇAMENTO!C$15,ROW(B18)-ROW(B$15),0)</f>
        <v>S</v>
      </c>
      <c r="C18" s="5" t="str">
        <f ca="1">OFFSET(ORÇAMENTO!L$15,ROW(C18)-ROW(C$15),0)</f>
        <v>F</v>
      </c>
      <c r="D18" s="87" t="str">
        <f ca="1">OFFSET(ORÇAMENTO!N$15,ROW(D18)-ROW(D$15),0)</f>
        <v>Serviço</v>
      </c>
      <c r="E18" s="88" t="str">
        <f ca="1">OFFSET(ORÇAMENTO!O$15,ROW(E18)-ROW(E$15),0)</f>
        <v>1.1.0.1.</v>
      </c>
      <c r="F18" s="125" t="str">
        <f ca="1">OFFSET(ORÇAMENTO!R$15,ROW(F18)-ROW(F$15),0)</f>
        <v>ADMINISTRAÇÃO LOCAL</v>
      </c>
      <c r="G18" s="126" t="str">
        <f ca="1">IF($D18&lt;&gt;"Serviço","",OFFSET(ORÇAMENTO!S$15,ROW(G18)-ROW(G$15),0))</f>
        <v>UN</v>
      </c>
      <c r="H18" s="93" cm="1">
        <f t="array" aca="1" ref="H18" ca="1">IF($D18&lt;&gt;"Serviço",0,IF(_xlfn.SINGLE(ACOMPANHAMENTO)="BM",ROUND(OFFSET(ORÇAMENTO!AJ$15,ROW(H18)-ROW(H$15),0),15-13*ORÇAMENTO!$AF$7),SUMPRODUCT(($Q$1:$AA$1)*ROUND($Q18:$AA18,15-13*ORÇAMENTO!$AF$7))))</f>
        <v>1</v>
      </c>
      <c r="I18" s="379"/>
      <c r="J18" s="488" t="str" cm="1">
        <f t="array" aca="1" ref="J18" ca="1">IF(B18&lt;&gt;"S","",IF(AND(ACOMPANHAMENTO="PLE",AUTOEVENTO="Manual",OR(H18&gt;0,ORÇAMENTO!AC18="QUANT."),OR(K18="",M18=0,N18="")),"►",IF(AND(ACOMPANHAMENTO="PLE",ORÇAMENTO!AC18="QUANT."),"►►",IF(AND(COUNTIF($P$11:$AA$11,"▼")=0,H18&gt;0,I18=""),"◄",""))))</f>
        <v>◄</v>
      </c>
      <c r="K18" s="607"/>
      <c r="L18" s="127" t="s">
        <v>788</v>
      </c>
      <c r="M18" s="128">
        <f ca="1">IF($D18&lt;&gt;"Serviço","",
          IF(AUTOEVENTO="manual",$A18,
                IF(ISERROR(MATCH($A18,$A$15:OFFSET($A18,-1,0),0)),MAX($M$15:OFFSET(M18,-1,0))+1,
                      INDEX($M$15:OFFSET(M18,-1,0),MATCH($A18,$A$15:OFFSET($A18,-1,0),0)))))</f>
        <v>1</v>
      </c>
      <c r="N18" s="129" t="str">
        <f ca="1">IF($D18&lt;&gt;"Serviço","",
         IF(AUTOEVENTO="Manual",
                IF($A18=0,"&lt;-- defina o número do agrupador",
                       OFFSET(EVENTOS!$D$15,$A18-$A$15,0)),
                OFFSET($F$15,$A18,0)))</f>
        <v>ADMINISTRAÇÃO DE OBRA</v>
      </c>
      <c r="O18" s="130"/>
      <c r="Q18" s="130">
        <v>0.2</v>
      </c>
      <c r="R18" s="131"/>
      <c r="S18" s="131"/>
      <c r="T18" s="131"/>
      <c r="U18" s="131"/>
      <c r="V18" s="131"/>
      <c r="W18" s="131"/>
      <c r="X18" s="131"/>
      <c r="Y18" s="131"/>
      <c r="Z18" s="132"/>
      <c r="AB18" s="365">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365">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365">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365">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365">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365">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365">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365">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365">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365">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33">
        <f ca="1">IF(OR($D18&lt;&gt;"Serviço",AND(AUTOEVENTO="Manual",$M18=$A$15)),0,
         IF(OFFSET(CRONOPLE!$F$15,$M18-$A$15,AM$13)="",10^12,OFFSET(CRONOPLE!$F$15,$M18-$A$15,AM$13)))</f>
        <v>1</v>
      </c>
      <c r="AN18" s="133">
        <f ca="1">IF(OR($D18&lt;&gt;"Serviço",AND(AUTOEVENTO="Manual",$M18=$A$15)),0,
         IF(OFFSET(CRONOPLE!$F$15,$M18-$A$15,AN$13)="",10^12,OFFSET(CRONOPLE!$F$15,$M18-$A$15,AN$13)))</f>
        <v>1000000000000</v>
      </c>
      <c r="AO18" s="133">
        <f ca="1">IF(OR($D18&lt;&gt;"Serviço",AND(AUTOEVENTO="Manual",$M18=$A$15)),0,
         IF(OFFSET(CRONOPLE!$F$15,$M18-$A$15,AO$13)="",10^12,OFFSET(CRONOPLE!$F$15,$M18-$A$15,AO$13)))</f>
        <v>1000000000000</v>
      </c>
      <c r="AP18" s="133">
        <f ca="1">IF(OR($D18&lt;&gt;"Serviço",AND(AUTOEVENTO="Manual",$M18=$A$15)),0,
         IF(OFFSET(CRONOPLE!$F$15,$M18-$A$15,AP$13)="",10^12,OFFSET(CRONOPLE!$F$15,$M18-$A$15,AP$13)))</f>
        <v>1000000000000</v>
      </c>
      <c r="AQ18" s="133">
        <f ca="1">IF(OR($D18&lt;&gt;"Serviço",AND(AUTOEVENTO="Manual",$M18=$A$15)),0,
         IF(OFFSET(CRONOPLE!$F$15,$M18-$A$15,AQ$13)="",10^12,OFFSET(CRONOPLE!$F$15,$M18-$A$15,AQ$13)))</f>
        <v>1000000000000</v>
      </c>
      <c r="AR18" s="133">
        <f ca="1">IF(OR($D18&lt;&gt;"Serviço",AND(AUTOEVENTO="Manual",$M18=$A$15)),0,
         IF(OFFSET(CRONOPLE!$F$15,$M18-$A$15,AR$13)="",10^12,OFFSET(CRONOPLE!$F$15,$M18-$A$15,AR$13)))</f>
        <v>1000000000000</v>
      </c>
      <c r="AS18" s="133">
        <f ca="1">IF(OR($D18&lt;&gt;"Serviço",AND(AUTOEVENTO="Manual",$M18=$A$15)),0,
         IF(OFFSET(CRONOPLE!$F$15,$M18-$A$15,AS$13)="",10^12,OFFSET(CRONOPLE!$F$15,$M18-$A$15,AS$13)))</f>
        <v>1000000000000</v>
      </c>
      <c r="AT18" s="133">
        <f ca="1">IF(OR($D18&lt;&gt;"Serviço",AND(AUTOEVENTO="Manual",$M18=$A$15)),0,
         IF(OFFSET(CRONOPLE!$F$15,$M18-$A$15,AT$13)="",10^12,OFFSET(CRONOPLE!$F$15,$M18-$A$15,AT$13)))</f>
        <v>1000000000000</v>
      </c>
      <c r="AU18" s="133">
        <f ca="1">IF(OR($D18&lt;&gt;"Serviço",AND(AUTOEVENTO="Manual",$M18=$A$15)),0,
         IF(OFFSET(CRONOPLE!$F$15,$M18-$A$15,AU$13)="",10^12,OFFSET(CRONOPLE!$F$15,$M18-$A$15,AU$13)))</f>
        <v>1000000000000</v>
      </c>
      <c r="AV18" s="133">
        <f ca="1">IF(OR($D18&lt;&gt;"Serviço",AND(AUTOEVENTO="Manual",$M18=$A$15)),0,
         IF(OFFSET(CRONOPLE!$F$15,$M18-$A$15,AV$13)="",10^12,OFFSET(CRONOPLE!$F$15,$M18-$A$15,AV$13)))</f>
        <v>1000000000000</v>
      </c>
      <c r="AX18" s="134">
        <f ca="1">IF(OR($D18&lt;&gt;"Serviço",AND(AUTOEVENTO="Manual",$M18=$A$15),$M18&gt;(ROW(PLE.lastrow)-ROW(PLE.firstrow))),0,
           IF(OFFSET(PLE!$G$15,$M18-$A$15,AX$13)="",10^12,OFFSET(PLE!$G$15,$M18-$A$15,AX$13)))</f>
        <v>1000000000000</v>
      </c>
      <c r="AY18" s="134">
        <f ca="1">IF(OR($D18&lt;&gt;"Serviço",AND(AUTOEVENTO="Manual",$M18=$A$15),$M18&gt;(ROW(PLE.lastrow)-ROW(PLE.firstrow))),0,
           IF(OFFSET(PLE!$G$15,$M18-$A$15,AY$13)="",10^12,OFFSET(PLE!$G$15,$M18-$A$15,AY$13)))</f>
        <v>1000000000000</v>
      </c>
      <c r="AZ18" s="134">
        <f ca="1">IF(OR($D18&lt;&gt;"Serviço",AND(AUTOEVENTO="Manual",$M18=$A$15),$M18&gt;(ROW(PLE.lastrow)-ROW(PLE.firstrow))),0,
           IF(OFFSET(PLE!$G$15,$M18-$A$15,AZ$13)="",10^12,OFFSET(PLE!$G$15,$M18-$A$15,AZ$13)))</f>
        <v>1000000000000</v>
      </c>
      <c r="BA18" s="134">
        <f ca="1">IF(OR($D18&lt;&gt;"Serviço",AND(AUTOEVENTO="Manual",$M18=$A$15),$M18&gt;(ROW(PLE.lastrow)-ROW(PLE.firstrow))),0,
           IF(OFFSET(PLE!$G$15,$M18-$A$15,BA$13)="",10^12,OFFSET(PLE!$G$15,$M18-$A$15,BA$13)))</f>
        <v>1000000000000</v>
      </c>
      <c r="BB18" s="134">
        <f ca="1">IF(OR($D18&lt;&gt;"Serviço",AND(AUTOEVENTO="Manual",$M18=$A$15),$M18&gt;(ROW(PLE.lastrow)-ROW(PLE.firstrow))),0,
           IF(OFFSET(PLE!$G$15,$M18-$A$15,BB$13)="",10^12,OFFSET(PLE!$G$15,$M18-$A$15,BB$13)))</f>
        <v>1000000000000</v>
      </c>
      <c r="BC18" s="134">
        <f ca="1">IF(OR($D18&lt;&gt;"Serviço",AND(AUTOEVENTO="Manual",$M18=$A$15),$M18&gt;(ROW(PLE.lastrow)-ROW(PLE.firstrow))),0,
           IF(OFFSET(PLE!$G$15,$M18-$A$15,BC$13)="",10^12,OFFSET(PLE!$G$15,$M18-$A$15,BC$13)))</f>
        <v>1000000000000</v>
      </c>
      <c r="BD18" s="134">
        <f ca="1">IF(OR($D18&lt;&gt;"Serviço",AND(AUTOEVENTO="Manual",$M18=$A$15),$M18&gt;(ROW(PLE.lastrow)-ROW(PLE.firstrow))),0,
           IF(OFFSET(PLE!$G$15,$M18-$A$15,BD$13)="",10^12,OFFSET(PLE!$G$15,$M18-$A$15,BD$13)))</f>
        <v>1000000000000</v>
      </c>
      <c r="BE18" s="134">
        <f ca="1">IF(OR($D18&lt;&gt;"Serviço",AND(AUTOEVENTO="Manual",$M18=$A$15),$M18&gt;(ROW(PLE.lastrow)-ROW(PLE.firstrow))),0,
           IF(OFFSET(PLE!$G$15,$M18-$A$15,BE$13)="",10^12,OFFSET(PLE!$G$15,$M18-$A$15,BE$13)))</f>
        <v>1000000000000</v>
      </c>
      <c r="BF18" s="134">
        <f ca="1">IF(OR($D18&lt;&gt;"Serviço",AND(AUTOEVENTO="Manual",$M18=$A$15),$M18&gt;(ROW(PLE.lastrow)-ROW(PLE.firstrow))),0,
           IF(OFFSET(PLE!$G$15,$M18-$A$15,BF$13)="",10^12,OFFSET(PLE!$G$15,$M18-$A$15,BF$13)))</f>
        <v>1000000000000</v>
      </c>
      <c r="BG18" s="134">
        <f ca="1">IF(OR($D18&lt;&gt;"Serviço",AND(AUTOEVENTO="Manual",$M18=$A$15),$M18&gt;(ROW(PLE.lastrow)-ROW(PLE.firstrow))),0,
           IF(OFFSET(PLE!$G$15,$M18-$A$15,BG$13)="",10^12,OFFSET(PLE!$G$15,$M18-$A$15,BG$13)))</f>
        <v>1000000000000</v>
      </c>
    </row>
    <row r="19" spans="1:59" ht="13.2" x14ac:dyDescent="0.25">
      <c r="A19" s="5" t="str">
        <f ca="1">IF(AUTOEVENTO="Manual",IF(K19&lt;&gt;"",MIN(VALUE(LEFT(K19,FIND(".",K19)-1)),COUNTA(EVENTOS.Lista)),0),IF(OR($B19&gt;AUTOEVENTO,$B19="S",$B19=0),SUBSTITUTE(OFFSET($A19,-1,0),IF($D19="Serviço",".",""),""),ROW(A19)-ROW($A$15)&amp;"."))</f>
        <v>4.</v>
      </c>
      <c r="B19" s="5">
        <f ca="1">OFFSET(ORÇAMENTO!C$15,ROW(B19)-ROW(B$15),0)</f>
        <v>2</v>
      </c>
      <c r="C19" s="5" t="str">
        <f ca="1">OFFSET(ORÇAMENTO!L$15,ROW(C19)-ROW(C$15),0)</f>
        <v>F</v>
      </c>
      <c r="D19" s="87" t="str">
        <f ca="1">OFFSET(ORÇAMENTO!N$15,ROW(D19)-ROW(D$15),0)</f>
        <v>Nível 2</v>
      </c>
      <c r="E19" s="88" t="str">
        <f ca="1">OFFSET(ORÇAMENTO!O$15,ROW(E19)-ROW(E$15),0)</f>
        <v>1.2.</v>
      </c>
      <c r="F19" s="125" t="str">
        <f ca="1">OFFSET(ORÇAMENTO!R$15,ROW(F19)-ROW(F$15),0)</f>
        <v>SERVIÇOS PRELIMINARES</v>
      </c>
      <c r="G19" s="126" t="str">
        <f ca="1">IF($D19&lt;&gt;"Serviço","",OFFSET(ORÇAMENTO!S$15,ROW(G19)-ROW(G$15),0))</f>
        <v/>
      </c>
      <c r="H19" s="93" cm="1">
        <f t="array" aca="1" ref="H19" ca="1">IF($D19&lt;&gt;"Serviço",0,IF(_xlfn.SINGLE(ACOMPANHAMENTO)="BM",ROUND(OFFSET(ORÇAMENTO!AJ$15,ROW(H19)-ROW(H$15),0),15-13*ORÇAMENTO!$AF$7),SUMPRODUCT(($Q$1:$AA$1)*ROUND($Q19:$AA19,15-13*ORÇAMENTO!$AF$7))))</f>
        <v>0</v>
      </c>
      <c r="I19" s="379"/>
      <c r="J19" s="488" t="str" cm="1">
        <f t="array" aca="1" ref="J19" ca="1">IF(B19&lt;&gt;"S","",IF(AND(ACOMPANHAMENTO="PLE",AUTOEVENTO="Manual",OR(H19&gt;0,ORÇAMENTO!AC19="QUANT."),OR(K19="",M19=0,N19="")),"►",IF(AND(ACOMPANHAMENTO="PLE",ORÇAMENTO!AC19="QUANT."),"►►",IF(AND(COUNTIF($P$11:$AA$11,"▼")=0,H19&gt;0,I19=""),"◄",""))))</f>
        <v/>
      </c>
      <c r="K19" s="607"/>
      <c r="L19" s="127" t="s">
        <v>788</v>
      </c>
      <c r="M19" s="128" t="str">
        <f ca="1">IF($D19&lt;&gt;"Serviço","",
          IF(AUTOEVENTO="manual",$A19,
                IF(ISERROR(MATCH($A19,$A$15:OFFSET($A19,-1,0),0)),MAX($M$15:OFFSET(M19,-1,0))+1,
                      INDEX($M$15:OFFSET(M19,-1,0),MATCH($A19,$A$15:OFFSET($A19,-1,0),0)))))</f>
        <v/>
      </c>
      <c r="N19" s="129" t="str">
        <f ca="1">IF($D19&lt;&gt;"Serviço","",
         IF(AUTOEVENTO="Manual",
                IF($A19=0,"&lt;-- defina o número do agrupador",
                       OFFSET(EVENTOS!$D$15,$A19-$A$15,0)),
                OFFSET($F$15,$A19,0)))</f>
        <v/>
      </c>
      <c r="O19" s="130"/>
      <c r="Q19" s="130"/>
      <c r="R19" s="131"/>
      <c r="S19" s="131"/>
      <c r="T19" s="131"/>
      <c r="U19" s="131"/>
      <c r="V19" s="131"/>
      <c r="W19" s="131"/>
      <c r="X19" s="131"/>
      <c r="Y19" s="131"/>
      <c r="Z19" s="132"/>
      <c r="AB19" s="365">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365">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365">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365">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365">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365">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365">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365">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365">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365">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33">
        <f ca="1">IF(OR($D19&lt;&gt;"Serviço",AND(AUTOEVENTO="Manual",$M19=$A$15)),0,
         IF(OFFSET(CRONOPLE!$F$15,$M19-$A$15,AM$13)="",10^12,OFFSET(CRONOPLE!$F$15,$M19-$A$15,AM$13)))</f>
        <v>0</v>
      </c>
      <c r="AN19" s="133">
        <f ca="1">IF(OR($D19&lt;&gt;"Serviço",AND(AUTOEVENTO="Manual",$M19=$A$15)),0,
         IF(OFFSET(CRONOPLE!$F$15,$M19-$A$15,AN$13)="",10^12,OFFSET(CRONOPLE!$F$15,$M19-$A$15,AN$13)))</f>
        <v>0</v>
      </c>
      <c r="AO19" s="133">
        <f ca="1">IF(OR($D19&lt;&gt;"Serviço",AND(AUTOEVENTO="Manual",$M19=$A$15)),0,
         IF(OFFSET(CRONOPLE!$F$15,$M19-$A$15,AO$13)="",10^12,OFFSET(CRONOPLE!$F$15,$M19-$A$15,AO$13)))</f>
        <v>0</v>
      </c>
      <c r="AP19" s="133">
        <f ca="1">IF(OR($D19&lt;&gt;"Serviço",AND(AUTOEVENTO="Manual",$M19=$A$15)),0,
         IF(OFFSET(CRONOPLE!$F$15,$M19-$A$15,AP$13)="",10^12,OFFSET(CRONOPLE!$F$15,$M19-$A$15,AP$13)))</f>
        <v>0</v>
      </c>
      <c r="AQ19" s="133">
        <f ca="1">IF(OR($D19&lt;&gt;"Serviço",AND(AUTOEVENTO="Manual",$M19=$A$15)),0,
         IF(OFFSET(CRONOPLE!$F$15,$M19-$A$15,AQ$13)="",10^12,OFFSET(CRONOPLE!$F$15,$M19-$A$15,AQ$13)))</f>
        <v>0</v>
      </c>
      <c r="AR19" s="133">
        <f ca="1">IF(OR($D19&lt;&gt;"Serviço",AND(AUTOEVENTO="Manual",$M19=$A$15)),0,
         IF(OFFSET(CRONOPLE!$F$15,$M19-$A$15,AR$13)="",10^12,OFFSET(CRONOPLE!$F$15,$M19-$A$15,AR$13)))</f>
        <v>0</v>
      </c>
      <c r="AS19" s="133">
        <f ca="1">IF(OR($D19&lt;&gt;"Serviço",AND(AUTOEVENTO="Manual",$M19=$A$15)),0,
         IF(OFFSET(CRONOPLE!$F$15,$M19-$A$15,AS$13)="",10^12,OFFSET(CRONOPLE!$F$15,$M19-$A$15,AS$13)))</f>
        <v>0</v>
      </c>
      <c r="AT19" s="133">
        <f ca="1">IF(OR($D19&lt;&gt;"Serviço",AND(AUTOEVENTO="Manual",$M19=$A$15)),0,
         IF(OFFSET(CRONOPLE!$F$15,$M19-$A$15,AT$13)="",10^12,OFFSET(CRONOPLE!$F$15,$M19-$A$15,AT$13)))</f>
        <v>0</v>
      </c>
      <c r="AU19" s="133">
        <f ca="1">IF(OR($D19&lt;&gt;"Serviço",AND(AUTOEVENTO="Manual",$M19=$A$15)),0,
         IF(OFFSET(CRONOPLE!$F$15,$M19-$A$15,AU$13)="",10^12,OFFSET(CRONOPLE!$F$15,$M19-$A$15,AU$13)))</f>
        <v>0</v>
      </c>
      <c r="AV19" s="133">
        <f ca="1">IF(OR($D19&lt;&gt;"Serviço",AND(AUTOEVENTO="Manual",$M19=$A$15)),0,
         IF(OFFSET(CRONOPLE!$F$15,$M19-$A$15,AV$13)="",10^12,OFFSET(CRONOPLE!$F$15,$M19-$A$15,AV$13)))</f>
        <v>0</v>
      </c>
      <c r="AX19" s="134">
        <f ca="1">IF(OR($D19&lt;&gt;"Serviço",AND(AUTOEVENTO="Manual",$M19=$A$15),$M19&gt;(ROW(PLE.lastrow)-ROW(PLE.firstrow))),0,
           IF(OFFSET(PLE!$G$15,$M19-$A$15,AX$13)="",10^12,OFFSET(PLE!$G$15,$M19-$A$15,AX$13)))</f>
        <v>0</v>
      </c>
      <c r="AY19" s="134">
        <f ca="1">IF(OR($D19&lt;&gt;"Serviço",AND(AUTOEVENTO="Manual",$M19=$A$15),$M19&gt;(ROW(PLE.lastrow)-ROW(PLE.firstrow))),0,
           IF(OFFSET(PLE!$G$15,$M19-$A$15,AY$13)="",10^12,OFFSET(PLE!$G$15,$M19-$A$15,AY$13)))</f>
        <v>0</v>
      </c>
      <c r="AZ19" s="134">
        <f ca="1">IF(OR($D19&lt;&gt;"Serviço",AND(AUTOEVENTO="Manual",$M19=$A$15),$M19&gt;(ROW(PLE.lastrow)-ROW(PLE.firstrow))),0,
           IF(OFFSET(PLE!$G$15,$M19-$A$15,AZ$13)="",10^12,OFFSET(PLE!$G$15,$M19-$A$15,AZ$13)))</f>
        <v>0</v>
      </c>
      <c r="BA19" s="134">
        <f ca="1">IF(OR($D19&lt;&gt;"Serviço",AND(AUTOEVENTO="Manual",$M19=$A$15),$M19&gt;(ROW(PLE.lastrow)-ROW(PLE.firstrow))),0,
           IF(OFFSET(PLE!$G$15,$M19-$A$15,BA$13)="",10^12,OFFSET(PLE!$G$15,$M19-$A$15,BA$13)))</f>
        <v>0</v>
      </c>
      <c r="BB19" s="134">
        <f ca="1">IF(OR($D19&lt;&gt;"Serviço",AND(AUTOEVENTO="Manual",$M19=$A$15),$M19&gt;(ROW(PLE.lastrow)-ROW(PLE.firstrow))),0,
           IF(OFFSET(PLE!$G$15,$M19-$A$15,BB$13)="",10^12,OFFSET(PLE!$G$15,$M19-$A$15,BB$13)))</f>
        <v>0</v>
      </c>
      <c r="BC19" s="134">
        <f ca="1">IF(OR($D19&lt;&gt;"Serviço",AND(AUTOEVENTO="Manual",$M19=$A$15),$M19&gt;(ROW(PLE.lastrow)-ROW(PLE.firstrow))),0,
           IF(OFFSET(PLE!$G$15,$M19-$A$15,BC$13)="",10^12,OFFSET(PLE!$G$15,$M19-$A$15,BC$13)))</f>
        <v>0</v>
      </c>
      <c r="BD19" s="134">
        <f ca="1">IF(OR($D19&lt;&gt;"Serviço",AND(AUTOEVENTO="Manual",$M19=$A$15),$M19&gt;(ROW(PLE.lastrow)-ROW(PLE.firstrow))),0,
           IF(OFFSET(PLE!$G$15,$M19-$A$15,BD$13)="",10^12,OFFSET(PLE!$G$15,$M19-$A$15,BD$13)))</f>
        <v>0</v>
      </c>
      <c r="BE19" s="134">
        <f ca="1">IF(OR($D19&lt;&gt;"Serviço",AND(AUTOEVENTO="Manual",$M19=$A$15),$M19&gt;(ROW(PLE.lastrow)-ROW(PLE.firstrow))),0,
           IF(OFFSET(PLE!$G$15,$M19-$A$15,BE$13)="",10^12,OFFSET(PLE!$G$15,$M19-$A$15,BE$13)))</f>
        <v>0</v>
      </c>
      <c r="BF19" s="134">
        <f ca="1">IF(OR($D19&lt;&gt;"Serviço",AND(AUTOEVENTO="Manual",$M19=$A$15),$M19&gt;(ROW(PLE.lastrow)-ROW(PLE.firstrow))),0,
           IF(OFFSET(PLE!$G$15,$M19-$A$15,BF$13)="",10^12,OFFSET(PLE!$G$15,$M19-$A$15,BF$13)))</f>
        <v>0</v>
      </c>
      <c r="BG19" s="134">
        <f ca="1">IF(OR($D19&lt;&gt;"Serviço",AND(AUTOEVENTO="Manual",$M19=$A$15),$M19&gt;(ROW(PLE.lastrow)-ROW(PLE.firstrow))),0,
           IF(OFFSET(PLE!$G$15,$M19-$A$15,BG$13)="",10^12,OFFSET(PLE!$G$15,$M19-$A$15,BG$13)))</f>
        <v>0</v>
      </c>
    </row>
    <row r="20" spans="1:59" ht="26.4" x14ac:dyDescent="0.25">
      <c r="A20" s="5" t="str">
        <f ca="1">IF(AUTOEVENTO="Manual",IF(K20&lt;&gt;"",MIN(VALUE(LEFT(K20,FIND(".",K20)-1)),COUNTA(EVENTOS.Lista)),0),IF(OR($B20&gt;AUTOEVENTO,$B20="S",$B20=0),SUBSTITUTE(OFFSET($A20,-1,0),IF($D20="Serviço",".",""),""),ROW(A20)-ROW($A$15)&amp;"."))</f>
        <v>4</v>
      </c>
      <c r="B20" s="5" t="str">
        <f ca="1">OFFSET(ORÇAMENTO!C$15,ROW(B20)-ROW(B$15),0)</f>
        <v>S</v>
      </c>
      <c r="C20" s="5" t="str">
        <f ca="1">OFFSET(ORÇAMENTO!L$15,ROW(C20)-ROW(C$15),0)</f>
        <v>F</v>
      </c>
      <c r="D20" s="87" t="str">
        <f ca="1">OFFSET(ORÇAMENTO!N$15,ROW(D20)-ROW(D$15),0)</f>
        <v>Serviço</v>
      </c>
      <c r="E20" s="88" t="str">
        <f ca="1">OFFSET(ORÇAMENTO!O$15,ROW(E20)-ROW(E$15),0)</f>
        <v>1.2.0.1.</v>
      </c>
      <c r="F20" s="125" t="str">
        <f ca="1">OFFSET(ORÇAMENTO!R$15,ROW(F20)-ROW(F$15),0)</f>
        <v>FORNECIMENTO E INSTALAÇÃO DE PLACA DE OBRA COM CHAPA GALVANIZADA E ESTRUTURA DE MADEIRA. AF_03/2022_PS</v>
      </c>
      <c r="G20" s="126" t="str">
        <f ca="1">IF($D20&lt;&gt;"Serviço","",OFFSET(ORÇAMENTO!S$15,ROW(G20)-ROW(G$15),0))</f>
        <v>M2</v>
      </c>
      <c r="H20" s="93" cm="1">
        <f t="array" aca="1" ref="H20" ca="1">IF($D20&lt;&gt;"Serviço",0,IF(_xlfn.SINGLE(ACOMPANHAMENTO)="BM",ROUND(OFFSET(ORÇAMENTO!AJ$15,ROW(H20)-ROW(H$15),0),15-13*ORÇAMENTO!$AF$7),SUMPRODUCT(($Q$1:$AA$1)*ROUND($Q20:$AA20,15-13*ORÇAMENTO!$AF$7))))</f>
        <v>6</v>
      </c>
      <c r="I20" s="379"/>
      <c r="J20" s="488" t="str" cm="1">
        <f t="array" aca="1" ref="J20" ca="1">IF(B20&lt;&gt;"S","",IF(AND(ACOMPANHAMENTO="PLE",AUTOEVENTO="Manual",OR(H20&gt;0,ORÇAMENTO!AC20="QUANT."),OR(K20="",M20=0,N20="")),"►",IF(AND(ACOMPANHAMENTO="PLE",ORÇAMENTO!AC20="QUANT."),"►►",IF(AND(COUNTIF($P$11:$AA$11,"▼")=0,H20&gt;0,I20=""),"◄",""))))</f>
        <v>◄</v>
      </c>
      <c r="K20" s="607"/>
      <c r="L20" s="127" t="s">
        <v>788</v>
      </c>
      <c r="M20" s="128">
        <f ca="1">IF($D20&lt;&gt;"Serviço","",
          IF(AUTOEVENTO="manual",$A20,
                IF(ISERROR(MATCH($A20,$A$15:OFFSET($A20,-1,0),0)),MAX($M$15:OFFSET(M20,-1,0))+1,
                      INDEX($M$15:OFFSET(M20,-1,0),MATCH($A20,$A$15:OFFSET($A20,-1,0),0)))))</f>
        <v>2</v>
      </c>
      <c r="N20" s="129" t="str">
        <f ca="1">IF($D20&lt;&gt;"Serviço","",
         IF(AUTOEVENTO="Manual",
                IF($A20=0,"&lt;-- defina o número do agrupador",
                       OFFSET(EVENTOS!$D$15,$A20-$A$15,0)),
                OFFSET($F$15,$A20,0)))</f>
        <v>SERVIÇOS PRELIMINARES</v>
      </c>
      <c r="O20" s="130"/>
      <c r="Q20" s="130">
        <f>2*3</f>
        <v>6</v>
      </c>
      <c r="R20" s="131"/>
      <c r="S20" s="131"/>
      <c r="T20" s="131"/>
      <c r="U20" s="131"/>
      <c r="V20" s="131"/>
      <c r="W20" s="131"/>
      <c r="X20" s="131"/>
      <c r="Y20" s="131"/>
      <c r="Z20" s="132"/>
      <c r="AB20" s="365">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365">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365">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365">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365">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365">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365">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365">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365">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365">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33">
        <f ca="1">IF(OR($D20&lt;&gt;"Serviço",AND(AUTOEVENTO="Manual",$M20=$A$15)),0,
         IF(OFFSET(CRONOPLE!$F$15,$M20-$A$15,AM$13)="",10^12,OFFSET(CRONOPLE!$F$15,$M20-$A$15,AM$13)))</f>
        <v>2</v>
      </c>
      <c r="AN20" s="133">
        <f ca="1">IF(OR($D20&lt;&gt;"Serviço",AND(AUTOEVENTO="Manual",$M20=$A$15)),0,
         IF(OFFSET(CRONOPLE!$F$15,$M20-$A$15,AN$13)="",10^12,OFFSET(CRONOPLE!$F$15,$M20-$A$15,AN$13)))</f>
        <v>1000000000000</v>
      </c>
      <c r="AO20" s="133">
        <f ca="1">IF(OR($D20&lt;&gt;"Serviço",AND(AUTOEVENTO="Manual",$M20=$A$15)),0,
         IF(OFFSET(CRONOPLE!$F$15,$M20-$A$15,AO$13)="",10^12,OFFSET(CRONOPLE!$F$15,$M20-$A$15,AO$13)))</f>
        <v>1000000000000</v>
      </c>
      <c r="AP20" s="133">
        <f ca="1">IF(OR($D20&lt;&gt;"Serviço",AND(AUTOEVENTO="Manual",$M20=$A$15)),0,
         IF(OFFSET(CRONOPLE!$F$15,$M20-$A$15,AP$13)="",10^12,OFFSET(CRONOPLE!$F$15,$M20-$A$15,AP$13)))</f>
        <v>1000000000000</v>
      </c>
      <c r="AQ20" s="133">
        <f ca="1">IF(OR($D20&lt;&gt;"Serviço",AND(AUTOEVENTO="Manual",$M20=$A$15)),0,
         IF(OFFSET(CRONOPLE!$F$15,$M20-$A$15,AQ$13)="",10^12,OFFSET(CRONOPLE!$F$15,$M20-$A$15,AQ$13)))</f>
        <v>1000000000000</v>
      </c>
      <c r="AR20" s="133">
        <f ca="1">IF(OR($D20&lt;&gt;"Serviço",AND(AUTOEVENTO="Manual",$M20=$A$15)),0,
         IF(OFFSET(CRONOPLE!$F$15,$M20-$A$15,AR$13)="",10^12,OFFSET(CRONOPLE!$F$15,$M20-$A$15,AR$13)))</f>
        <v>1000000000000</v>
      </c>
      <c r="AS20" s="133">
        <f ca="1">IF(OR($D20&lt;&gt;"Serviço",AND(AUTOEVENTO="Manual",$M20=$A$15)),0,
         IF(OFFSET(CRONOPLE!$F$15,$M20-$A$15,AS$13)="",10^12,OFFSET(CRONOPLE!$F$15,$M20-$A$15,AS$13)))</f>
        <v>1000000000000</v>
      </c>
      <c r="AT20" s="133">
        <f ca="1">IF(OR($D20&lt;&gt;"Serviço",AND(AUTOEVENTO="Manual",$M20=$A$15)),0,
         IF(OFFSET(CRONOPLE!$F$15,$M20-$A$15,AT$13)="",10^12,OFFSET(CRONOPLE!$F$15,$M20-$A$15,AT$13)))</f>
        <v>1000000000000</v>
      </c>
      <c r="AU20" s="133">
        <f ca="1">IF(OR($D20&lt;&gt;"Serviço",AND(AUTOEVENTO="Manual",$M20=$A$15)),0,
         IF(OFFSET(CRONOPLE!$F$15,$M20-$A$15,AU$13)="",10^12,OFFSET(CRONOPLE!$F$15,$M20-$A$15,AU$13)))</f>
        <v>1000000000000</v>
      </c>
      <c r="AV20" s="133">
        <f ca="1">IF(OR($D20&lt;&gt;"Serviço",AND(AUTOEVENTO="Manual",$M20=$A$15)),0,
         IF(OFFSET(CRONOPLE!$F$15,$M20-$A$15,AV$13)="",10^12,OFFSET(CRONOPLE!$F$15,$M20-$A$15,AV$13)))</f>
        <v>1000000000000</v>
      </c>
      <c r="AX20" s="134">
        <f ca="1">IF(OR($D20&lt;&gt;"Serviço",AND(AUTOEVENTO="Manual",$M20=$A$15),$M20&gt;(ROW(PLE.lastrow)-ROW(PLE.firstrow))),0,
           IF(OFFSET(PLE!$G$15,$M20-$A$15,AX$13)="",10^12,OFFSET(PLE!$G$15,$M20-$A$15,AX$13)))</f>
        <v>1000000000000</v>
      </c>
      <c r="AY20" s="134">
        <f ca="1">IF(OR($D20&lt;&gt;"Serviço",AND(AUTOEVENTO="Manual",$M20=$A$15),$M20&gt;(ROW(PLE.lastrow)-ROW(PLE.firstrow))),0,
           IF(OFFSET(PLE!$G$15,$M20-$A$15,AY$13)="",10^12,OFFSET(PLE!$G$15,$M20-$A$15,AY$13)))</f>
        <v>1000000000000</v>
      </c>
      <c r="AZ20" s="134">
        <f ca="1">IF(OR($D20&lt;&gt;"Serviço",AND(AUTOEVENTO="Manual",$M20=$A$15),$M20&gt;(ROW(PLE.lastrow)-ROW(PLE.firstrow))),0,
           IF(OFFSET(PLE!$G$15,$M20-$A$15,AZ$13)="",10^12,OFFSET(PLE!$G$15,$M20-$A$15,AZ$13)))</f>
        <v>1000000000000</v>
      </c>
      <c r="BA20" s="134">
        <f ca="1">IF(OR($D20&lt;&gt;"Serviço",AND(AUTOEVENTO="Manual",$M20=$A$15),$M20&gt;(ROW(PLE.lastrow)-ROW(PLE.firstrow))),0,
           IF(OFFSET(PLE!$G$15,$M20-$A$15,BA$13)="",10^12,OFFSET(PLE!$G$15,$M20-$A$15,BA$13)))</f>
        <v>1000000000000</v>
      </c>
      <c r="BB20" s="134">
        <f ca="1">IF(OR($D20&lt;&gt;"Serviço",AND(AUTOEVENTO="Manual",$M20=$A$15),$M20&gt;(ROW(PLE.lastrow)-ROW(PLE.firstrow))),0,
           IF(OFFSET(PLE!$G$15,$M20-$A$15,BB$13)="",10^12,OFFSET(PLE!$G$15,$M20-$A$15,BB$13)))</f>
        <v>1000000000000</v>
      </c>
      <c r="BC20" s="134">
        <f ca="1">IF(OR($D20&lt;&gt;"Serviço",AND(AUTOEVENTO="Manual",$M20=$A$15),$M20&gt;(ROW(PLE.lastrow)-ROW(PLE.firstrow))),0,
           IF(OFFSET(PLE!$G$15,$M20-$A$15,BC$13)="",10^12,OFFSET(PLE!$G$15,$M20-$A$15,BC$13)))</f>
        <v>1000000000000</v>
      </c>
      <c r="BD20" s="134">
        <f ca="1">IF(OR($D20&lt;&gt;"Serviço",AND(AUTOEVENTO="Manual",$M20=$A$15),$M20&gt;(ROW(PLE.lastrow)-ROW(PLE.firstrow))),0,
           IF(OFFSET(PLE!$G$15,$M20-$A$15,BD$13)="",10^12,OFFSET(PLE!$G$15,$M20-$A$15,BD$13)))</f>
        <v>1000000000000</v>
      </c>
      <c r="BE20" s="134">
        <f ca="1">IF(OR($D20&lt;&gt;"Serviço",AND(AUTOEVENTO="Manual",$M20=$A$15),$M20&gt;(ROW(PLE.lastrow)-ROW(PLE.firstrow))),0,
           IF(OFFSET(PLE!$G$15,$M20-$A$15,BE$13)="",10^12,OFFSET(PLE!$G$15,$M20-$A$15,BE$13)))</f>
        <v>1000000000000</v>
      </c>
      <c r="BF20" s="134">
        <f ca="1">IF(OR($D20&lt;&gt;"Serviço",AND(AUTOEVENTO="Manual",$M20=$A$15),$M20&gt;(ROW(PLE.lastrow)-ROW(PLE.firstrow))),0,
           IF(OFFSET(PLE!$G$15,$M20-$A$15,BF$13)="",10^12,OFFSET(PLE!$G$15,$M20-$A$15,BF$13)))</f>
        <v>1000000000000</v>
      </c>
      <c r="BG20" s="134">
        <f ca="1">IF(OR($D20&lt;&gt;"Serviço",AND(AUTOEVENTO="Manual",$M20=$A$15),$M20&gt;(ROW(PLE.lastrow)-ROW(PLE.firstrow))),0,
           IF(OFFSET(PLE!$G$15,$M20-$A$15,BG$13)="",10^12,OFFSET(PLE!$G$15,$M20-$A$15,BG$13)))</f>
        <v>1000000000000</v>
      </c>
    </row>
    <row r="21" spans="1:59" ht="13.2" x14ac:dyDescent="0.25">
      <c r="A21" s="5" t="str">
        <f ca="1">IF(AUTOEVENTO="Manual",IF(K21&lt;&gt;"",MIN(VALUE(LEFT(K21,FIND(".",K21)-1)),COUNTA(EVENTOS.Lista)),0),IF(OR($B21&gt;AUTOEVENTO,$B21="S",$B21=0),SUBSTITUTE(OFFSET($A21,-1,0),IF($D21="Serviço",".",""),""),ROW(A21)-ROW($A$15)&amp;"."))</f>
        <v>4</v>
      </c>
      <c r="B21" s="5" t="str">
        <f ca="1">OFFSET(ORÇAMENTO!C$15,ROW(B21)-ROW(B$15),0)</f>
        <v>S</v>
      </c>
      <c r="C21" s="5" t="str">
        <f ca="1">OFFSET(ORÇAMENTO!L$15,ROW(C21)-ROW(C$15),0)</f>
        <v>F</v>
      </c>
      <c r="D21" s="87" t="str">
        <f ca="1">OFFSET(ORÇAMENTO!N$15,ROW(D21)-ROW(D$15),0)</f>
        <v>Serviço</v>
      </c>
      <c r="E21" s="88" t="str">
        <f ca="1">OFFSET(ORÇAMENTO!O$15,ROW(E21)-ROW(E$15),0)</f>
        <v>1.2.0.2.</v>
      </c>
      <c r="F21" s="125" t="str">
        <f ca="1">OFFSET(ORÇAMENTO!R$15,ROW(F21)-ROW(F$15),0)</f>
        <v>BARRACÃO DE MADEIRA/ALMOXARIFADO</v>
      </c>
      <c r="G21" s="126" t="str">
        <f ca="1">IF($D21&lt;&gt;"Serviço","",OFFSET(ORÇAMENTO!S$15,ROW(G21)-ROW(G$15),0))</f>
        <v>M2</v>
      </c>
      <c r="H21" s="93" cm="1">
        <f t="array" aca="1" ref="H21" ca="1">IF($D21&lt;&gt;"Serviço",0,IF(_xlfn.SINGLE(ACOMPANHAMENTO)="BM",ROUND(OFFSET(ORÇAMENTO!AJ$15,ROW(H21)-ROW(H$15),0),15-13*ORÇAMENTO!$AF$7),SUMPRODUCT(($Q$1:$AA$1)*ROUND($Q21:$AA21,15-13*ORÇAMENTO!$AF$7))))</f>
        <v>18</v>
      </c>
      <c r="I21" s="379"/>
      <c r="J21" s="488" t="str" cm="1">
        <f t="array" aca="1" ref="J21" ca="1">IF(B21&lt;&gt;"S","",IF(AND(ACOMPANHAMENTO="PLE",AUTOEVENTO="Manual",OR(H21&gt;0,ORÇAMENTO!AC21="QUANT."),OR(K21="",M21=0,N21="")),"►",IF(AND(ACOMPANHAMENTO="PLE",ORÇAMENTO!AC21="QUANT."),"►►",IF(AND(COUNTIF($P$11:$AA$11,"▼")=0,H21&gt;0,I21=""),"◄",""))))</f>
        <v>◄</v>
      </c>
      <c r="K21" s="607"/>
      <c r="L21" s="127" t="s">
        <v>788</v>
      </c>
      <c r="M21" s="128">
        <f ca="1">IF($D21&lt;&gt;"Serviço","",
          IF(AUTOEVENTO="manual",$A21,
                IF(ISERROR(MATCH($A21,$A$15:OFFSET($A21,-1,0),0)),MAX($M$15:OFFSET(M21,-1,0))+1,
                      INDEX($M$15:OFFSET(M21,-1,0),MATCH($A21,$A$15:OFFSET($A21,-1,0),0)))))</f>
        <v>2</v>
      </c>
      <c r="N21" s="129" t="str">
        <f ca="1">IF($D21&lt;&gt;"Serviço","",
         IF(AUTOEVENTO="Manual",
                IF($A21=0,"&lt;-- defina o número do agrupador",
                       OFFSET(EVENTOS!$D$15,$A21-$A$15,0)),
                OFFSET($F$15,$A21,0)))</f>
        <v>SERVIÇOS PRELIMINARES</v>
      </c>
      <c r="O21" s="130"/>
      <c r="Q21" s="130">
        <v>15</v>
      </c>
      <c r="R21" s="131"/>
      <c r="S21" s="131"/>
      <c r="T21" s="131"/>
      <c r="U21" s="131"/>
      <c r="V21" s="131"/>
      <c r="W21" s="131"/>
      <c r="X21" s="131"/>
      <c r="Y21" s="131"/>
      <c r="Z21" s="132"/>
      <c r="AB21" s="365">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365">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365">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365">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365">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365">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365">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365">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365">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365">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33">
        <f ca="1">IF(OR($D21&lt;&gt;"Serviço",AND(AUTOEVENTO="Manual",$M21=$A$15)),0,
         IF(OFFSET(CRONOPLE!$F$15,$M21-$A$15,AM$13)="",10^12,OFFSET(CRONOPLE!$F$15,$M21-$A$15,AM$13)))</f>
        <v>2</v>
      </c>
      <c r="AN21" s="133">
        <f ca="1">IF(OR($D21&lt;&gt;"Serviço",AND(AUTOEVENTO="Manual",$M21=$A$15)),0,
         IF(OFFSET(CRONOPLE!$F$15,$M21-$A$15,AN$13)="",10^12,OFFSET(CRONOPLE!$F$15,$M21-$A$15,AN$13)))</f>
        <v>1000000000000</v>
      </c>
      <c r="AO21" s="133">
        <f ca="1">IF(OR($D21&lt;&gt;"Serviço",AND(AUTOEVENTO="Manual",$M21=$A$15)),0,
         IF(OFFSET(CRONOPLE!$F$15,$M21-$A$15,AO$13)="",10^12,OFFSET(CRONOPLE!$F$15,$M21-$A$15,AO$13)))</f>
        <v>1000000000000</v>
      </c>
      <c r="AP21" s="133">
        <f ca="1">IF(OR($D21&lt;&gt;"Serviço",AND(AUTOEVENTO="Manual",$M21=$A$15)),0,
         IF(OFFSET(CRONOPLE!$F$15,$M21-$A$15,AP$13)="",10^12,OFFSET(CRONOPLE!$F$15,$M21-$A$15,AP$13)))</f>
        <v>1000000000000</v>
      </c>
      <c r="AQ21" s="133">
        <f ca="1">IF(OR($D21&lt;&gt;"Serviço",AND(AUTOEVENTO="Manual",$M21=$A$15)),0,
         IF(OFFSET(CRONOPLE!$F$15,$M21-$A$15,AQ$13)="",10^12,OFFSET(CRONOPLE!$F$15,$M21-$A$15,AQ$13)))</f>
        <v>1000000000000</v>
      </c>
      <c r="AR21" s="133">
        <f ca="1">IF(OR($D21&lt;&gt;"Serviço",AND(AUTOEVENTO="Manual",$M21=$A$15)),0,
         IF(OFFSET(CRONOPLE!$F$15,$M21-$A$15,AR$13)="",10^12,OFFSET(CRONOPLE!$F$15,$M21-$A$15,AR$13)))</f>
        <v>1000000000000</v>
      </c>
      <c r="AS21" s="133">
        <f ca="1">IF(OR($D21&lt;&gt;"Serviço",AND(AUTOEVENTO="Manual",$M21=$A$15)),0,
         IF(OFFSET(CRONOPLE!$F$15,$M21-$A$15,AS$13)="",10^12,OFFSET(CRONOPLE!$F$15,$M21-$A$15,AS$13)))</f>
        <v>1000000000000</v>
      </c>
      <c r="AT21" s="133">
        <f ca="1">IF(OR($D21&lt;&gt;"Serviço",AND(AUTOEVENTO="Manual",$M21=$A$15)),0,
         IF(OFFSET(CRONOPLE!$F$15,$M21-$A$15,AT$13)="",10^12,OFFSET(CRONOPLE!$F$15,$M21-$A$15,AT$13)))</f>
        <v>1000000000000</v>
      </c>
      <c r="AU21" s="133">
        <f ca="1">IF(OR($D21&lt;&gt;"Serviço",AND(AUTOEVENTO="Manual",$M21=$A$15)),0,
         IF(OFFSET(CRONOPLE!$F$15,$M21-$A$15,AU$13)="",10^12,OFFSET(CRONOPLE!$F$15,$M21-$A$15,AU$13)))</f>
        <v>1000000000000</v>
      </c>
      <c r="AV21" s="133">
        <f ca="1">IF(OR($D21&lt;&gt;"Serviço",AND(AUTOEVENTO="Manual",$M21=$A$15)),0,
         IF(OFFSET(CRONOPLE!$F$15,$M21-$A$15,AV$13)="",10^12,OFFSET(CRONOPLE!$F$15,$M21-$A$15,AV$13)))</f>
        <v>1000000000000</v>
      </c>
      <c r="AX21" s="134">
        <f ca="1">IF(OR($D21&lt;&gt;"Serviço",AND(AUTOEVENTO="Manual",$M21=$A$15),$M21&gt;(ROW(PLE.lastrow)-ROW(PLE.firstrow))),0,
           IF(OFFSET(PLE!$G$15,$M21-$A$15,AX$13)="",10^12,OFFSET(PLE!$G$15,$M21-$A$15,AX$13)))</f>
        <v>1000000000000</v>
      </c>
      <c r="AY21" s="134">
        <f ca="1">IF(OR($D21&lt;&gt;"Serviço",AND(AUTOEVENTO="Manual",$M21=$A$15),$M21&gt;(ROW(PLE.lastrow)-ROW(PLE.firstrow))),0,
           IF(OFFSET(PLE!$G$15,$M21-$A$15,AY$13)="",10^12,OFFSET(PLE!$G$15,$M21-$A$15,AY$13)))</f>
        <v>1000000000000</v>
      </c>
      <c r="AZ21" s="134">
        <f ca="1">IF(OR($D21&lt;&gt;"Serviço",AND(AUTOEVENTO="Manual",$M21=$A$15),$M21&gt;(ROW(PLE.lastrow)-ROW(PLE.firstrow))),0,
           IF(OFFSET(PLE!$G$15,$M21-$A$15,AZ$13)="",10^12,OFFSET(PLE!$G$15,$M21-$A$15,AZ$13)))</f>
        <v>1000000000000</v>
      </c>
      <c r="BA21" s="134">
        <f ca="1">IF(OR($D21&lt;&gt;"Serviço",AND(AUTOEVENTO="Manual",$M21=$A$15),$M21&gt;(ROW(PLE.lastrow)-ROW(PLE.firstrow))),0,
           IF(OFFSET(PLE!$G$15,$M21-$A$15,BA$13)="",10^12,OFFSET(PLE!$G$15,$M21-$A$15,BA$13)))</f>
        <v>1000000000000</v>
      </c>
      <c r="BB21" s="134">
        <f ca="1">IF(OR($D21&lt;&gt;"Serviço",AND(AUTOEVENTO="Manual",$M21=$A$15),$M21&gt;(ROW(PLE.lastrow)-ROW(PLE.firstrow))),0,
           IF(OFFSET(PLE!$G$15,$M21-$A$15,BB$13)="",10^12,OFFSET(PLE!$G$15,$M21-$A$15,BB$13)))</f>
        <v>1000000000000</v>
      </c>
      <c r="BC21" s="134">
        <f ca="1">IF(OR($D21&lt;&gt;"Serviço",AND(AUTOEVENTO="Manual",$M21=$A$15),$M21&gt;(ROW(PLE.lastrow)-ROW(PLE.firstrow))),0,
           IF(OFFSET(PLE!$G$15,$M21-$A$15,BC$13)="",10^12,OFFSET(PLE!$G$15,$M21-$A$15,BC$13)))</f>
        <v>1000000000000</v>
      </c>
      <c r="BD21" s="134">
        <f ca="1">IF(OR($D21&lt;&gt;"Serviço",AND(AUTOEVENTO="Manual",$M21=$A$15),$M21&gt;(ROW(PLE.lastrow)-ROW(PLE.firstrow))),0,
           IF(OFFSET(PLE!$G$15,$M21-$A$15,BD$13)="",10^12,OFFSET(PLE!$G$15,$M21-$A$15,BD$13)))</f>
        <v>1000000000000</v>
      </c>
      <c r="BE21" s="134">
        <f ca="1">IF(OR($D21&lt;&gt;"Serviço",AND(AUTOEVENTO="Manual",$M21=$A$15),$M21&gt;(ROW(PLE.lastrow)-ROW(PLE.firstrow))),0,
           IF(OFFSET(PLE!$G$15,$M21-$A$15,BE$13)="",10^12,OFFSET(PLE!$G$15,$M21-$A$15,BE$13)))</f>
        <v>1000000000000</v>
      </c>
      <c r="BF21" s="134">
        <f ca="1">IF(OR($D21&lt;&gt;"Serviço",AND(AUTOEVENTO="Manual",$M21=$A$15),$M21&gt;(ROW(PLE.lastrow)-ROW(PLE.firstrow))),0,
           IF(OFFSET(PLE!$G$15,$M21-$A$15,BF$13)="",10^12,OFFSET(PLE!$G$15,$M21-$A$15,BF$13)))</f>
        <v>1000000000000</v>
      </c>
      <c r="BG21" s="134">
        <f ca="1">IF(OR($D21&lt;&gt;"Serviço",AND(AUTOEVENTO="Manual",$M21=$A$15),$M21&gt;(ROW(PLE.lastrow)-ROW(PLE.firstrow))),0,
           IF(OFFSET(PLE!$G$15,$M21-$A$15,BG$13)="",10^12,OFFSET(PLE!$G$15,$M21-$A$15,BG$13)))</f>
        <v>1000000000000</v>
      </c>
    </row>
    <row r="22" spans="1:59" ht="13.2" x14ac:dyDescent="0.25">
      <c r="A22" s="5" t="str">
        <f ca="1">IF(AUTOEVENTO="Manual",IF(K22&lt;&gt;"",MIN(VALUE(LEFT(K22,FIND(".",K22)-1)),COUNTA(EVENTOS.Lista)),0),IF(OR($B22&gt;AUTOEVENTO,$B22="S",$B22=0),SUBSTITUTE(OFFSET($A22,-1,0),IF($D22="Serviço",".",""),""),ROW(A22)-ROW($A$15)&amp;"."))</f>
        <v>7.</v>
      </c>
      <c r="B22" s="5">
        <f ca="1">OFFSET(ORÇAMENTO!C$15,ROW(B22)-ROW(B$15),0)</f>
        <v>2</v>
      </c>
      <c r="C22" s="5" t="str">
        <f ca="1">OFFSET(ORÇAMENTO!L$15,ROW(C22)-ROW(C$15),0)</f>
        <v>F</v>
      </c>
      <c r="D22" s="87" t="str">
        <f ca="1">OFFSET(ORÇAMENTO!N$15,ROW(D22)-ROW(D$15),0)</f>
        <v>Nível 2</v>
      </c>
      <c r="E22" s="88" t="str">
        <f ca="1">OFFSET(ORÇAMENTO!O$15,ROW(E22)-ROW(E$15),0)</f>
        <v>1.3.</v>
      </c>
      <c r="F22" s="125" t="str">
        <f ca="1">OFFSET(ORÇAMENTO!R$15,ROW(F22)-ROW(F$15),0)</f>
        <v>MOBILIZAÇÃO DE MAQUINÁRIO</v>
      </c>
      <c r="G22" s="126" t="str">
        <f ca="1">IF($D22&lt;&gt;"Serviço","",OFFSET(ORÇAMENTO!S$15,ROW(G22)-ROW(G$15),0))</f>
        <v/>
      </c>
      <c r="H22" s="93" cm="1">
        <f t="array" aca="1" ref="H22" ca="1">IF($D22&lt;&gt;"Serviço",0,IF(_xlfn.SINGLE(ACOMPANHAMENTO)="BM",ROUND(OFFSET(ORÇAMENTO!AJ$15,ROW(H22)-ROW(H$15),0),15-13*ORÇAMENTO!$AF$7),SUMPRODUCT(($Q$1:$AA$1)*ROUND($Q22:$AA22,15-13*ORÇAMENTO!$AF$7))))</f>
        <v>0</v>
      </c>
      <c r="I22" s="379"/>
      <c r="J22" s="488" t="str" cm="1">
        <f t="array" aca="1" ref="J22" ca="1">IF(B22&lt;&gt;"S","",IF(AND(ACOMPANHAMENTO="PLE",AUTOEVENTO="Manual",OR(H22&gt;0,ORÇAMENTO!AC22="QUANT."),OR(K22="",M22=0,N22="")),"►",IF(AND(ACOMPANHAMENTO="PLE",ORÇAMENTO!AC22="QUANT."),"►►",IF(AND(COUNTIF($P$11:$AA$11,"▼")=0,H22&gt;0,I22=""),"◄",""))))</f>
        <v/>
      </c>
      <c r="K22" s="607"/>
      <c r="L22" s="127" t="s">
        <v>788</v>
      </c>
      <c r="M22" s="128" t="str">
        <f ca="1">IF($D22&lt;&gt;"Serviço","",
          IF(AUTOEVENTO="manual",$A22,
                IF(ISERROR(MATCH($A22,$A$15:OFFSET($A22,-1,0),0)),MAX($M$15:OFFSET(M22,-1,0))+1,
                      INDEX($M$15:OFFSET(M22,-1,0),MATCH($A22,$A$15:OFFSET($A22,-1,0),0)))))</f>
        <v/>
      </c>
      <c r="N22" s="129" t="str">
        <f ca="1">IF($D22&lt;&gt;"Serviço","",
         IF(AUTOEVENTO="Manual",
                IF($A22=0,"&lt;-- defina o número do agrupador",
                       OFFSET(EVENTOS!$D$15,$A22-$A$15,0)),
                OFFSET($F$15,$A22,0)))</f>
        <v/>
      </c>
      <c r="O22" s="130"/>
      <c r="Q22" s="130"/>
      <c r="R22" s="131"/>
      <c r="S22" s="131"/>
      <c r="T22" s="131"/>
      <c r="U22" s="131"/>
      <c r="V22" s="131"/>
      <c r="W22" s="131"/>
      <c r="X22" s="131"/>
      <c r="Y22" s="131"/>
      <c r="Z22" s="132"/>
      <c r="AB22" s="365">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365">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365">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365">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365">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365">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365">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365">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365">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365">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33">
        <f ca="1">IF(OR($D22&lt;&gt;"Serviço",AND(AUTOEVENTO="Manual",$M22=$A$15)),0,
         IF(OFFSET(CRONOPLE!$F$15,$M22-$A$15,AM$13)="",10^12,OFFSET(CRONOPLE!$F$15,$M22-$A$15,AM$13)))</f>
        <v>0</v>
      </c>
      <c r="AN22" s="133">
        <f ca="1">IF(OR($D22&lt;&gt;"Serviço",AND(AUTOEVENTO="Manual",$M22=$A$15)),0,
         IF(OFFSET(CRONOPLE!$F$15,$M22-$A$15,AN$13)="",10^12,OFFSET(CRONOPLE!$F$15,$M22-$A$15,AN$13)))</f>
        <v>0</v>
      </c>
      <c r="AO22" s="133">
        <f ca="1">IF(OR($D22&lt;&gt;"Serviço",AND(AUTOEVENTO="Manual",$M22=$A$15)),0,
         IF(OFFSET(CRONOPLE!$F$15,$M22-$A$15,AO$13)="",10^12,OFFSET(CRONOPLE!$F$15,$M22-$A$15,AO$13)))</f>
        <v>0</v>
      </c>
      <c r="AP22" s="133">
        <f ca="1">IF(OR($D22&lt;&gt;"Serviço",AND(AUTOEVENTO="Manual",$M22=$A$15)),0,
         IF(OFFSET(CRONOPLE!$F$15,$M22-$A$15,AP$13)="",10^12,OFFSET(CRONOPLE!$F$15,$M22-$A$15,AP$13)))</f>
        <v>0</v>
      </c>
      <c r="AQ22" s="133">
        <f ca="1">IF(OR($D22&lt;&gt;"Serviço",AND(AUTOEVENTO="Manual",$M22=$A$15)),0,
         IF(OFFSET(CRONOPLE!$F$15,$M22-$A$15,AQ$13)="",10^12,OFFSET(CRONOPLE!$F$15,$M22-$A$15,AQ$13)))</f>
        <v>0</v>
      </c>
      <c r="AR22" s="133">
        <f ca="1">IF(OR($D22&lt;&gt;"Serviço",AND(AUTOEVENTO="Manual",$M22=$A$15)),0,
         IF(OFFSET(CRONOPLE!$F$15,$M22-$A$15,AR$13)="",10^12,OFFSET(CRONOPLE!$F$15,$M22-$A$15,AR$13)))</f>
        <v>0</v>
      </c>
      <c r="AS22" s="133">
        <f ca="1">IF(OR($D22&lt;&gt;"Serviço",AND(AUTOEVENTO="Manual",$M22=$A$15)),0,
         IF(OFFSET(CRONOPLE!$F$15,$M22-$A$15,AS$13)="",10^12,OFFSET(CRONOPLE!$F$15,$M22-$A$15,AS$13)))</f>
        <v>0</v>
      </c>
      <c r="AT22" s="133">
        <f ca="1">IF(OR($D22&lt;&gt;"Serviço",AND(AUTOEVENTO="Manual",$M22=$A$15)),0,
         IF(OFFSET(CRONOPLE!$F$15,$M22-$A$15,AT$13)="",10^12,OFFSET(CRONOPLE!$F$15,$M22-$A$15,AT$13)))</f>
        <v>0</v>
      </c>
      <c r="AU22" s="133">
        <f ca="1">IF(OR($D22&lt;&gt;"Serviço",AND(AUTOEVENTO="Manual",$M22=$A$15)),0,
         IF(OFFSET(CRONOPLE!$F$15,$M22-$A$15,AU$13)="",10^12,OFFSET(CRONOPLE!$F$15,$M22-$A$15,AU$13)))</f>
        <v>0</v>
      </c>
      <c r="AV22" s="133">
        <f ca="1">IF(OR($D22&lt;&gt;"Serviço",AND(AUTOEVENTO="Manual",$M22=$A$15)),0,
         IF(OFFSET(CRONOPLE!$F$15,$M22-$A$15,AV$13)="",10^12,OFFSET(CRONOPLE!$F$15,$M22-$A$15,AV$13)))</f>
        <v>0</v>
      </c>
      <c r="AX22" s="134">
        <f ca="1">IF(OR($D22&lt;&gt;"Serviço",AND(AUTOEVENTO="Manual",$M22=$A$15),$M22&gt;(ROW(PLE.lastrow)-ROW(PLE.firstrow))),0,
           IF(OFFSET(PLE!$G$15,$M22-$A$15,AX$13)="",10^12,OFFSET(PLE!$G$15,$M22-$A$15,AX$13)))</f>
        <v>0</v>
      </c>
      <c r="AY22" s="134">
        <f ca="1">IF(OR($D22&lt;&gt;"Serviço",AND(AUTOEVENTO="Manual",$M22=$A$15),$M22&gt;(ROW(PLE.lastrow)-ROW(PLE.firstrow))),0,
           IF(OFFSET(PLE!$G$15,$M22-$A$15,AY$13)="",10^12,OFFSET(PLE!$G$15,$M22-$A$15,AY$13)))</f>
        <v>0</v>
      </c>
      <c r="AZ22" s="134">
        <f ca="1">IF(OR($D22&lt;&gt;"Serviço",AND(AUTOEVENTO="Manual",$M22=$A$15),$M22&gt;(ROW(PLE.lastrow)-ROW(PLE.firstrow))),0,
           IF(OFFSET(PLE!$G$15,$M22-$A$15,AZ$13)="",10^12,OFFSET(PLE!$G$15,$M22-$A$15,AZ$13)))</f>
        <v>0</v>
      </c>
      <c r="BA22" s="134">
        <f ca="1">IF(OR($D22&lt;&gt;"Serviço",AND(AUTOEVENTO="Manual",$M22=$A$15),$M22&gt;(ROW(PLE.lastrow)-ROW(PLE.firstrow))),0,
           IF(OFFSET(PLE!$G$15,$M22-$A$15,BA$13)="",10^12,OFFSET(PLE!$G$15,$M22-$A$15,BA$13)))</f>
        <v>0</v>
      </c>
      <c r="BB22" s="134">
        <f ca="1">IF(OR($D22&lt;&gt;"Serviço",AND(AUTOEVENTO="Manual",$M22=$A$15),$M22&gt;(ROW(PLE.lastrow)-ROW(PLE.firstrow))),0,
           IF(OFFSET(PLE!$G$15,$M22-$A$15,BB$13)="",10^12,OFFSET(PLE!$G$15,$M22-$A$15,BB$13)))</f>
        <v>0</v>
      </c>
      <c r="BC22" s="134">
        <f ca="1">IF(OR($D22&lt;&gt;"Serviço",AND(AUTOEVENTO="Manual",$M22=$A$15),$M22&gt;(ROW(PLE.lastrow)-ROW(PLE.firstrow))),0,
           IF(OFFSET(PLE!$G$15,$M22-$A$15,BC$13)="",10^12,OFFSET(PLE!$G$15,$M22-$A$15,BC$13)))</f>
        <v>0</v>
      </c>
      <c r="BD22" s="134">
        <f ca="1">IF(OR($D22&lt;&gt;"Serviço",AND(AUTOEVENTO="Manual",$M22=$A$15),$M22&gt;(ROW(PLE.lastrow)-ROW(PLE.firstrow))),0,
           IF(OFFSET(PLE!$G$15,$M22-$A$15,BD$13)="",10^12,OFFSET(PLE!$G$15,$M22-$A$15,BD$13)))</f>
        <v>0</v>
      </c>
      <c r="BE22" s="134">
        <f ca="1">IF(OR($D22&lt;&gt;"Serviço",AND(AUTOEVENTO="Manual",$M22=$A$15),$M22&gt;(ROW(PLE.lastrow)-ROW(PLE.firstrow))),0,
           IF(OFFSET(PLE!$G$15,$M22-$A$15,BE$13)="",10^12,OFFSET(PLE!$G$15,$M22-$A$15,BE$13)))</f>
        <v>0</v>
      </c>
      <c r="BF22" s="134">
        <f ca="1">IF(OR($D22&lt;&gt;"Serviço",AND(AUTOEVENTO="Manual",$M22=$A$15),$M22&gt;(ROW(PLE.lastrow)-ROW(PLE.firstrow))),0,
           IF(OFFSET(PLE!$G$15,$M22-$A$15,BF$13)="",10^12,OFFSET(PLE!$G$15,$M22-$A$15,BF$13)))</f>
        <v>0</v>
      </c>
      <c r="BG22" s="134">
        <f ca="1">IF(OR($D22&lt;&gt;"Serviço",AND(AUTOEVENTO="Manual",$M22=$A$15),$M22&gt;(ROW(PLE.lastrow)-ROW(PLE.firstrow))),0,
           IF(OFFSET(PLE!$G$15,$M22-$A$15,BG$13)="",10^12,OFFSET(PLE!$G$15,$M22-$A$15,BG$13)))</f>
        <v>0</v>
      </c>
    </row>
    <row r="23" spans="1:59" ht="13.2" x14ac:dyDescent="0.25">
      <c r="A23" s="5" t="str">
        <f ca="1">IF(AUTOEVENTO="Manual",IF(K23&lt;&gt;"",MIN(VALUE(LEFT(K23,FIND(".",K23)-1)),COUNTA(EVENTOS.Lista)),0),IF(OR($B23&gt;AUTOEVENTO,$B23="S",$B23=0),SUBSTITUTE(OFFSET($A23,-1,0),IF($D23="Serviço",".",""),""),ROW(A23)-ROW($A$15)&amp;"."))</f>
        <v>7</v>
      </c>
      <c r="B23" s="5" t="str">
        <f ca="1">OFFSET(ORÇAMENTO!C$15,ROW(B23)-ROW(B$15),0)</f>
        <v>S</v>
      </c>
      <c r="C23" s="5" t="str">
        <f ca="1">OFFSET(ORÇAMENTO!L$15,ROW(C23)-ROW(C$15),0)</f>
        <v>F</v>
      </c>
      <c r="D23" s="87" t="str">
        <f ca="1">OFFSET(ORÇAMENTO!N$15,ROW(D23)-ROW(D$15),0)</f>
        <v>Serviço</v>
      </c>
      <c r="E23" s="88" t="str">
        <f ca="1">OFFSET(ORÇAMENTO!O$15,ROW(E23)-ROW(E$15),0)</f>
        <v>1.3.0.1.</v>
      </c>
      <c r="F23" s="125" t="str">
        <f ca="1">OFFSET(ORÇAMENTO!R$15,ROW(F23)-ROW(F$15),0)</f>
        <v>MOBILIZAÇÃO DE MAQUINÁRIO</v>
      </c>
      <c r="G23" s="126" t="str">
        <f ca="1">IF($D23&lt;&gt;"Serviço","",OFFSET(ORÇAMENTO!S$15,ROW(G23)-ROW(G$15),0))</f>
        <v>UN</v>
      </c>
      <c r="H23" s="93" cm="1">
        <f t="array" aca="1" ref="H23" ca="1">IF($D23&lt;&gt;"Serviço",0,IF(_xlfn.SINGLE(ACOMPANHAMENTO)="BM",ROUND(OFFSET(ORÇAMENTO!AJ$15,ROW(H23)-ROW(H$15),0),15-13*ORÇAMENTO!$AF$7),SUMPRODUCT(($Q$1:$AA$1)*ROUND($Q23:$AA23,15-13*ORÇAMENTO!$AF$7))))</f>
        <v>1</v>
      </c>
      <c r="I23" s="379"/>
      <c r="J23" s="488" t="str" cm="1">
        <f t="array" aca="1" ref="J23" ca="1">IF(B23&lt;&gt;"S","",IF(AND(ACOMPANHAMENTO="PLE",AUTOEVENTO="Manual",OR(H23&gt;0,ORÇAMENTO!AC23="QUANT."),OR(K23="",M23=0,N23="")),"►",IF(AND(ACOMPANHAMENTO="PLE",ORÇAMENTO!AC23="QUANT."),"►►",IF(AND(COUNTIF($P$11:$AA$11,"▼")=0,H23&gt;0,I23=""),"◄",""))))</f>
        <v>◄</v>
      </c>
      <c r="K23" s="607"/>
      <c r="L23" s="127" t="s">
        <v>788</v>
      </c>
      <c r="M23" s="128">
        <f ca="1">IF($D23&lt;&gt;"Serviço","",
          IF(AUTOEVENTO="manual",$A23,
                IF(ISERROR(MATCH($A23,$A$15:OFFSET($A23,-1,0),0)),MAX($M$15:OFFSET(M23,-1,0))+1,
                      INDEX($M$15:OFFSET(M23,-1,0),MATCH($A23,$A$15:OFFSET($A23,-1,0),0)))))</f>
        <v>3</v>
      </c>
      <c r="N23" s="129" t="str">
        <f ca="1">IF($D23&lt;&gt;"Serviço","",
         IF(AUTOEVENTO="Manual",
                IF($A23=0,"&lt;-- defina o número do agrupador",
                       OFFSET(EVENTOS!$D$15,$A23-$A$15,0)),
                OFFSET($F$15,$A23,0)))</f>
        <v>MOBILIZAÇÃO DE MAQUINÁRIO</v>
      </c>
      <c r="O23" s="130"/>
      <c r="Q23" s="130">
        <v>1</v>
      </c>
      <c r="R23" s="131"/>
      <c r="S23" s="131"/>
      <c r="T23" s="131"/>
      <c r="U23" s="131"/>
      <c r="V23" s="131"/>
      <c r="W23" s="131"/>
      <c r="X23" s="131"/>
      <c r="Y23" s="131"/>
      <c r="Z23" s="132"/>
      <c r="AB23" s="365">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365">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365">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365">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365">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365">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365">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365">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365">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365">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33">
        <f ca="1">IF(OR($D23&lt;&gt;"Serviço",AND(AUTOEVENTO="Manual",$M23=$A$15)),0,
         IF(OFFSET(CRONOPLE!$F$15,$M23-$A$15,AM$13)="",10^12,OFFSET(CRONOPLE!$F$15,$M23-$A$15,AM$13)))</f>
        <v>3</v>
      </c>
      <c r="AN23" s="133">
        <f ca="1">IF(OR($D23&lt;&gt;"Serviço",AND(AUTOEVENTO="Manual",$M23=$A$15)),0,
         IF(OFFSET(CRONOPLE!$F$15,$M23-$A$15,AN$13)="",10^12,OFFSET(CRONOPLE!$F$15,$M23-$A$15,AN$13)))</f>
        <v>1000000000000</v>
      </c>
      <c r="AO23" s="133">
        <f ca="1">IF(OR($D23&lt;&gt;"Serviço",AND(AUTOEVENTO="Manual",$M23=$A$15)),0,
         IF(OFFSET(CRONOPLE!$F$15,$M23-$A$15,AO$13)="",10^12,OFFSET(CRONOPLE!$F$15,$M23-$A$15,AO$13)))</f>
        <v>1000000000000</v>
      </c>
      <c r="AP23" s="133">
        <f ca="1">IF(OR($D23&lt;&gt;"Serviço",AND(AUTOEVENTO="Manual",$M23=$A$15)),0,
         IF(OFFSET(CRONOPLE!$F$15,$M23-$A$15,AP$13)="",10^12,OFFSET(CRONOPLE!$F$15,$M23-$A$15,AP$13)))</f>
        <v>1000000000000</v>
      </c>
      <c r="AQ23" s="133">
        <f ca="1">IF(OR($D23&lt;&gt;"Serviço",AND(AUTOEVENTO="Manual",$M23=$A$15)),0,
         IF(OFFSET(CRONOPLE!$F$15,$M23-$A$15,AQ$13)="",10^12,OFFSET(CRONOPLE!$F$15,$M23-$A$15,AQ$13)))</f>
        <v>1000000000000</v>
      </c>
      <c r="AR23" s="133">
        <f ca="1">IF(OR($D23&lt;&gt;"Serviço",AND(AUTOEVENTO="Manual",$M23=$A$15)),0,
         IF(OFFSET(CRONOPLE!$F$15,$M23-$A$15,AR$13)="",10^12,OFFSET(CRONOPLE!$F$15,$M23-$A$15,AR$13)))</f>
        <v>1000000000000</v>
      </c>
      <c r="AS23" s="133">
        <f ca="1">IF(OR($D23&lt;&gt;"Serviço",AND(AUTOEVENTO="Manual",$M23=$A$15)),0,
         IF(OFFSET(CRONOPLE!$F$15,$M23-$A$15,AS$13)="",10^12,OFFSET(CRONOPLE!$F$15,$M23-$A$15,AS$13)))</f>
        <v>1000000000000</v>
      </c>
      <c r="AT23" s="133">
        <f ca="1">IF(OR($D23&lt;&gt;"Serviço",AND(AUTOEVENTO="Manual",$M23=$A$15)),0,
         IF(OFFSET(CRONOPLE!$F$15,$M23-$A$15,AT$13)="",10^12,OFFSET(CRONOPLE!$F$15,$M23-$A$15,AT$13)))</f>
        <v>1000000000000</v>
      </c>
      <c r="AU23" s="133">
        <f ca="1">IF(OR($D23&lt;&gt;"Serviço",AND(AUTOEVENTO="Manual",$M23=$A$15)),0,
         IF(OFFSET(CRONOPLE!$F$15,$M23-$A$15,AU$13)="",10^12,OFFSET(CRONOPLE!$F$15,$M23-$A$15,AU$13)))</f>
        <v>1000000000000</v>
      </c>
      <c r="AV23" s="133">
        <f ca="1">IF(OR($D23&lt;&gt;"Serviço",AND(AUTOEVENTO="Manual",$M23=$A$15)),0,
         IF(OFFSET(CRONOPLE!$F$15,$M23-$A$15,AV$13)="",10^12,OFFSET(CRONOPLE!$F$15,$M23-$A$15,AV$13)))</f>
        <v>1000000000000</v>
      </c>
      <c r="AX23" s="134">
        <f ca="1">IF(OR($D23&lt;&gt;"Serviço",AND(AUTOEVENTO="Manual",$M23=$A$15),$M23&gt;(ROW(PLE.lastrow)-ROW(PLE.firstrow))),0,
           IF(OFFSET(PLE!$G$15,$M23-$A$15,AX$13)="",10^12,OFFSET(PLE!$G$15,$M23-$A$15,AX$13)))</f>
        <v>1000000000000</v>
      </c>
      <c r="AY23" s="134">
        <f ca="1">IF(OR($D23&lt;&gt;"Serviço",AND(AUTOEVENTO="Manual",$M23=$A$15),$M23&gt;(ROW(PLE.lastrow)-ROW(PLE.firstrow))),0,
           IF(OFFSET(PLE!$G$15,$M23-$A$15,AY$13)="",10^12,OFFSET(PLE!$G$15,$M23-$A$15,AY$13)))</f>
        <v>1000000000000</v>
      </c>
      <c r="AZ23" s="134">
        <f ca="1">IF(OR($D23&lt;&gt;"Serviço",AND(AUTOEVENTO="Manual",$M23=$A$15),$M23&gt;(ROW(PLE.lastrow)-ROW(PLE.firstrow))),0,
           IF(OFFSET(PLE!$G$15,$M23-$A$15,AZ$13)="",10^12,OFFSET(PLE!$G$15,$M23-$A$15,AZ$13)))</f>
        <v>1000000000000</v>
      </c>
      <c r="BA23" s="134">
        <f ca="1">IF(OR($D23&lt;&gt;"Serviço",AND(AUTOEVENTO="Manual",$M23=$A$15),$M23&gt;(ROW(PLE.lastrow)-ROW(PLE.firstrow))),0,
           IF(OFFSET(PLE!$G$15,$M23-$A$15,BA$13)="",10^12,OFFSET(PLE!$G$15,$M23-$A$15,BA$13)))</f>
        <v>1000000000000</v>
      </c>
      <c r="BB23" s="134">
        <f ca="1">IF(OR($D23&lt;&gt;"Serviço",AND(AUTOEVENTO="Manual",$M23=$A$15),$M23&gt;(ROW(PLE.lastrow)-ROW(PLE.firstrow))),0,
           IF(OFFSET(PLE!$G$15,$M23-$A$15,BB$13)="",10^12,OFFSET(PLE!$G$15,$M23-$A$15,BB$13)))</f>
        <v>1000000000000</v>
      </c>
      <c r="BC23" s="134">
        <f ca="1">IF(OR($D23&lt;&gt;"Serviço",AND(AUTOEVENTO="Manual",$M23=$A$15),$M23&gt;(ROW(PLE.lastrow)-ROW(PLE.firstrow))),0,
           IF(OFFSET(PLE!$G$15,$M23-$A$15,BC$13)="",10^12,OFFSET(PLE!$G$15,$M23-$A$15,BC$13)))</f>
        <v>1000000000000</v>
      </c>
      <c r="BD23" s="134">
        <f ca="1">IF(OR($D23&lt;&gt;"Serviço",AND(AUTOEVENTO="Manual",$M23=$A$15),$M23&gt;(ROW(PLE.lastrow)-ROW(PLE.firstrow))),0,
           IF(OFFSET(PLE!$G$15,$M23-$A$15,BD$13)="",10^12,OFFSET(PLE!$G$15,$M23-$A$15,BD$13)))</f>
        <v>1000000000000</v>
      </c>
      <c r="BE23" s="134">
        <f ca="1">IF(OR($D23&lt;&gt;"Serviço",AND(AUTOEVENTO="Manual",$M23=$A$15),$M23&gt;(ROW(PLE.lastrow)-ROW(PLE.firstrow))),0,
           IF(OFFSET(PLE!$G$15,$M23-$A$15,BE$13)="",10^12,OFFSET(PLE!$G$15,$M23-$A$15,BE$13)))</f>
        <v>1000000000000</v>
      </c>
      <c r="BF23" s="134">
        <f ca="1">IF(OR($D23&lt;&gt;"Serviço",AND(AUTOEVENTO="Manual",$M23=$A$15),$M23&gt;(ROW(PLE.lastrow)-ROW(PLE.firstrow))),0,
           IF(OFFSET(PLE!$G$15,$M23-$A$15,BF$13)="",10^12,OFFSET(PLE!$G$15,$M23-$A$15,BF$13)))</f>
        <v>1000000000000</v>
      </c>
      <c r="BG23" s="134">
        <f ca="1">IF(OR($D23&lt;&gt;"Serviço",AND(AUTOEVENTO="Manual",$M23=$A$15),$M23&gt;(ROW(PLE.lastrow)-ROW(PLE.firstrow))),0,
           IF(OFFSET(PLE!$G$15,$M23-$A$15,BG$13)="",10^12,OFFSET(PLE!$G$15,$M23-$A$15,BG$13)))</f>
        <v>1000000000000</v>
      </c>
    </row>
    <row r="24" spans="1:59" ht="13.2" x14ac:dyDescent="0.25">
      <c r="A24" s="5" t="str">
        <f ca="1">IF(AUTOEVENTO="Manual",IF(K24&lt;&gt;"",MIN(VALUE(LEFT(K24,FIND(".",K24)-1)),COUNTA(EVENTOS.Lista)),0),IF(OR($B24&gt;AUTOEVENTO,$B24="S",$B24=0),SUBSTITUTE(OFFSET($A24,-1,0),IF($D24="Serviço",".",""),""),ROW(A24)-ROW($A$15)&amp;"."))</f>
        <v>9.</v>
      </c>
      <c r="B24" s="5">
        <f ca="1">OFFSET(ORÇAMENTO!C$15,ROW(B24)-ROW(B$15),0)</f>
        <v>2</v>
      </c>
      <c r="C24" s="5" t="str">
        <f ca="1">OFFSET(ORÇAMENTO!L$15,ROW(C24)-ROW(C$15),0)</f>
        <v>F</v>
      </c>
      <c r="D24" s="87" t="str">
        <f ca="1">OFFSET(ORÇAMENTO!N$15,ROW(D24)-ROW(D$15),0)</f>
        <v>Nível 2</v>
      </c>
      <c r="E24" s="88" t="str">
        <f ca="1">OFFSET(ORÇAMENTO!O$15,ROW(E24)-ROW(E$15),0)</f>
        <v>1.4.</v>
      </c>
      <c r="F24" s="125" t="str">
        <f ca="1">OFFSET(ORÇAMENTO!R$15,ROW(F24)-ROW(F$15),0)</f>
        <v>DESMOBILIZAÇÃO DE MAQUINÁRIO</v>
      </c>
      <c r="G24" s="126" t="str">
        <f ca="1">IF($D24&lt;&gt;"Serviço","",OFFSET(ORÇAMENTO!S$15,ROW(G24)-ROW(G$15),0))</f>
        <v/>
      </c>
      <c r="H24" s="93" cm="1">
        <f t="array" aca="1" ref="H24" ca="1">IF($D24&lt;&gt;"Serviço",0,IF(_xlfn.SINGLE(ACOMPANHAMENTO)="BM",ROUND(OFFSET(ORÇAMENTO!AJ$15,ROW(H24)-ROW(H$15),0),15-13*ORÇAMENTO!$AF$7),SUMPRODUCT(($Q$1:$AA$1)*ROUND($Q24:$AA24,15-13*ORÇAMENTO!$AF$7))))</f>
        <v>0</v>
      </c>
      <c r="I24" s="379"/>
      <c r="J24" s="488" t="str" cm="1">
        <f t="array" aca="1" ref="J24" ca="1">IF(B24&lt;&gt;"S","",IF(AND(ACOMPANHAMENTO="PLE",AUTOEVENTO="Manual",OR(H24&gt;0,ORÇAMENTO!AC24="QUANT."),OR(K24="",M24=0,N24="")),"►",IF(AND(ACOMPANHAMENTO="PLE",ORÇAMENTO!AC24="QUANT."),"►►",IF(AND(COUNTIF($P$11:$AA$11,"▼")=0,H24&gt;0,I24=""),"◄",""))))</f>
        <v/>
      </c>
      <c r="K24" s="607"/>
      <c r="L24" s="127" t="s">
        <v>788</v>
      </c>
      <c r="M24" s="128" t="str">
        <f ca="1">IF($D24&lt;&gt;"Serviço","",
          IF(AUTOEVENTO="manual",$A24,
                IF(ISERROR(MATCH($A24,$A$15:OFFSET($A24,-1,0),0)),MAX($M$15:OFFSET(M24,-1,0))+1,
                      INDEX($M$15:OFFSET(M24,-1,0),MATCH($A24,$A$15:OFFSET($A24,-1,0),0)))))</f>
        <v/>
      </c>
      <c r="N24" s="129" t="str">
        <f ca="1">IF($D24&lt;&gt;"Serviço","",
         IF(AUTOEVENTO="Manual",
                IF($A24=0,"&lt;-- defina o número do agrupador",
                       OFFSET(EVENTOS!$D$15,$A24-$A$15,0)),
                OFFSET($F$15,$A24,0)))</f>
        <v/>
      </c>
      <c r="O24" s="130"/>
      <c r="Q24" s="130"/>
      <c r="R24" s="131"/>
      <c r="S24" s="131"/>
      <c r="T24" s="131"/>
      <c r="U24" s="131"/>
      <c r="V24" s="131"/>
      <c r="W24" s="131"/>
      <c r="X24" s="131"/>
      <c r="Y24" s="131"/>
      <c r="Z24" s="132"/>
      <c r="AB24" s="365">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365">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365">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365">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365">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365">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365">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365">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365">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365">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33">
        <f ca="1">IF(OR($D24&lt;&gt;"Serviço",AND(AUTOEVENTO="Manual",$M24=$A$15)),0,
         IF(OFFSET(CRONOPLE!$F$15,$M24-$A$15,AM$13)="",10^12,OFFSET(CRONOPLE!$F$15,$M24-$A$15,AM$13)))</f>
        <v>0</v>
      </c>
      <c r="AN24" s="133">
        <f ca="1">IF(OR($D24&lt;&gt;"Serviço",AND(AUTOEVENTO="Manual",$M24=$A$15)),0,
         IF(OFFSET(CRONOPLE!$F$15,$M24-$A$15,AN$13)="",10^12,OFFSET(CRONOPLE!$F$15,$M24-$A$15,AN$13)))</f>
        <v>0</v>
      </c>
      <c r="AO24" s="133">
        <f ca="1">IF(OR($D24&lt;&gt;"Serviço",AND(AUTOEVENTO="Manual",$M24=$A$15)),0,
         IF(OFFSET(CRONOPLE!$F$15,$M24-$A$15,AO$13)="",10^12,OFFSET(CRONOPLE!$F$15,$M24-$A$15,AO$13)))</f>
        <v>0</v>
      </c>
      <c r="AP24" s="133">
        <f ca="1">IF(OR($D24&lt;&gt;"Serviço",AND(AUTOEVENTO="Manual",$M24=$A$15)),0,
         IF(OFFSET(CRONOPLE!$F$15,$M24-$A$15,AP$13)="",10^12,OFFSET(CRONOPLE!$F$15,$M24-$A$15,AP$13)))</f>
        <v>0</v>
      </c>
      <c r="AQ24" s="133">
        <f ca="1">IF(OR($D24&lt;&gt;"Serviço",AND(AUTOEVENTO="Manual",$M24=$A$15)),0,
         IF(OFFSET(CRONOPLE!$F$15,$M24-$A$15,AQ$13)="",10^12,OFFSET(CRONOPLE!$F$15,$M24-$A$15,AQ$13)))</f>
        <v>0</v>
      </c>
      <c r="AR24" s="133">
        <f ca="1">IF(OR($D24&lt;&gt;"Serviço",AND(AUTOEVENTO="Manual",$M24=$A$15)),0,
         IF(OFFSET(CRONOPLE!$F$15,$M24-$A$15,AR$13)="",10^12,OFFSET(CRONOPLE!$F$15,$M24-$A$15,AR$13)))</f>
        <v>0</v>
      </c>
      <c r="AS24" s="133">
        <f ca="1">IF(OR($D24&lt;&gt;"Serviço",AND(AUTOEVENTO="Manual",$M24=$A$15)),0,
         IF(OFFSET(CRONOPLE!$F$15,$M24-$A$15,AS$13)="",10^12,OFFSET(CRONOPLE!$F$15,$M24-$A$15,AS$13)))</f>
        <v>0</v>
      </c>
      <c r="AT24" s="133">
        <f ca="1">IF(OR($D24&lt;&gt;"Serviço",AND(AUTOEVENTO="Manual",$M24=$A$15)),0,
         IF(OFFSET(CRONOPLE!$F$15,$M24-$A$15,AT$13)="",10^12,OFFSET(CRONOPLE!$F$15,$M24-$A$15,AT$13)))</f>
        <v>0</v>
      </c>
      <c r="AU24" s="133">
        <f ca="1">IF(OR($D24&lt;&gt;"Serviço",AND(AUTOEVENTO="Manual",$M24=$A$15)),0,
         IF(OFFSET(CRONOPLE!$F$15,$M24-$A$15,AU$13)="",10^12,OFFSET(CRONOPLE!$F$15,$M24-$A$15,AU$13)))</f>
        <v>0</v>
      </c>
      <c r="AV24" s="133">
        <f ca="1">IF(OR($D24&lt;&gt;"Serviço",AND(AUTOEVENTO="Manual",$M24=$A$15)),0,
         IF(OFFSET(CRONOPLE!$F$15,$M24-$A$15,AV$13)="",10^12,OFFSET(CRONOPLE!$F$15,$M24-$A$15,AV$13)))</f>
        <v>0</v>
      </c>
      <c r="AX24" s="134">
        <f ca="1">IF(OR($D24&lt;&gt;"Serviço",AND(AUTOEVENTO="Manual",$M24=$A$15),$M24&gt;(ROW(PLE.lastrow)-ROW(PLE.firstrow))),0,
           IF(OFFSET(PLE!$G$15,$M24-$A$15,AX$13)="",10^12,OFFSET(PLE!$G$15,$M24-$A$15,AX$13)))</f>
        <v>0</v>
      </c>
      <c r="AY24" s="134">
        <f ca="1">IF(OR($D24&lt;&gt;"Serviço",AND(AUTOEVENTO="Manual",$M24=$A$15),$M24&gt;(ROW(PLE.lastrow)-ROW(PLE.firstrow))),0,
           IF(OFFSET(PLE!$G$15,$M24-$A$15,AY$13)="",10^12,OFFSET(PLE!$G$15,$M24-$A$15,AY$13)))</f>
        <v>0</v>
      </c>
      <c r="AZ24" s="134">
        <f ca="1">IF(OR($D24&lt;&gt;"Serviço",AND(AUTOEVENTO="Manual",$M24=$A$15),$M24&gt;(ROW(PLE.lastrow)-ROW(PLE.firstrow))),0,
           IF(OFFSET(PLE!$G$15,$M24-$A$15,AZ$13)="",10^12,OFFSET(PLE!$G$15,$M24-$A$15,AZ$13)))</f>
        <v>0</v>
      </c>
      <c r="BA24" s="134">
        <f ca="1">IF(OR($D24&lt;&gt;"Serviço",AND(AUTOEVENTO="Manual",$M24=$A$15),$M24&gt;(ROW(PLE.lastrow)-ROW(PLE.firstrow))),0,
           IF(OFFSET(PLE!$G$15,$M24-$A$15,BA$13)="",10^12,OFFSET(PLE!$G$15,$M24-$A$15,BA$13)))</f>
        <v>0</v>
      </c>
      <c r="BB24" s="134">
        <f ca="1">IF(OR($D24&lt;&gt;"Serviço",AND(AUTOEVENTO="Manual",$M24=$A$15),$M24&gt;(ROW(PLE.lastrow)-ROW(PLE.firstrow))),0,
           IF(OFFSET(PLE!$G$15,$M24-$A$15,BB$13)="",10^12,OFFSET(PLE!$G$15,$M24-$A$15,BB$13)))</f>
        <v>0</v>
      </c>
      <c r="BC24" s="134">
        <f ca="1">IF(OR($D24&lt;&gt;"Serviço",AND(AUTOEVENTO="Manual",$M24=$A$15),$M24&gt;(ROW(PLE.lastrow)-ROW(PLE.firstrow))),0,
           IF(OFFSET(PLE!$G$15,$M24-$A$15,BC$13)="",10^12,OFFSET(PLE!$G$15,$M24-$A$15,BC$13)))</f>
        <v>0</v>
      </c>
      <c r="BD24" s="134">
        <f ca="1">IF(OR($D24&lt;&gt;"Serviço",AND(AUTOEVENTO="Manual",$M24=$A$15),$M24&gt;(ROW(PLE.lastrow)-ROW(PLE.firstrow))),0,
           IF(OFFSET(PLE!$G$15,$M24-$A$15,BD$13)="",10^12,OFFSET(PLE!$G$15,$M24-$A$15,BD$13)))</f>
        <v>0</v>
      </c>
      <c r="BE24" s="134">
        <f ca="1">IF(OR($D24&lt;&gt;"Serviço",AND(AUTOEVENTO="Manual",$M24=$A$15),$M24&gt;(ROW(PLE.lastrow)-ROW(PLE.firstrow))),0,
           IF(OFFSET(PLE!$G$15,$M24-$A$15,BE$13)="",10^12,OFFSET(PLE!$G$15,$M24-$A$15,BE$13)))</f>
        <v>0</v>
      </c>
      <c r="BF24" s="134">
        <f ca="1">IF(OR($D24&lt;&gt;"Serviço",AND(AUTOEVENTO="Manual",$M24=$A$15),$M24&gt;(ROW(PLE.lastrow)-ROW(PLE.firstrow))),0,
           IF(OFFSET(PLE!$G$15,$M24-$A$15,BF$13)="",10^12,OFFSET(PLE!$G$15,$M24-$A$15,BF$13)))</f>
        <v>0</v>
      </c>
      <c r="BG24" s="134">
        <f ca="1">IF(OR($D24&lt;&gt;"Serviço",AND(AUTOEVENTO="Manual",$M24=$A$15),$M24&gt;(ROW(PLE.lastrow)-ROW(PLE.firstrow))),0,
           IF(OFFSET(PLE!$G$15,$M24-$A$15,BG$13)="",10^12,OFFSET(PLE!$G$15,$M24-$A$15,BG$13)))</f>
        <v>0</v>
      </c>
    </row>
    <row r="25" spans="1:59" ht="26.4" x14ac:dyDescent="0.25">
      <c r="A25" s="5" t="str">
        <f ca="1">IF(AUTOEVENTO="Manual",IF(K25&lt;&gt;"",MIN(VALUE(LEFT(K25,FIND(".",K25)-1)),COUNTA(EVENTOS.Lista)),0),IF(OR($B25&gt;AUTOEVENTO,$B25="S",$B25=0),SUBSTITUTE(OFFSET($A25,-1,0),IF($D25="Serviço",".",""),""),ROW(A25)-ROW($A$15)&amp;"."))</f>
        <v>9</v>
      </c>
      <c r="B25" s="5" t="str">
        <f ca="1">OFFSET(ORÇAMENTO!C$15,ROW(B25)-ROW(B$15),0)</f>
        <v>S</v>
      </c>
      <c r="C25" s="5" t="str">
        <f ca="1">OFFSET(ORÇAMENTO!L$15,ROW(C25)-ROW(C$15),0)</f>
        <v>F</v>
      </c>
      <c r="D25" s="87" t="str">
        <f ca="1">OFFSET(ORÇAMENTO!N$15,ROW(D25)-ROW(D$15),0)</f>
        <v>Serviço</v>
      </c>
      <c r="E25" s="88" t="str">
        <f ca="1">OFFSET(ORÇAMENTO!O$15,ROW(E25)-ROW(E$15),0)</f>
        <v>1.4.0.1.</v>
      </c>
      <c r="F25" s="125" t="str">
        <f ca="1">OFFSET(ORÇAMENTO!R$15,ROW(F25)-ROW(F$15),0)</f>
        <v>DESMOBILIZAÇÃO DE MAQUINÁRIO</v>
      </c>
      <c r="G25" s="126" t="str">
        <f ca="1">IF($D25&lt;&gt;"Serviço","",OFFSET(ORÇAMENTO!S$15,ROW(G25)-ROW(G$15),0))</f>
        <v>UN</v>
      </c>
      <c r="H25" s="93" cm="1">
        <f t="array" aca="1" ref="H25" ca="1">IF($D25&lt;&gt;"Serviço",0,IF(_xlfn.SINGLE(ACOMPANHAMENTO)="BM",ROUND(OFFSET(ORÇAMENTO!AJ$15,ROW(H25)-ROW(H$15),0),15-13*ORÇAMENTO!$AF$7),SUMPRODUCT(($Q$1:$AA$1)*ROUND($Q25:$AA25,15-13*ORÇAMENTO!$AF$7))))</f>
        <v>1</v>
      </c>
      <c r="I25" s="379"/>
      <c r="J25" s="488" t="str" cm="1">
        <f t="array" aca="1" ref="J25" ca="1">IF(B25&lt;&gt;"S","",IF(AND(ACOMPANHAMENTO="PLE",AUTOEVENTO="Manual",OR(H25&gt;0,ORÇAMENTO!AC25="QUANT."),OR(K25="",M25=0,N25="")),"►",IF(AND(ACOMPANHAMENTO="PLE",ORÇAMENTO!AC25="QUANT."),"►►",IF(AND(COUNTIF($P$11:$AA$11,"▼")=0,H25&gt;0,I25=""),"◄",""))))</f>
        <v>◄</v>
      </c>
      <c r="K25" s="607"/>
      <c r="L25" s="127" t="s">
        <v>788</v>
      </c>
      <c r="M25" s="128">
        <f ca="1">IF($D25&lt;&gt;"Serviço","",
          IF(AUTOEVENTO="manual",$A25,
                IF(ISERROR(MATCH($A25,$A$15:OFFSET($A25,-1,0),0)),MAX($M$15:OFFSET(M25,-1,0))+1,
                      INDEX($M$15:OFFSET(M25,-1,0),MATCH($A25,$A$15:OFFSET($A25,-1,0),0)))))</f>
        <v>4</v>
      </c>
      <c r="N25" s="129" t="str">
        <f ca="1">IF($D25&lt;&gt;"Serviço","",
         IF(AUTOEVENTO="Manual",
                IF($A25=0,"&lt;-- defina o número do agrupador",
                       OFFSET(EVENTOS!$D$15,$A25-$A$15,0)),
                OFFSET($F$15,$A25,0)))</f>
        <v>DESMOBILIZAÇÃO DE MAQUINÁRIO</v>
      </c>
      <c r="O25" s="130"/>
      <c r="Q25" s="130">
        <v>1</v>
      </c>
      <c r="R25" s="131"/>
      <c r="S25" s="131"/>
      <c r="T25" s="131"/>
      <c r="U25" s="131"/>
      <c r="V25" s="131"/>
      <c r="W25" s="131"/>
      <c r="X25" s="131"/>
      <c r="Y25" s="131"/>
      <c r="Z25" s="132"/>
      <c r="AB25" s="365">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365">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365">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365">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365">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365">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365">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365">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365">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365">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33">
        <f ca="1">IF(OR($D25&lt;&gt;"Serviço",AND(AUTOEVENTO="Manual",$M25=$A$15)),0,
         IF(OFFSET(CRONOPLE!$F$15,$M25-$A$15,AM$13)="",10^12,OFFSET(CRONOPLE!$F$15,$M25-$A$15,AM$13)))</f>
        <v>4</v>
      </c>
      <c r="AN25" s="133">
        <f ca="1">IF(OR($D25&lt;&gt;"Serviço",AND(AUTOEVENTO="Manual",$M25=$A$15)),0,
         IF(OFFSET(CRONOPLE!$F$15,$M25-$A$15,AN$13)="",10^12,OFFSET(CRONOPLE!$F$15,$M25-$A$15,AN$13)))</f>
        <v>1000000000000</v>
      </c>
      <c r="AO25" s="133">
        <f ca="1">IF(OR($D25&lt;&gt;"Serviço",AND(AUTOEVENTO="Manual",$M25=$A$15)),0,
         IF(OFFSET(CRONOPLE!$F$15,$M25-$A$15,AO$13)="",10^12,OFFSET(CRONOPLE!$F$15,$M25-$A$15,AO$13)))</f>
        <v>1000000000000</v>
      </c>
      <c r="AP25" s="133">
        <f ca="1">IF(OR($D25&lt;&gt;"Serviço",AND(AUTOEVENTO="Manual",$M25=$A$15)),0,
         IF(OFFSET(CRONOPLE!$F$15,$M25-$A$15,AP$13)="",10^12,OFFSET(CRONOPLE!$F$15,$M25-$A$15,AP$13)))</f>
        <v>1000000000000</v>
      </c>
      <c r="AQ25" s="133">
        <f ca="1">IF(OR($D25&lt;&gt;"Serviço",AND(AUTOEVENTO="Manual",$M25=$A$15)),0,
         IF(OFFSET(CRONOPLE!$F$15,$M25-$A$15,AQ$13)="",10^12,OFFSET(CRONOPLE!$F$15,$M25-$A$15,AQ$13)))</f>
        <v>1000000000000</v>
      </c>
      <c r="AR25" s="133">
        <f ca="1">IF(OR($D25&lt;&gt;"Serviço",AND(AUTOEVENTO="Manual",$M25=$A$15)),0,
         IF(OFFSET(CRONOPLE!$F$15,$M25-$A$15,AR$13)="",10^12,OFFSET(CRONOPLE!$F$15,$M25-$A$15,AR$13)))</f>
        <v>1000000000000</v>
      </c>
      <c r="AS25" s="133">
        <f ca="1">IF(OR($D25&lt;&gt;"Serviço",AND(AUTOEVENTO="Manual",$M25=$A$15)),0,
         IF(OFFSET(CRONOPLE!$F$15,$M25-$A$15,AS$13)="",10^12,OFFSET(CRONOPLE!$F$15,$M25-$A$15,AS$13)))</f>
        <v>1000000000000</v>
      </c>
      <c r="AT25" s="133">
        <f ca="1">IF(OR($D25&lt;&gt;"Serviço",AND(AUTOEVENTO="Manual",$M25=$A$15)),0,
         IF(OFFSET(CRONOPLE!$F$15,$M25-$A$15,AT$13)="",10^12,OFFSET(CRONOPLE!$F$15,$M25-$A$15,AT$13)))</f>
        <v>1000000000000</v>
      </c>
      <c r="AU25" s="133">
        <f ca="1">IF(OR($D25&lt;&gt;"Serviço",AND(AUTOEVENTO="Manual",$M25=$A$15)),0,
         IF(OFFSET(CRONOPLE!$F$15,$M25-$A$15,AU$13)="",10^12,OFFSET(CRONOPLE!$F$15,$M25-$A$15,AU$13)))</f>
        <v>1000000000000</v>
      </c>
      <c r="AV25" s="133">
        <f ca="1">IF(OR($D25&lt;&gt;"Serviço",AND(AUTOEVENTO="Manual",$M25=$A$15)),0,
         IF(OFFSET(CRONOPLE!$F$15,$M25-$A$15,AV$13)="",10^12,OFFSET(CRONOPLE!$F$15,$M25-$A$15,AV$13)))</f>
        <v>1000000000000</v>
      </c>
      <c r="AX25" s="134">
        <f ca="1">IF(OR($D25&lt;&gt;"Serviço",AND(AUTOEVENTO="Manual",$M25=$A$15),$M25&gt;(ROW(PLE.lastrow)-ROW(PLE.firstrow))),0,
           IF(OFFSET(PLE!$G$15,$M25-$A$15,AX$13)="",10^12,OFFSET(PLE!$G$15,$M25-$A$15,AX$13)))</f>
        <v>1000000000000</v>
      </c>
      <c r="AY25" s="134">
        <f ca="1">IF(OR($D25&lt;&gt;"Serviço",AND(AUTOEVENTO="Manual",$M25=$A$15),$M25&gt;(ROW(PLE.lastrow)-ROW(PLE.firstrow))),0,
           IF(OFFSET(PLE!$G$15,$M25-$A$15,AY$13)="",10^12,OFFSET(PLE!$G$15,$M25-$A$15,AY$13)))</f>
        <v>1000000000000</v>
      </c>
      <c r="AZ25" s="134">
        <f ca="1">IF(OR($D25&lt;&gt;"Serviço",AND(AUTOEVENTO="Manual",$M25=$A$15),$M25&gt;(ROW(PLE.lastrow)-ROW(PLE.firstrow))),0,
           IF(OFFSET(PLE!$G$15,$M25-$A$15,AZ$13)="",10^12,OFFSET(PLE!$G$15,$M25-$A$15,AZ$13)))</f>
        <v>1000000000000</v>
      </c>
      <c r="BA25" s="134">
        <f ca="1">IF(OR($D25&lt;&gt;"Serviço",AND(AUTOEVENTO="Manual",$M25=$A$15),$M25&gt;(ROW(PLE.lastrow)-ROW(PLE.firstrow))),0,
           IF(OFFSET(PLE!$G$15,$M25-$A$15,BA$13)="",10^12,OFFSET(PLE!$G$15,$M25-$A$15,BA$13)))</f>
        <v>1000000000000</v>
      </c>
      <c r="BB25" s="134">
        <f ca="1">IF(OR($D25&lt;&gt;"Serviço",AND(AUTOEVENTO="Manual",$M25=$A$15),$M25&gt;(ROW(PLE.lastrow)-ROW(PLE.firstrow))),0,
           IF(OFFSET(PLE!$G$15,$M25-$A$15,BB$13)="",10^12,OFFSET(PLE!$G$15,$M25-$A$15,BB$13)))</f>
        <v>1000000000000</v>
      </c>
      <c r="BC25" s="134">
        <f ca="1">IF(OR($D25&lt;&gt;"Serviço",AND(AUTOEVENTO="Manual",$M25=$A$15),$M25&gt;(ROW(PLE.lastrow)-ROW(PLE.firstrow))),0,
           IF(OFFSET(PLE!$G$15,$M25-$A$15,BC$13)="",10^12,OFFSET(PLE!$G$15,$M25-$A$15,BC$13)))</f>
        <v>1000000000000</v>
      </c>
      <c r="BD25" s="134">
        <f ca="1">IF(OR($D25&lt;&gt;"Serviço",AND(AUTOEVENTO="Manual",$M25=$A$15),$M25&gt;(ROW(PLE.lastrow)-ROW(PLE.firstrow))),0,
           IF(OFFSET(PLE!$G$15,$M25-$A$15,BD$13)="",10^12,OFFSET(PLE!$G$15,$M25-$A$15,BD$13)))</f>
        <v>1000000000000</v>
      </c>
      <c r="BE25" s="134">
        <f ca="1">IF(OR($D25&lt;&gt;"Serviço",AND(AUTOEVENTO="Manual",$M25=$A$15),$M25&gt;(ROW(PLE.lastrow)-ROW(PLE.firstrow))),0,
           IF(OFFSET(PLE!$G$15,$M25-$A$15,BE$13)="",10^12,OFFSET(PLE!$G$15,$M25-$A$15,BE$13)))</f>
        <v>1000000000000</v>
      </c>
      <c r="BF25" s="134">
        <f ca="1">IF(OR($D25&lt;&gt;"Serviço",AND(AUTOEVENTO="Manual",$M25=$A$15),$M25&gt;(ROW(PLE.lastrow)-ROW(PLE.firstrow))),0,
           IF(OFFSET(PLE!$G$15,$M25-$A$15,BF$13)="",10^12,OFFSET(PLE!$G$15,$M25-$A$15,BF$13)))</f>
        <v>1000000000000</v>
      </c>
      <c r="BG25" s="134">
        <f ca="1">IF(OR($D25&lt;&gt;"Serviço",AND(AUTOEVENTO="Manual",$M25=$A$15),$M25&gt;(ROW(PLE.lastrow)-ROW(PLE.firstrow))),0,
           IF(OFFSET(PLE!$G$15,$M25-$A$15,BG$13)="",10^12,OFFSET(PLE!$G$15,$M25-$A$15,BG$13)))</f>
        <v>1000000000000</v>
      </c>
    </row>
    <row r="26" spans="1:59" ht="13.2" x14ac:dyDescent="0.25">
      <c r="A26" s="5" t="str">
        <f ca="1">IF(AUTOEVENTO="Manual",IF(K26&lt;&gt;"",MIN(VALUE(LEFT(K26,FIND(".",K26)-1)),COUNTA(EVENTOS.Lista)),0),IF(OR($B26&gt;AUTOEVENTO,$B26="S",$B26=0),SUBSTITUTE(OFFSET($A26,-1,0),IF($D26="Serviço",".",""),""),ROW(A26)-ROW($A$15)&amp;"."))</f>
        <v>11.</v>
      </c>
      <c r="B26" s="5">
        <f ca="1">OFFSET(ORÇAMENTO!C$15,ROW(B26)-ROW(B$15),0)</f>
        <v>2</v>
      </c>
      <c r="C26" s="5" t="str">
        <f ca="1">OFFSET(ORÇAMENTO!L$15,ROW(C26)-ROW(C$15),0)</f>
        <v>F</v>
      </c>
      <c r="D26" s="87" t="str">
        <f ca="1">OFFSET(ORÇAMENTO!N$15,ROW(D26)-ROW(D$15),0)</f>
        <v>Nível 2</v>
      </c>
      <c r="E26" s="88" t="str">
        <f ca="1">OFFSET(ORÇAMENTO!O$15,ROW(E26)-ROW(E$15),0)</f>
        <v>1.5.</v>
      </c>
      <c r="F26" s="125" t="str">
        <f ca="1">OFFSET(ORÇAMENTO!R$15,ROW(F26)-ROW(F$15),0)</f>
        <v>PAVIMENTAÇÃO DE VIAS</v>
      </c>
      <c r="G26" s="126" t="str">
        <f ca="1">IF($D26&lt;&gt;"Serviço","",OFFSET(ORÇAMENTO!S$15,ROW(G26)-ROW(G$15),0))</f>
        <v/>
      </c>
      <c r="H26" s="93" cm="1">
        <f t="array" aca="1" ref="H26" ca="1">IF($D26&lt;&gt;"Serviço",0,IF(_xlfn.SINGLE(ACOMPANHAMENTO)="BM",ROUND(OFFSET(ORÇAMENTO!AJ$15,ROW(H26)-ROW(H$15),0),15-13*ORÇAMENTO!$AF$7),SUMPRODUCT(($Q$1:$AA$1)*ROUND($Q26:$AA26,15-13*ORÇAMENTO!$AF$7))))</f>
        <v>0</v>
      </c>
      <c r="I26" s="379"/>
      <c r="J26" s="488" t="str" cm="1">
        <f t="array" aca="1" ref="J26" ca="1">IF(B26&lt;&gt;"S","",IF(AND(ACOMPANHAMENTO="PLE",AUTOEVENTO="Manual",OR(H26&gt;0,ORÇAMENTO!AC26="QUANT."),OR(K26="",M26=0,N26="")),"►",IF(AND(ACOMPANHAMENTO="PLE",ORÇAMENTO!AC26="QUANT."),"►►",IF(AND(COUNTIF($P$11:$AA$11,"▼")=0,H26&gt;0,I26=""),"◄",""))))</f>
        <v/>
      </c>
      <c r="K26" s="607"/>
      <c r="L26" s="127" t="s">
        <v>788</v>
      </c>
      <c r="M26" s="128" t="str">
        <f ca="1">IF($D26&lt;&gt;"Serviço","",
          IF(AUTOEVENTO="manual",$A26,
                IF(ISERROR(MATCH($A26,$A$15:OFFSET($A26,-1,0),0)),MAX($M$15:OFFSET(M26,-1,0))+1,
                      INDEX($M$15:OFFSET(M26,-1,0),MATCH($A26,$A$15:OFFSET($A26,-1,0),0)))))</f>
        <v/>
      </c>
      <c r="N26" s="129" t="str">
        <f ca="1">IF($D26&lt;&gt;"Serviço","",
         IF(AUTOEVENTO="Manual",
                IF($A26=0,"&lt;-- defina o número do agrupador",
                       OFFSET(EVENTOS!$D$15,$A26-$A$15,0)),
                OFFSET($F$15,$A26,0)))</f>
        <v/>
      </c>
      <c r="O26" s="130"/>
      <c r="Q26" s="130"/>
      <c r="R26" s="131"/>
      <c r="S26" s="131"/>
      <c r="T26" s="131"/>
      <c r="U26" s="131"/>
      <c r="V26" s="131"/>
      <c r="W26" s="131"/>
      <c r="X26" s="131"/>
      <c r="Y26" s="131"/>
      <c r="Z26" s="132"/>
      <c r="AB26" s="365">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365">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365">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365">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365">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365">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365">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365">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365">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365">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33">
        <f ca="1">IF(OR($D26&lt;&gt;"Serviço",AND(AUTOEVENTO="Manual",$M26=$A$15)),0,
         IF(OFFSET(CRONOPLE!$F$15,$M26-$A$15,AM$13)="",10^12,OFFSET(CRONOPLE!$F$15,$M26-$A$15,AM$13)))</f>
        <v>0</v>
      </c>
      <c r="AN26" s="133">
        <f ca="1">IF(OR($D26&lt;&gt;"Serviço",AND(AUTOEVENTO="Manual",$M26=$A$15)),0,
         IF(OFFSET(CRONOPLE!$F$15,$M26-$A$15,AN$13)="",10^12,OFFSET(CRONOPLE!$F$15,$M26-$A$15,AN$13)))</f>
        <v>0</v>
      </c>
      <c r="AO26" s="133">
        <f ca="1">IF(OR($D26&lt;&gt;"Serviço",AND(AUTOEVENTO="Manual",$M26=$A$15)),0,
         IF(OFFSET(CRONOPLE!$F$15,$M26-$A$15,AO$13)="",10^12,OFFSET(CRONOPLE!$F$15,$M26-$A$15,AO$13)))</f>
        <v>0</v>
      </c>
      <c r="AP26" s="133">
        <f ca="1">IF(OR($D26&lt;&gt;"Serviço",AND(AUTOEVENTO="Manual",$M26=$A$15)),0,
         IF(OFFSET(CRONOPLE!$F$15,$M26-$A$15,AP$13)="",10^12,OFFSET(CRONOPLE!$F$15,$M26-$A$15,AP$13)))</f>
        <v>0</v>
      </c>
      <c r="AQ26" s="133">
        <f ca="1">IF(OR($D26&lt;&gt;"Serviço",AND(AUTOEVENTO="Manual",$M26=$A$15)),0,
         IF(OFFSET(CRONOPLE!$F$15,$M26-$A$15,AQ$13)="",10^12,OFFSET(CRONOPLE!$F$15,$M26-$A$15,AQ$13)))</f>
        <v>0</v>
      </c>
      <c r="AR26" s="133">
        <f ca="1">IF(OR($D26&lt;&gt;"Serviço",AND(AUTOEVENTO="Manual",$M26=$A$15)),0,
         IF(OFFSET(CRONOPLE!$F$15,$M26-$A$15,AR$13)="",10^12,OFFSET(CRONOPLE!$F$15,$M26-$A$15,AR$13)))</f>
        <v>0</v>
      </c>
      <c r="AS26" s="133">
        <f ca="1">IF(OR($D26&lt;&gt;"Serviço",AND(AUTOEVENTO="Manual",$M26=$A$15)),0,
         IF(OFFSET(CRONOPLE!$F$15,$M26-$A$15,AS$13)="",10^12,OFFSET(CRONOPLE!$F$15,$M26-$A$15,AS$13)))</f>
        <v>0</v>
      </c>
      <c r="AT26" s="133">
        <f ca="1">IF(OR($D26&lt;&gt;"Serviço",AND(AUTOEVENTO="Manual",$M26=$A$15)),0,
         IF(OFFSET(CRONOPLE!$F$15,$M26-$A$15,AT$13)="",10^12,OFFSET(CRONOPLE!$F$15,$M26-$A$15,AT$13)))</f>
        <v>0</v>
      </c>
      <c r="AU26" s="133">
        <f ca="1">IF(OR($D26&lt;&gt;"Serviço",AND(AUTOEVENTO="Manual",$M26=$A$15)),0,
         IF(OFFSET(CRONOPLE!$F$15,$M26-$A$15,AU$13)="",10^12,OFFSET(CRONOPLE!$F$15,$M26-$A$15,AU$13)))</f>
        <v>0</v>
      </c>
      <c r="AV26" s="133">
        <f ca="1">IF(OR($D26&lt;&gt;"Serviço",AND(AUTOEVENTO="Manual",$M26=$A$15)),0,
         IF(OFFSET(CRONOPLE!$F$15,$M26-$A$15,AV$13)="",10^12,OFFSET(CRONOPLE!$F$15,$M26-$A$15,AV$13)))</f>
        <v>0</v>
      </c>
      <c r="AX26" s="134">
        <f ca="1">IF(OR($D26&lt;&gt;"Serviço",AND(AUTOEVENTO="Manual",$M26=$A$15),$M26&gt;(ROW(PLE.lastrow)-ROW(PLE.firstrow))),0,
           IF(OFFSET(PLE!$G$15,$M26-$A$15,AX$13)="",10^12,OFFSET(PLE!$G$15,$M26-$A$15,AX$13)))</f>
        <v>0</v>
      </c>
      <c r="AY26" s="134">
        <f ca="1">IF(OR($D26&lt;&gt;"Serviço",AND(AUTOEVENTO="Manual",$M26=$A$15),$M26&gt;(ROW(PLE.lastrow)-ROW(PLE.firstrow))),0,
           IF(OFFSET(PLE!$G$15,$M26-$A$15,AY$13)="",10^12,OFFSET(PLE!$G$15,$M26-$A$15,AY$13)))</f>
        <v>0</v>
      </c>
      <c r="AZ26" s="134">
        <f ca="1">IF(OR($D26&lt;&gt;"Serviço",AND(AUTOEVENTO="Manual",$M26=$A$15),$M26&gt;(ROW(PLE.lastrow)-ROW(PLE.firstrow))),0,
           IF(OFFSET(PLE!$G$15,$M26-$A$15,AZ$13)="",10^12,OFFSET(PLE!$G$15,$M26-$A$15,AZ$13)))</f>
        <v>0</v>
      </c>
      <c r="BA26" s="134">
        <f ca="1">IF(OR($D26&lt;&gt;"Serviço",AND(AUTOEVENTO="Manual",$M26=$A$15),$M26&gt;(ROW(PLE.lastrow)-ROW(PLE.firstrow))),0,
           IF(OFFSET(PLE!$G$15,$M26-$A$15,BA$13)="",10^12,OFFSET(PLE!$G$15,$M26-$A$15,BA$13)))</f>
        <v>0</v>
      </c>
      <c r="BB26" s="134">
        <f ca="1">IF(OR($D26&lt;&gt;"Serviço",AND(AUTOEVENTO="Manual",$M26=$A$15),$M26&gt;(ROW(PLE.lastrow)-ROW(PLE.firstrow))),0,
           IF(OFFSET(PLE!$G$15,$M26-$A$15,BB$13)="",10^12,OFFSET(PLE!$G$15,$M26-$A$15,BB$13)))</f>
        <v>0</v>
      </c>
      <c r="BC26" s="134">
        <f ca="1">IF(OR($D26&lt;&gt;"Serviço",AND(AUTOEVENTO="Manual",$M26=$A$15),$M26&gt;(ROW(PLE.lastrow)-ROW(PLE.firstrow))),0,
           IF(OFFSET(PLE!$G$15,$M26-$A$15,BC$13)="",10^12,OFFSET(PLE!$G$15,$M26-$A$15,BC$13)))</f>
        <v>0</v>
      </c>
      <c r="BD26" s="134">
        <f ca="1">IF(OR($D26&lt;&gt;"Serviço",AND(AUTOEVENTO="Manual",$M26=$A$15),$M26&gt;(ROW(PLE.lastrow)-ROW(PLE.firstrow))),0,
           IF(OFFSET(PLE!$G$15,$M26-$A$15,BD$13)="",10^12,OFFSET(PLE!$G$15,$M26-$A$15,BD$13)))</f>
        <v>0</v>
      </c>
      <c r="BE26" s="134">
        <f ca="1">IF(OR($D26&lt;&gt;"Serviço",AND(AUTOEVENTO="Manual",$M26=$A$15),$M26&gt;(ROW(PLE.lastrow)-ROW(PLE.firstrow))),0,
           IF(OFFSET(PLE!$G$15,$M26-$A$15,BE$13)="",10^12,OFFSET(PLE!$G$15,$M26-$A$15,BE$13)))</f>
        <v>0</v>
      </c>
      <c r="BF26" s="134">
        <f ca="1">IF(OR($D26&lt;&gt;"Serviço",AND(AUTOEVENTO="Manual",$M26=$A$15),$M26&gt;(ROW(PLE.lastrow)-ROW(PLE.firstrow))),0,
           IF(OFFSET(PLE!$G$15,$M26-$A$15,BF$13)="",10^12,OFFSET(PLE!$G$15,$M26-$A$15,BF$13)))</f>
        <v>0</v>
      </c>
      <c r="BG26" s="134">
        <f ca="1">IF(OR($D26&lt;&gt;"Serviço",AND(AUTOEVENTO="Manual",$M26=$A$15),$M26&gt;(ROW(PLE.lastrow)-ROW(PLE.firstrow))),0,
           IF(OFFSET(PLE!$G$15,$M26-$A$15,BG$13)="",10^12,OFFSET(PLE!$G$15,$M26-$A$15,BG$13)))</f>
        <v>0</v>
      </c>
    </row>
    <row r="27" spans="1:59" ht="13.2" x14ac:dyDescent="0.25">
      <c r="A27" s="5" t="str">
        <f ca="1">IF(AUTOEVENTO="Manual",IF(K27&lt;&gt;"",MIN(VALUE(LEFT(K27,FIND(".",K27)-1)),COUNTA(EVENTOS.Lista)),0),IF(OR($B27&gt;AUTOEVENTO,$B27="S",$B27=0),SUBSTITUTE(OFFSET($A27,-1,0),IF($D27="Serviço",".",""),""),ROW(A27)-ROW($A$15)&amp;"."))</f>
        <v>11.</v>
      </c>
      <c r="B27" s="5">
        <f ca="1">OFFSET(ORÇAMENTO!C$15,ROW(B27)-ROW(B$15),0)</f>
        <v>3</v>
      </c>
      <c r="C27" s="5" t="str">
        <f ca="1">OFFSET(ORÇAMENTO!L$15,ROW(C27)-ROW(C$15),0)</f>
        <v>F</v>
      </c>
      <c r="D27" s="87" t="str">
        <f ca="1">OFFSET(ORÇAMENTO!N$15,ROW(D27)-ROW(D$15),0)</f>
        <v>Nível 3</v>
      </c>
      <c r="E27" s="88" t="str">
        <f ca="1">OFFSET(ORÇAMENTO!O$15,ROW(E27)-ROW(E$15),0)</f>
        <v>1.5.1.</v>
      </c>
      <c r="F27" s="125" t="str">
        <f ca="1">OFFSET(ORÇAMENTO!R$15,ROW(F27)-ROW(F$15),0)</f>
        <v>PAVIMENTAÇÃO ASFÁLTICA</v>
      </c>
      <c r="G27" s="126" t="str">
        <f ca="1">IF($D27&lt;&gt;"Serviço","",OFFSET(ORÇAMENTO!S$15,ROW(G27)-ROW(G$15),0))</f>
        <v/>
      </c>
      <c r="H27" s="93" cm="1">
        <f t="array" aca="1" ref="H27" ca="1">IF($D27&lt;&gt;"Serviço",0,IF(_xlfn.SINGLE(ACOMPANHAMENTO)="BM",ROUND(OFFSET(ORÇAMENTO!AJ$15,ROW(H27)-ROW(H$15),0),15-13*ORÇAMENTO!$AF$7),SUMPRODUCT(($Q$1:$AA$1)*ROUND($Q27:$AA27,15-13*ORÇAMENTO!$AF$7))))</f>
        <v>0</v>
      </c>
      <c r="I27" s="379"/>
      <c r="J27" s="488" t="str" cm="1">
        <f t="array" aca="1" ref="J27" ca="1">IF(B27&lt;&gt;"S","",IF(AND(ACOMPANHAMENTO="PLE",AUTOEVENTO="Manual",OR(H27&gt;0,ORÇAMENTO!AC27="QUANT."),OR(K27="",M27=0,N27="")),"►",IF(AND(ACOMPANHAMENTO="PLE",ORÇAMENTO!AC27="QUANT."),"►►",IF(AND(COUNTIF($P$11:$AA$11,"▼")=0,H27&gt;0,I27=""),"◄",""))))</f>
        <v/>
      </c>
      <c r="K27" s="607"/>
      <c r="L27" s="127" t="s">
        <v>788</v>
      </c>
      <c r="M27" s="128" t="str">
        <f ca="1">IF($D27&lt;&gt;"Serviço","",
          IF(AUTOEVENTO="manual",$A27,
                IF(ISERROR(MATCH($A27,$A$15:OFFSET($A27,-1,0),0)),MAX($M$15:OFFSET(M27,-1,0))+1,
                      INDEX($M$15:OFFSET(M27,-1,0),MATCH($A27,$A$15:OFFSET($A27,-1,0),0)))))</f>
        <v/>
      </c>
      <c r="N27" s="129" t="str">
        <f ca="1">IF($D27&lt;&gt;"Serviço","",
         IF(AUTOEVENTO="Manual",
                IF($A27=0,"&lt;-- defina o número do agrupador",
                       OFFSET(EVENTOS!$D$15,$A27-$A$15,0)),
                OFFSET($F$15,$A27,0)))</f>
        <v/>
      </c>
      <c r="O27" s="130"/>
      <c r="Q27" s="130"/>
      <c r="R27" s="131"/>
      <c r="S27" s="131"/>
      <c r="T27" s="131"/>
      <c r="U27" s="131"/>
      <c r="V27" s="131"/>
      <c r="W27" s="131"/>
      <c r="X27" s="131"/>
      <c r="Y27" s="131"/>
      <c r="Z27" s="132"/>
      <c r="AB27" s="365">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365">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365">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365">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365">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365">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365">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365">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365">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365">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33">
        <f ca="1">IF(OR($D27&lt;&gt;"Serviço",AND(AUTOEVENTO="Manual",$M27=$A$15)),0,
         IF(OFFSET(CRONOPLE!$F$15,$M27-$A$15,AM$13)="",10^12,OFFSET(CRONOPLE!$F$15,$M27-$A$15,AM$13)))</f>
        <v>0</v>
      </c>
      <c r="AN27" s="133">
        <f ca="1">IF(OR($D27&lt;&gt;"Serviço",AND(AUTOEVENTO="Manual",$M27=$A$15)),0,
         IF(OFFSET(CRONOPLE!$F$15,$M27-$A$15,AN$13)="",10^12,OFFSET(CRONOPLE!$F$15,$M27-$A$15,AN$13)))</f>
        <v>0</v>
      </c>
      <c r="AO27" s="133">
        <f ca="1">IF(OR($D27&lt;&gt;"Serviço",AND(AUTOEVENTO="Manual",$M27=$A$15)),0,
         IF(OFFSET(CRONOPLE!$F$15,$M27-$A$15,AO$13)="",10^12,OFFSET(CRONOPLE!$F$15,$M27-$A$15,AO$13)))</f>
        <v>0</v>
      </c>
      <c r="AP27" s="133">
        <f ca="1">IF(OR($D27&lt;&gt;"Serviço",AND(AUTOEVENTO="Manual",$M27=$A$15)),0,
         IF(OFFSET(CRONOPLE!$F$15,$M27-$A$15,AP$13)="",10^12,OFFSET(CRONOPLE!$F$15,$M27-$A$15,AP$13)))</f>
        <v>0</v>
      </c>
      <c r="AQ27" s="133">
        <f ca="1">IF(OR($D27&lt;&gt;"Serviço",AND(AUTOEVENTO="Manual",$M27=$A$15)),0,
         IF(OFFSET(CRONOPLE!$F$15,$M27-$A$15,AQ$13)="",10^12,OFFSET(CRONOPLE!$F$15,$M27-$A$15,AQ$13)))</f>
        <v>0</v>
      </c>
      <c r="AR27" s="133">
        <f ca="1">IF(OR($D27&lt;&gt;"Serviço",AND(AUTOEVENTO="Manual",$M27=$A$15)),0,
         IF(OFFSET(CRONOPLE!$F$15,$M27-$A$15,AR$13)="",10^12,OFFSET(CRONOPLE!$F$15,$M27-$A$15,AR$13)))</f>
        <v>0</v>
      </c>
      <c r="AS27" s="133">
        <f ca="1">IF(OR($D27&lt;&gt;"Serviço",AND(AUTOEVENTO="Manual",$M27=$A$15)),0,
         IF(OFFSET(CRONOPLE!$F$15,$M27-$A$15,AS$13)="",10^12,OFFSET(CRONOPLE!$F$15,$M27-$A$15,AS$13)))</f>
        <v>0</v>
      </c>
      <c r="AT27" s="133">
        <f ca="1">IF(OR($D27&lt;&gt;"Serviço",AND(AUTOEVENTO="Manual",$M27=$A$15)),0,
         IF(OFFSET(CRONOPLE!$F$15,$M27-$A$15,AT$13)="",10^12,OFFSET(CRONOPLE!$F$15,$M27-$A$15,AT$13)))</f>
        <v>0</v>
      </c>
      <c r="AU27" s="133">
        <f ca="1">IF(OR($D27&lt;&gt;"Serviço",AND(AUTOEVENTO="Manual",$M27=$A$15)),0,
         IF(OFFSET(CRONOPLE!$F$15,$M27-$A$15,AU$13)="",10^12,OFFSET(CRONOPLE!$F$15,$M27-$A$15,AU$13)))</f>
        <v>0</v>
      </c>
      <c r="AV27" s="133">
        <f ca="1">IF(OR($D27&lt;&gt;"Serviço",AND(AUTOEVENTO="Manual",$M27=$A$15)),0,
         IF(OFFSET(CRONOPLE!$F$15,$M27-$A$15,AV$13)="",10^12,OFFSET(CRONOPLE!$F$15,$M27-$A$15,AV$13)))</f>
        <v>0</v>
      </c>
      <c r="AX27" s="134">
        <f ca="1">IF(OR($D27&lt;&gt;"Serviço",AND(AUTOEVENTO="Manual",$M27=$A$15),$M27&gt;(ROW(PLE.lastrow)-ROW(PLE.firstrow))),0,
           IF(OFFSET(PLE!$G$15,$M27-$A$15,AX$13)="",10^12,OFFSET(PLE!$G$15,$M27-$A$15,AX$13)))</f>
        <v>0</v>
      </c>
      <c r="AY27" s="134">
        <f ca="1">IF(OR($D27&lt;&gt;"Serviço",AND(AUTOEVENTO="Manual",$M27=$A$15),$M27&gt;(ROW(PLE.lastrow)-ROW(PLE.firstrow))),0,
           IF(OFFSET(PLE!$G$15,$M27-$A$15,AY$13)="",10^12,OFFSET(PLE!$G$15,$M27-$A$15,AY$13)))</f>
        <v>0</v>
      </c>
      <c r="AZ27" s="134">
        <f ca="1">IF(OR($D27&lt;&gt;"Serviço",AND(AUTOEVENTO="Manual",$M27=$A$15),$M27&gt;(ROW(PLE.lastrow)-ROW(PLE.firstrow))),0,
           IF(OFFSET(PLE!$G$15,$M27-$A$15,AZ$13)="",10^12,OFFSET(PLE!$G$15,$M27-$A$15,AZ$13)))</f>
        <v>0</v>
      </c>
      <c r="BA27" s="134">
        <f ca="1">IF(OR($D27&lt;&gt;"Serviço",AND(AUTOEVENTO="Manual",$M27=$A$15),$M27&gt;(ROW(PLE.lastrow)-ROW(PLE.firstrow))),0,
           IF(OFFSET(PLE!$G$15,$M27-$A$15,BA$13)="",10^12,OFFSET(PLE!$G$15,$M27-$A$15,BA$13)))</f>
        <v>0</v>
      </c>
      <c r="BB27" s="134">
        <f ca="1">IF(OR($D27&lt;&gt;"Serviço",AND(AUTOEVENTO="Manual",$M27=$A$15),$M27&gt;(ROW(PLE.lastrow)-ROW(PLE.firstrow))),0,
           IF(OFFSET(PLE!$G$15,$M27-$A$15,BB$13)="",10^12,OFFSET(PLE!$G$15,$M27-$A$15,BB$13)))</f>
        <v>0</v>
      </c>
      <c r="BC27" s="134">
        <f ca="1">IF(OR($D27&lt;&gt;"Serviço",AND(AUTOEVENTO="Manual",$M27=$A$15),$M27&gt;(ROW(PLE.lastrow)-ROW(PLE.firstrow))),0,
           IF(OFFSET(PLE!$G$15,$M27-$A$15,BC$13)="",10^12,OFFSET(PLE!$G$15,$M27-$A$15,BC$13)))</f>
        <v>0</v>
      </c>
      <c r="BD27" s="134">
        <f ca="1">IF(OR($D27&lt;&gt;"Serviço",AND(AUTOEVENTO="Manual",$M27=$A$15),$M27&gt;(ROW(PLE.lastrow)-ROW(PLE.firstrow))),0,
           IF(OFFSET(PLE!$G$15,$M27-$A$15,BD$13)="",10^12,OFFSET(PLE!$G$15,$M27-$A$15,BD$13)))</f>
        <v>0</v>
      </c>
      <c r="BE27" s="134">
        <f ca="1">IF(OR($D27&lt;&gt;"Serviço",AND(AUTOEVENTO="Manual",$M27=$A$15),$M27&gt;(ROW(PLE.lastrow)-ROW(PLE.firstrow))),0,
           IF(OFFSET(PLE!$G$15,$M27-$A$15,BE$13)="",10^12,OFFSET(PLE!$G$15,$M27-$A$15,BE$13)))</f>
        <v>0</v>
      </c>
      <c r="BF27" s="134">
        <f ca="1">IF(OR($D27&lt;&gt;"Serviço",AND(AUTOEVENTO="Manual",$M27=$A$15),$M27&gt;(ROW(PLE.lastrow)-ROW(PLE.firstrow))),0,
           IF(OFFSET(PLE!$G$15,$M27-$A$15,BF$13)="",10^12,OFFSET(PLE!$G$15,$M27-$A$15,BF$13)))</f>
        <v>0</v>
      </c>
      <c r="BG27" s="134">
        <f ca="1">IF(OR($D27&lt;&gt;"Serviço",AND(AUTOEVENTO="Manual",$M27=$A$15),$M27&gt;(ROW(PLE.lastrow)-ROW(PLE.firstrow))),0,
           IF(OFFSET(PLE!$G$15,$M27-$A$15,BG$13)="",10^12,OFFSET(PLE!$G$15,$M27-$A$15,BG$13)))</f>
        <v>0</v>
      </c>
    </row>
    <row r="28" spans="1:59" ht="13.2" x14ac:dyDescent="0.25">
      <c r="A28" s="5" t="str">
        <f ca="1">IF(AUTOEVENTO="Manual",IF(K28&lt;&gt;"",MIN(VALUE(LEFT(K28,FIND(".",K28)-1)),COUNTA(EVENTOS.Lista)),0),IF(OR($B28&gt;AUTOEVENTO,$B28="S",$B28=0),SUBSTITUTE(OFFSET($A28,-1,0),IF($D28="Serviço",".",""),""),ROW(A28)-ROW($A$15)&amp;"."))</f>
        <v>11</v>
      </c>
      <c r="B28" s="5" t="str">
        <f ca="1">OFFSET(ORÇAMENTO!C$15,ROW(B28)-ROW(B$15),0)</f>
        <v>S</v>
      </c>
      <c r="C28" s="5" t="str">
        <f ca="1">OFFSET(ORÇAMENTO!L$15,ROW(C28)-ROW(C$15),0)</f>
        <v>F</v>
      </c>
      <c r="D28" s="87" t="str">
        <f ca="1">OFFSET(ORÇAMENTO!N$15,ROW(D28)-ROW(D$15),0)</f>
        <v>Serviço</v>
      </c>
      <c r="E28" s="88" t="str">
        <f ca="1">OFFSET(ORÇAMENTO!O$15,ROW(E28)-ROW(E$15),0)</f>
        <v>1.5.1.1.</v>
      </c>
      <c r="F28" s="125" t="str">
        <f ca="1">OFFSET(ORÇAMENTO!R$15,ROW(F28)-ROW(F$15),0)</f>
        <v>EXECUÇÃO DE IMPRIMAÇÃO COM ASFALTO DILUÍDO CM-30</v>
      </c>
      <c r="G28" s="126" t="str">
        <f ca="1">IF($D28&lt;&gt;"Serviço","",OFFSET(ORÇAMENTO!S$15,ROW(G28)-ROW(G$15),0))</f>
        <v>M2</v>
      </c>
      <c r="H28" s="93" cm="1">
        <f t="array" aca="1" ref="H28" ca="1">IF($D28&lt;&gt;"Serviço",0,IF(_xlfn.SINGLE(ACOMPANHAMENTO)="BM",ROUND(OFFSET(ORÇAMENTO!AJ$15,ROW(H28)-ROW(H$15),0),15-13*ORÇAMENTO!$AF$7),SUMPRODUCT(($Q$1:$AA$1)*ROUND($Q28:$AA28,15-13*ORÇAMENTO!$AF$7))))</f>
        <v>30312</v>
      </c>
      <c r="I28" s="379"/>
      <c r="J28" s="488" t="str" cm="1">
        <f t="array" aca="1" ref="J28" ca="1">IF(B28&lt;&gt;"S","",IF(AND(ACOMPANHAMENTO="PLE",AUTOEVENTO="Manual",OR(H28&gt;0,ORÇAMENTO!AC28="QUANT."),OR(K28="",M28=0,N28="")),"►",IF(AND(ACOMPANHAMENTO="PLE",ORÇAMENTO!AC28="QUANT."),"►►",IF(AND(COUNTIF($P$11:$AA$11,"▼")=0,H28&gt;0,I28=""),"◄",""))))</f>
        <v>◄</v>
      </c>
      <c r="K28" s="607"/>
      <c r="L28" s="127" t="s">
        <v>788</v>
      </c>
      <c r="M28" s="128">
        <f ca="1">IF($D28&lt;&gt;"Serviço","",
          IF(AUTOEVENTO="manual",$A28,
                IF(ISERROR(MATCH($A28,$A$15:OFFSET($A28,-1,0),0)),MAX($M$15:OFFSET(M28,-1,0))+1,
                      INDEX($M$15:OFFSET(M28,-1,0),MATCH($A28,$A$15:OFFSET($A28,-1,0),0)))))</f>
        <v>5</v>
      </c>
      <c r="N28" s="129" t="str">
        <f ca="1">IF($D28&lt;&gt;"Serviço","",
         IF(AUTOEVENTO="Manual",
                IF($A28=0,"&lt;-- defina o número do agrupador",
                       OFFSET(EVENTOS!$D$15,$A28-$A$15,0)),
                OFFSET($F$15,$A28,0)))</f>
        <v>PAVIMENTAÇÃO DE VIAS</v>
      </c>
      <c r="O28" s="130"/>
      <c r="Q28" s="130">
        <v>3160</v>
      </c>
      <c r="R28" s="131"/>
      <c r="S28" s="131"/>
      <c r="T28" s="131"/>
      <c r="U28" s="131"/>
      <c r="V28" s="131"/>
      <c r="W28" s="131"/>
      <c r="X28" s="131"/>
      <c r="Y28" s="131"/>
      <c r="Z28" s="132"/>
      <c r="AB28" s="365">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365">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365">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365">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365">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365">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365">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365">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365">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365">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33">
        <f ca="1">IF(OR($D28&lt;&gt;"Serviço",AND(AUTOEVENTO="Manual",$M28=$A$15)),0,
         IF(OFFSET(CRONOPLE!$F$15,$M28-$A$15,AM$13)="",10^12,OFFSET(CRONOPLE!$F$15,$M28-$A$15,AM$13)))</f>
        <v>5</v>
      </c>
      <c r="AN28" s="133">
        <f ca="1">IF(OR($D28&lt;&gt;"Serviço",AND(AUTOEVENTO="Manual",$M28=$A$15)),0,
         IF(OFFSET(CRONOPLE!$F$15,$M28-$A$15,AN$13)="",10^12,OFFSET(CRONOPLE!$F$15,$M28-$A$15,AN$13)))</f>
        <v>1000000000000</v>
      </c>
      <c r="AO28" s="133">
        <f ca="1">IF(OR($D28&lt;&gt;"Serviço",AND(AUTOEVENTO="Manual",$M28=$A$15)),0,
         IF(OFFSET(CRONOPLE!$F$15,$M28-$A$15,AO$13)="",10^12,OFFSET(CRONOPLE!$F$15,$M28-$A$15,AO$13)))</f>
        <v>1000000000000</v>
      </c>
      <c r="AP28" s="133">
        <f ca="1">IF(OR($D28&lt;&gt;"Serviço",AND(AUTOEVENTO="Manual",$M28=$A$15)),0,
         IF(OFFSET(CRONOPLE!$F$15,$M28-$A$15,AP$13)="",10^12,OFFSET(CRONOPLE!$F$15,$M28-$A$15,AP$13)))</f>
        <v>1000000000000</v>
      </c>
      <c r="AQ28" s="133">
        <f ca="1">IF(OR($D28&lt;&gt;"Serviço",AND(AUTOEVENTO="Manual",$M28=$A$15)),0,
         IF(OFFSET(CRONOPLE!$F$15,$M28-$A$15,AQ$13)="",10^12,OFFSET(CRONOPLE!$F$15,$M28-$A$15,AQ$13)))</f>
        <v>1000000000000</v>
      </c>
      <c r="AR28" s="133">
        <f ca="1">IF(OR($D28&lt;&gt;"Serviço",AND(AUTOEVENTO="Manual",$M28=$A$15)),0,
         IF(OFFSET(CRONOPLE!$F$15,$M28-$A$15,AR$13)="",10^12,OFFSET(CRONOPLE!$F$15,$M28-$A$15,AR$13)))</f>
        <v>1000000000000</v>
      </c>
      <c r="AS28" s="133">
        <f ca="1">IF(OR($D28&lt;&gt;"Serviço",AND(AUTOEVENTO="Manual",$M28=$A$15)),0,
         IF(OFFSET(CRONOPLE!$F$15,$M28-$A$15,AS$13)="",10^12,OFFSET(CRONOPLE!$F$15,$M28-$A$15,AS$13)))</f>
        <v>1000000000000</v>
      </c>
      <c r="AT28" s="133">
        <f ca="1">IF(OR($D28&lt;&gt;"Serviço",AND(AUTOEVENTO="Manual",$M28=$A$15)),0,
         IF(OFFSET(CRONOPLE!$F$15,$M28-$A$15,AT$13)="",10^12,OFFSET(CRONOPLE!$F$15,$M28-$A$15,AT$13)))</f>
        <v>1000000000000</v>
      </c>
      <c r="AU28" s="133">
        <f ca="1">IF(OR($D28&lt;&gt;"Serviço",AND(AUTOEVENTO="Manual",$M28=$A$15)),0,
         IF(OFFSET(CRONOPLE!$F$15,$M28-$A$15,AU$13)="",10^12,OFFSET(CRONOPLE!$F$15,$M28-$A$15,AU$13)))</f>
        <v>1000000000000</v>
      </c>
      <c r="AV28" s="133">
        <f ca="1">IF(OR($D28&lt;&gt;"Serviço",AND(AUTOEVENTO="Manual",$M28=$A$15)),0,
         IF(OFFSET(CRONOPLE!$F$15,$M28-$A$15,AV$13)="",10^12,OFFSET(CRONOPLE!$F$15,$M28-$A$15,AV$13)))</f>
        <v>1000000000000</v>
      </c>
      <c r="AX28" s="134">
        <f ca="1">IF(OR($D28&lt;&gt;"Serviço",AND(AUTOEVENTO="Manual",$M28=$A$15),$M28&gt;(ROW(PLE.lastrow)-ROW(PLE.firstrow))),0,
           IF(OFFSET(PLE!$G$15,$M28-$A$15,AX$13)="",10^12,OFFSET(PLE!$G$15,$M28-$A$15,AX$13)))</f>
        <v>1000000000000</v>
      </c>
      <c r="AY28" s="134">
        <f ca="1">IF(OR($D28&lt;&gt;"Serviço",AND(AUTOEVENTO="Manual",$M28=$A$15),$M28&gt;(ROW(PLE.lastrow)-ROW(PLE.firstrow))),0,
           IF(OFFSET(PLE!$G$15,$M28-$A$15,AY$13)="",10^12,OFFSET(PLE!$G$15,$M28-$A$15,AY$13)))</f>
        <v>1000000000000</v>
      </c>
      <c r="AZ28" s="134">
        <f ca="1">IF(OR($D28&lt;&gt;"Serviço",AND(AUTOEVENTO="Manual",$M28=$A$15),$M28&gt;(ROW(PLE.lastrow)-ROW(PLE.firstrow))),0,
           IF(OFFSET(PLE!$G$15,$M28-$A$15,AZ$13)="",10^12,OFFSET(PLE!$G$15,$M28-$A$15,AZ$13)))</f>
        <v>1000000000000</v>
      </c>
      <c r="BA28" s="134">
        <f ca="1">IF(OR($D28&lt;&gt;"Serviço",AND(AUTOEVENTO="Manual",$M28=$A$15),$M28&gt;(ROW(PLE.lastrow)-ROW(PLE.firstrow))),0,
           IF(OFFSET(PLE!$G$15,$M28-$A$15,BA$13)="",10^12,OFFSET(PLE!$G$15,$M28-$A$15,BA$13)))</f>
        <v>1000000000000</v>
      </c>
      <c r="BB28" s="134">
        <f ca="1">IF(OR($D28&lt;&gt;"Serviço",AND(AUTOEVENTO="Manual",$M28=$A$15),$M28&gt;(ROW(PLE.lastrow)-ROW(PLE.firstrow))),0,
           IF(OFFSET(PLE!$G$15,$M28-$A$15,BB$13)="",10^12,OFFSET(PLE!$G$15,$M28-$A$15,BB$13)))</f>
        <v>1000000000000</v>
      </c>
      <c r="BC28" s="134">
        <f ca="1">IF(OR($D28&lt;&gt;"Serviço",AND(AUTOEVENTO="Manual",$M28=$A$15),$M28&gt;(ROW(PLE.lastrow)-ROW(PLE.firstrow))),0,
           IF(OFFSET(PLE!$G$15,$M28-$A$15,BC$13)="",10^12,OFFSET(PLE!$G$15,$M28-$A$15,BC$13)))</f>
        <v>1000000000000</v>
      </c>
      <c r="BD28" s="134">
        <f ca="1">IF(OR($D28&lt;&gt;"Serviço",AND(AUTOEVENTO="Manual",$M28=$A$15),$M28&gt;(ROW(PLE.lastrow)-ROW(PLE.firstrow))),0,
           IF(OFFSET(PLE!$G$15,$M28-$A$15,BD$13)="",10^12,OFFSET(PLE!$G$15,$M28-$A$15,BD$13)))</f>
        <v>1000000000000</v>
      </c>
      <c r="BE28" s="134">
        <f ca="1">IF(OR($D28&lt;&gt;"Serviço",AND(AUTOEVENTO="Manual",$M28=$A$15),$M28&gt;(ROW(PLE.lastrow)-ROW(PLE.firstrow))),0,
           IF(OFFSET(PLE!$G$15,$M28-$A$15,BE$13)="",10^12,OFFSET(PLE!$G$15,$M28-$A$15,BE$13)))</f>
        <v>1000000000000</v>
      </c>
      <c r="BF28" s="134">
        <f ca="1">IF(OR($D28&lt;&gt;"Serviço",AND(AUTOEVENTO="Manual",$M28=$A$15),$M28&gt;(ROW(PLE.lastrow)-ROW(PLE.firstrow))),0,
           IF(OFFSET(PLE!$G$15,$M28-$A$15,BF$13)="",10^12,OFFSET(PLE!$G$15,$M28-$A$15,BF$13)))</f>
        <v>1000000000000</v>
      </c>
      <c r="BG28" s="134">
        <f ca="1">IF(OR($D28&lt;&gt;"Serviço",AND(AUTOEVENTO="Manual",$M28=$A$15),$M28&gt;(ROW(PLE.lastrow)-ROW(PLE.firstrow))),0,
           IF(OFFSET(PLE!$G$15,$M28-$A$15,BG$13)="",10^12,OFFSET(PLE!$G$15,$M28-$A$15,BG$13)))</f>
        <v>1000000000000</v>
      </c>
    </row>
    <row r="29" spans="1:59" ht="26.4" x14ac:dyDescent="0.25">
      <c r="A29" s="5" t="str">
        <f ca="1">IF(AUTOEVENTO="Manual",IF(K29&lt;&gt;"",MIN(VALUE(LEFT(K29,FIND(".",K29)-1)),COUNTA(EVENTOS.Lista)),0),IF(OR($B29&gt;AUTOEVENTO,$B29="S",$B29=0),SUBSTITUTE(OFFSET($A29,-1,0),IF($D29="Serviço",".",""),""),ROW(A29)-ROW($A$15)&amp;"."))</f>
        <v>11</v>
      </c>
      <c r="B29" s="5" t="str">
        <f ca="1">OFFSET(ORÇAMENTO!C$15,ROW(B29)-ROW(B$15),0)</f>
        <v>S</v>
      </c>
      <c r="C29" s="5" t="str">
        <f ca="1">OFFSET(ORÇAMENTO!L$15,ROW(C29)-ROW(C$15),0)</f>
        <v>F</v>
      </c>
      <c r="D29" s="87" t="str">
        <f ca="1">OFFSET(ORÇAMENTO!N$15,ROW(D29)-ROW(D$15),0)</f>
        <v>Serviço</v>
      </c>
      <c r="E29" s="88" t="str">
        <f ca="1">OFFSET(ORÇAMENTO!O$15,ROW(E29)-ROW(E$15),0)</f>
        <v>1.5.1.2.</v>
      </c>
      <c r="F29" s="125" t="str">
        <f ca="1">OFFSET(ORÇAMENTO!R$15,ROW(F29)-ROW(F$15),0)</f>
        <v>EXECUÇÃO DE PINTURA DE LIGAÇÃO COM EMULSÃO ASFÁLTICA RR-2C</v>
      </c>
      <c r="G29" s="126" t="str">
        <f ca="1">IF($D29&lt;&gt;"Serviço","",OFFSET(ORÇAMENTO!S$15,ROW(G29)-ROW(G$15),0))</f>
        <v>M2</v>
      </c>
      <c r="H29" s="93" cm="1">
        <f t="array" aca="1" ref="H29" ca="1">IF($D29&lt;&gt;"Serviço",0,IF(_xlfn.SINGLE(ACOMPANHAMENTO)="BM",ROUND(OFFSET(ORÇAMENTO!AJ$15,ROW(H29)-ROW(H$15),0),15-13*ORÇAMENTO!$AF$7),SUMPRODUCT(($Q$1:$AA$1)*ROUND($Q29:$AA29,15-13*ORÇAMENTO!$AF$7))))</f>
        <v>30312</v>
      </c>
      <c r="I29" s="379"/>
      <c r="J29" s="488" t="str" cm="1">
        <f t="array" aca="1" ref="J29" ca="1">IF(B29&lt;&gt;"S","",IF(AND(ACOMPANHAMENTO="PLE",AUTOEVENTO="Manual",OR(H29&gt;0,ORÇAMENTO!AC29="QUANT."),OR(K29="",M29=0,N29="")),"►",IF(AND(ACOMPANHAMENTO="PLE",ORÇAMENTO!AC29="QUANT."),"►►",IF(AND(COUNTIF($P$11:$AA$11,"▼")=0,H29&gt;0,I29=""),"◄",""))))</f>
        <v>◄</v>
      </c>
      <c r="K29" s="607"/>
      <c r="L29" s="127" t="s">
        <v>788</v>
      </c>
      <c r="M29" s="128">
        <f ca="1">IF($D29&lt;&gt;"Serviço","",
          IF(AUTOEVENTO="manual",$A29,
                IF(ISERROR(MATCH($A29,$A$15:OFFSET($A29,-1,0),0)),MAX($M$15:OFFSET(M29,-1,0))+1,
                      INDEX($M$15:OFFSET(M29,-1,0),MATCH($A29,$A$15:OFFSET($A29,-1,0),0)))))</f>
        <v>5</v>
      </c>
      <c r="N29" s="129" t="str">
        <f ca="1">IF($D29&lt;&gt;"Serviço","",
         IF(AUTOEVENTO="Manual",
                IF($A29=0,"&lt;-- defina o número do agrupador",
                       OFFSET(EVENTOS!$D$15,$A29-$A$15,0)),
                OFFSET($F$15,$A29,0)))</f>
        <v>PAVIMENTAÇÃO DE VIAS</v>
      </c>
      <c r="O29" s="130"/>
      <c r="Q29" s="130">
        <v>3160</v>
      </c>
      <c r="R29" s="131"/>
      <c r="S29" s="131"/>
      <c r="T29" s="131"/>
      <c r="U29" s="131"/>
      <c r="V29" s="131"/>
      <c r="W29" s="131"/>
      <c r="X29" s="131"/>
      <c r="Y29" s="131"/>
      <c r="Z29" s="132"/>
      <c r="AB29" s="365">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365">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365">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365">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365">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365">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365">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365">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365">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365">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33">
        <f ca="1">IF(OR($D29&lt;&gt;"Serviço",AND(AUTOEVENTO="Manual",$M29=$A$15)),0,
         IF(OFFSET(CRONOPLE!$F$15,$M29-$A$15,AM$13)="",10^12,OFFSET(CRONOPLE!$F$15,$M29-$A$15,AM$13)))</f>
        <v>5</v>
      </c>
      <c r="AN29" s="133">
        <f ca="1">IF(OR($D29&lt;&gt;"Serviço",AND(AUTOEVENTO="Manual",$M29=$A$15)),0,
         IF(OFFSET(CRONOPLE!$F$15,$M29-$A$15,AN$13)="",10^12,OFFSET(CRONOPLE!$F$15,$M29-$A$15,AN$13)))</f>
        <v>1000000000000</v>
      </c>
      <c r="AO29" s="133">
        <f ca="1">IF(OR($D29&lt;&gt;"Serviço",AND(AUTOEVENTO="Manual",$M29=$A$15)),0,
         IF(OFFSET(CRONOPLE!$F$15,$M29-$A$15,AO$13)="",10^12,OFFSET(CRONOPLE!$F$15,$M29-$A$15,AO$13)))</f>
        <v>1000000000000</v>
      </c>
      <c r="AP29" s="133">
        <f ca="1">IF(OR($D29&lt;&gt;"Serviço",AND(AUTOEVENTO="Manual",$M29=$A$15)),0,
         IF(OFFSET(CRONOPLE!$F$15,$M29-$A$15,AP$13)="",10^12,OFFSET(CRONOPLE!$F$15,$M29-$A$15,AP$13)))</f>
        <v>1000000000000</v>
      </c>
      <c r="AQ29" s="133">
        <f ca="1">IF(OR($D29&lt;&gt;"Serviço",AND(AUTOEVENTO="Manual",$M29=$A$15)),0,
         IF(OFFSET(CRONOPLE!$F$15,$M29-$A$15,AQ$13)="",10^12,OFFSET(CRONOPLE!$F$15,$M29-$A$15,AQ$13)))</f>
        <v>1000000000000</v>
      </c>
      <c r="AR29" s="133">
        <f ca="1">IF(OR($D29&lt;&gt;"Serviço",AND(AUTOEVENTO="Manual",$M29=$A$15)),0,
         IF(OFFSET(CRONOPLE!$F$15,$M29-$A$15,AR$13)="",10^12,OFFSET(CRONOPLE!$F$15,$M29-$A$15,AR$13)))</f>
        <v>1000000000000</v>
      </c>
      <c r="AS29" s="133">
        <f ca="1">IF(OR($D29&lt;&gt;"Serviço",AND(AUTOEVENTO="Manual",$M29=$A$15)),0,
         IF(OFFSET(CRONOPLE!$F$15,$M29-$A$15,AS$13)="",10^12,OFFSET(CRONOPLE!$F$15,$M29-$A$15,AS$13)))</f>
        <v>1000000000000</v>
      </c>
      <c r="AT29" s="133">
        <f ca="1">IF(OR($D29&lt;&gt;"Serviço",AND(AUTOEVENTO="Manual",$M29=$A$15)),0,
         IF(OFFSET(CRONOPLE!$F$15,$M29-$A$15,AT$13)="",10^12,OFFSET(CRONOPLE!$F$15,$M29-$A$15,AT$13)))</f>
        <v>1000000000000</v>
      </c>
      <c r="AU29" s="133">
        <f ca="1">IF(OR($D29&lt;&gt;"Serviço",AND(AUTOEVENTO="Manual",$M29=$A$15)),0,
         IF(OFFSET(CRONOPLE!$F$15,$M29-$A$15,AU$13)="",10^12,OFFSET(CRONOPLE!$F$15,$M29-$A$15,AU$13)))</f>
        <v>1000000000000</v>
      </c>
      <c r="AV29" s="133">
        <f ca="1">IF(OR($D29&lt;&gt;"Serviço",AND(AUTOEVENTO="Manual",$M29=$A$15)),0,
         IF(OFFSET(CRONOPLE!$F$15,$M29-$A$15,AV$13)="",10^12,OFFSET(CRONOPLE!$F$15,$M29-$A$15,AV$13)))</f>
        <v>1000000000000</v>
      </c>
      <c r="AX29" s="134">
        <f ca="1">IF(OR($D29&lt;&gt;"Serviço",AND(AUTOEVENTO="Manual",$M29=$A$15),$M29&gt;(ROW(PLE.lastrow)-ROW(PLE.firstrow))),0,
           IF(OFFSET(PLE!$G$15,$M29-$A$15,AX$13)="",10^12,OFFSET(PLE!$G$15,$M29-$A$15,AX$13)))</f>
        <v>1000000000000</v>
      </c>
      <c r="AY29" s="134">
        <f ca="1">IF(OR($D29&lt;&gt;"Serviço",AND(AUTOEVENTO="Manual",$M29=$A$15),$M29&gt;(ROW(PLE.lastrow)-ROW(PLE.firstrow))),0,
           IF(OFFSET(PLE!$G$15,$M29-$A$15,AY$13)="",10^12,OFFSET(PLE!$G$15,$M29-$A$15,AY$13)))</f>
        <v>1000000000000</v>
      </c>
      <c r="AZ29" s="134">
        <f ca="1">IF(OR($D29&lt;&gt;"Serviço",AND(AUTOEVENTO="Manual",$M29=$A$15),$M29&gt;(ROW(PLE.lastrow)-ROW(PLE.firstrow))),0,
           IF(OFFSET(PLE!$G$15,$M29-$A$15,AZ$13)="",10^12,OFFSET(PLE!$G$15,$M29-$A$15,AZ$13)))</f>
        <v>1000000000000</v>
      </c>
      <c r="BA29" s="134">
        <f ca="1">IF(OR($D29&lt;&gt;"Serviço",AND(AUTOEVENTO="Manual",$M29=$A$15),$M29&gt;(ROW(PLE.lastrow)-ROW(PLE.firstrow))),0,
           IF(OFFSET(PLE!$G$15,$M29-$A$15,BA$13)="",10^12,OFFSET(PLE!$G$15,$M29-$A$15,BA$13)))</f>
        <v>1000000000000</v>
      </c>
      <c r="BB29" s="134">
        <f ca="1">IF(OR($D29&lt;&gt;"Serviço",AND(AUTOEVENTO="Manual",$M29=$A$15),$M29&gt;(ROW(PLE.lastrow)-ROW(PLE.firstrow))),0,
           IF(OFFSET(PLE!$G$15,$M29-$A$15,BB$13)="",10^12,OFFSET(PLE!$G$15,$M29-$A$15,BB$13)))</f>
        <v>1000000000000</v>
      </c>
      <c r="BC29" s="134">
        <f ca="1">IF(OR($D29&lt;&gt;"Serviço",AND(AUTOEVENTO="Manual",$M29=$A$15),$M29&gt;(ROW(PLE.lastrow)-ROW(PLE.firstrow))),0,
           IF(OFFSET(PLE!$G$15,$M29-$A$15,BC$13)="",10^12,OFFSET(PLE!$G$15,$M29-$A$15,BC$13)))</f>
        <v>1000000000000</v>
      </c>
      <c r="BD29" s="134">
        <f ca="1">IF(OR($D29&lt;&gt;"Serviço",AND(AUTOEVENTO="Manual",$M29=$A$15),$M29&gt;(ROW(PLE.lastrow)-ROW(PLE.firstrow))),0,
           IF(OFFSET(PLE!$G$15,$M29-$A$15,BD$13)="",10^12,OFFSET(PLE!$G$15,$M29-$A$15,BD$13)))</f>
        <v>1000000000000</v>
      </c>
      <c r="BE29" s="134">
        <f ca="1">IF(OR($D29&lt;&gt;"Serviço",AND(AUTOEVENTO="Manual",$M29=$A$15),$M29&gt;(ROW(PLE.lastrow)-ROW(PLE.firstrow))),0,
           IF(OFFSET(PLE!$G$15,$M29-$A$15,BE$13)="",10^12,OFFSET(PLE!$G$15,$M29-$A$15,BE$13)))</f>
        <v>1000000000000</v>
      </c>
      <c r="BF29" s="134">
        <f ca="1">IF(OR($D29&lt;&gt;"Serviço",AND(AUTOEVENTO="Manual",$M29=$A$15),$M29&gt;(ROW(PLE.lastrow)-ROW(PLE.firstrow))),0,
           IF(OFFSET(PLE!$G$15,$M29-$A$15,BF$13)="",10^12,OFFSET(PLE!$G$15,$M29-$A$15,BF$13)))</f>
        <v>1000000000000</v>
      </c>
      <c r="BG29" s="134">
        <f ca="1">IF(OR($D29&lt;&gt;"Serviço",AND(AUTOEVENTO="Manual",$M29=$A$15),$M29&gt;(ROW(PLE.lastrow)-ROW(PLE.firstrow))),0,
           IF(OFFSET(PLE!$G$15,$M29-$A$15,BG$13)="",10^12,OFFSET(PLE!$G$15,$M29-$A$15,BG$13)))</f>
        <v>1000000000000</v>
      </c>
    </row>
    <row r="30" spans="1:59" ht="39.6" x14ac:dyDescent="0.25">
      <c r="A30" s="5" t="str">
        <f ca="1">IF(AUTOEVENTO="Manual",IF(K30&lt;&gt;"",MIN(VALUE(LEFT(K30,FIND(".",K30)-1)),COUNTA(EVENTOS.Lista)),0),IF(OR($B30&gt;AUTOEVENTO,$B30="S",$B30=0),SUBSTITUTE(OFFSET($A30,-1,0),IF($D30="Serviço",".",""),""),ROW(A30)-ROW($A$15)&amp;"."))</f>
        <v>11</v>
      </c>
      <c r="B30" s="5" t="str">
        <f ca="1">OFFSET(ORÇAMENTO!C$15,ROW(B30)-ROW(B$15),0)</f>
        <v>S</v>
      </c>
      <c r="C30" s="5" t="str">
        <f ca="1">OFFSET(ORÇAMENTO!L$15,ROW(C30)-ROW(C$15),0)</f>
        <v>F</v>
      </c>
      <c r="D30" s="87" t="str">
        <f ca="1">OFFSET(ORÇAMENTO!N$15,ROW(D30)-ROW(D$15),0)</f>
        <v>Serviço</v>
      </c>
      <c r="E30" s="88" t="str">
        <f ca="1">OFFSET(ORÇAMENTO!O$15,ROW(E30)-ROW(E$15),0)</f>
        <v>1.5.1.3.</v>
      </c>
      <c r="F30" s="125" t="str">
        <f ca="1">OFFSET(ORÇAMENTO!R$15,ROW(F30)-ROW(F$15),0)</f>
        <v>EXECUÇÃO DE PAVIMENTO COM APLICAÇÃO DE CONCRETO ASFÁLTICO, CAMADA DE ROLAMENTO - EXCLUSIVE CARGA E TRANSPORTE. AF_10/2025</v>
      </c>
      <c r="G30" s="126" t="str">
        <f ca="1">IF($D30&lt;&gt;"Serviço","",OFFSET(ORÇAMENTO!S$15,ROW(G30)-ROW(G$15),0))</f>
        <v>M3</v>
      </c>
      <c r="H30" s="93" cm="1">
        <f t="array" aca="1" ref="H30" ca="1">IF($D30&lt;&gt;"Serviço",0,IF(_xlfn.SINGLE(ACOMPANHAMENTO)="BM",ROUND(OFFSET(ORÇAMENTO!AJ$15,ROW(H30)-ROW(H$15),0),15-13*ORÇAMENTO!$AF$7),SUMPRODUCT(($Q$1:$AA$1)*ROUND($Q30:$AA30,15-13*ORÇAMENTO!$AF$7))))</f>
        <v>1060.92</v>
      </c>
      <c r="I30" s="379"/>
      <c r="J30" s="488" t="str" cm="1">
        <f t="array" aca="1" ref="J30" ca="1">IF(B30&lt;&gt;"S","",IF(AND(ACOMPANHAMENTO="PLE",AUTOEVENTO="Manual",OR(H30&gt;0,ORÇAMENTO!AC30="QUANT."),OR(K30="",M30=0,N30="")),"►",IF(AND(ACOMPANHAMENTO="PLE",ORÇAMENTO!AC30="QUANT."),"►►",IF(AND(COUNTIF($P$11:$AA$11,"▼")=0,H30&gt;0,I30=""),"◄",""))))</f>
        <v>◄</v>
      </c>
      <c r="K30" s="607"/>
      <c r="L30" s="127" t="s">
        <v>788</v>
      </c>
      <c r="M30" s="128">
        <f ca="1">IF($D30&lt;&gt;"Serviço","",
          IF(AUTOEVENTO="manual",$A30,
                IF(ISERROR(MATCH($A30,$A$15:OFFSET($A30,-1,0),0)),MAX($M$15:OFFSET(M30,-1,0))+1,
                      INDEX($M$15:OFFSET(M30,-1,0),MATCH($A30,$A$15:OFFSET($A30,-1,0),0)))))</f>
        <v>5</v>
      </c>
      <c r="N30" s="129" t="str">
        <f ca="1">IF($D30&lt;&gt;"Serviço","",
         IF(AUTOEVENTO="Manual",
                IF($A30=0,"&lt;-- defina o número do agrupador",
                       OFFSET(EVENTOS!$D$15,$A30-$A$15,0)),
                OFFSET($F$15,$A30,0)))</f>
        <v>PAVIMENTAÇÃO DE VIAS</v>
      </c>
      <c r="O30" s="130"/>
      <c r="Q30" s="130">
        <v>110.6</v>
      </c>
      <c r="R30" s="131"/>
      <c r="S30" s="131"/>
      <c r="T30" s="131"/>
      <c r="U30" s="131"/>
      <c r="V30" s="131"/>
      <c r="W30" s="131"/>
      <c r="X30" s="131"/>
      <c r="Y30" s="131"/>
      <c r="Z30" s="132"/>
      <c r="AB30" s="365">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365">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365">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365">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365">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365">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365">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365">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365">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365">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33">
        <f ca="1">IF(OR($D30&lt;&gt;"Serviço",AND(AUTOEVENTO="Manual",$M30=$A$15)),0,
         IF(OFFSET(CRONOPLE!$F$15,$M30-$A$15,AM$13)="",10^12,OFFSET(CRONOPLE!$F$15,$M30-$A$15,AM$13)))</f>
        <v>5</v>
      </c>
      <c r="AN30" s="133">
        <f ca="1">IF(OR($D30&lt;&gt;"Serviço",AND(AUTOEVENTO="Manual",$M30=$A$15)),0,
         IF(OFFSET(CRONOPLE!$F$15,$M30-$A$15,AN$13)="",10^12,OFFSET(CRONOPLE!$F$15,$M30-$A$15,AN$13)))</f>
        <v>1000000000000</v>
      </c>
      <c r="AO30" s="133">
        <f ca="1">IF(OR($D30&lt;&gt;"Serviço",AND(AUTOEVENTO="Manual",$M30=$A$15)),0,
         IF(OFFSET(CRONOPLE!$F$15,$M30-$A$15,AO$13)="",10^12,OFFSET(CRONOPLE!$F$15,$M30-$A$15,AO$13)))</f>
        <v>1000000000000</v>
      </c>
      <c r="AP30" s="133">
        <f ca="1">IF(OR($D30&lt;&gt;"Serviço",AND(AUTOEVENTO="Manual",$M30=$A$15)),0,
         IF(OFFSET(CRONOPLE!$F$15,$M30-$A$15,AP$13)="",10^12,OFFSET(CRONOPLE!$F$15,$M30-$A$15,AP$13)))</f>
        <v>1000000000000</v>
      </c>
      <c r="AQ30" s="133">
        <f ca="1">IF(OR($D30&lt;&gt;"Serviço",AND(AUTOEVENTO="Manual",$M30=$A$15)),0,
         IF(OFFSET(CRONOPLE!$F$15,$M30-$A$15,AQ$13)="",10^12,OFFSET(CRONOPLE!$F$15,$M30-$A$15,AQ$13)))</f>
        <v>1000000000000</v>
      </c>
      <c r="AR30" s="133">
        <f ca="1">IF(OR($D30&lt;&gt;"Serviço",AND(AUTOEVENTO="Manual",$M30=$A$15)),0,
         IF(OFFSET(CRONOPLE!$F$15,$M30-$A$15,AR$13)="",10^12,OFFSET(CRONOPLE!$F$15,$M30-$A$15,AR$13)))</f>
        <v>1000000000000</v>
      </c>
      <c r="AS30" s="133">
        <f ca="1">IF(OR($D30&lt;&gt;"Serviço",AND(AUTOEVENTO="Manual",$M30=$A$15)),0,
         IF(OFFSET(CRONOPLE!$F$15,$M30-$A$15,AS$13)="",10^12,OFFSET(CRONOPLE!$F$15,$M30-$A$15,AS$13)))</f>
        <v>1000000000000</v>
      </c>
      <c r="AT30" s="133">
        <f ca="1">IF(OR($D30&lt;&gt;"Serviço",AND(AUTOEVENTO="Manual",$M30=$A$15)),0,
         IF(OFFSET(CRONOPLE!$F$15,$M30-$A$15,AT$13)="",10^12,OFFSET(CRONOPLE!$F$15,$M30-$A$15,AT$13)))</f>
        <v>1000000000000</v>
      </c>
      <c r="AU30" s="133">
        <f ca="1">IF(OR($D30&lt;&gt;"Serviço",AND(AUTOEVENTO="Manual",$M30=$A$15)),0,
         IF(OFFSET(CRONOPLE!$F$15,$M30-$A$15,AU$13)="",10^12,OFFSET(CRONOPLE!$F$15,$M30-$A$15,AU$13)))</f>
        <v>1000000000000</v>
      </c>
      <c r="AV30" s="133">
        <f ca="1">IF(OR($D30&lt;&gt;"Serviço",AND(AUTOEVENTO="Manual",$M30=$A$15)),0,
         IF(OFFSET(CRONOPLE!$F$15,$M30-$A$15,AV$13)="",10^12,OFFSET(CRONOPLE!$F$15,$M30-$A$15,AV$13)))</f>
        <v>1000000000000</v>
      </c>
      <c r="AX30" s="134">
        <f ca="1">IF(OR($D30&lt;&gt;"Serviço",AND(AUTOEVENTO="Manual",$M30=$A$15),$M30&gt;(ROW(PLE.lastrow)-ROW(PLE.firstrow))),0,
           IF(OFFSET(PLE!$G$15,$M30-$A$15,AX$13)="",10^12,OFFSET(PLE!$G$15,$M30-$A$15,AX$13)))</f>
        <v>1000000000000</v>
      </c>
      <c r="AY30" s="134">
        <f ca="1">IF(OR($D30&lt;&gt;"Serviço",AND(AUTOEVENTO="Manual",$M30=$A$15),$M30&gt;(ROW(PLE.lastrow)-ROW(PLE.firstrow))),0,
           IF(OFFSET(PLE!$G$15,$M30-$A$15,AY$13)="",10^12,OFFSET(PLE!$G$15,$M30-$A$15,AY$13)))</f>
        <v>1000000000000</v>
      </c>
      <c r="AZ30" s="134">
        <f ca="1">IF(OR($D30&lt;&gt;"Serviço",AND(AUTOEVENTO="Manual",$M30=$A$15),$M30&gt;(ROW(PLE.lastrow)-ROW(PLE.firstrow))),0,
           IF(OFFSET(PLE!$G$15,$M30-$A$15,AZ$13)="",10^12,OFFSET(PLE!$G$15,$M30-$A$15,AZ$13)))</f>
        <v>1000000000000</v>
      </c>
      <c r="BA30" s="134">
        <f ca="1">IF(OR($D30&lt;&gt;"Serviço",AND(AUTOEVENTO="Manual",$M30=$A$15),$M30&gt;(ROW(PLE.lastrow)-ROW(PLE.firstrow))),0,
           IF(OFFSET(PLE!$G$15,$M30-$A$15,BA$13)="",10^12,OFFSET(PLE!$G$15,$M30-$A$15,BA$13)))</f>
        <v>1000000000000</v>
      </c>
      <c r="BB30" s="134">
        <f ca="1">IF(OR($D30&lt;&gt;"Serviço",AND(AUTOEVENTO="Manual",$M30=$A$15),$M30&gt;(ROW(PLE.lastrow)-ROW(PLE.firstrow))),0,
           IF(OFFSET(PLE!$G$15,$M30-$A$15,BB$13)="",10^12,OFFSET(PLE!$G$15,$M30-$A$15,BB$13)))</f>
        <v>1000000000000</v>
      </c>
      <c r="BC30" s="134">
        <f ca="1">IF(OR($D30&lt;&gt;"Serviço",AND(AUTOEVENTO="Manual",$M30=$A$15),$M30&gt;(ROW(PLE.lastrow)-ROW(PLE.firstrow))),0,
           IF(OFFSET(PLE!$G$15,$M30-$A$15,BC$13)="",10^12,OFFSET(PLE!$G$15,$M30-$A$15,BC$13)))</f>
        <v>1000000000000</v>
      </c>
      <c r="BD30" s="134">
        <f ca="1">IF(OR($D30&lt;&gt;"Serviço",AND(AUTOEVENTO="Manual",$M30=$A$15),$M30&gt;(ROW(PLE.lastrow)-ROW(PLE.firstrow))),0,
           IF(OFFSET(PLE!$G$15,$M30-$A$15,BD$13)="",10^12,OFFSET(PLE!$G$15,$M30-$A$15,BD$13)))</f>
        <v>1000000000000</v>
      </c>
      <c r="BE30" s="134">
        <f ca="1">IF(OR($D30&lt;&gt;"Serviço",AND(AUTOEVENTO="Manual",$M30=$A$15),$M30&gt;(ROW(PLE.lastrow)-ROW(PLE.firstrow))),0,
           IF(OFFSET(PLE!$G$15,$M30-$A$15,BE$13)="",10^12,OFFSET(PLE!$G$15,$M30-$A$15,BE$13)))</f>
        <v>1000000000000</v>
      </c>
      <c r="BF30" s="134">
        <f ca="1">IF(OR($D30&lt;&gt;"Serviço",AND(AUTOEVENTO="Manual",$M30=$A$15),$M30&gt;(ROW(PLE.lastrow)-ROW(PLE.firstrow))),0,
           IF(OFFSET(PLE!$G$15,$M30-$A$15,BF$13)="",10^12,OFFSET(PLE!$G$15,$M30-$A$15,BF$13)))</f>
        <v>1000000000000</v>
      </c>
      <c r="BG30" s="134">
        <f ca="1">IF(OR($D30&lt;&gt;"Serviço",AND(AUTOEVENTO="Manual",$M30=$A$15),$M30&gt;(ROW(PLE.lastrow)-ROW(PLE.firstrow))),0,
           IF(OFFSET(PLE!$G$15,$M30-$A$15,BG$13)="",10^12,OFFSET(PLE!$G$15,$M30-$A$15,BG$13)))</f>
        <v>1000000000000</v>
      </c>
    </row>
    <row r="31" spans="1:59" ht="26.4" x14ac:dyDescent="0.25">
      <c r="A31" s="5" t="str">
        <f ca="1">IF(AUTOEVENTO="Manual",IF(K31&lt;&gt;"",MIN(VALUE(LEFT(K31,FIND(".",K31)-1)),COUNTA(EVENTOS.Lista)),0),IF(OR($B31&gt;AUTOEVENTO,$B31="S",$B31=0),SUBSTITUTE(OFFSET($A31,-1,0),IF($D31="Serviço",".",""),""),ROW(A31)-ROW($A$15)&amp;"."))</f>
        <v>11</v>
      </c>
      <c r="B31" s="5" t="str">
        <f ca="1">OFFSET(ORÇAMENTO!C$15,ROW(B31)-ROW(B$15),0)</f>
        <v>S</v>
      </c>
      <c r="C31" s="5" t="str">
        <f ca="1">OFFSET(ORÇAMENTO!L$15,ROW(C31)-ROW(C$15),0)</f>
        <v>F</v>
      </c>
      <c r="D31" s="87" t="str">
        <f ca="1">OFFSET(ORÇAMENTO!N$15,ROW(D31)-ROW(D$15),0)</f>
        <v>Serviço</v>
      </c>
      <c r="E31" s="88" t="str">
        <f ca="1">OFFSET(ORÇAMENTO!O$15,ROW(E31)-ROW(E$15),0)</f>
        <v>1.5.1.4.</v>
      </c>
      <c r="F31" s="125" t="str">
        <f ca="1">OFFSET(ORÇAMENTO!R$15,ROW(F31)-ROW(F$15),0)</f>
        <v>CARGA DE MISTURA ASFÁLTICA EM CAMINHÃO BASCULANTE 10 M³ (UNIDADE: M3). AF_02/2026</v>
      </c>
      <c r="G31" s="126" t="str">
        <f ca="1">IF($D31&lt;&gt;"Serviço","",OFFSET(ORÇAMENTO!S$15,ROW(G31)-ROW(G$15),0))</f>
        <v>M3</v>
      </c>
      <c r="H31" s="93" cm="1">
        <f t="array" aca="1" ref="H31" ca="1">IF($D31&lt;&gt;"Serviço",0,IF(_xlfn.SINGLE(ACOMPANHAMENTO)="BM",ROUND(OFFSET(ORÇAMENTO!AJ$15,ROW(H31)-ROW(H$15),0),15-13*ORÇAMENTO!$AF$7),SUMPRODUCT(($Q$1:$AA$1)*ROUND($Q31:$AA31,15-13*ORÇAMENTO!$AF$7))))</f>
        <v>1060.92</v>
      </c>
      <c r="I31" s="379"/>
      <c r="J31" s="488" t="str" cm="1">
        <f t="array" aca="1" ref="J31" ca="1">IF(B31&lt;&gt;"S","",IF(AND(ACOMPANHAMENTO="PLE",AUTOEVENTO="Manual",OR(H31&gt;0,ORÇAMENTO!AC31="QUANT."),OR(K31="",M31=0,N31="")),"►",IF(AND(ACOMPANHAMENTO="PLE",ORÇAMENTO!AC31="QUANT."),"►►",IF(AND(COUNTIF($P$11:$AA$11,"▼")=0,H31&gt;0,I31=""),"◄",""))))</f>
        <v>◄</v>
      </c>
      <c r="K31" s="607"/>
      <c r="L31" s="127" t="s">
        <v>788</v>
      </c>
      <c r="M31" s="128">
        <f ca="1">IF($D31&lt;&gt;"Serviço","",
          IF(AUTOEVENTO="manual",$A31,
                IF(ISERROR(MATCH($A31,$A$15:OFFSET($A31,-1,0),0)),MAX($M$15:OFFSET(M31,-1,0))+1,
                      INDEX($M$15:OFFSET(M31,-1,0),MATCH($A31,$A$15:OFFSET($A31,-1,0),0)))))</f>
        <v>5</v>
      </c>
      <c r="N31" s="129" t="str">
        <f ca="1">IF($D31&lt;&gt;"Serviço","",
         IF(AUTOEVENTO="Manual",
                IF($A31=0,"&lt;-- defina o número do agrupador",
                       OFFSET(EVENTOS!$D$15,$A31-$A$15,0)),
                OFFSET($F$15,$A31,0)))</f>
        <v>PAVIMENTAÇÃO DE VIAS</v>
      </c>
      <c r="O31" s="130"/>
      <c r="Q31" s="130">
        <v>110.6</v>
      </c>
      <c r="R31" s="131"/>
      <c r="S31" s="131"/>
      <c r="T31" s="131"/>
      <c r="U31" s="131"/>
      <c r="V31" s="131"/>
      <c r="W31" s="131"/>
      <c r="X31" s="131"/>
      <c r="Y31" s="131"/>
      <c r="Z31" s="132"/>
      <c r="AB31" s="365">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365">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365">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365">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365">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365">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365">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365">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365">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365">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33">
        <f ca="1">IF(OR($D31&lt;&gt;"Serviço",AND(AUTOEVENTO="Manual",$M31=$A$15)),0,
         IF(OFFSET(CRONOPLE!$F$15,$M31-$A$15,AM$13)="",10^12,OFFSET(CRONOPLE!$F$15,$M31-$A$15,AM$13)))</f>
        <v>5</v>
      </c>
      <c r="AN31" s="133">
        <f ca="1">IF(OR($D31&lt;&gt;"Serviço",AND(AUTOEVENTO="Manual",$M31=$A$15)),0,
         IF(OFFSET(CRONOPLE!$F$15,$M31-$A$15,AN$13)="",10^12,OFFSET(CRONOPLE!$F$15,$M31-$A$15,AN$13)))</f>
        <v>1000000000000</v>
      </c>
      <c r="AO31" s="133">
        <f ca="1">IF(OR($D31&lt;&gt;"Serviço",AND(AUTOEVENTO="Manual",$M31=$A$15)),0,
         IF(OFFSET(CRONOPLE!$F$15,$M31-$A$15,AO$13)="",10^12,OFFSET(CRONOPLE!$F$15,$M31-$A$15,AO$13)))</f>
        <v>1000000000000</v>
      </c>
      <c r="AP31" s="133">
        <f ca="1">IF(OR($D31&lt;&gt;"Serviço",AND(AUTOEVENTO="Manual",$M31=$A$15)),0,
         IF(OFFSET(CRONOPLE!$F$15,$M31-$A$15,AP$13)="",10^12,OFFSET(CRONOPLE!$F$15,$M31-$A$15,AP$13)))</f>
        <v>1000000000000</v>
      </c>
      <c r="AQ31" s="133">
        <f ca="1">IF(OR($D31&lt;&gt;"Serviço",AND(AUTOEVENTO="Manual",$M31=$A$15)),0,
         IF(OFFSET(CRONOPLE!$F$15,$M31-$A$15,AQ$13)="",10^12,OFFSET(CRONOPLE!$F$15,$M31-$A$15,AQ$13)))</f>
        <v>1000000000000</v>
      </c>
      <c r="AR31" s="133">
        <f ca="1">IF(OR($D31&lt;&gt;"Serviço",AND(AUTOEVENTO="Manual",$M31=$A$15)),0,
         IF(OFFSET(CRONOPLE!$F$15,$M31-$A$15,AR$13)="",10^12,OFFSET(CRONOPLE!$F$15,$M31-$A$15,AR$13)))</f>
        <v>1000000000000</v>
      </c>
      <c r="AS31" s="133">
        <f ca="1">IF(OR($D31&lt;&gt;"Serviço",AND(AUTOEVENTO="Manual",$M31=$A$15)),0,
         IF(OFFSET(CRONOPLE!$F$15,$M31-$A$15,AS$13)="",10^12,OFFSET(CRONOPLE!$F$15,$M31-$A$15,AS$13)))</f>
        <v>1000000000000</v>
      </c>
      <c r="AT31" s="133">
        <f ca="1">IF(OR($D31&lt;&gt;"Serviço",AND(AUTOEVENTO="Manual",$M31=$A$15)),0,
         IF(OFFSET(CRONOPLE!$F$15,$M31-$A$15,AT$13)="",10^12,OFFSET(CRONOPLE!$F$15,$M31-$A$15,AT$13)))</f>
        <v>1000000000000</v>
      </c>
      <c r="AU31" s="133">
        <f ca="1">IF(OR($D31&lt;&gt;"Serviço",AND(AUTOEVENTO="Manual",$M31=$A$15)),0,
         IF(OFFSET(CRONOPLE!$F$15,$M31-$A$15,AU$13)="",10^12,OFFSET(CRONOPLE!$F$15,$M31-$A$15,AU$13)))</f>
        <v>1000000000000</v>
      </c>
      <c r="AV31" s="133">
        <f ca="1">IF(OR($D31&lt;&gt;"Serviço",AND(AUTOEVENTO="Manual",$M31=$A$15)),0,
         IF(OFFSET(CRONOPLE!$F$15,$M31-$A$15,AV$13)="",10^12,OFFSET(CRONOPLE!$F$15,$M31-$A$15,AV$13)))</f>
        <v>1000000000000</v>
      </c>
      <c r="AX31" s="134">
        <f ca="1">IF(OR($D31&lt;&gt;"Serviço",AND(AUTOEVENTO="Manual",$M31=$A$15),$M31&gt;(ROW(PLE.lastrow)-ROW(PLE.firstrow))),0,
           IF(OFFSET(PLE!$G$15,$M31-$A$15,AX$13)="",10^12,OFFSET(PLE!$G$15,$M31-$A$15,AX$13)))</f>
        <v>1000000000000</v>
      </c>
      <c r="AY31" s="134">
        <f ca="1">IF(OR($D31&lt;&gt;"Serviço",AND(AUTOEVENTO="Manual",$M31=$A$15),$M31&gt;(ROW(PLE.lastrow)-ROW(PLE.firstrow))),0,
           IF(OFFSET(PLE!$G$15,$M31-$A$15,AY$13)="",10^12,OFFSET(PLE!$G$15,$M31-$A$15,AY$13)))</f>
        <v>1000000000000</v>
      </c>
      <c r="AZ31" s="134">
        <f ca="1">IF(OR($D31&lt;&gt;"Serviço",AND(AUTOEVENTO="Manual",$M31=$A$15),$M31&gt;(ROW(PLE.lastrow)-ROW(PLE.firstrow))),0,
           IF(OFFSET(PLE!$G$15,$M31-$A$15,AZ$13)="",10^12,OFFSET(PLE!$G$15,$M31-$A$15,AZ$13)))</f>
        <v>1000000000000</v>
      </c>
      <c r="BA31" s="134">
        <f ca="1">IF(OR($D31&lt;&gt;"Serviço",AND(AUTOEVENTO="Manual",$M31=$A$15),$M31&gt;(ROW(PLE.lastrow)-ROW(PLE.firstrow))),0,
           IF(OFFSET(PLE!$G$15,$M31-$A$15,BA$13)="",10^12,OFFSET(PLE!$G$15,$M31-$A$15,BA$13)))</f>
        <v>1000000000000</v>
      </c>
      <c r="BB31" s="134">
        <f ca="1">IF(OR($D31&lt;&gt;"Serviço",AND(AUTOEVENTO="Manual",$M31=$A$15),$M31&gt;(ROW(PLE.lastrow)-ROW(PLE.firstrow))),0,
           IF(OFFSET(PLE!$G$15,$M31-$A$15,BB$13)="",10^12,OFFSET(PLE!$G$15,$M31-$A$15,BB$13)))</f>
        <v>1000000000000</v>
      </c>
      <c r="BC31" s="134">
        <f ca="1">IF(OR($D31&lt;&gt;"Serviço",AND(AUTOEVENTO="Manual",$M31=$A$15),$M31&gt;(ROW(PLE.lastrow)-ROW(PLE.firstrow))),0,
           IF(OFFSET(PLE!$G$15,$M31-$A$15,BC$13)="",10^12,OFFSET(PLE!$G$15,$M31-$A$15,BC$13)))</f>
        <v>1000000000000</v>
      </c>
      <c r="BD31" s="134">
        <f ca="1">IF(OR($D31&lt;&gt;"Serviço",AND(AUTOEVENTO="Manual",$M31=$A$15),$M31&gt;(ROW(PLE.lastrow)-ROW(PLE.firstrow))),0,
           IF(OFFSET(PLE!$G$15,$M31-$A$15,BD$13)="",10^12,OFFSET(PLE!$G$15,$M31-$A$15,BD$13)))</f>
        <v>1000000000000</v>
      </c>
      <c r="BE31" s="134">
        <f ca="1">IF(OR($D31&lt;&gt;"Serviço",AND(AUTOEVENTO="Manual",$M31=$A$15),$M31&gt;(ROW(PLE.lastrow)-ROW(PLE.firstrow))),0,
           IF(OFFSET(PLE!$G$15,$M31-$A$15,BE$13)="",10^12,OFFSET(PLE!$G$15,$M31-$A$15,BE$13)))</f>
        <v>1000000000000</v>
      </c>
      <c r="BF31" s="134">
        <f ca="1">IF(OR($D31&lt;&gt;"Serviço",AND(AUTOEVENTO="Manual",$M31=$A$15),$M31&gt;(ROW(PLE.lastrow)-ROW(PLE.firstrow))),0,
           IF(OFFSET(PLE!$G$15,$M31-$A$15,BF$13)="",10^12,OFFSET(PLE!$G$15,$M31-$A$15,BF$13)))</f>
        <v>1000000000000</v>
      </c>
      <c r="BG31" s="134">
        <f ca="1">IF(OR($D31&lt;&gt;"Serviço",AND(AUTOEVENTO="Manual",$M31=$A$15),$M31&gt;(ROW(PLE.lastrow)-ROW(PLE.firstrow))),0,
           IF(OFFSET(PLE!$G$15,$M31-$A$15,BG$13)="",10^12,OFFSET(PLE!$G$15,$M31-$A$15,BG$13)))</f>
        <v>1000000000000</v>
      </c>
    </row>
    <row r="32" spans="1:59" ht="26.4" x14ac:dyDescent="0.25">
      <c r="A32" s="5" t="str">
        <f ca="1">IF(AUTOEVENTO="Manual",IF(K32&lt;&gt;"",MIN(VALUE(LEFT(K32,FIND(".",K32)-1)),COUNTA(EVENTOS.Lista)),0),IF(OR($B32&gt;AUTOEVENTO,$B32="S",$B32=0),SUBSTITUTE(OFFSET($A32,-1,0),IF($D32="Serviço",".",""),""),ROW(A32)-ROW($A$15)&amp;"."))</f>
        <v>11</v>
      </c>
      <c r="B32" s="5" t="str">
        <f ca="1">OFFSET(ORÇAMENTO!C$15,ROW(B32)-ROW(B$15),0)</f>
        <v>S</v>
      </c>
      <c r="C32" s="5" t="str">
        <f ca="1">OFFSET(ORÇAMENTO!L$15,ROW(C32)-ROW(C$15),0)</f>
        <v>F</v>
      </c>
      <c r="D32" s="87" t="str">
        <f ca="1">OFFSET(ORÇAMENTO!N$15,ROW(D32)-ROW(D$15),0)</f>
        <v>Serviço</v>
      </c>
      <c r="E32" s="88" t="str">
        <f ca="1">OFFSET(ORÇAMENTO!O$15,ROW(E32)-ROW(E$15),0)</f>
        <v>1.5.1.5.</v>
      </c>
      <c r="F32" s="125" t="str">
        <f ca="1">OFFSET(ORÇAMENTO!R$15,ROW(F32)-ROW(F$15),0)</f>
        <v>TRANSPORTE COM CAMINHÃO BASCULANTE DE 18 M³, EM VIA URBANA PAVIMENTADA, DMT ATÉ 30 KM (UNIDADE: M3XKM). AF_02/2026</v>
      </c>
      <c r="G32" s="126" t="str">
        <f ca="1">IF($D32&lt;&gt;"Serviço","",OFFSET(ORÇAMENTO!S$15,ROW(G32)-ROW(G$15),0))</f>
        <v>M3XKM</v>
      </c>
      <c r="H32" s="93" cm="1">
        <f t="array" aca="1" ref="H32" ca="1">IF($D32&lt;&gt;"Serviço",0,IF(_xlfn.SINGLE(ACOMPANHAMENTO)="BM",ROUND(OFFSET(ORÇAMENTO!AJ$15,ROW(H32)-ROW(H$15),0),15-13*ORÇAMENTO!$AF$7),SUMPRODUCT(($Q$1:$AA$1)*ROUND($Q32:$AA32,15-13*ORÇAMENTO!$AF$7))))</f>
        <v>31827.599999999999</v>
      </c>
      <c r="I32" s="379"/>
      <c r="J32" s="488" t="str" cm="1">
        <f t="array" aca="1" ref="J32" ca="1">IF(B32&lt;&gt;"S","",IF(AND(ACOMPANHAMENTO="PLE",AUTOEVENTO="Manual",OR(H32&gt;0,ORÇAMENTO!AC32="QUANT."),OR(K32="",M32=0,N32="")),"►",IF(AND(ACOMPANHAMENTO="PLE",ORÇAMENTO!AC32="QUANT."),"►►",IF(AND(COUNTIF($P$11:$AA$11,"▼")=0,H32&gt;0,I32=""),"◄",""))))</f>
        <v>◄</v>
      </c>
      <c r="K32" s="607"/>
      <c r="L32" s="127" t="s">
        <v>788</v>
      </c>
      <c r="M32" s="128">
        <f ca="1">IF($D32&lt;&gt;"Serviço","",
          IF(AUTOEVENTO="manual",$A32,
                IF(ISERROR(MATCH($A32,$A$15:OFFSET($A32,-1,0),0)),MAX($M$15:OFFSET(M32,-1,0))+1,
                      INDEX($M$15:OFFSET(M32,-1,0),MATCH($A32,$A$15:OFFSET($A32,-1,0),0)))))</f>
        <v>5</v>
      </c>
      <c r="N32" s="129" t="str">
        <f ca="1">IF($D32&lt;&gt;"Serviço","",
         IF(AUTOEVENTO="Manual",
                IF($A32=0,"&lt;-- defina o número do agrupador",
                       OFFSET(EVENTOS!$D$15,$A32-$A$15,0)),
                OFFSET($F$15,$A32,0)))</f>
        <v>PAVIMENTAÇÃO DE VIAS</v>
      </c>
      <c r="O32" s="130"/>
      <c r="Q32" s="130">
        <v>3318</v>
      </c>
      <c r="R32" s="131"/>
      <c r="S32" s="131"/>
      <c r="T32" s="131"/>
      <c r="U32" s="131"/>
      <c r="V32" s="131"/>
      <c r="W32" s="131"/>
      <c r="X32" s="131"/>
      <c r="Y32" s="131"/>
      <c r="Z32" s="132"/>
      <c r="AB32" s="365">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365">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365">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365">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365">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365">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365">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365">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365">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365">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33">
        <f ca="1">IF(OR($D32&lt;&gt;"Serviço",AND(AUTOEVENTO="Manual",$M32=$A$15)),0,
         IF(OFFSET(CRONOPLE!$F$15,$M32-$A$15,AM$13)="",10^12,OFFSET(CRONOPLE!$F$15,$M32-$A$15,AM$13)))</f>
        <v>5</v>
      </c>
      <c r="AN32" s="133">
        <f ca="1">IF(OR($D32&lt;&gt;"Serviço",AND(AUTOEVENTO="Manual",$M32=$A$15)),0,
         IF(OFFSET(CRONOPLE!$F$15,$M32-$A$15,AN$13)="",10^12,OFFSET(CRONOPLE!$F$15,$M32-$A$15,AN$13)))</f>
        <v>1000000000000</v>
      </c>
      <c r="AO32" s="133">
        <f ca="1">IF(OR($D32&lt;&gt;"Serviço",AND(AUTOEVENTO="Manual",$M32=$A$15)),0,
         IF(OFFSET(CRONOPLE!$F$15,$M32-$A$15,AO$13)="",10^12,OFFSET(CRONOPLE!$F$15,$M32-$A$15,AO$13)))</f>
        <v>1000000000000</v>
      </c>
      <c r="AP32" s="133">
        <f ca="1">IF(OR($D32&lt;&gt;"Serviço",AND(AUTOEVENTO="Manual",$M32=$A$15)),0,
         IF(OFFSET(CRONOPLE!$F$15,$M32-$A$15,AP$13)="",10^12,OFFSET(CRONOPLE!$F$15,$M32-$A$15,AP$13)))</f>
        <v>1000000000000</v>
      </c>
      <c r="AQ32" s="133">
        <f ca="1">IF(OR($D32&lt;&gt;"Serviço",AND(AUTOEVENTO="Manual",$M32=$A$15)),0,
         IF(OFFSET(CRONOPLE!$F$15,$M32-$A$15,AQ$13)="",10^12,OFFSET(CRONOPLE!$F$15,$M32-$A$15,AQ$13)))</f>
        <v>1000000000000</v>
      </c>
      <c r="AR32" s="133">
        <f ca="1">IF(OR($D32&lt;&gt;"Serviço",AND(AUTOEVENTO="Manual",$M32=$A$15)),0,
         IF(OFFSET(CRONOPLE!$F$15,$M32-$A$15,AR$13)="",10^12,OFFSET(CRONOPLE!$F$15,$M32-$A$15,AR$13)))</f>
        <v>1000000000000</v>
      </c>
      <c r="AS32" s="133">
        <f ca="1">IF(OR($D32&lt;&gt;"Serviço",AND(AUTOEVENTO="Manual",$M32=$A$15)),0,
         IF(OFFSET(CRONOPLE!$F$15,$M32-$A$15,AS$13)="",10^12,OFFSET(CRONOPLE!$F$15,$M32-$A$15,AS$13)))</f>
        <v>1000000000000</v>
      </c>
      <c r="AT32" s="133">
        <f ca="1">IF(OR($D32&lt;&gt;"Serviço",AND(AUTOEVENTO="Manual",$M32=$A$15)),0,
         IF(OFFSET(CRONOPLE!$F$15,$M32-$A$15,AT$13)="",10^12,OFFSET(CRONOPLE!$F$15,$M32-$A$15,AT$13)))</f>
        <v>1000000000000</v>
      </c>
      <c r="AU32" s="133">
        <f ca="1">IF(OR($D32&lt;&gt;"Serviço",AND(AUTOEVENTO="Manual",$M32=$A$15)),0,
         IF(OFFSET(CRONOPLE!$F$15,$M32-$A$15,AU$13)="",10^12,OFFSET(CRONOPLE!$F$15,$M32-$A$15,AU$13)))</f>
        <v>1000000000000</v>
      </c>
      <c r="AV32" s="133">
        <f ca="1">IF(OR($D32&lt;&gt;"Serviço",AND(AUTOEVENTO="Manual",$M32=$A$15)),0,
         IF(OFFSET(CRONOPLE!$F$15,$M32-$A$15,AV$13)="",10^12,OFFSET(CRONOPLE!$F$15,$M32-$A$15,AV$13)))</f>
        <v>1000000000000</v>
      </c>
      <c r="AX32" s="134">
        <f ca="1">IF(OR($D32&lt;&gt;"Serviço",AND(AUTOEVENTO="Manual",$M32=$A$15),$M32&gt;(ROW(PLE.lastrow)-ROW(PLE.firstrow))),0,
           IF(OFFSET(PLE!$G$15,$M32-$A$15,AX$13)="",10^12,OFFSET(PLE!$G$15,$M32-$A$15,AX$13)))</f>
        <v>1000000000000</v>
      </c>
      <c r="AY32" s="134">
        <f ca="1">IF(OR($D32&lt;&gt;"Serviço",AND(AUTOEVENTO="Manual",$M32=$A$15),$M32&gt;(ROW(PLE.lastrow)-ROW(PLE.firstrow))),0,
           IF(OFFSET(PLE!$G$15,$M32-$A$15,AY$13)="",10^12,OFFSET(PLE!$G$15,$M32-$A$15,AY$13)))</f>
        <v>1000000000000</v>
      </c>
      <c r="AZ32" s="134">
        <f ca="1">IF(OR($D32&lt;&gt;"Serviço",AND(AUTOEVENTO="Manual",$M32=$A$15),$M32&gt;(ROW(PLE.lastrow)-ROW(PLE.firstrow))),0,
           IF(OFFSET(PLE!$G$15,$M32-$A$15,AZ$13)="",10^12,OFFSET(PLE!$G$15,$M32-$A$15,AZ$13)))</f>
        <v>1000000000000</v>
      </c>
      <c r="BA32" s="134">
        <f ca="1">IF(OR($D32&lt;&gt;"Serviço",AND(AUTOEVENTO="Manual",$M32=$A$15),$M32&gt;(ROW(PLE.lastrow)-ROW(PLE.firstrow))),0,
           IF(OFFSET(PLE!$G$15,$M32-$A$15,BA$13)="",10^12,OFFSET(PLE!$G$15,$M32-$A$15,BA$13)))</f>
        <v>1000000000000</v>
      </c>
      <c r="BB32" s="134">
        <f ca="1">IF(OR($D32&lt;&gt;"Serviço",AND(AUTOEVENTO="Manual",$M32=$A$15),$M32&gt;(ROW(PLE.lastrow)-ROW(PLE.firstrow))),0,
           IF(OFFSET(PLE!$G$15,$M32-$A$15,BB$13)="",10^12,OFFSET(PLE!$G$15,$M32-$A$15,BB$13)))</f>
        <v>1000000000000</v>
      </c>
      <c r="BC32" s="134">
        <f ca="1">IF(OR($D32&lt;&gt;"Serviço",AND(AUTOEVENTO="Manual",$M32=$A$15),$M32&gt;(ROW(PLE.lastrow)-ROW(PLE.firstrow))),0,
           IF(OFFSET(PLE!$G$15,$M32-$A$15,BC$13)="",10^12,OFFSET(PLE!$G$15,$M32-$A$15,BC$13)))</f>
        <v>1000000000000</v>
      </c>
      <c r="BD32" s="134">
        <f ca="1">IF(OR($D32&lt;&gt;"Serviço",AND(AUTOEVENTO="Manual",$M32=$A$15),$M32&gt;(ROW(PLE.lastrow)-ROW(PLE.firstrow))),0,
           IF(OFFSET(PLE!$G$15,$M32-$A$15,BD$13)="",10^12,OFFSET(PLE!$G$15,$M32-$A$15,BD$13)))</f>
        <v>1000000000000</v>
      </c>
      <c r="BE32" s="134">
        <f ca="1">IF(OR($D32&lt;&gt;"Serviço",AND(AUTOEVENTO="Manual",$M32=$A$15),$M32&gt;(ROW(PLE.lastrow)-ROW(PLE.firstrow))),0,
           IF(OFFSET(PLE!$G$15,$M32-$A$15,BE$13)="",10^12,OFFSET(PLE!$G$15,$M32-$A$15,BE$13)))</f>
        <v>1000000000000</v>
      </c>
      <c r="BF32" s="134">
        <f ca="1">IF(OR($D32&lt;&gt;"Serviço",AND(AUTOEVENTO="Manual",$M32=$A$15),$M32&gt;(ROW(PLE.lastrow)-ROW(PLE.firstrow))),0,
           IF(OFFSET(PLE!$G$15,$M32-$A$15,BF$13)="",10^12,OFFSET(PLE!$G$15,$M32-$A$15,BF$13)))</f>
        <v>1000000000000</v>
      </c>
      <c r="BG32" s="134">
        <f ca="1">IF(OR($D32&lt;&gt;"Serviço",AND(AUTOEVENTO="Manual",$M32=$A$15),$M32&gt;(ROW(PLE.lastrow)-ROW(PLE.firstrow))),0,
           IF(OFFSET(PLE!$G$15,$M32-$A$15,BG$13)="",10^12,OFFSET(PLE!$G$15,$M32-$A$15,BG$13)))</f>
        <v>1000000000000</v>
      </c>
    </row>
    <row r="33" spans="1:59" ht="39.6" x14ac:dyDescent="0.25">
      <c r="A33" s="5" t="str">
        <f ca="1">IF(AUTOEVENTO="Manual",IF(K33&lt;&gt;"",MIN(VALUE(LEFT(K33,FIND(".",K33)-1)),COUNTA(EVENTOS.Lista)),0),IF(OR($B33&gt;AUTOEVENTO,$B33="S",$B33=0),SUBSTITUTE(OFFSET($A33,-1,0),IF($D33="Serviço",".",""),""),ROW(A33)-ROW($A$15)&amp;"."))</f>
        <v>11</v>
      </c>
      <c r="B33" s="5" t="str">
        <f ca="1">OFFSET(ORÇAMENTO!C$15,ROW(B33)-ROW(B$15),0)</f>
        <v>S</v>
      </c>
      <c r="C33" s="5" t="str">
        <f ca="1">OFFSET(ORÇAMENTO!L$15,ROW(C33)-ROW(C$15),0)</f>
        <v>F</v>
      </c>
      <c r="D33" s="87" t="str">
        <f ca="1">OFFSET(ORÇAMENTO!N$15,ROW(D33)-ROW(D$15),0)</f>
        <v>Serviço</v>
      </c>
      <c r="E33" s="88" t="str">
        <f ca="1">OFFSET(ORÇAMENTO!O$15,ROW(E33)-ROW(E$15),0)</f>
        <v>1.5.1.6.</v>
      </c>
      <c r="F33" s="125" t="str">
        <f ca="1">OFFSET(ORÇAMENTO!R$15,ROW(F33)-ROW(F$15),0)</f>
        <v>TRANSPORTE COM CAMINHÃO BASCULANTE DE 18 M³, EM VIA URBANA PAVIMENTADA, ADICIONAL PARA DMT EXCEDENTE A 30 KM (UNIDADE: M3XKM). AF_02/2026</v>
      </c>
      <c r="G33" s="126" t="str">
        <f ca="1">IF($D33&lt;&gt;"Serviço","",OFFSET(ORÇAMENTO!S$15,ROW(G33)-ROW(G$15),0))</f>
        <v>M3XKM</v>
      </c>
      <c r="H33" s="93" cm="1">
        <f t="array" aca="1" ref="H33" ca="1">IF($D33&lt;&gt;"Serviço",0,IF(_xlfn.SINGLE(ACOMPANHAMENTO)="BM",ROUND(OFFSET(ORÇAMENTO!AJ$15,ROW(H33)-ROW(H$15),0),15-13*ORÇAMENTO!$AF$7),SUMPRODUCT(($Q$1:$AA$1)*ROUND($Q33:$AA33,15-13*ORÇAMENTO!$AF$7))))</f>
        <v>168686.28</v>
      </c>
      <c r="I33" s="379"/>
      <c r="J33" s="488" t="str" cm="1">
        <f t="array" aca="1" ref="J33" ca="1">IF(B33&lt;&gt;"S","",IF(AND(ACOMPANHAMENTO="PLE",AUTOEVENTO="Manual",OR(H33&gt;0,ORÇAMENTO!AC33="QUANT."),OR(K33="",M33=0,N33="")),"►",IF(AND(ACOMPANHAMENTO="PLE",ORÇAMENTO!AC33="QUANT."),"►►",IF(AND(COUNTIF($P$11:$AA$11,"▼")=0,H33&gt;0,I33=""),"◄",""))))</f>
        <v>◄</v>
      </c>
      <c r="K33" s="607"/>
      <c r="L33" s="127" t="s">
        <v>788</v>
      </c>
      <c r="M33" s="128">
        <f ca="1">IF($D33&lt;&gt;"Serviço","",
          IF(AUTOEVENTO="manual",$A33,
                IF(ISERROR(MATCH($A33,$A$15:OFFSET($A33,-1,0),0)),MAX($M$15:OFFSET(M33,-1,0))+1,
                      INDEX($M$15:OFFSET(M33,-1,0),MATCH($A33,$A$15:OFFSET($A33,-1,0),0)))))</f>
        <v>5</v>
      </c>
      <c r="N33" s="129" t="str">
        <f ca="1">IF($D33&lt;&gt;"Serviço","",
         IF(AUTOEVENTO="Manual",
                IF($A33=0,"&lt;-- defina o número do agrupador",
                       OFFSET(EVENTOS!$D$15,$A33-$A$15,0)),
                OFFSET($F$15,$A33,0)))</f>
        <v>PAVIMENTAÇÃO DE VIAS</v>
      </c>
      <c r="O33" s="130"/>
      <c r="Q33" s="130">
        <v>17640.7</v>
      </c>
      <c r="R33" s="131"/>
      <c r="S33" s="131"/>
      <c r="T33" s="131"/>
      <c r="U33" s="131"/>
      <c r="V33" s="131"/>
      <c r="W33" s="131"/>
      <c r="X33" s="131"/>
      <c r="Y33" s="131"/>
      <c r="Z33" s="132"/>
      <c r="AB33" s="365">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365">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365">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365">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365">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365">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365">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365">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365">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365">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33">
        <f ca="1">IF(OR($D33&lt;&gt;"Serviço",AND(AUTOEVENTO="Manual",$M33=$A$15)),0,
         IF(OFFSET(CRONOPLE!$F$15,$M33-$A$15,AM$13)="",10^12,OFFSET(CRONOPLE!$F$15,$M33-$A$15,AM$13)))</f>
        <v>5</v>
      </c>
      <c r="AN33" s="133">
        <f ca="1">IF(OR($D33&lt;&gt;"Serviço",AND(AUTOEVENTO="Manual",$M33=$A$15)),0,
         IF(OFFSET(CRONOPLE!$F$15,$M33-$A$15,AN$13)="",10^12,OFFSET(CRONOPLE!$F$15,$M33-$A$15,AN$13)))</f>
        <v>1000000000000</v>
      </c>
      <c r="AO33" s="133">
        <f ca="1">IF(OR($D33&lt;&gt;"Serviço",AND(AUTOEVENTO="Manual",$M33=$A$15)),0,
         IF(OFFSET(CRONOPLE!$F$15,$M33-$A$15,AO$13)="",10^12,OFFSET(CRONOPLE!$F$15,$M33-$A$15,AO$13)))</f>
        <v>1000000000000</v>
      </c>
      <c r="AP33" s="133">
        <f ca="1">IF(OR($D33&lt;&gt;"Serviço",AND(AUTOEVENTO="Manual",$M33=$A$15)),0,
         IF(OFFSET(CRONOPLE!$F$15,$M33-$A$15,AP$13)="",10^12,OFFSET(CRONOPLE!$F$15,$M33-$A$15,AP$13)))</f>
        <v>1000000000000</v>
      </c>
      <c r="AQ33" s="133">
        <f ca="1">IF(OR($D33&lt;&gt;"Serviço",AND(AUTOEVENTO="Manual",$M33=$A$15)),0,
         IF(OFFSET(CRONOPLE!$F$15,$M33-$A$15,AQ$13)="",10^12,OFFSET(CRONOPLE!$F$15,$M33-$A$15,AQ$13)))</f>
        <v>1000000000000</v>
      </c>
      <c r="AR33" s="133">
        <f ca="1">IF(OR($D33&lt;&gt;"Serviço",AND(AUTOEVENTO="Manual",$M33=$A$15)),0,
         IF(OFFSET(CRONOPLE!$F$15,$M33-$A$15,AR$13)="",10^12,OFFSET(CRONOPLE!$F$15,$M33-$A$15,AR$13)))</f>
        <v>1000000000000</v>
      </c>
      <c r="AS33" s="133">
        <f ca="1">IF(OR($D33&lt;&gt;"Serviço",AND(AUTOEVENTO="Manual",$M33=$A$15)),0,
         IF(OFFSET(CRONOPLE!$F$15,$M33-$A$15,AS$13)="",10^12,OFFSET(CRONOPLE!$F$15,$M33-$A$15,AS$13)))</f>
        <v>1000000000000</v>
      </c>
      <c r="AT33" s="133">
        <f ca="1">IF(OR($D33&lt;&gt;"Serviço",AND(AUTOEVENTO="Manual",$M33=$A$15)),0,
         IF(OFFSET(CRONOPLE!$F$15,$M33-$A$15,AT$13)="",10^12,OFFSET(CRONOPLE!$F$15,$M33-$A$15,AT$13)))</f>
        <v>1000000000000</v>
      </c>
      <c r="AU33" s="133">
        <f ca="1">IF(OR($D33&lt;&gt;"Serviço",AND(AUTOEVENTO="Manual",$M33=$A$15)),0,
         IF(OFFSET(CRONOPLE!$F$15,$M33-$A$15,AU$13)="",10^12,OFFSET(CRONOPLE!$F$15,$M33-$A$15,AU$13)))</f>
        <v>1000000000000</v>
      </c>
      <c r="AV33" s="133">
        <f ca="1">IF(OR($D33&lt;&gt;"Serviço",AND(AUTOEVENTO="Manual",$M33=$A$15)),0,
         IF(OFFSET(CRONOPLE!$F$15,$M33-$A$15,AV$13)="",10^12,OFFSET(CRONOPLE!$F$15,$M33-$A$15,AV$13)))</f>
        <v>1000000000000</v>
      </c>
      <c r="AX33" s="134">
        <f ca="1">IF(OR($D33&lt;&gt;"Serviço",AND(AUTOEVENTO="Manual",$M33=$A$15),$M33&gt;(ROW(PLE.lastrow)-ROW(PLE.firstrow))),0,
           IF(OFFSET(PLE!$G$15,$M33-$A$15,AX$13)="",10^12,OFFSET(PLE!$G$15,$M33-$A$15,AX$13)))</f>
        <v>1000000000000</v>
      </c>
      <c r="AY33" s="134">
        <f ca="1">IF(OR($D33&lt;&gt;"Serviço",AND(AUTOEVENTO="Manual",$M33=$A$15),$M33&gt;(ROW(PLE.lastrow)-ROW(PLE.firstrow))),0,
           IF(OFFSET(PLE!$G$15,$M33-$A$15,AY$13)="",10^12,OFFSET(PLE!$G$15,$M33-$A$15,AY$13)))</f>
        <v>1000000000000</v>
      </c>
      <c r="AZ33" s="134">
        <f ca="1">IF(OR($D33&lt;&gt;"Serviço",AND(AUTOEVENTO="Manual",$M33=$A$15),$M33&gt;(ROW(PLE.lastrow)-ROW(PLE.firstrow))),0,
           IF(OFFSET(PLE!$G$15,$M33-$A$15,AZ$13)="",10^12,OFFSET(PLE!$G$15,$M33-$A$15,AZ$13)))</f>
        <v>1000000000000</v>
      </c>
      <c r="BA33" s="134">
        <f ca="1">IF(OR($D33&lt;&gt;"Serviço",AND(AUTOEVENTO="Manual",$M33=$A$15),$M33&gt;(ROW(PLE.lastrow)-ROW(PLE.firstrow))),0,
           IF(OFFSET(PLE!$G$15,$M33-$A$15,BA$13)="",10^12,OFFSET(PLE!$G$15,$M33-$A$15,BA$13)))</f>
        <v>1000000000000</v>
      </c>
      <c r="BB33" s="134">
        <f ca="1">IF(OR($D33&lt;&gt;"Serviço",AND(AUTOEVENTO="Manual",$M33=$A$15),$M33&gt;(ROW(PLE.lastrow)-ROW(PLE.firstrow))),0,
           IF(OFFSET(PLE!$G$15,$M33-$A$15,BB$13)="",10^12,OFFSET(PLE!$G$15,$M33-$A$15,BB$13)))</f>
        <v>1000000000000</v>
      </c>
      <c r="BC33" s="134">
        <f ca="1">IF(OR($D33&lt;&gt;"Serviço",AND(AUTOEVENTO="Manual",$M33=$A$15),$M33&gt;(ROW(PLE.lastrow)-ROW(PLE.firstrow))),0,
           IF(OFFSET(PLE!$G$15,$M33-$A$15,BC$13)="",10^12,OFFSET(PLE!$G$15,$M33-$A$15,BC$13)))</f>
        <v>1000000000000</v>
      </c>
      <c r="BD33" s="134">
        <f ca="1">IF(OR($D33&lt;&gt;"Serviço",AND(AUTOEVENTO="Manual",$M33=$A$15),$M33&gt;(ROW(PLE.lastrow)-ROW(PLE.firstrow))),0,
           IF(OFFSET(PLE!$G$15,$M33-$A$15,BD$13)="",10^12,OFFSET(PLE!$G$15,$M33-$A$15,BD$13)))</f>
        <v>1000000000000</v>
      </c>
      <c r="BE33" s="134">
        <f ca="1">IF(OR($D33&lt;&gt;"Serviço",AND(AUTOEVENTO="Manual",$M33=$A$15),$M33&gt;(ROW(PLE.lastrow)-ROW(PLE.firstrow))),0,
           IF(OFFSET(PLE!$G$15,$M33-$A$15,BE$13)="",10^12,OFFSET(PLE!$G$15,$M33-$A$15,BE$13)))</f>
        <v>1000000000000</v>
      </c>
      <c r="BF33" s="134">
        <f ca="1">IF(OR($D33&lt;&gt;"Serviço",AND(AUTOEVENTO="Manual",$M33=$A$15),$M33&gt;(ROW(PLE.lastrow)-ROW(PLE.firstrow))),0,
           IF(OFFSET(PLE!$G$15,$M33-$A$15,BF$13)="",10^12,OFFSET(PLE!$G$15,$M33-$A$15,BF$13)))</f>
        <v>1000000000000</v>
      </c>
      <c r="BG33" s="134">
        <f ca="1">IF(OR($D33&lt;&gt;"Serviço",AND(AUTOEVENTO="Manual",$M33=$A$15),$M33&gt;(ROW(PLE.lastrow)-ROW(PLE.firstrow))),0,
           IF(OFFSET(PLE!$G$15,$M33-$A$15,BG$13)="",10^12,OFFSET(PLE!$G$15,$M33-$A$15,BG$13)))</f>
        <v>1000000000000</v>
      </c>
    </row>
    <row r="34" spans="1:59" ht="13.2" x14ac:dyDescent="0.25">
      <c r="A34" s="5" t="str">
        <f ca="1">IF(AUTOEVENTO="Manual",IF(K34&lt;&gt;"",MIN(VALUE(LEFT(K34,FIND(".",K34)-1)),COUNTA(EVENTOS.Lista)),0),IF(OR($B34&gt;AUTOEVENTO,$B34="S",$B34=0),SUBSTITUTE(OFFSET($A34,-1,0),IF($D34="Serviço",".",""),""),ROW(A34)-ROW($A$15)&amp;"."))</f>
        <v>11</v>
      </c>
      <c r="B34" s="5">
        <f ca="1">OFFSET(ORÇAMENTO!C$15,ROW(B34)-ROW(B$15),0)</f>
        <v>3</v>
      </c>
      <c r="C34" s="5" t="str">
        <f ca="1">OFFSET(ORÇAMENTO!L$15,ROW(C34)-ROW(C$15),0)</f>
        <v>F</v>
      </c>
      <c r="D34" s="87" t="str">
        <f ca="1">OFFSET(ORÇAMENTO!N$15,ROW(D34)-ROW(D$15),0)</f>
        <v>Nível 3</v>
      </c>
      <c r="E34" s="88" t="str">
        <f ca="1">OFFSET(ORÇAMENTO!O$15,ROW(E34)-ROW(E$15),0)</f>
        <v>1.5.2.</v>
      </c>
      <c r="F34" s="125" t="str">
        <f ca="1">OFFSET(ORÇAMENTO!R$15,ROW(F34)-ROW(F$15),0)</f>
        <v>DRENAGEM SUPERFICIAL</v>
      </c>
      <c r="G34" s="126" t="str">
        <f ca="1">IF($D34&lt;&gt;"Serviço","",OFFSET(ORÇAMENTO!S$15,ROW(G34)-ROW(G$15),0))</f>
        <v/>
      </c>
      <c r="H34" s="93" cm="1">
        <f t="array" aca="1" ref="H34" ca="1">IF($D34&lt;&gt;"Serviço",0,IF(_xlfn.SINGLE(ACOMPANHAMENTO)="BM",ROUND(OFFSET(ORÇAMENTO!AJ$15,ROW(H34)-ROW(H$15),0),15-13*ORÇAMENTO!$AF$7),SUMPRODUCT(($Q$1:$AA$1)*ROUND($Q34:$AA34,15-13*ORÇAMENTO!$AF$7))))</f>
        <v>0</v>
      </c>
      <c r="I34" s="379"/>
      <c r="J34" s="488" t="str" cm="1">
        <f t="array" aca="1" ref="J34" ca="1">IF(B34&lt;&gt;"S","",IF(AND(ACOMPANHAMENTO="PLE",AUTOEVENTO="Manual",OR(H34&gt;0,ORÇAMENTO!AC34="QUANT."),OR(K34="",M34=0,N34="")),"►",IF(AND(ACOMPANHAMENTO="PLE",ORÇAMENTO!AC34="QUANT."),"►►",IF(AND(COUNTIF($P$11:$AA$11,"▼")=0,H34&gt;0,I34=""),"◄",""))))</f>
        <v/>
      </c>
      <c r="K34" s="607"/>
      <c r="L34" s="127" t="s">
        <v>788</v>
      </c>
      <c r="M34" s="128" t="str">
        <f ca="1">IF($D34&lt;&gt;"Serviço","",
          IF(AUTOEVENTO="manual",$A34,
                IF(ISERROR(MATCH($A34,$A$15:OFFSET($A34,-1,0),0)),MAX($M$15:OFFSET(M34,-1,0))+1,
                      INDEX($M$15:OFFSET(M34,-1,0),MATCH($A34,$A$15:OFFSET($A34,-1,0),0)))))</f>
        <v/>
      </c>
      <c r="N34" s="129" t="str">
        <f ca="1">IF($D34&lt;&gt;"Serviço","",
         IF(AUTOEVENTO="Manual",
                IF($A34=0,"&lt;-- defina o número do agrupador",
                       OFFSET(EVENTOS!$D$15,$A34-$A$15,0)),
                OFFSET($F$15,$A34,0)))</f>
        <v/>
      </c>
      <c r="O34" s="130"/>
      <c r="Q34" s="130"/>
      <c r="R34" s="131"/>
      <c r="S34" s="131"/>
      <c r="T34" s="131"/>
      <c r="U34" s="131"/>
      <c r="V34" s="131"/>
      <c r="W34" s="131"/>
      <c r="X34" s="131"/>
      <c r="Y34" s="131"/>
      <c r="Z34" s="132"/>
      <c r="AB34" s="365">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365">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365">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365">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365">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365">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365">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365">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365">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365">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33">
        <f ca="1">IF(OR($D34&lt;&gt;"Serviço",AND(AUTOEVENTO="Manual",$M34=$A$15)),0,
         IF(OFFSET(CRONOPLE!$F$15,$M34-$A$15,AM$13)="",10^12,OFFSET(CRONOPLE!$F$15,$M34-$A$15,AM$13)))</f>
        <v>0</v>
      </c>
      <c r="AN34" s="133">
        <f ca="1">IF(OR($D34&lt;&gt;"Serviço",AND(AUTOEVENTO="Manual",$M34=$A$15)),0,
         IF(OFFSET(CRONOPLE!$F$15,$M34-$A$15,AN$13)="",10^12,OFFSET(CRONOPLE!$F$15,$M34-$A$15,AN$13)))</f>
        <v>0</v>
      </c>
      <c r="AO34" s="133">
        <f ca="1">IF(OR($D34&lt;&gt;"Serviço",AND(AUTOEVENTO="Manual",$M34=$A$15)),0,
         IF(OFFSET(CRONOPLE!$F$15,$M34-$A$15,AO$13)="",10^12,OFFSET(CRONOPLE!$F$15,$M34-$A$15,AO$13)))</f>
        <v>0</v>
      </c>
      <c r="AP34" s="133">
        <f ca="1">IF(OR($D34&lt;&gt;"Serviço",AND(AUTOEVENTO="Manual",$M34=$A$15)),0,
         IF(OFFSET(CRONOPLE!$F$15,$M34-$A$15,AP$13)="",10^12,OFFSET(CRONOPLE!$F$15,$M34-$A$15,AP$13)))</f>
        <v>0</v>
      </c>
      <c r="AQ34" s="133">
        <f ca="1">IF(OR($D34&lt;&gt;"Serviço",AND(AUTOEVENTO="Manual",$M34=$A$15)),0,
         IF(OFFSET(CRONOPLE!$F$15,$M34-$A$15,AQ$13)="",10^12,OFFSET(CRONOPLE!$F$15,$M34-$A$15,AQ$13)))</f>
        <v>0</v>
      </c>
      <c r="AR34" s="133">
        <f ca="1">IF(OR($D34&lt;&gt;"Serviço",AND(AUTOEVENTO="Manual",$M34=$A$15)),0,
         IF(OFFSET(CRONOPLE!$F$15,$M34-$A$15,AR$13)="",10^12,OFFSET(CRONOPLE!$F$15,$M34-$A$15,AR$13)))</f>
        <v>0</v>
      </c>
      <c r="AS34" s="133">
        <f ca="1">IF(OR($D34&lt;&gt;"Serviço",AND(AUTOEVENTO="Manual",$M34=$A$15)),0,
         IF(OFFSET(CRONOPLE!$F$15,$M34-$A$15,AS$13)="",10^12,OFFSET(CRONOPLE!$F$15,$M34-$A$15,AS$13)))</f>
        <v>0</v>
      </c>
      <c r="AT34" s="133">
        <f ca="1">IF(OR($D34&lt;&gt;"Serviço",AND(AUTOEVENTO="Manual",$M34=$A$15)),0,
         IF(OFFSET(CRONOPLE!$F$15,$M34-$A$15,AT$13)="",10^12,OFFSET(CRONOPLE!$F$15,$M34-$A$15,AT$13)))</f>
        <v>0</v>
      </c>
      <c r="AU34" s="133">
        <f ca="1">IF(OR($D34&lt;&gt;"Serviço",AND(AUTOEVENTO="Manual",$M34=$A$15)),0,
         IF(OFFSET(CRONOPLE!$F$15,$M34-$A$15,AU$13)="",10^12,OFFSET(CRONOPLE!$F$15,$M34-$A$15,AU$13)))</f>
        <v>0</v>
      </c>
      <c r="AV34" s="133">
        <f ca="1">IF(OR($D34&lt;&gt;"Serviço",AND(AUTOEVENTO="Manual",$M34=$A$15)),0,
         IF(OFFSET(CRONOPLE!$F$15,$M34-$A$15,AV$13)="",10^12,OFFSET(CRONOPLE!$F$15,$M34-$A$15,AV$13)))</f>
        <v>0</v>
      </c>
      <c r="AX34" s="134">
        <f ca="1">IF(OR($D34&lt;&gt;"Serviço",AND(AUTOEVENTO="Manual",$M34=$A$15),$M34&gt;(ROW(PLE.lastrow)-ROW(PLE.firstrow))),0,
           IF(OFFSET(PLE!$G$15,$M34-$A$15,AX$13)="",10^12,OFFSET(PLE!$G$15,$M34-$A$15,AX$13)))</f>
        <v>0</v>
      </c>
      <c r="AY34" s="134">
        <f ca="1">IF(OR($D34&lt;&gt;"Serviço",AND(AUTOEVENTO="Manual",$M34=$A$15),$M34&gt;(ROW(PLE.lastrow)-ROW(PLE.firstrow))),0,
           IF(OFFSET(PLE!$G$15,$M34-$A$15,AY$13)="",10^12,OFFSET(PLE!$G$15,$M34-$A$15,AY$13)))</f>
        <v>0</v>
      </c>
      <c r="AZ34" s="134">
        <f ca="1">IF(OR($D34&lt;&gt;"Serviço",AND(AUTOEVENTO="Manual",$M34=$A$15),$M34&gt;(ROW(PLE.lastrow)-ROW(PLE.firstrow))),0,
           IF(OFFSET(PLE!$G$15,$M34-$A$15,AZ$13)="",10^12,OFFSET(PLE!$G$15,$M34-$A$15,AZ$13)))</f>
        <v>0</v>
      </c>
      <c r="BA34" s="134">
        <f ca="1">IF(OR($D34&lt;&gt;"Serviço",AND(AUTOEVENTO="Manual",$M34=$A$15),$M34&gt;(ROW(PLE.lastrow)-ROW(PLE.firstrow))),0,
           IF(OFFSET(PLE!$G$15,$M34-$A$15,BA$13)="",10^12,OFFSET(PLE!$G$15,$M34-$A$15,BA$13)))</f>
        <v>0</v>
      </c>
      <c r="BB34" s="134">
        <f ca="1">IF(OR($D34&lt;&gt;"Serviço",AND(AUTOEVENTO="Manual",$M34=$A$15),$M34&gt;(ROW(PLE.lastrow)-ROW(PLE.firstrow))),0,
           IF(OFFSET(PLE!$G$15,$M34-$A$15,BB$13)="",10^12,OFFSET(PLE!$G$15,$M34-$A$15,BB$13)))</f>
        <v>0</v>
      </c>
      <c r="BC34" s="134">
        <f ca="1">IF(OR($D34&lt;&gt;"Serviço",AND(AUTOEVENTO="Manual",$M34=$A$15),$M34&gt;(ROW(PLE.lastrow)-ROW(PLE.firstrow))),0,
           IF(OFFSET(PLE!$G$15,$M34-$A$15,BC$13)="",10^12,OFFSET(PLE!$G$15,$M34-$A$15,BC$13)))</f>
        <v>0</v>
      </c>
      <c r="BD34" s="134">
        <f ca="1">IF(OR($D34&lt;&gt;"Serviço",AND(AUTOEVENTO="Manual",$M34=$A$15),$M34&gt;(ROW(PLE.lastrow)-ROW(PLE.firstrow))),0,
           IF(OFFSET(PLE!$G$15,$M34-$A$15,BD$13)="",10^12,OFFSET(PLE!$G$15,$M34-$A$15,BD$13)))</f>
        <v>0</v>
      </c>
      <c r="BE34" s="134">
        <f ca="1">IF(OR($D34&lt;&gt;"Serviço",AND(AUTOEVENTO="Manual",$M34=$A$15),$M34&gt;(ROW(PLE.lastrow)-ROW(PLE.firstrow))),0,
           IF(OFFSET(PLE!$G$15,$M34-$A$15,BE$13)="",10^12,OFFSET(PLE!$G$15,$M34-$A$15,BE$13)))</f>
        <v>0</v>
      </c>
      <c r="BF34" s="134">
        <f ca="1">IF(OR($D34&lt;&gt;"Serviço",AND(AUTOEVENTO="Manual",$M34=$A$15),$M34&gt;(ROW(PLE.lastrow)-ROW(PLE.firstrow))),0,
           IF(OFFSET(PLE!$G$15,$M34-$A$15,BF$13)="",10^12,OFFSET(PLE!$G$15,$M34-$A$15,BF$13)))</f>
        <v>0</v>
      </c>
      <c r="BG34" s="134">
        <f ca="1">IF(OR($D34&lt;&gt;"Serviço",AND(AUTOEVENTO="Manual",$M34=$A$15),$M34&gt;(ROW(PLE.lastrow)-ROW(PLE.firstrow))),0,
           IF(OFFSET(PLE!$G$15,$M34-$A$15,BG$13)="",10^12,OFFSET(PLE!$G$15,$M34-$A$15,BG$13)))</f>
        <v>0</v>
      </c>
    </row>
    <row r="35" spans="1:59" ht="52.8" x14ac:dyDescent="0.25">
      <c r="A35" s="5" t="str">
        <f ca="1">IF(AUTOEVENTO="Manual",IF(K35&lt;&gt;"",MIN(VALUE(LEFT(K35,FIND(".",K35)-1)),COUNTA(EVENTOS.Lista)),0),IF(OR($B35&gt;AUTOEVENTO,$B35="S",$B35=0),SUBSTITUTE(OFFSET($A35,-1,0),IF($D35="Serviço",".",""),""),ROW(A35)-ROW($A$15)&amp;"."))</f>
        <v>11</v>
      </c>
      <c r="B35" s="5" t="str">
        <f ca="1">OFFSET(ORÇAMENTO!C$15,ROW(B35)-ROW(B$15),0)</f>
        <v>S</v>
      </c>
      <c r="C35" s="5" t="str">
        <f ca="1">OFFSET(ORÇAMENTO!L$15,ROW(C35)-ROW(C$15),0)</f>
        <v>F</v>
      </c>
      <c r="D35" s="87" t="str">
        <f ca="1">OFFSET(ORÇAMENTO!N$15,ROW(D35)-ROW(D$15),0)</f>
        <v>Serviço</v>
      </c>
      <c r="E35" s="88" t="str">
        <f ca="1">OFFSET(ORÇAMENTO!O$15,ROW(E35)-ROW(E$15),0)</f>
        <v>1.5.2.1.</v>
      </c>
      <c r="F35" s="125" t="str">
        <f ca="1">OFFSET(ORÇAMENTO!R$15,ROW(F35)-ROW(F$15),0)</f>
        <v>GUIA (MEIO-FIO) E SARJETA CONJUGADOS DE CONCRETO, MOLDADA IN LOCO EM TRECHO RETO COM EXTRUSORA, 45 CM BASE (15 CM BASE DA GUIA + 30 CM BASE DA SARJETA) X 22 CM ALTURA. AF_01/2024</v>
      </c>
      <c r="G35" s="126" t="str">
        <f ca="1">IF($D35&lt;&gt;"Serviço","",OFFSET(ORÇAMENTO!S$15,ROW(G35)-ROW(G$15),0))</f>
        <v>M</v>
      </c>
      <c r="H35" s="93" cm="1">
        <f t="array" aca="1" ref="H35" ca="1">IF($D35&lt;&gt;"Serviço",0,IF(_xlfn.SINGLE(ACOMPANHAMENTO)="BM",ROUND(OFFSET(ORÇAMENTO!AJ$15,ROW(H35)-ROW(H$15),0),15-13*ORÇAMENTO!$AF$7),SUMPRODUCT(($Q$1:$AA$1)*ROUND($Q35:$AA35,15-13*ORÇAMENTO!$AF$7))))</f>
        <v>8532</v>
      </c>
      <c r="I35" s="379"/>
      <c r="J35" s="488" t="str" cm="1">
        <f t="array" aca="1" ref="J35" ca="1">IF(B35&lt;&gt;"S","",IF(AND(ACOMPANHAMENTO="PLE",AUTOEVENTO="Manual",OR(H35&gt;0,ORÇAMENTO!AC35="QUANT."),OR(K35="",M35=0,N35="")),"►",IF(AND(ACOMPANHAMENTO="PLE",ORÇAMENTO!AC35="QUANT."),"►►",IF(AND(COUNTIF($P$11:$AA$11,"▼")=0,H35&gt;0,I35=""),"◄",""))))</f>
        <v>◄</v>
      </c>
      <c r="K35" s="607"/>
      <c r="L35" s="127" t="s">
        <v>788</v>
      </c>
      <c r="M35" s="128">
        <f ca="1">IF($D35&lt;&gt;"Serviço","",
          IF(AUTOEVENTO="manual",$A35,
                IF(ISERROR(MATCH($A35,$A$15:OFFSET($A35,-1,0),0)),MAX($M$15:OFFSET(M35,-1,0))+1,
                      INDEX($M$15:OFFSET(M35,-1,0),MATCH($A35,$A$15:OFFSET($A35,-1,0),0)))))</f>
        <v>5</v>
      </c>
      <c r="N35" s="129" t="str">
        <f ca="1">IF($D35&lt;&gt;"Serviço","",
         IF(AUTOEVENTO="Manual",
                IF($A35=0,"&lt;-- defina o número do agrupador",
                       OFFSET(EVENTOS!$D$15,$A35-$A$15,0)),
                OFFSET($F$15,$A35,0)))</f>
        <v>PAVIMENTAÇÃO DE VIAS</v>
      </c>
      <c r="O35" s="130"/>
      <c r="Q35" s="130">
        <v>1294.8</v>
      </c>
      <c r="R35" s="131"/>
      <c r="S35" s="131"/>
      <c r="T35" s="131"/>
      <c r="U35" s="131"/>
      <c r="V35" s="131"/>
      <c r="W35" s="131"/>
      <c r="X35" s="131"/>
      <c r="Y35" s="131"/>
      <c r="Z35" s="132"/>
      <c r="AB35" s="365">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365">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365">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365">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365">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365">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365">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365">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365">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365">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33">
        <f ca="1">IF(OR($D35&lt;&gt;"Serviço",AND(AUTOEVENTO="Manual",$M35=$A$15)),0,
         IF(OFFSET(CRONOPLE!$F$15,$M35-$A$15,AM$13)="",10^12,OFFSET(CRONOPLE!$F$15,$M35-$A$15,AM$13)))</f>
        <v>5</v>
      </c>
      <c r="AN35" s="133">
        <f ca="1">IF(OR($D35&lt;&gt;"Serviço",AND(AUTOEVENTO="Manual",$M35=$A$15)),0,
         IF(OFFSET(CRONOPLE!$F$15,$M35-$A$15,AN$13)="",10^12,OFFSET(CRONOPLE!$F$15,$M35-$A$15,AN$13)))</f>
        <v>1000000000000</v>
      </c>
      <c r="AO35" s="133">
        <f ca="1">IF(OR($D35&lt;&gt;"Serviço",AND(AUTOEVENTO="Manual",$M35=$A$15)),0,
         IF(OFFSET(CRONOPLE!$F$15,$M35-$A$15,AO$13)="",10^12,OFFSET(CRONOPLE!$F$15,$M35-$A$15,AO$13)))</f>
        <v>1000000000000</v>
      </c>
      <c r="AP35" s="133">
        <f ca="1">IF(OR($D35&lt;&gt;"Serviço",AND(AUTOEVENTO="Manual",$M35=$A$15)),0,
         IF(OFFSET(CRONOPLE!$F$15,$M35-$A$15,AP$13)="",10^12,OFFSET(CRONOPLE!$F$15,$M35-$A$15,AP$13)))</f>
        <v>1000000000000</v>
      </c>
      <c r="AQ35" s="133">
        <f ca="1">IF(OR($D35&lt;&gt;"Serviço",AND(AUTOEVENTO="Manual",$M35=$A$15)),0,
         IF(OFFSET(CRONOPLE!$F$15,$M35-$A$15,AQ$13)="",10^12,OFFSET(CRONOPLE!$F$15,$M35-$A$15,AQ$13)))</f>
        <v>1000000000000</v>
      </c>
      <c r="AR35" s="133">
        <f ca="1">IF(OR($D35&lt;&gt;"Serviço",AND(AUTOEVENTO="Manual",$M35=$A$15)),0,
         IF(OFFSET(CRONOPLE!$F$15,$M35-$A$15,AR$13)="",10^12,OFFSET(CRONOPLE!$F$15,$M35-$A$15,AR$13)))</f>
        <v>1000000000000</v>
      </c>
      <c r="AS35" s="133">
        <f ca="1">IF(OR($D35&lt;&gt;"Serviço",AND(AUTOEVENTO="Manual",$M35=$A$15)),0,
         IF(OFFSET(CRONOPLE!$F$15,$M35-$A$15,AS$13)="",10^12,OFFSET(CRONOPLE!$F$15,$M35-$A$15,AS$13)))</f>
        <v>1000000000000</v>
      </c>
      <c r="AT35" s="133">
        <f ca="1">IF(OR($D35&lt;&gt;"Serviço",AND(AUTOEVENTO="Manual",$M35=$A$15)),0,
         IF(OFFSET(CRONOPLE!$F$15,$M35-$A$15,AT$13)="",10^12,OFFSET(CRONOPLE!$F$15,$M35-$A$15,AT$13)))</f>
        <v>1000000000000</v>
      </c>
      <c r="AU35" s="133">
        <f ca="1">IF(OR($D35&lt;&gt;"Serviço",AND(AUTOEVENTO="Manual",$M35=$A$15)),0,
         IF(OFFSET(CRONOPLE!$F$15,$M35-$A$15,AU$13)="",10^12,OFFSET(CRONOPLE!$F$15,$M35-$A$15,AU$13)))</f>
        <v>1000000000000</v>
      </c>
      <c r="AV35" s="133">
        <f ca="1">IF(OR($D35&lt;&gt;"Serviço",AND(AUTOEVENTO="Manual",$M35=$A$15)),0,
         IF(OFFSET(CRONOPLE!$F$15,$M35-$A$15,AV$13)="",10^12,OFFSET(CRONOPLE!$F$15,$M35-$A$15,AV$13)))</f>
        <v>1000000000000</v>
      </c>
      <c r="AX35" s="134">
        <f ca="1">IF(OR($D35&lt;&gt;"Serviço",AND(AUTOEVENTO="Manual",$M35=$A$15),$M35&gt;(ROW(PLE.lastrow)-ROW(PLE.firstrow))),0,
           IF(OFFSET(PLE!$G$15,$M35-$A$15,AX$13)="",10^12,OFFSET(PLE!$G$15,$M35-$A$15,AX$13)))</f>
        <v>1000000000000</v>
      </c>
      <c r="AY35" s="134">
        <f ca="1">IF(OR($D35&lt;&gt;"Serviço",AND(AUTOEVENTO="Manual",$M35=$A$15),$M35&gt;(ROW(PLE.lastrow)-ROW(PLE.firstrow))),0,
           IF(OFFSET(PLE!$G$15,$M35-$A$15,AY$13)="",10^12,OFFSET(PLE!$G$15,$M35-$A$15,AY$13)))</f>
        <v>1000000000000</v>
      </c>
      <c r="AZ35" s="134">
        <f ca="1">IF(OR($D35&lt;&gt;"Serviço",AND(AUTOEVENTO="Manual",$M35=$A$15),$M35&gt;(ROW(PLE.lastrow)-ROW(PLE.firstrow))),0,
           IF(OFFSET(PLE!$G$15,$M35-$A$15,AZ$13)="",10^12,OFFSET(PLE!$G$15,$M35-$A$15,AZ$13)))</f>
        <v>1000000000000</v>
      </c>
      <c r="BA35" s="134">
        <f ca="1">IF(OR($D35&lt;&gt;"Serviço",AND(AUTOEVENTO="Manual",$M35=$A$15),$M35&gt;(ROW(PLE.lastrow)-ROW(PLE.firstrow))),0,
           IF(OFFSET(PLE!$G$15,$M35-$A$15,BA$13)="",10^12,OFFSET(PLE!$G$15,$M35-$A$15,BA$13)))</f>
        <v>1000000000000</v>
      </c>
      <c r="BB35" s="134">
        <f ca="1">IF(OR($D35&lt;&gt;"Serviço",AND(AUTOEVENTO="Manual",$M35=$A$15),$M35&gt;(ROW(PLE.lastrow)-ROW(PLE.firstrow))),0,
           IF(OFFSET(PLE!$G$15,$M35-$A$15,BB$13)="",10^12,OFFSET(PLE!$G$15,$M35-$A$15,BB$13)))</f>
        <v>1000000000000</v>
      </c>
      <c r="BC35" s="134">
        <f ca="1">IF(OR($D35&lt;&gt;"Serviço",AND(AUTOEVENTO="Manual",$M35=$A$15),$M35&gt;(ROW(PLE.lastrow)-ROW(PLE.firstrow))),0,
           IF(OFFSET(PLE!$G$15,$M35-$A$15,BC$13)="",10^12,OFFSET(PLE!$G$15,$M35-$A$15,BC$13)))</f>
        <v>1000000000000</v>
      </c>
      <c r="BD35" s="134">
        <f ca="1">IF(OR($D35&lt;&gt;"Serviço",AND(AUTOEVENTO="Manual",$M35=$A$15),$M35&gt;(ROW(PLE.lastrow)-ROW(PLE.firstrow))),0,
           IF(OFFSET(PLE!$G$15,$M35-$A$15,BD$13)="",10^12,OFFSET(PLE!$G$15,$M35-$A$15,BD$13)))</f>
        <v>1000000000000</v>
      </c>
      <c r="BE35" s="134">
        <f ca="1">IF(OR($D35&lt;&gt;"Serviço",AND(AUTOEVENTO="Manual",$M35=$A$15),$M35&gt;(ROW(PLE.lastrow)-ROW(PLE.firstrow))),0,
           IF(OFFSET(PLE!$G$15,$M35-$A$15,BE$13)="",10^12,OFFSET(PLE!$G$15,$M35-$A$15,BE$13)))</f>
        <v>1000000000000</v>
      </c>
      <c r="BF35" s="134">
        <f ca="1">IF(OR($D35&lt;&gt;"Serviço",AND(AUTOEVENTO="Manual",$M35=$A$15),$M35&gt;(ROW(PLE.lastrow)-ROW(PLE.firstrow))),0,
           IF(OFFSET(PLE!$G$15,$M35-$A$15,BF$13)="",10^12,OFFSET(PLE!$G$15,$M35-$A$15,BF$13)))</f>
        <v>1000000000000</v>
      </c>
      <c r="BG35" s="134">
        <f ca="1">IF(OR($D35&lt;&gt;"Serviço",AND(AUTOEVENTO="Manual",$M35=$A$15),$M35&gt;(ROW(PLE.lastrow)-ROW(PLE.firstrow))),0,
           IF(OFFSET(PLE!$G$15,$M35-$A$15,BG$13)="",10^12,OFFSET(PLE!$G$15,$M35-$A$15,BG$13)))</f>
        <v>1000000000000</v>
      </c>
    </row>
    <row r="36" spans="1:59" ht="5.0999999999999996" customHeight="1" x14ac:dyDescent="0.25">
      <c r="B36" s="5">
        <f ca="1">OFFSET(ORÇAMENTO!C$15,ROW(B36)-ROW(B$15),0)</f>
        <v>-1</v>
      </c>
      <c r="C36" s="5" t="str">
        <f ca="1">OFFSET(ORÇAMENTO!L$15,ROW(C36)-ROW(C$15),0)</f>
        <v>F</v>
      </c>
      <c r="D36" s="609" t="s">
        <v>707</v>
      </c>
      <c r="E36" s="580"/>
      <c r="F36" s="583"/>
      <c r="G36" s="583"/>
      <c r="H36" s="583"/>
      <c r="I36" s="581"/>
      <c r="K36" s="481"/>
      <c r="L36" s="127" t="s">
        <v>788</v>
      </c>
      <c r="M36" s="338"/>
      <c r="N36" s="337"/>
      <c r="O36" s="610"/>
      <c r="Q36" s="580"/>
      <c r="R36" s="583"/>
      <c r="S36" s="583"/>
      <c r="T36" s="583"/>
      <c r="U36" s="583"/>
      <c r="V36" s="583"/>
      <c r="W36" s="583"/>
      <c r="X36" s="583"/>
      <c r="Y36" s="583"/>
      <c r="Z36" s="581"/>
      <c r="AB36" s="611"/>
      <c r="AC36" s="612"/>
      <c r="AD36" s="612"/>
      <c r="AE36" s="612"/>
      <c r="AF36" s="612"/>
      <c r="AG36" s="612"/>
      <c r="AH36" s="612"/>
      <c r="AI36" s="612"/>
      <c r="AJ36" s="612"/>
      <c r="AK36" s="613"/>
      <c r="AM36" s="611"/>
      <c r="AN36" s="612"/>
      <c r="AO36" s="612"/>
      <c r="AP36" s="612"/>
      <c r="AQ36" s="612"/>
      <c r="AR36" s="612"/>
      <c r="AS36" s="612"/>
      <c r="AT36" s="612"/>
      <c r="AU36" s="612"/>
      <c r="AV36" s="613"/>
      <c r="AX36" s="611"/>
      <c r="AY36" s="612"/>
      <c r="AZ36" s="612"/>
      <c r="BA36" s="612"/>
      <c r="BB36" s="612"/>
      <c r="BC36" s="612"/>
      <c r="BD36" s="612"/>
      <c r="BE36" s="612"/>
      <c r="BF36" s="612"/>
      <c r="BG36" s="613"/>
    </row>
    <row r="37" spans="1:59" ht="12.75" customHeight="1" x14ac:dyDescent="0.25"/>
    <row r="38" spans="1:59" ht="12.75" customHeight="1" x14ac:dyDescent="0.25"/>
    <row r="39" spans="1:59" ht="12.75" customHeight="1" x14ac:dyDescent="0.25"/>
    <row r="40" spans="1:59" ht="15" customHeight="1" x14ac:dyDescent="0.25">
      <c r="F40" s="141" t="str">
        <f>Import.Município</f>
        <v>URUARÁ-PARÁ</v>
      </c>
      <c r="I40" s="371"/>
      <c r="J40" s="371"/>
      <c r="K40" s="371"/>
      <c r="L40" s="371"/>
      <c r="M40" s="372"/>
      <c r="N40" s="335"/>
      <c r="T40" s="106"/>
      <c r="U40" s="106"/>
      <c r="V40" s="142"/>
      <c r="W40" s="142"/>
      <c r="X40" s="142"/>
      <c r="Y40" s="142"/>
    </row>
    <row r="41" spans="1:59" ht="12.75" customHeight="1" x14ac:dyDescent="0.25">
      <c r="F41" s="7" t="s">
        <v>700</v>
      </c>
      <c r="I41" s="535" t="s">
        <v>703</v>
      </c>
      <c r="J41" s="535"/>
      <c r="K41" s="535"/>
      <c r="L41" s="535"/>
      <c r="T41" s="535" t="s">
        <v>703</v>
      </c>
      <c r="U41" s="535"/>
    </row>
    <row r="42" spans="1:59" ht="12.75" customHeight="1" x14ac:dyDescent="0.25">
      <c r="I42" s="316" t="str">
        <f t="array" aca="1" ref="I42:I44" ca="1">OFFSET(Import.RespOrçamento,0,-1) &amp; " " &amp; Import.RespOrçamento</f>
        <v>Nome: DOUGLAS NASCIMENTO DOS SANTOS</v>
      </c>
      <c r="K42" s="57"/>
      <c r="L42" s="57"/>
      <c r="T42" s="316" t="str">
        <f t="array" aca="1" ref="T42:T44" ca="1">OFFSET(Import.RespOrçamento,0,-1) &amp; " " &amp; Import.RespOrçamento</f>
        <v>Nome: DOUGLAS NASCIMENTO DOS SANTOS</v>
      </c>
      <c r="U42" s="56"/>
    </row>
    <row r="43" spans="1:59" ht="12.75" customHeight="1" x14ac:dyDescent="0.25">
      <c r="F43" s="525">
        <f>DADOS!$C$25</f>
        <v>46144</v>
      </c>
      <c r="I43" s="316" t="str">
        <f ca="1"/>
        <v>CREA/CAU: 151536623-5</v>
      </c>
      <c r="K43" s="57"/>
      <c r="L43" s="57"/>
      <c r="T43" s="316" t="str">
        <f ca="1"/>
        <v>CREA/CAU: 151536623-5</v>
      </c>
      <c r="U43" s="56"/>
    </row>
    <row r="44" spans="1:59" ht="12.75" customHeight="1" x14ac:dyDescent="0.25">
      <c r="F44" s="584" t="s">
        <v>701</v>
      </c>
      <c r="I44" s="316" t="str">
        <f ca="1"/>
        <v xml:space="preserve">ART/RRT: </v>
      </c>
      <c r="K44" s="57"/>
      <c r="L44" s="57"/>
      <c r="T44" s="316" t="str">
        <f ca="1"/>
        <v xml:space="preserve">ART/RRT: </v>
      </c>
      <c r="U44" s="56"/>
    </row>
    <row r="45" spans="1:59" ht="12.75" customHeight="1" x14ac:dyDescent="0.25">
      <c r="C45"/>
      <c r="M45"/>
    </row>
    <row r="46" spans="1:59" ht="12.75" customHeight="1" x14ac:dyDescent="0.25">
      <c r="C46"/>
      <c r="M46"/>
    </row>
    <row r="47" spans="1:59" ht="12.75" customHeight="1" x14ac:dyDescent="0.25">
      <c r="C47"/>
      <c r="M47"/>
    </row>
    <row r="48" spans="1:59" ht="12.75" customHeight="1" x14ac:dyDescent="0.25">
      <c r="C48"/>
      <c r="M48"/>
    </row>
    <row r="49" spans="3:13" ht="12.75" customHeight="1" x14ac:dyDescent="0.25">
      <c r="C49"/>
      <c r="M49"/>
    </row>
    <row r="50" spans="3:13" ht="12.75" customHeight="1" x14ac:dyDescent="0.25">
      <c r="C50"/>
      <c r="M50"/>
    </row>
    <row r="51" spans="3:13" ht="12.75" customHeight="1" x14ac:dyDescent="0.25">
      <c r="C51"/>
      <c r="M51"/>
    </row>
    <row r="52" spans="3:13" ht="12.75" customHeight="1" x14ac:dyDescent="0.25">
      <c r="C52"/>
      <c r="M52"/>
    </row>
    <row r="53" spans="3:13" ht="12.75" customHeight="1" x14ac:dyDescent="0.25">
      <c r="C53"/>
      <c r="M53"/>
    </row>
    <row r="54" spans="3:13" ht="12.75" customHeight="1" x14ac:dyDescent="0.25">
      <c r="C54"/>
      <c r="M54"/>
    </row>
    <row r="55" spans="3:13" ht="12.75" customHeight="1" x14ac:dyDescent="0.25">
      <c r="C55"/>
      <c r="M55"/>
    </row>
    <row r="56" spans="3:13" ht="12.75" customHeight="1" x14ac:dyDescent="0.25">
      <c r="C56"/>
      <c r="M56"/>
    </row>
    <row r="57" spans="3:13" ht="12.75" customHeight="1" x14ac:dyDescent="0.25">
      <c r="C57"/>
      <c r="M57"/>
    </row>
    <row r="58" spans="3:13" ht="12.75" customHeight="1" x14ac:dyDescent="0.25">
      <c r="C58"/>
      <c r="M58"/>
    </row>
    <row r="59" spans="3:13" ht="12.75" customHeight="1" x14ac:dyDescent="0.25">
      <c r="C59"/>
      <c r="M59"/>
    </row>
    <row r="60" spans="3:13" ht="12.75" customHeight="1" x14ac:dyDescent="0.25">
      <c r="C60"/>
      <c r="M60"/>
    </row>
    <row r="61" spans="3:13" ht="12.75" customHeight="1" x14ac:dyDescent="0.25">
      <c r="C61"/>
      <c r="M61"/>
    </row>
    <row r="62" spans="3:13" ht="12.75" customHeight="1" x14ac:dyDescent="0.25">
      <c r="C62"/>
      <c r="M62"/>
    </row>
    <row r="63" spans="3:13" ht="12.75" customHeight="1" x14ac:dyDescent="0.25">
      <c r="C63"/>
      <c r="M63"/>
    </row>
    <row r="64" spans="3:13" ht="12.75" customHeight="1" x14ac:dyDescent="0.25">
      <c r="C64"/>
      <c r="M64"/>
    </row>
    <row r="65" spans="3:13" ht="12.75" customHeight="1" x14ac:dyDescent="0.25">
      <c r="C65"/>
      <c r="M65"/>
    </row>
    <row r="66" spans="3:13" ht="12.75" customHeight="1" x14ac:dyDescent="0.25">
      <c r="C66"/>
      <c r="M66"/>
    </row>
    <row r="67" spans="3:13" ht="12.75" customHeight="1" x14ac:dyDescent="0.25">
      <c r="C67"/>
      <c r="M67"/>
    </row>
    <row r="68" spans="3:13" ht="12.75" customHeight="1" x14ac:dyDescent="0.25">
      <c r="C68"/>
      <c r="M68"/>
    </row>
    <row r="69" spans="3:13" ht="12.75" customHeight="1" x14ac:dyDescent="0.25">
      <c r="C69"/>
      <c r="M69"/>
    </row>
    <row r="70" spans="3:13" ht="12.75" customHeight="1" x14ac:dyDescent="0.25">
      <c r="C70"/>
      <c r="M70"/>
    </row>
    <row r="71" spans="3:13" ht="12.75" customHeight="1" x14ac:dyDescent="0.25">
      <c r="C71"/>
      <c r="M71"/>
    </row>
    <row r="72" spans="3:13" ht="12.75" customHeight="1" x14ac:dyDescent="0.25">
      <c r="C72"/>
      <c r="M72"/>
    </row>
    <row r="73" spans="3:13" ht="12.75" customHeight="1" x14ac:dyDescent="0.25">
      <c r="C73"/>
      <c r="M73"/>
    </row>
    <row r="74" spans="3:13" ht="12.75" customHeight="1" x14ac:dyDescent="0.25">
      <c r="C74"/>
      <c r="M74"/>
    </row>
    <row r="75" spans="3:13" ht="12.75" customHeight="1" x14ac:dyDescent="0.25">
      <c r="C75"/>
      <c r="M75"/>
    </row>
    <row r="76" spans="3:13" ht="12.75" customHeight="1" x14ac:dyDescent="0.25">
      <c r="C76"/>
      <c r="M76"/>
    </row>
    <row r="77" spans="3:13" ht="12.75" customHeight="1" x14ac:dyDescent="0.25">
      <c r="C77"/>
      <c r="M77"/>
    </row>
    <row r="78" spans="3:13" ht="12.75" customHeight="1" x14ac:dyDescent="0.25">
      <c r="C78"/>
      <c r="M78"/>
    </row>
    <row r="79" spans="3:13" ht="12.75" customHeight="1" x14ac:dyDescent="0.25">
      <c r="C79"/>
      <c r="M79"/>
    </row>
    <row r="80" spans="3:13" ht="12.75" customHeight="1" x14ac:dyDescent="0.25">
      <c r="C80"/>
      <c r="M80"/>
    </row>
    <row r="81" spans="3:13" ht="12.75" customHeight="1" x14ac:dyDescent="0.25">
      <c r="C81"/>
      <c r="M81"/>
    </row>
    <row r="82" spans="3:13" ht="12.75" customHeight="1" x14ac:dyDescent="0.25">
      <c r="C82"/>
      <c r="M82"/>
    </row>
    <row r="83" spans="3:13" ht="12.75" customHeight="1" x14ac:dyDescent="0.25">
      <c r="C83"/>
      <c r="M83"/>
    </row>
    <row r="84" spans="3:13" ht="12.75" customHeight="1" x14ac:dyDescent="0.25">
      <c r="C84"/>
      <c r="M84"/>
    </row>
    <row r="85" spans="3:13" ht="12.75" customHeight="1" x14ac:dyDescent="0.25">
      <c r="C85"/>
      <c r="M85"/>
    </row>
    <row r="86" spans="3:13" ht="12.75" customHeight="1" x14ac:dyDescent="0.25">
      <c r="C86"/>
      <c r="M86"/>
    </row>
    <row r="87" spans="3:13" ht="12.75" customHeight="1" x14ac:dyDescent="0.25">
      <c r="C87"/>
      <c r="M87"/>
    </row>
    <row r="88" spans="3:13" ht="12.75" customHeight="1" x14ac:dyDescent="0.25">
      <c r="C88"/>
      <c r="M88"/>
    </row>
    <row r="89" spans="3:13" ht="12.75" customHeight="1" x14ac:dyDescent="0.25">
      <c r="C89"/>
      <c r="M89"/>
    </row>
    <row r="90" spans="3:13" ht="12.75" customHeight="1" x14ac:dyDescent="0.25">
      <c r="C90"/>
      <c r="M90"/>
    </row>
    <row r="91" spans="3:13" ht="12.75" customHeight="1" x14ac:dyDescent="0.25">
      <c r="C91"/>
      <c r="M91"/>
    </row>
    <row r="92" spans="3:13" ht="12.75" customHeight="1" x14ac:dyDescent="0.25">
      <c r="C92"/>
      <c r="M92"/>
    </row>
    <row r="93" spans="3:13" ht="12.75" customHeight="1" x14ac:dyDescent="0.25">
      <c r="C93"/>
      <c r="M93"/>
    </row>
    <row r="94" spans="3:13" ht="12.75" customHeight="1" x14ac:dyDescent="0.25">
      <c r="C94"/>
      <c r="M94"/>
    </row>
    <row r="95" spans="3:13" ht="12.75" customHeight="1" x14ac:dyDescent="0.25">
      <c r="C95"/>
      <c r="M95"/>
    </row>
    <row r="96" spans="3:13" ht="12.75" customHeight="1" x14ac:dyDescent="0.25">
      <c r="C96"/>
      <c r="M96"/>
    </row>
    <row r="97" spans="3:13" ht="12.75" customHeight="1" x14ac:dyDescent="0.25">
      <c r="C97"/>
      <c r="M97"/>
    </row>
    <row r="98" spans="3:13" ht="12.75" customHeight="1" x14ac:dyDescent="0.25">
      <c r="C98"/>
      <c r="M98"/>
    </row>
    <row r="99" spans="3:13" ht="12.75" customHeight="1" x14ac:dyDescent="0.25">
      <c r="C99"/>
      <c r="M99"/>
    </row>
    <row r="100" spans="3:13" ht="12.75" customHeight="1" x14ac:dyDescent="0.25">
      <c r="C100"/>
      <c r="M100"/>
    </row>
    <row r="101" spans="3:13" ht="12.75" customHeight="1" x14ac:dyDescent="0.25">
      <c r="C101"/>
      <c r="M101"/>
    </row>
    <row r="102" spans="3:13" ht="12.75" customHeight="1" x14ac:dyDescent="0.25">
      <c r="C102"/>
      <c r="M102"/>
    </row>
    <row r="103" spans="3:13" ht="12.75" customHeight="1" x14ac:dyDescent="0.25">
      <c r="C103"/>
      <c r="M103"/>
    </row>
    <row r="104" spans="3:13" ht="12.75" customHeight="1" x14ac:dyDescent="0.25">
      <c r="C104"/>
      <c r="M104"/>
    </row>
    <row r="105" spans="3:13" ht="12.75" customHeight="1" x14ac:dyDescent="0.25">
      <c r="C105"/>
      <c r="M105"/>
    </row>
    <row r="106" spans="3:13" ht="12.75" customHeight="1" x14ac:dyDescent="0.25">
      <c r="C106"/>
      <c r="M106"/>
    </row>
    <row r="107" spans="3:13" ht="12.75" customHeight="1" x14ac:dyDescent="0.25">
      <c r="C107"/>
      <c r="M107"/>
    </row>
    <row r="108" spans="3:13" ht="12.75" customHeight="1" x14ac:dyDescent="0.25">
      <c r="C108"/>
      <c r="M108"/>
    </row>
    <row r="109" spans="3:13" ht="12.75" customHeight="1" x14ac:dyDescent="0.25">
      <c r="C109"/>
      <c r="M109"/>
    </row>
    <row r="110" spans="3:13" ht="12.75" customHeight="1" x14ac:dyDescent="0.25">
      <c r="C110"/>
      <c r="M110"/>
    </row>
    <row r="111" spans="3:13" ht="12.75" customHeight="1" x14ac:dyDescent="0.25">
      <c r="C111"/>
      <c r="M111"/>
    </row>
    <row r="112" spans="3:13" ht="12.75" customHeight="1" x14ac:dyDescent="0.25">
      <c r="C112"/>
      <c r="M112"/>
    </row>
    <row r="113" spans="3:13" ht="12.75" customHeight="1" x14ac:dyDescent="0.25">
      <c r="C113"/>
      <c r="M113"/>
    </row>
    <row r="114" spans="3:13" ht="12.75" customHeight="1" x14ac:dyDescent="0.25">
      <c r="C114"/>
      <c r="M114"/>
    </row>
    <row r="115" spans="3:13" ht="12.75" customHeight="1" x14ac:dyDescent="0.25">
      <c r="C115"/>
      <c r="M115"/>
    </row>
    <row r="116" spans="3:13" ht="12.75" customHeight="1" x14ac:dyDescent="0.25">
      <c r="C116"/>
      <c r="M116"/>
    </row>
    <row r="117" spans="3:13" ht="12.75" customHeight="1" x14ac:dyDescent="0.25">
      <c r="C117"/>
      <c r="M117"/>
    </row>
    <row r="118" spans="3:13" ht="12.75" customHeight="1" x14ac:dyDescent="0.25">
      <c r="C118"/>
      <c r="M118"/>
    </row>
    <row r="119" spans="3:13" ht="12.75" customHeight="1" x14ac:dyDescent="0.25">
      <c r="C119"/>
      <c r="M119"/>
    </row>
    <row r="120" spans="3:13" ht="12.75" customHeight="1" x14ac:dyDescent="0.25">
      <c r="C120"/>
      <c r="M120"/>
    </row>
    <row r="121" spans="3:13" ht="12.75" customHeight="1" x14ac:dyDescent="0.25">
      <c r="C121"/>
      <c r="M121"/>
    </row>
    <row r="122" spans="3:13" ht="12.75" customHeight="1" x14ac:dyDescent="0.25">
      <c r="C122"/>
      <c r="M122"/>
    </row>
    <row r="123" spans="3:13" ht="12.75" customHeight="1" x14ac:dyDescent="0.25">
      <c r="C123"/>
      <c r="M123"/>
    </row>
    <row r="124" spans="3:13" ht="12.75" customHeight="1" x14ac:dyDescent="0.25">
      <c r="C124"/>
      <c r="M124"/>
    </row>
    <row r="125" spans="3:13" ht="12.75" customHeight="1" x14ac:dyDescent="0.25">
      <c r="C125"/>
      <c r="M125"/>
    </row>
    <row r="126" spans="3:13" ht="12.75" customHeight="1" x14ac:dyDescent="0.25">
      <c r="C126"/>
      <c r="M126"/>
    </row>
    <row r="127" spans="3:13" ht="12.75" customHeight="1" x14ac:dyDescent="0.25">
      <c r="C127"/>
      <c r="M127"/>
    </row>
    <row r="128" spans="3:13" ht="12.75" customHeight="1" x14ac:dyDescent="0.25">
      <c r="C128"/>
      <c r="M128"/>
    </row>
    <row r="129" spans="3:13" ht="12.75" customHeight="1" x14ac:dyDescent="0.25">
      <c r="C129"/>
      <c r="M129"/>
    </row>
    <row r="130" spans="3:13" ht="12.75" customHeight="1" x14ac:dyDescent="0.25">
      <c r="C130"/>
      <c r="M130"/>
    </row>
    <row r="131" spans="3:13" ht="12.75" customHeight="1" x14ac:dyDescent="0.25">
      <c r="C131"/>
      <c r="M131"/>
    </row>
    <row r="132" spans="3:13" ht="12.75" customHeight="1" x14ac:dyDescent="0.25">
      <c r="C132"/>
      <c r="M132"/>
    </row>
    <row r="133" spans="3:13" ht="12.75" customHeight="1" x14ac:dyDescent="0.25">
      <c r="C133"/>
      <c r="M133"/>
    </row>
    <row r="134" spans="3:13" ht="12.75" customHeight="1" x14ac:dyDescent="0.25">
      <c r="C134"/>
      <c r="M134"/>
    </row>
    <row r="135" spans="3:13" ht="12.75" customHeight="1" x14ac:dyDescent="0.25">
      <c r="C135"/>
      <c r="M135"/>
    </row>
    <row r="136" spans="3:13" ht="12.75" customHeight="1" x14ac:dyDescent="0.25">
      <c r="C136"/>
      <c r="M136"/>
    </row>
    <row r="137" spans="3:13" ht="12.75" customHeight="1" x14ac:dyDescent="0.25">
      <c r="C137"/>
      <c r="M137"/>
    </row>
    <row r="138" spans="3:13" ht="12.75" customHeight="1" x14ac:dyDescent="0.25">
      <c r="C138"/>
      <c r="M138"/>
    </row>
    <row r="139" spans="3:13" ht="12.75" customHeight="1" x14ac:dyDescent="0.25">
      <c r="C139"/>
      <c r="M139"/>
    </row>
    <row r="140" spans="3:13" ht="12.75" customHeight="1" x14ac:dyDescent="0.25">
      <c r="C140"/>
      <c r="M140"/>
    </row>
    <row r="141" spans="3:13" ht="12.75" customHeight="1" x14ac:dyDescent="0.25">
      <c r="C141"/>
      <c r="M141"/>
    </row>
    <row r="142" spans="3:13" ht="12.75" customHeight="1" x14ac:dyDescent="0.25">
      <c r="C142"/>
      <c r="M142"/>
    </row>
    <row r="143" spans="3:13" ht="12.75" customHeight="1" x14ac:dyDescent="0.25">
      <c r="C143"/>
      <c r="M143"/>
    </row>
    <row r="144" spans="3:13" ht="12.75" customHeight="1" x14ac:dyDescent="0.25">
      <c r="C144"/>
      <c r="M144"/>
    </row>
    <row r="145" spans="3:13" ht="12.75" customHeight="1" x14ac:dyDescent="0.25">
      <c r="C145"/>
      <c r="M145"/>
    </row>
    <row r="146" spans="3:13" ht="12.75" customHeight="1" x14ac:dyDescent="0.25">
      <c r="C146"/>
      <c r="M146"/>
    </row>
    <row r="147" spans="3:13" ht="12.75" customHeight="1" x14ac:dyDescent="0.25">
      <c r="C147"/>
      <c r="M147"/>
    </row>
    <row r="148" spans="3:13" ht="12.75" customHeight="1" x14ac:dyDescent="0.25">
      <c r="C148"/>
      <c r="M148"/>
    </row>
    <row r="149" spans="3:13" ht="12.75" customHeight="1" x14ac:dyDescent="0.25">
      <c r="C149"/>
      <c r="M149"/>
    </row>
    <row r="150" spans="3:13" ht="12.75" customHeight="1" x14ac:dyDescent="0.25">
      <c r="C150"/>
      <c r="M150"/>
    </row>
    <row r="151" spans="3:13" ht="12.75" customHeight="1" x14ac:dyDescent="0.25">
      <c r="C151"/>
      <c r="M151"/>
    </row>
    <row r="152" spans="3:13" ht="12.75" customHeight="1" x14ac:dyDescent="0.25">
      <c r="C152"/>
      <c r="M152"/>
    </row>
    <row r="153" spans="3:13" ht="12.75" customHeight="1" x14ac:dyDescent="0.25">
      <c r="C153"/>
      <c r="M153"/>
    </row>
    <row r="154" spans="3:13" ht="12.75" customHeight="1" x14ac:dyDescent="0.25">
      <c r="C154"/>
      <c r="M154"/>
    </row>
    <row r="155" spans="3:13" ht="12.75" customHeight="1" x14ac:dyDescent="0.25">
      <c r="C155"/>
      <c r="M155"/>
    </row>
    <row r="156" spans="3:13" ht="12.75" customHeight="1" x14ac:dyDescent="0.25">
      <c r="C156"/>
      <c r="M156"/>
    </row>
    <row r="157" spans="3:13" ht="12.75" customHeight="1" x14ac:dyDescent="0.25">
      <c r="C157"/>
      <c r="M157"/>
    </row>
    <row r="158" spans="3:13" ht="12.75" customHeight="1" x14ac:dyDescent="0.25">
      <c r="C158"/>
      <c r="M158"/>
    </row>
    <row r="159" spans="3:13" ht="12.75" customHeight="1" x14ac:dyDescent="0.25">
      <c r="C159"/>
      <c r="M159"/>
    </row>
    <row r="160" spans="3:13" ht="12.75" customHeight="1" x14ac:dyDescent="0.25">
      <c r="C160"/>
      <c r="M160"/>
    </row>
    <row r="161" spans="3:13" ht="12.75" customHeight="1" x14ac:dyDescent="0.25">
      <c r="C161"/>
      <c r="M161"/>
    </row>
    <row r="162" spans="3:13" ht="12.75" customHeight="1" x14ac:dyDescent="0.25">
      <c r="C162"/>
      <c r="M162"/>
    </row>
    <row r="163" spans="3:13" ht="12.75" customHeight="1" x14ac:dyDescent="0.25">
      <c r="C163"/>
      <c r="M163"/>
    </row>
    <row r="164" spans="3:13" ht="12.75" customHeight="1" x14ac:dyDescent="0.25">
      <c r="C164"/>
      <c r="M164"/>
    </row>
    <row r="165" spans="3:13" ht="12.75" customHeight="1" x14ac:dyDescent="0.25">
      <c r="C165"/>
      <c r="M165"/>
    </row>
    <row r="166" spans="3:13" ht="12.75" customHeight="1" x14ac:dyDescent="0.25">
      <c r="C166"/>
      <c r="M166"/>
    </row>
    <row r="167" spans="3:13" ht="12.75" customHeight="1" x14ac:dyDescent="0.25">
      <c r="C167"/>
      <c r="M167"/>
    </row>
    <row r="168" spans="3:13" ht="12.75" customHeight="1" x14ac:dyDescent="0.25">
      <c r="C168"/>
      <c r="M168"/>
    </row>
    <row r="169" spans="3:13" ht="12.75" customHeight="1" x14ac:dyDescent="0.25">
      <c r="C169"/>
      <c r="M169"/>
    </row>
    <row r="170" spans="3:13" ht="12.75" customHeight="1" x14ac:dyDescent="0.25">
      <c r="C170"/>
      <c r="M170"/>
    </row>
    <row r="171" spans="3:13" ht="12.75" customHeight="1" x14ac:dyDescent="0.25">
      <c r="C171"/>
      <c r="M171"/>
    </row>
    <row r="172" spans="3:13" ht="12.75" customHeight="1" x14ac:dyDescent="0.25">
      <c r="C172"/>
      <c r="M172"/>
    </row>
    <row r="173" spans="3:13" ht="12.75" customHeight="1" x14ac:dyDescent="0.25">
      <c r="C173"/>
      <c r="M173"/>
    </row>
    <row r="174" spans="3:13" ht="12.75" customHeight="1" x14ac:dyDescent="0.25">
      <c r="C174"/>
      <c r="M174"/>
    </row>
    <row r="175" spans="3:13" ht="12.75" customHeight="1" x14ac:dyDescent="0.25">
      <c r="C175"/>
      <c r="M175"/>
    </row>
    <row r="176" spans="3:13" ht="12.75" customHeight="1" x14ac:dyDescent="0.25">
      <c r="C176"/>
      <c r="M176"/>
    </row>
    <row r="177" spans="3:13" ht="12.75" customHeight="1" x14ac:dyDescent="0.25">
      <c r="C177"/>
      <c r="M177"/>
    </row>
    <row r="178" spans="3:13" ht="12.75" customHeight="1" x14ac:dyDescent="0.25">
      <c r="C178"/>
      <c r="M178"/>
    </row>
    <row r="179" spans="3:13" ht="12.75" customHeight="1" x14ac:dyDescent="0.25">
      <c r="C179"/>
      <c r="M179"/>
    </row>
    <row r="180" spans="3:13" ht="12.75" customHeight="1" x14ac:dyDescent="0.25">
      <c r="C180"/>
      <c r="M180"/>
    </row>
    <row r="181" spans="3:13" ht="12.75" customHeight="1" x14ac:dyDescent="0.25">
      <c r="C181"/>
      <c r="M181"/>
    </row>
    <row r="182" spans="3:13" ht="12.75" customHeight="1" x14ac:dyDescent="0.25">
      <c r="C182"/>
      <c r="M182"/>
    </row>
    <row r="183" spans="3:13" ht="12.75" customHeight="1" x14ac:dyDescent="0.25">
      <c r="C183"/>
      <c r="M183"/>
    </row>
    <row r="184" spans="3:13" ht="12.75" customHeight="1" x14ac:dyDescent="0.25">
      <c r="C184"/>
      <c r="M184"/>
    </row>
    <row r="185" spans="3:13" ht="12.75" customHeight="1" x14ac:dyDescent="0.25">
      <c r="C185"/>
      <c r="M185"/>
    </row>
    <row r="186" spans="3:13" ht="12.75" customHeight="1" x14ac:dyDescent="0.25">
      <c r="C186"/>
      <c r="M186"/>
    </row>
    <row r="187" spans="3:13" ht="12.75" customHeight="1" x14ac:dyDescent="0.25">
      <c r="C187"/>
      <c r="M187"/>
    </row>
    <row r="188" spans="3:13" ht="12.75" customHeight="1" x14ac:dyDescent="0.25">
      <c r="C188"/>
      <c r="M188"/>
    </row>
    <row r="189" spans="3:13" ht="12.75" customHeight="1" x14ac:dyDescent="0.25">
      <c r="C189"/>
      <c r="M189"/>
    </row>
    <row r="190" spans="3:13" ht="12.75" customHeight="1" x14ac:dyDescent="0.25">
      <c r="C190"/>
      <c r="M190"/>
    </row>
    <row r="191" spans="3:13" ht="12.75" customHeight="1" x14ac:dyDescent="0.25">
      <c r="C191"/>
      <c r="M191"/>
    </row>
    <row r="192" spans="3:13" ht="12.75" customHeight="1" x14ac:dyDescent="0.25">
      <c r="C192"/>
      <c r="M192"/>
    </row>
    <row r="193" spans="3:13" ht="12.75" customHeight="1" x14ac:dyDescent="0.25">
      <c r="C193"/>
      <c r="M193"/>
    </row>
    <row r="194" spans="3:13" ht="12.75" customHeight="1" x14ac:dyDescent="0.25">
      <c r="C194"/>
      <c r="M194"/>
    </row>
    <row r="195" spans="3:13" ht="12.75" customHeight="1" x14ac:dyDescent="0.25">
      <c r="C195"/>
      <c r="M195"/>
    </row>
    <row r="196" spans="3:13" ht="12.75" customHeight="1" x14ac:dyDescent="0.25">
      <c r="C196"/>
      <c r="M196"/>
    </row>
    <row r="197" spans="3:13" ht="12.75" customHeight="1" x14ac:dyDescent="0.25">
      <c r="C197"/>
      <c r="M197"/>
    </row>
    <row r="198" spans="3:13" ht="12.75" customHeight="1" x14ac:dyDescent="0.25">
      <c r="C198"/>
      <c r="M198"/>
    </row>
    <row r="199" spans="3:13" ht="12.75" customHeight="1" x14ac:dyDescent="0.25">
      <c r="C199"/>
      <c r="M199"/>
    </row>
    <row r="200" spans="3:13" ht="12.75" customHeight="1" x14ac:dyDescent="0.25">
      <c r="C200"/>
      <c r="M200"/>
    </row>
    <row r="201" spans="3:13" ht="12.75" customHeight="1" x14ac:dyDescent="0.25">
      <c r="C201"/>
      <c r="M201"/>
    </row>
    <row r="202" spans="3:13" ht="12.75" customHeight="1" x14ac:dyDescent="0.25">
      <c r="C202"/>
      <c r="M202"/>
    </row>
    <row r="203" spans="3:13" ht="12.75" customHeight="1" x14ac:dyDescent="0.25">
      <c r="C203"/>
      <c r="M203"/>
    </row>
    <row r="204" spans="3:13" ht="12.75" customHeight="1" x14ac:dyDescent="0.25">
      <c r="C204"/>
      <c r="M204"/>
    </row>
    <row r="205" spans="3:13" ht="12.75" customHeight="1" x14ac:dyDescent="0.25">
      <c r="C205"/>
      <c r="M205"/>
    </row>
    <row r="206" spans="3:13" ht="12.75" customHeight="1" x14ac:dyDescent="0.25">
      <c r="C206"/>
      <c r="M206"/>
    </row>
    <row r="207" spans="3:13" ht="12.75" customHeight="1" x14ac:dyDescent="0.25">
      <c r="C207"/>
      <c r="M207"/>
    </row>
    <row r="208" spans="3:13" ht="12.75" customHeight="1" x14ac:dyDescent="0.25">
      <c r="C208"/>
      <c r="M208"/>
    </row>
    <row r="209" spans="3:13" ht="12.75" customHeight="1" x14ac:dyDescent="0.25">
      <c r="C209"/>
      <c r="M209"/>
    </row>
    <row r="210" spans="3:13" ht="12.75" customHeight="1" x14ac:dyDescent="0.25">
      <c r="C210"/>
      <c r="M210"/>
    </row>
    <row r="211" spans="3:13" ht="12.75" customHeight="1" x14ac:dyDescent="0.25">
      <c r="C211"/>
      <c r="M211"/>
    </row>
    <row r="212" spans="3:13" ht="12.75" customHeight="1" x14ac:dyDescent="0.25">
      <c r="C212"/>
      <c r="M212"/>
    </row>
    <row r="213" spans="3:13" ht="12.75" customHeight="1" x14ac:dyDescent="0.25">
      <c r="C213"/>
      <c r="M213"/>
    </row>
    <row r="214" spans="3:13" ht="12.75" customHeight="1" x14ac:dyDescent="0.25">
      <c r="C214"/>
      <c r="M214"/>
    </row>
    <row r="215" spans="3:13" ht="12.75" customHeight="1" x14ac:dyDescent="0.25">
      <c r="C215"/>
      <c r="M215"/>
    </row>
    <row r="216" spans="3:13" ht="12.75" customHeight="1" x14ac:dyDescent="0.25">
      <c r="C216"/>
      <c r="M216"/>
    </row>
    <row r="217" spans="3:13" ht="12.75" customHeight="1" x14ac:dyDescent="0.25">
      <c r="C217"/>
      <c r="M217"/>
    </row>
    <row r="218" spans="3:13" ht="12.75" customHeight="1" x14ac:dyDescent="0.25">
      <c r="C218"/>
      <c r="M218"/>
    </row>
    <row r="219" spans="3:13" ht="12.75" customHeight="1" x14ac:dyDescent="0.25">
      <c r="C219"/>
      <c r="M219"/>
    </row>
    <row r="220" spans="3:13" ht="12.75" customHeight="1" x14ac:dyDescent="0.25">
      <c r="C220"/>
      <c r="M220"/>
    </row>
    <row r="221" spans="3:13" ht="12.75" customHeight="1" x14ac:dyDescent="0.25">
      <c r="C221"/>
      <c r="M221"/>
    </row>
    <row r="222" spans="3:13" ht="12.75" customHeight="1" x14ac:dyDescent="0.25">
      <c r="C222"/>
      <c r="M222"/>
    </row>
    <row r="223" spans="3:13" ht="12.75" customHeight="1" x14ac:dyDescent="0.25">
      <c r="C223"/>
      <c r="M223"/>
    </row>
    <row r="224" spans="3:13" ht="12.75" customHeight="1" x14ac:dyDescent="0.25">
      <c r="C224"/>
      <c r="M224"/>
    </row>
    <row r="225" spans="3:13" ht="12.75" customHeight="1" x14ac:dyDescent="0.25">
      <c r="C225"/>
      <c r="M225"/>
    </row>
    <row r="226" spans="3:13" ht="12.75" customHeight="1" x14ac:dyDescent="0.25">
      <c r="C226"/>
      <c r="M226"/>
    </row>
    <row r="227" spans="3:13" ht="12.75" customHeight="1" x14ac:dyDescent="0.25">
      <c r="C227"/>
      <c r="M227"/>
    </row>
    <row r="228" spans="3:13" ht="12.75" customHeight="1" x14ac:dyDescent="0.25">
      <c r="C228"/>
      <c r="M228"/>
    </row>
    <row r="229" spans="3:13" ht="12.75" customHeight="1" x14ac:dyDescent="0.25">
      <c r="C229"/>
      <c r="M229"/>
    </row>
    <row r="230" spans="3:13" ht="12.75" customHeight="1" x14ac:dyDescent="0.25">
      <c r="C230"/>
      <c r="M230"/>
    </row>
    <row r="231" spans="3:13" ht="12.75" customHeight="1" x14ac:dyDescent="0.25">
      <c r="C231"/>
      <c r="M231"/>
    </row>
    <row r="232" spans="3:13" ht="12.75" customHeight="1" x14ac:dyDescent="0.25">
      <c r="C232"/>
      <c r="M232"/>
    </row>
    <row r="233" spans="3:13" ht="12.75" customHeight="1" x14ac:dyDescent="0.25">
      <c r="C233"/>
      <c r="M233"/>
    </row>
    <row r="234" spans="3:13" ht="12.75" customHeight="1" x14ac:dyDescent="0.25">
      <c r="C234"/>
      <c r="M234"/>
    </row>
    <row r="235" spans="3:13" ht="12.75" customHeight="1" x14ac:dyDescent="0.25">
      <c r="C235"/>
      <c r="M235"/>
    </row>
    <row r="236" spans="3:13" ht="12.75" customHeight="1" x14ac:dyDescent="0.25">
      <c r="C236"/>
      <c r="M236"/>
    </row>
    <row r="237" spans="3:13" ht="12.75" customHeight="1" x14ac:dyDescent="0.25">
      <c r="C237"/>
      <c r="M237"/>
    </row>
    <row r="238" spans="3:13" ht="12.75" customHeight="1" x14ac:dyDescent="0.25">
      <c r="C238"/>
      <c r="M238"/>
    </row>
    <row r="239" spans="3:13" ht="12.75" customHeight="1" x14ac:dyDescent="0.25">
      <c r="C239"/>
      <c r="M239"/>
    </row>
    <row r="240" spans="3:13" ht="12.75" customHeight="1" x14ac:dyDescent="0.25">
      <c r="C240"/>
      <c r="M240"/>
    </row>
    <row r="241" spans="3:13" ht="12.75" customHeight="1" x14ac:dyDescent="0.25">
      <c r="C241"/>
      <c r="M241"/>
    </row>
    <row r="242" spans="3:13" ht="12.75" customHeight="1" x14ac:dyDescent="0.25">
      <c r="C242"/>
      <c r="M242"/>
    </row>
    <row r="243" spans="3:13" ht="12.75" customHeight="1" x14ac:dyDescent="0.25">
      <c r="C243"/>
      <c r="M243"/>
    </row>
    <row r="244" spans="3:13" ht="12.75" customHeight="1" x14ac:dyDescent="0.25">
      <c r="C244"/>
      <c r="M244"/>
    </row>
    <row r="245" spans="3:13" ht="12.75" customHeight="1" x14ac:dyDescent="0.25">
      <c r="C245"/>
      <c r="M245"/>
    </row>
    <row r="246" spans="3:13" ht="12.75" customHeight="1" x14ac:dyDescent="0.25">
      <c r="C246"/>
      <c r="M246"/>
    </row>
    <row r="247" spans="3:13" ht="12.75" customHeight="1" x14ac:dyDescent="0.25">
      <c r="C247"/>
      <c r="M247"/>
    </row>
    <row r="248" spans="3:13" ht="12.75" customHeight="1" x14ac:dyDescent="0.25">
      <c r="C248"/>
      <c r="M248"/>
    </row>
    <row r="249" spans="3:13" ht="12.75" customHeight="1" x14ac:dyDescent="0.25">
      <c r="C249"/>
      <c r="M249"/>
    </row>
    <row r="250" spans="3:13" ht="12.75" customHeight="1" x14ac:dyDescent="0.25">
      <c r="C250"/>
      <c r="M250"/>
    </row>
    <row r="251" spans="3:13" ht="12.75" customHeight="1" x14ac:dyDescent="0.25">
      <c r="C251"/>
      <c r="M251"/>
    </row>
    <row r="252" spans="3:13" ht="12.75" customHeight="1" x14ac:dyDescent="0.25">
      <c r="C252"/>
      <c r="M252"/>
    </row>
    <row r="253" spans="3:13" ht="12.75" customHeight="1" x14ac:dyDescent="0.25">
      <c r="C253"/>
      <c r="M253"/>
    </row>
    <row r="254" spans="3:13" ht="12.75" customHeight="1" x14ac:dyDescent="0.25">
      <c r="C254"/>
      <c r="M254"/>
    </row>
    <row r="255" spans="3:13" ht="12.75" customHeight="1" x14ac:dyDescent="0.25">
      <c r="C255"/>
      <c r="M255"/>
    </row>
    <row r="256" spans="3:13" ht="12.75" customHeight="1" x14ac:dyDescent="0.25">
      <c r="C256"/>
      <c r="M256"/>
    </row>
    <row r="257" spans="3:13" ht="12.75" customHeight="1" x14ac:dyDescent="0.25">
      <c r="C257"/>
      <c r="M257"/>
    </row>
    <row r="258" spans="3:13" ht="12.75" customHeight="1" x14ac:dyDescent="0.25">
      <c r="C258"/>
      <c r="M258"/>
    </row>
    <row r="259" spans="3:13" ht="12.75" customHeight="1" x14ac:dyDescent="0.25">
      <c r="C259"/>
      <c r="M259"/>
    </row>
    <row r="260" spans="3:13" ht="12.75" customHeight="1" x14ac:dyDescent="0.25">
      <c r="C260"/>
      <c r="M260"/>
    </row>
    <row r="261" spans="3:13" ht="12.75" customHeight="1" x14ac:dyDescent="0.25">
      <c r="C261"/>
      <c r="M261"/>
    </row>
    <row r="262" spans="3:13" ht="12.75" customHeight="1" x14ac:dyDescent="0.25">
      <c r="C262"/>
      <c r="M262"/>
    </row>
    <row r="263" spans="3:13" ht="12.75" customHeight="1" x14ac:dyDescent="0.25">
      <c r="C263"/>
      <c r="M263"/>
    </row>
    <row r="264" spans="3:13" ht="12.75" customHeight="1" x14ac:dyDescent="0.25">
      <c r="C264"/>
      <c r="M264"/>
    </row>
    <row r="265" spans="3:13" ht="12.75" customHeight="1" x14ac:dyDescent="0.25">
      <c r="C265"/>
      <c r="M265"/>
    </row>
    <row r="266" spans="3:13" ht="12.75" customHeight="1" x14ac:dyDescent="0.25">
      <c r="C266"/>
      <c r="M266"/>
    </row>
    <row r="267" spans="3:13" ht="12.75" customHeight="1" x14ac:dyDescent="0.25">
      <c r="C267"/>
      <c r="M267"/>
    </row>
    <row r="268" spans="3:13" ht="12.75" customHeight="1" x14ac:dyDescent="0.25">
      <c r="C268"/>
      <c r="M268"/>
    </row>
    <row r="269" spans="3:13" ht="12.75" customHeight="1" x14ac:dyDescent="0.25">
      <c r="C269"/>
      <c r="M269"/>
    </row>
    <row r="270" spans="3:13" ht="12.75" customHeight="1" x14ac:dyDescent="0.25">
      <c r="C270"/>
      <c r="M270"/>
    </row>
    <row r="271" spans="3:13" ht="12.75" customHeight="1" x14ac:dyDescent="0.25">
      <c r="C271"/>
      <c r="M271"/>
    </row>
    <row r="272" spans="3:13"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60948" spans="3:13" ht="12.75" customHeight="1" x14ac:dyDescent="0.25">
      <c r="C60948"/>
      <c r="M60948"/>
    </row>
    <row r="60964" spans="3:13" ht="12.75" customHeight="1" x14ac:dyDescent="0.25">
      <c r="C60964"/>
      <c r="M60964"/>
    </row>
    <row r="60980" spans="3:13" ht="12.75" customHeight="1" x14ac:dyDescent="0.25">
      <c r="C60980"/>
      <c r="M60980"/>
    </row>
    <row r="60996" spans="3:13" ht="12.75" customHeight="1" x14ac:dyDescent="0.25">
      <c r="C60996"/>
      <c r="M60996"/>
    </row>
    <row r="61009" spans="3:13" ht="12.75" customHeight="1" x14ac:dyDescent="0.25">
      <c r="C61009"/>
      <c r="M61009"/>
    </row>
    <row r="61010" spans="3:13" ht="12.75" customHeight="1" x14ac:dyDescent="0.25">
      <c r="C61010"/>
      <c r="M61010"/>
    </row>
    <row r="61012" spans="3:13" ht="12.75" customHeight="1" x14ac:dyDescent="0.25">
      <c r="C61012"/>
      <c r="M61012"/>
    </row>
    <row r="61023" spans="3:13" ht="12.75" customHeight="1" x14ac:dyDescent="0.25">
      <c r="C61023"/>
      <c r="M61023"/>
    </row>
    <row r="61024" spans="3:13" ht="12.75" customHeight="1" x14ac:dyDescent="0.25">
      <c r="C61024"/>
      <c r="M61024"/>
    </row>
    <row r="61025" spans="3:13" ht="12.75" customHeight="1" x14ac:dyDescent="0.25">
      <c r="C61025"/>
      <c r="M61025"/>
    </row>
    <row r="61026" spans="3:13" ht="12.75" customHeight="1" x14ac:dyDescent="0.25">
      <c r="C61026"/>
      <c r="M61026"/>
    </row>
    <row r="61028" spans="3:13" ht="12.75" customHeight="1" x14ac:dyDescent="0.25">
      <c r="C61028"/>
      <c r="M61028"/>
    </row>
    <row r="61039" spans="3:13" ht="12.75" customHeight="1" x14ac:dyDescent="0.25">
      <c r="C61039"/>
      <c r="M61039"/>
    </row>
    <row r="61040" spans="3:13" ht="12.75" customHeight="1" x14ac:dyDescent="0.25">
      <c r="C61040"/>
      <c r="M61040"/>
    </row>
    <row r="61041" spans="3:13" ht="12.75" customHeight="1" x14ac:dyDescent="0.25">
      <c r="C61041"/>
      <c r="M61041"/>
    </row>
    <row r="61042" spans="3:13" ht="12.75" customHeight="1" x14ac:dyDescent="0.25">
      <c r="C61042"/>
      <c r="M61042"/>
    </row>
    <row r="61044" spans="3:13" ht="12.75" customHeight="1" x14ac:dyDescent="0.25">
      <c r="C61044"/>
      <c r="M61044"/>
    </row>
    <row r="61055" spans="3:13" ht="12.75" customHeight="1" x14ac:dyDescent="0.25">
      <c r="C61055"/>
      <c r="M61055"/>
    </row>
    <row r="61056" spans="3:13" ht="12.75" customHeight="1" x14ac:dyDescent="0.25">
      <c r="C61056"/>
      <c r="M61056"/>
    </row>
    <row r="61057" spans="3:13" ht="12.75" customHeight="1" x14ac:dyDescent="0.25">
      <c r="C61057"/>
      <c r="M61057"/>
    </row>
    <row r="61058" spans="3:13" ht="12.75" customHeight="1" x14ac:dyDescent="0.25">
      <c r="C61058"/>
      <c r="M61058"/>
    </row>
    <row r="61060" spans="3:13" ht="12.75" customHeight="1" x14ac:dyDescent="0.25">
      <c r="C61060"/>
      <c r="M61060"/>
    </row>
    <row r="61071" spans="3:13" ht="12.75" customHeight="1" x14ac:dyDescent="0.25">
      <c r="C61071"/>
      <c r="M61071"/>
    </row>
    <row r="61072" spans="3:13" ht="12.75" customHeight="1" x14ac:dyDescent="0.25">
      <c r="C61072"/>
      <c r="M61072"/>
    </row>
    <row r="61073" spans="3:13" ht="12.75" customHeight="1" x14ac:dyDescent="0.25">
      <c r="C61073"/>
      <c r="M61073"/>
    </row>
    <row r="61074" spans="3:13" ht="12.75" customHeight="1" x14ac:dyDescent="0.25">
      <c r="C61074"/>
      <c r="M61074"/>
    </row>
    <row r="61076" spans="3:13" ht="12.75" customHeight="1" x14ac:dyDescent="0.25">
      <c r="C61076"/>
      <c r="M61076"/>
    </row>
    <row r="61087" spans="3:13" ht="12.75" customHeight="1" x14ac:dyDescent="0.25">
      <c r="C61087"/>
      <c r="M61087"/>
    </row>
    <row r="61088" spans="3:13" ht="12.75" customHeight="1" x14ac:dyDescent="0.25">
      <c r="C61088"/>
      <c r="M61088"/>
    </row>
    <row r="61089" spans="3:13" ht="12.75" customHeight="1" x14ac:dyDescent="0.25">
      <c r="C61089"/>
      <c r="M61089"/>
    </row>
    <row r="61090" spans="3:13" ht="12.75" customHeight="1" x14ac:dyDescent="0.25">
      <c r="C61090"/>
      <c r="M61090"/>
    </row>
    <row r="61092" spans="3:13" ht="12.75" customHeight="1" x14ac:dyDescent="0.25">
      <c r="C61092"/>
      <c r="M61092"/>
    </row>
    <row r="61103" spans="3:13" ht="12.75" customHeight="1" x14ac:dyDescent="0.25">
      <c r="C61103"/>
      <c r="M61103"/>
    </row>
    <row r="61104" spans="3:13" ht="12.75" customHeight="1" x14ac:dyDescent="0.25">
      <c r="C61104"/>
      <c r="M61104"/>
    </row>
    <row r="61105" spans="3:13" ht="12.75" customHeight="1" x14ac:dyDescent="0.25">
      <c r="C61105"/>
      <c r="M61105"/>
    </row>
    <row r="61106" spans="3:13" ht="12.75" customHeight="1" x14ac:dyDescent="0.25">
      <c r="C61106"/>
      <c r="M61106"/>
    </row>
    <row r="61108" spans="3:13" ht="12.75" customHeight="1" x14ac:dyDescent="0.25">
      <c r="C61108"/>
      <c r="M61108"/>
    </row>
    <row r="61119" spans="3:13" ht="12.75" customHeight="1" x14ac:dyDescent="0.25">
      <c r="C61119"/>
      <c r="M61119"/>
    </row>
    <row r="61120" spans="3:13" ht="12.75" customHeight="1" x14ac:dyDescent="0.25">
      <c r="C61120"/>
      <c r="M61120"/>
    </row>
    <row r="61121" spans="3:13" ht="12.75" customHeight="1" x14ac:dyDescent="0.25">
      <c r="C61121"/>
      <c r="M61121"/>
    </row>
    <row r="61122" spans="3:13" ht="12.75" customHeight="1" x14ac:dyDescent="0.25">
      <c r="C61122"/>
      <c r="M61122"/>
    </row>
    <row r="61124" spans="3:13" ht="12.75" customHeight="1" x14ac:dyDescent="0.25">
      <c r="C61124"/>
      <c r="M61124"/>
    </row>
    <row r="61135" spans="3:13" ht="12.75" customHeight="1" x14ac:dyDescent="0.25">
      <c r="C61135"/>
      <c r="M61135"/>
    </row>
    <row r="61136" spans="3:13" ht="12.75" customHeight="1" x14ac:dyDescent="0.25">
      <c r="C61136"/>
      <c r="M61136"/>
    </row>
    <row r="61137" spans="3:13" ht="12.75" customHeight="1" x14ac:dyDescent="0.25">
      <c r="C61137"/>
      <c r="M61137"/>
    </row>
    <row r="61138" spans="3:13" ht="12.75" customHeight="1" x14ac:dyDescent="0.25">
      <c r="C61138"/>
      <c r="M61138"/>
    </row>
    <row r="61140" spans="3:13" ht="12.75" customHeight="1" x14ac:dyDescent="0.25">
      <c r="C61140"/>
      <c r="M61140"/>
    </row>
    <row r="61148" spans="3:13" ht="12.75" customHeight="1" x14ac:dyDescent="0.25">
      <c r="C61148"/>
      <c r="M61148"/>
    </row>
    <row r="61151" spans="3:13" ht="12.75" customHeight="1" x14ac:dyDescent="0.25">
      <c r="C61151"/>
      <c r="M61151"/>
    </row>
    <row r="61152" spans="3:13" ht="12.75" customHeight="1" x14ac:dyDescent="0.25">
      <c r="C61152"/>
      <c r="M61152"/>
    </row>
    <row r="61153" spans="3:13" ht="12.75" customHeight="1" x14ac:dyDescent="0.25">
      <c r="C61153"/>
      <c r="M61153"/>
    </row>
    <row r="61154" spans="3:13" ht="12.75" customHeight="1" x14ac:dyDescent="0.25">
      <c r="C61154"/>
      <c r="M61154"/>
    </row>
    <row r="61156" spans="3:13" ht="12.75" customHeight="1" x14ac:dyDescent="0.25">
      <c r="C61156"/>
      <c r="M61156"/>
    </row>
    <row r="61164" spans="3:13" ht="12.75" customHeight="1" x14ac:dyDescent="0.25">
      <c r="C61164"/>
      <c r="M61164"/>
    </row>
    <row r="61167" spans="3:13" ht="12.75" customHeight="1" x14ac:dyDescent="0.25">
      <c r="C61167"/>
      <c r="M61167"/>
    </row>
    <row r="61168" spans="3:13" ht="12.75" customHeight="1" x14ac:dyDescent="0.25">
      <c r="C61168"/>
      <c r="M61168"/>
    </row>
    <row r="61169" spans="3:13" ht="12.75" customHeight="1" x14ac:dyDescent="0.25">
      <c r="C61169"/>
      <c r="M61169"/>
    </row>
    <row r="61170" spans="3:13" ht="12.75" customHeight="1" x14ac:dyDescent="0.25">
      <c r="C61170"/>
      <c r="M61170"/>
    </row>
    <row r="61172" spans="3:13" ht="12.75" customHeight="1" x14ac:dyDescent="0.25">
      <c r="C61172"/>
      <c r="M61172"/>
    </row>
    <row r="61180" spans="3:13" ht="12.75" customHeight="1" x14ac:dyDescent="0.25">
      <c r="C61180"/>
      <c r="M61180"/>
    </row>
    <row r="61181" spans="3:13" ht="12.75" customHeight="1" x14ac:dyDescent="0.25">
      <c r="C61181"/>
      <c r="M61181"/>
    </row>
    <row r="61183" spans="3:13" ht="12.75" customHeight="1" x14ac:dyDescent="0.25">
      <c r="C61183"/>
      <c r="M61183"/>
    </row>
    <row r="61184" spans="3:13" ht="12.75" customHeight="1" x14ac:dyDescent="0.25">
      <c r="C61184"/>
      <c r="M61184"/>
    </row>
    <row r="61185" spans="3:13" ht="12.75" customHeight="1" x14ac:dyDescent="0.25">
      <c r="C61185"/>
      <c r="M61185"/>
    </row>
    <row r="61186" spans="3:13" ht="12.75" customHeight="1" x14ac:dyDescent="0.25">
      <c r="C61186"/>
      <c r="M61186"/>
    </row>
    <row r="61188" spans="3:13" ht="12.75" customHeight="1" x14ac:dyDescent="0.25">
      <c r="C61188"/>
      <c r="M61188"/>
    </row>
    <row r="61196" spans="3:13" ht="12.75" customHeight="1" x14ac:dyDescent="0.25">
      <c r="C61196"/>
      <c r="M61196"/>
    </row>
    <row r="61197" spans="3:13" ht="12.75" customHeight="1" x14ac:dyDescent="0.25">
      <c r="C61197"/>
      <c r="M61197"/>
    </row>
    <row r="61198" spans="3:13" ht="12.75" customHeight="1" x14ac:dyDescent="0.25">
      <c r="C61198"/>
      <c r="M61198"/>
    </row>
    <row r="61199" spans="3:13" ht="12.75" customHeight="1" x14ac:dyDescent="0.25">
      <c r="C61199"/>
      <c r="M61199"/>
    </row>
    <row r="61200" spans="3:13" ht="12.75" customHeight="1" x14ac:dyDescent="0.25">
      <c r="C61200"/>
      <c r="M61200"/>
    </row>
    <row r="61201" spans="3:13" ht="12.75" customHeight="1" x14ac:dyDescent="0.25">
      <c r="C61201"/>
      <c r="M61201"/>
    </row>
    <row r="61202" spans="3:13" ht="12.75" customHeight="1" x14ac:dyDescent="0.25">
      <c r="C61202"/>
      <c r="M61202"/>
    </row>
    <row r="61204" spans="3:13" ht="12.75" customHeight="1" x14ac:dyDescent="0.25">
      <c r="C61204"/>
      <c r="M61204"/>
    </row>
    <row r="61212" spans="3:13" ht="12.75" customHeight="1" x14ac:dyDescent="0.25">
      <c r="C61212"/>
      <c r="M61212"/>
    </row>
    <row r="61213" spans="3:13" ht="12.75" customHeight="1" x14ac:dyDescent="0.25">
      <c r="C61213"/>
      <c r="M61213"/>
    </row>
    <row r="61214" spans="3:13" ht="12.75" customHeight="1" x14ac:dyDescent="0.25">
      <c r="C61214"/>
      <c r="M61214"/>
    </row>
    <row r="61215" spans="3:13" ht="12.75" customHeight="1" x14ac:dyDescent="0.25">
      <c r="C61215"/>
      <c r="M61215"/>
    </row>
    <row r="61216" spans="3:13" ht="12.75" customHeight="1" x14ac:dyDescent="0.25">
      <c r="C61216"/>
      <c r="M61216"/>
    </row>
    <row r="61217" spans="3:13" ht="12.75" customHeight="1" x14ac:dyDescent="0.25">
      <c r="C61217"/>
      <c r="M61217"/>
    </row>
    <row r="61218" spans="3:13" ht="12.75" customHeight="1" x14ac:dyDescent="0.25">
      <c r="C61218"/>
      <c r="M61218"/>
    </row>
    <row r="61220" spans="3:13" ht="12.75" customHeight="1" x14ac:dyDescent="0.25">
      <c r="C61220"/>
      <c r="M61220"/>
    </row>
    <row r="61226" spans="3:13" ht="12.75" customHeight="1" x14ac:dyDescent="0.25">
      <c r="C61226"/>
      <c r="M61226"/>
    </row>
    <row r="61227" spans="3:13" ht="12.75" customHeight="1" x14ac:dyDescent="0.25">
      <c r="C61227"/>
      <c r="M61227"/>
    </row>
    <row r="61228" spans="3:13" ht="12.75" customHeight="1" x14ac:dyDescent="0.25">
      <c r="C61228"/>
      <c r="M61228"/>
    </row>
    <row r="61229" spans="3:13" ht="12.75" customHeight="1" x14ac:dyDescent="0.25">
      <c r="C61229"/>
      <c r="M61229"/>
    </row>
    <row r="61230" spans="3:13" ht="12.75" customHeight="1" x14ac:dyDescent="0.25">
      <c r="C61230"/>
      <c r="M61230"/>
    </row>
    <row r="61231" spans="3:13" ht="12.75" customHeight="1" x14ac:dyDescent="0.25">
      <c r="C61231"/>
      <c r="M61231"/>
    </row>
    <row r="61232" spans="3:13" ht="12.75" customHeight="1" x14ac:dyDescent="0.25">
      <c r="C61232"/>
      <c r="M61232"/>
    </row>
    <row r="61233" spans="3:13" ht="12.75" customHeight="1" x14ac:dyDescent="0.25">
      <c r="C61233"/>
      <c r="M61233"/>
    </row>
    <row r="61234" spans="3:13" ht="12.75" customHeight="1" x14ac:dyDescent="0.25">
      <c r="C61234"/>
      <c r="M61234"/>
    </row>
    <row r="61235" spans="3:13" ht="12.75" customHeight="1" x14ac:dyDescent="0.25">
      <c r="C61235"/>
      <c r="M61235"/>
    </row>
    <row r="61236" spans="3:13" ht="12.75" customHeight="1" x14ac:dyDescent="0.25">
      <c r="C61236"/>
      <c r="M61236"/>
    </row>
    <row r="61237" spans="3:13" ht="12.75" customHeight="1" x14ac:dyDescent="0.25">
      <c r="C61237"/>
      <c r="M61237"/>
    </row>
    <row r="61242" spans="3:13" ht="12.75" customHeight="1" x14ac:dyDescent="0.25">
      <c r="C61242"/>
      <c r="M61242"/>
    </row>
    <row r="61243" spans="3:13" ht="12.75" customHeight="1" x14ac:dyDescent="0.25">
      <c r="C61243"/>
      <c r="M61243"/>
    </row>
    <row r="61244" spans="3:13" ht="12.75" customHeight="1" x14ac:dyDescent="0.25">
      <c r="C61244"/>
      <c r="M61244"/>
    </row>
    <row r="61245" spans="3:13" ht="12.75" customHeight="1" x14ac:dyDescent="0.25">
      <c r="C61245"/>
      <c r="M61245"/>
    </row>
    <row r="61246" spans="3:13" ht="12.75" customHeight="1" x14ac:dyDescent="0.25">
      <c r="C61246"/>
      <c r="M61246"/>
    </row>
    <row r="61247" spans="3:13" ht="12.75" customHeight="1" x14ac:dyDescent="0.25">
      <c r="C61247"/>
      <c r="M61247"/>
    </row>
    <row r="61248" spans="3:13" ht="12.75" customHeight="1" x14ac:dyDescent="0.25">
      <c r="C61248"/>
      <c r="M61248"/>
    </row>
    <row r="61249" spans="3:13" ht="12.75" customHeight="1" x14ac:dyDescent="0.25">
      <c r="C61249"/>
      <c r="M61249"/>
    </row>
    <row r="61250" spans="3:13" ht="12.75" customHeight="1" x14ac:dyDescent="0.25">
      <c r="C61250"/>
      <c r="M61250"/>
    </row>
    <row r="61251" spans="3:13" ht="12.75" customHeight="1" x14ac:dyDescent="0.25">
      <c r="C61251"/>
      <c r="M61251"/>
    </row>
    <row r="61252" spans="3:13" ht="12.75" customHeight="1" x14ac:dyDescent="0.25">
      <c r="C61252"/>
      <c r="M61252"/>
    </row>
    <row r="61253" spans="3:13" ht="12.75" customHeight="1" x14ac:dyDescent="0.25">
      <c r="C61253"/>
      <c r="M61253"/>
    </row>
    <row r="61258" spans="3:13" ht="12.75" customHeight="1" x14ac:dyDescent="0.25">
      <c r="C61258"/>
      <c r="M61258"/>
    </row>
    <row r="61259" spans="3:13" ht="12.75" customHeight="1" x14ac:dyDescent="0.25">
      <c r="C61259"/>
      <c r="M61259"/>
    </row>
    <row r="61260" spans="3:13" ht="12.75" customHeight="1" x14ac:dyDescent="0.25">
      <c r="C61260"/>
      <c r="M61260"/>
    </row>
    <row r="61261" spans="3:13" ht="12.75" customHeight="1" x14ac:dyDescent="0.25">
      <c r="C61261"/>
      <c r="M61261"/>
    </row>
    <row r="61262" spans="3:13" ht="12.75" customHeight="1" x14ac:dyDescent="0.25">
      <c r="C61262"/>
      <c r="M61262"/>
    </row>
    <row r="61263" spans="3:13" ht="12.75" customHeight="1" x14ac:dyDescent="0.25">
      <c r="C61263"/>
      <c r="M61263"/>
    </row>
    <row r="61264" spans="3:13" ht="12.75" customHeight="1" x14ac:dyDescent="0.25">
      <c r="C61264"/>
      <c r="M61264"/>
    </row>
    <row r="61265" spans="3:13" ht="12.75" customHeight="1" x14ac:dyDescent="0.25">
      <c r="C61265"/>
      <c r="M61265"/>
    </row>
    <row r="61266" spans="3:13" ht="12.75" customHeight="1" x14ac:dyDescent="0.25">
      <c r="C61266"/>
      <c r="M61266"/>
    </row>
    <row r="61267" spans="3:13" ht="12.75" customHeight="1" x14ac:dyDescent="0.25">
      <c r="C61267"/>
      <c r="M61267"/>
    </row>
    <row r="61268" spans="3:13" ht="12.75" customHeight="1" x14ac:dyDescent="0.25">
      <c r="C61268"/>
      <c r="M61268"/>
    </row>
    <row r="61269" spans="3:13" ht="12.75" customHeight="1" x14ac:dyDescent="0.25">
      <c r="C61269"/>
      <c r="M61269"/>
    </row>
    <row r="61274" spans="3:13" ht="12.75" customHeight="1" x14ac:dyDescent="0.25">
      <c r="C61274"/>
      <c r="M61274"/>
    </row>
    <row r="61275" spans="3:13" ht="12.75" customHeight="1" x14ac:dyDescent="0.25">
      <c r="C61275"/>
      <c r="M61275"/>
    </row>
    <row r="61276" spans="3:13" ht="12.75" customHeight="1" x14ac:dyDescent="0.25">
      <c r="C61276"/>
      <c r="M61276"/>
    </row>
    <row r="61277" spans="3:13" ht="12.75" customHeight="1" x14ac:dyDescent="0.25">
      <c r="C61277"/>
      <c r="M61277"/>
    </row>
    <row r="61278" spans="3:13" ht="12.75" customHeight="1" x14ac:dyDescent="0.25">
      <c r="C61278"/>
      <c r="M61278"/>
    </row>
    <row r="61279" spans="3:13" ht="12.75" customHeight="1" x14ac:dyDescent="0.25">
      <c r="C61279"/>
      <c r="M61279"/>
    </row>
    <row r="61280" spans="3:13" ht="12.75" customHeight="1" x14ac:dyDescent="0.25">
      <c r="C61280"/>
      <c r="M61280"/>
    </row>
    <row r="61281" spans="3:13" ht="12.75" customHeight="1" x14ac:dyDescent="0.25">
      <c r="C61281"/>
      <c r="M61281"/>
    </row>
    <row r="61282" spans="3:13" ht="12.75" customHeight="1" x14ac:dyDescent="0.25">
      <c r="C61282"/>
      <c r="M61282"/>
    </row>
    <row r="61283" spans="3:13" ht="12.75" customHeight="1" x14ac:dyDescent="0.25">
      <c r="C61283"/>
      <c r="M61283"/>
    </row>
    <row r="61284" spans="3:13" ht="12.75" customHeight="1" x14ac:dyDescent="0.25">
      <c r="C61284"/>
      <c r="M61284"/>
    </row>
    <row r="61285" spans="3:13" ht="12.75" customHeight="1" x14ac:dyDescent="0.25">
      <c r="C61285"/>
      <c r="M61285"/>
    </row>
    <row r="61289" spans="3:13" ht="12.75" customHeight="1" x14ac:dyDescent="0.25">
      <c r="C61289"/>
      <c r="M61289"/>
    </row>
    <row r="61290" spans="3:13" ht="12.75" customHeight="1" x14ac:dyDescent="0.25">
      <c r="C61290"/>
      <c r="M61290"/>
    </row>
    <row r="61291" spans="3:13" ht="12.75" customHeight="1" x14ac:dyDescent="0.25">
      <c r="C61291"/>
      <c r="M61291"/>
    </row>
    <row r="61292" spans="3:13" ht="12.75" customHeight="1" x14ac:dyDescent="0.25">
      <c r="C61292"/>
      <c r="M61292"/>
    </row>
    <row r="61293" spans="3:13" ht="12.75" customHeight="1" x14ac:dyDescent="0.25">
      <c r="C61293"/>
      <c r="M61293"/>
    </row>
    <row r="61294" spans="3:13" ht="12.75" customHeight="1" x14ac:dyDescent="0.25">
      <c r="C61294"/>
      <c r="M61294"/>
    </row>
    <row r="61295" spans="3:13" ht="12.75" customHeight="1" x14ac:dyDescent="0.25">
      <c r="C61295"/>
      <c r="M61295"/>
    </row>
    <row r="61296" spans="3:13" ht="12.75" customHeight="1" x14ac:dyDescent="0.25">
      <c r="C61296"/>
      <c r="M61296"/>
    </row>
    <row r="61297" spans="3:13" ht="12.75" customHeight="1" x14ac:dyDescent="0.25">
      <c r="C61297"/>
      <c r="M61297"/>
    </row>
    <row r="61298" spans="3:13" ht="12.75" customHeight="1" x14ac:dyDescent="0.25">
      <c r="C61298"/>
      <c r="M61298"/>
    </row>
    <row r="61299" spans="3:13" ht="12.75" customHeight="1" x14ac:dyDescent="0.25">
      <c r="C61299"/>
      <c r="M61299"/>
    </row>
    <row r="61300" spans="3:13" ht="12.75" customHeight="1" x14ac:dyDescent="0.25">
      <c r="C61300"/>
      <c r="M61300"/>
    </row>
    <row r="61301" spans="3:13" ht="12.75" customHeight="1" x14ac:dyDescent="0.25">
      <c r="C61301"/>
      <c r="M61301"/>
    </row>
    <row r="61305" spans="3:13" ht="12.75" customHeight="1" x14ac:dyDescent="0.25">
      <c r="C61305"/>
      <c r="M61305"/>
    </row>
    <row r="61306" spans="3:13" ht="12.75" customHeight="1" x14ac:dyDescent="0.25">
      <c r="C61306"/>
      <c r="M61306"/>
    </row>
    <row r="61307" spans="3:13" ht="12.75" customHeight="1" x14ac:dyDescent="0.25">
      <c r="C61307"/>
      <c r="M61307"/>
    </row>
    <row r="61308" spans="3:13" ht="12.75" customHeight="1" x14ac:dyDescent="0.25">
      <c r="C61308"/>
      <c r="M61308"/>
    </row>
    <row r="61309" spans="3:13" ht="12.75" customHeight="1" x14ac:dyDescent="0.25">
      <c r="C61309"/>
      <c r="M61309"/>
    </row>
    <row r="61310" spans="3:13" ht="12.75" customHeight="1" x14ac:dyDescent="0.25">
      <c r="C61310"/>
      <c r="M61310"/>
    </row>
    <row r="61311" spans="3:13" ht="12.75" customHeight="1" x14ac:dyDescent="0.25">
      <c r="C61311"/>
      <c r="M61311"/>
    </row>
    <row r="61312" spans="3:13" ht="12.75" customHeight="1" x14ac:dyDescent="0.25">
      <c r="C61312"/>
      <c r="M61312"/>
    </row>
    <row r="61313" spans="3:13" ht="12.75" customHeight="1" x14ac:dyDescent="0.25">
      <c r="C61313"/>
      <c r="M61313"/>
    </row>
    <row r="61314" spans="3:13" ht="12.75" customHeight="1" x14ac:dyDescent="0.25">
      <c r="C61314"/>
      <c r="M61314"/>
    </row>
    <row r="61315" spans="3:13" ht="12.75" customHeight="1" x14ac:dyDescent="0.25">
      <c r="C61315"/>
      <c r="M61315"/>
    </row>
    <row r="61316" spans="3:13" ht="12.75" customHeight="1" x14ac:dyDescent="0.25">
      <c r="C61316"/>
      <c r="M61316"/>
    </row>
    <row r="61317" spans="3:13" ht="12.75" customHeight="1" x14ac:dyDescent="0.25">
      <c r="C61317"/>
      <c r="M61317"/>
    </row>
    <row r="61321" spans="3:13" ht="12.75" customHeight="1" x14ac:dyDescent="0.25">
      <c r="C61321"/>
      <c r="M61321"/>
    </row>
    <row r="61322" spans="3:13" ht="12.75" customHeight="1" x14ac:dyDescent="0.25">
      <c r="C61322"/>
      <c r="M61322"/>
    </row>
    <row r="61323" spans="3:13" ht="12.75" customHeight="1" x14ac:dyDescent="0.25">
      <c r="C61323"/>
      <c r="M61323"/>
    </row>
    <row r="61324" spans="3:13" ht="12.75" customHeight="1" x14ac:dyDescent="0.25">
      <c r="C61324"/>
      <c r="M61324"/>
    </row>
    <row r="61325" spans="3:13" ht="12.75" customHeight="1" x14ac:dyDescent="0.25">
      <c r="C61325"/>
      <c r="M61325"/>
    </row>
    <row r="61326" spans="3:13" ht="12.75" customHeight="1" x14ac:dyDescent="0.25">
      <c r="C61326"/>
      <c r="M61326"/>
    </row>
    <row r="61327" spans="3:13" ht="12.75" customHeight="1" x14ac:dyDescent="0.25">
      <c r="C61327"/>
      <c r="M61327"/>
    </row>
    <row r="61328" spans="3:13" ht="12.75" customHeight="1" x14ac:dyDescent="0.25">
      <c r="C61328"/>
      <c r="M61328"/>
    </row>
    <row r="61329" spans="3:13" ht="12.75" customHeight="1" x14ac:dyDescent="0.25">
      <c r="C61329"/>
      <c r="M61329"/>
    </row>
    <row r="61330" spans="3:13" ht="12.75" customHeight="1" x14ac:dyDescent="0.25">
      <c r="C61330"/>
      <c r="M61330"/>
    </row>
    <row r="61331" spans="3:13" ht="12.75" customHeight="1" x14ac:dyDescent="0.25">
      <c r="C61331"/>
      <c r="M61331"/>
    </row>
    <row r="61332" spans="3:13" ht="12.75" customHeight="1" x14ac:dyDescent="0.25">
      <c r="C61332"/>
      <c r="M61332"/>
    </row>
    <row r="61333" spans="3:13" ht="12.75" customHeight="1" x14ac:dyDescent="0.25">
      <c r="C61333"/>
      <c r="M61333"/>
    </row>
    <row r="61337" spans="3:13" ht="12.75" customHeight="1" x14ac:dyDescent="0.25">
      <c r="C61337"/>
      <c r="M61337"/>
    </row>
    <row r="61338" spans="3:13" ht="12.75" customHeight="1" x14ac:dyDescent="0.25">
      <c r="C61338"/>
      <c r="M61338"/>
    </row>
    <row r="61339" spans="3:13" ht="12.75" customHeight="1" x14ac:dyDescent="0.25">
      <c r="C61339"/>
      <c r="M61339"/>
    </row>
    <row r="61340" spans="3:13" ht="12.75" customHeight="1" x14ac:dyDescent="0.25">
      <c r="C61340"/>
      <c r="M61340"/>
    </row>
    <row r="61341" spans="3:13" ht="12.75" customHeight="1" x14ac:dyDescent="0.25">
      <c r="C61341"/>
      <c r="M61341"/>
    </row>
    <row r="61342" spans="3:13" ht="12.75" customHeight="1" x14ac:dyDescent="0.25">
      <c r="C61342"/>
      <c r="M61342"/>
    </row>
    <row r="61343" spans="3:13" ht="12.75" customHeight="1" x14ac:dyDescent="0.25">
      <c r="C61343"/>
      <c r="M61343"/>
    </row>
    <row r="61344" spans="3:13" ht="12.75" customHeight="1" x14ac:dyDescent="0.25">
      <c r="C61344"/>
      <c r="M61344"/>
    </row>
    <row r="61345" spans="3:13" ht="12.75" customHeight="1" x14ac:dyDescent="0.25">
      <c r="C61345"/>
      <c r="M61345"/>
    </row>
    <row r="61346" spans="3:13" ht="12.75" customHeight="1" x14ac:dyDescent="0.25">
      <c r="C61346"/>
      <c r="M61346"/>
    </row>
    <row r="61347" spans="3:13" ht="12.75" customHeight="1" x14ac:dyDescent="0.25">
      <c r="C61347"/>
      <c r="M61347"/>
    </row>
    <row r="61348" spans="3:13" ht="12.75" customHeight="1" x14ac:dyDescent="0.25">
      <c r="C61348"/>
      <c r="M61348"/>
    </row>
    <row r="61349" spans="3:13" ht="12.75" customHeight="1" x14ac:dyDescent="0.25">
      <c r="C61349"/>
      <c r="M61349"/>
    </row>
    <row r="61353" spans="3:13" ht="12.75" customHeight="1" x14ac:dyDescent="0.25">
      <c r="C61353"/>
      <c r="M61353"/>
    </row>
    <row r="61354" spans="3:13" ht="12.75" customHeight="1" x14ac:dyDescent="0.25">
      <c r="C61354"/>
      <c r="M61354"/>
    </row>
    <row r="61355" spans="3:13" ht="12.75" customHeight="1" x14ac:dyDescent="0.25">
      <c r="C61355"/>
      <c r="M61355"/>
    </row>
    <row r="61356" spans="3:13" ht="12.75" customHeight="1" x14ac:dyDescent="0.25">
      <c r="C61356"/>
      <c r="M61356"/>
    </row>
    <row r="61357" spans="3:13" ht="12.75" customHeight="1" x14ac:dyDescent="0.25">
      <c r="C61357"/>
      <c r="M61357"/>
    </row>
    <row r="61358" spans="3:13" ht="12.75" customHeight="1" x14ac:dyDescent="0.25">
      <c r="C61358"/>
      <c r="M61358"/>
    </row>
    <row r="61359" spans="3:13" ht="12.75" customHeight="1" x14ac:dyDescent="0.25">
      <c r="C61359"/>
      <c r="M61359"/>
    </row>
    <row r="61360" spans="3:13" ht="12.75" customHeight="1" x14ac:dyDescent="0.25">
      <c r="C61360"/>
      <c r="M61360"/>
    </row>
    <row r="61361" spans="3:13" ht="12.75" customHeight="1" x14ac:dyDescent="0.25">
      <c r="C61361"/>
      <c r="M61361"/>
    </row>
    <row r="61362" spans="3:13" ht="12.75" customHeight="1" x14ac:dyDescent="0.25">
      <c r="C61362"/>
      <c r="M61362"/>
    </row>
    <row r="61363" spans="3:13" ht="12.75" customHeight="1" x14ac:dyDescent="0.25">
      <c r="C61363"/>
      <c r="M61363"/>
    </row>
    <row r="61364" spans="3:13" ht="12.75" customHeight="1" x14ac:dyDescent="0.25">
      <c r="C61364"/>
      <c r="M61364"/>
    </row>
    <row r="61365" spans="3:13" ht="12.75" customHeight="1" x14ac:dyDescent="0.25">
      <c r="C61365"/>
      <c r="M61365"/>
    </row>
    <row r="61369" spans="3:13" ht="12.75" customHeight="1" x14ac:dyDescent="0.25">
      <c r="C61369"/>
      <c r="M61369"/>
    </row>
    <row r="61370" spans="3:13" ht="12.75" customHeight="1" x14ac:dyDescent="0.25">
      <c r="C61370"/>
      <c r="M61370"/>
    </row>
    <row r="61371" spans="3:13" ht="12.75" customHeight="1" x14ac:dyDescent="0.25">
      <c r="C61371"/>
      <c r="M61371"/>
    </row>
    <row r="61372" spans="3:13" ht="12.75" customHeight="1" x14ac:dyDescent="0.25">
      <c r="C61372"/>
      <c r="M61372"/>
    </row>
    <row r="61373" spans="3:13" ht="12.75" customHeight="1" x14ac:dyDescent="0.25">
      <c r="C61373"/>
      <c r="M61373"/>
    </row>
    <row r="61374" spans="3:13" ht="12.75" customHeight="1" x14ac:dyDescent="0.25">
      <c r="C61374"/>
      <c r="M61374"/>
    </row>
    <row r="61375" spans="3:13" ht="12.75" customHeight="1" x14ac:dyDescent="0.25">
      <c r="C61375"/>
      <c r="M61375"/>
    </row>
    <row r="61376" spans="3:13" ht="12.75" customHeight="1" x14ac:dyDescent="0.25">
      <c r="C61376"/>
      <c r="M61376"/>
    </row>
    <row r="61377" spans="3:13" ht="12.75" customHeight="1" x14ac:dyDescent="0.25">
      <c r="C61377"/>
      <c r="M61377"/>
    </row>
    <row r="61378" spans="3:13" ht="12.75" customHeight="1" x14ac:dyDescent="0.25">
      <c r="C61378"/>
      <c r="M61378"/>
    </row>
    <row r="61379" spans="3:13" ht="12.75" customHeight="1" x14ac:dyDescent="0.25">
      <c r="C61379"/>
      <c r="M61379"/>
    </row>
    <row r="61380" spans="3:13" ht="12.75" customHeight="1" x14ac:dyDescent="0.25">
      <c r="C61380"/>
      <c r="M61380"/>
    </row>
    <row r="61381" spans="3:13" ht="12.75" customHeight="1" x14ac:dyDescent="0.25">
      <c r="C61381"/>
      <c r="M61381"/>
    </row>
    <row r="61385" spans="3:13" ht="12.75" customHeight="1" x14ac:dyDescent="0.25">
      <c r="C61385"/>
      <c r="M61385"/>
    </row>
    <row r="61386" spans="3:13" ht="12.75" customHeight="1" x14ac:dyDescent="0.25">
      <c r="C61386"/>
      <c r="M61386"/>
    </row>
    <row r="61387" spans="3:13" ht="12.75" customHeight="1" x14ac:dyDescent="0.25">
      <c r="C61387"/>
      <c r="M61387"/>
    </row>
    <row r="61388" spans="3:13" ht="12.75" customHeight="1" x14ac:dyDescent="0.25">
      <c r="C61388"/>
      <c r="M61388"/>
    </row>
    <row r="61389" spans="3:13" ht="12.75" customHeight="1" x14ac:dyDescent="0.25">
      <c r="C61389"/>
      <c r="M61389"/>
    </row>
    <row r="61390" spans="3:13" ht="12.75" customHeight="1" x14ac:dyDescent="0.25">
      <c r="C61390"/>
      <c r="M61390"/>
    </row>
    <row r="61391" spans="3:13" ht="12.75" customHeight="1" x14ac:dyDescent="0.25">
      <c r="C61391"/>
      <c r="M61391"/>
    </row>
    <row r="61392" spans="3:13" ht="12.75" customHeight="1" x14ac:dyDescent="0.25">
      <c r="C61392"/>
      <c r="M61392"/>
    </row>
    <row r="61393" spans="3:13" ht="12.75" customHeight="1" x14ac:dyDescent="0.25">
      <c r="C61393"/>
      <c r="M61393"/>
    </row>
    <row r="61394" spans="3:13" ht="12.75" customHeight="1" x14ac:dyDescent="0.25">
      <c r="C61394"/>
      <c r="M61394"/>
    </row>
    <row r="61395" spans="3:13" ht="12.75" customHeight="1" x14ac:dyDescent="0.25">
      <c r="C61395"/>
      <c r="M61395"/>
    </row>
    <row r="61396" spans="3:13" ht="12.75" customHeight="1" x14ac:dyDescent="0.25">
      <c r="C61396"/>
      <c r="M61396"/>
    </row>
    <row r="61397" spans="3:13" ht="12.75" customHeight="1" x14ac:dyDescent="0.25">
      <c r="C61397"/>
      <c r="M61397"/>
    </row>
    <row r="61401" spans="3:13" ht="12.75" customHeight="1" x14ac:dyDescent="0.25">
      <c r="C61401"/>
      <c r="M61401"/>
    </row>
    <row r="61402" spans="3:13" ht="12.75" customHeight="1" x14ac:dyDescent="0.25">
      <c r="C61402"/>
      <c r="M61402"/>
    </row>
    <row r="61403" spans="3:13" ht="12.75" customHeight="1" x14ac:dyDescent="0.25">
      <c r="C61403"/>
      <c r="M61403"/>
    </row>
    <row r="61404" spans="3:13" ht="12.75" customHeight="1" x14ac:dyDescent="0.25">
      <c r="C61404"/>
      <c r="M61404"/>
    </row>
    <row r="61405" spans="3:13" ht="12.75" customHeight="1" x14ac:dyDescent="0.25">
      <c r="C61405"/>
      <c r="M61405"/>
    </row>
    <row r="61406" spans="3:13" ht="12.75" customHeight="1" x14ac:dyDescent="0.25">
      <c r="C61406"/>
      <c r="M61406"/>
    </row>
    <row r="61407" spans="3:13" ht="12.75" customHeight="1" x14ac:dyDescent="0.25">
      <c r="C61407"/>
      <c r="M61407"/>
    </row>
    <row r="61408" spans="3:13" ht="12.75" customHeight="1" x14ac:dyDescent="0.25">
      <c r="C61408"/>
      <c r="M61408"/>
    </row>
    <row r="61409" spans="3:13" ht="12.75" customHeight="1" x14ac:dyDescent="0.25">
      <c r="C61409"/>
      <c r="M61409"/>
    </row>
    <row r="61410" spans="3:13" ht="12.75" customHeight="1" x14ac:dyDescent="0.25">
      <c r="C61410"/>
      <c r="M61410"/>
    </row>
    <row r="61411" spans="3:13" ht="12.75" customHeight="1" x14ac:dyDescent="0.25">
      <c r="C61411"/>
      <c r="M61411"/>
    </row>
    <row r="61412" spans="3:13" ht="12.75" customHeight="1" x14ac:dyDescent="0.25">
      <c r="C61412"/>
      <c r="M61412"/>
    </row>
    <row r="61413" spans="3:13" ht="12.75" customHeight="1" x14ac:dyDescent="0.25">
      <c r="C61413"/>
      <c r="M61413"/>
    </row>
    <row r="61414" spans="3:13" ht="12.75" customHeight="1" x14ac:dyDescent="0.25">
      <c r="C61414"/>
      <c r="M61414"/>
    </row>
    <row r="61417" spans="3:13" ht="12.75" customHeight="1" x14ac:dyDescent="0.25">
      <c r="C61417"/>
      <c r="M61417"/>
    </row>
    <row r="61418" spans="3:13" ht="12.75" customHeight="1" x14ac:dyDescent="0.25">
      <c r="C61418"/>
      <c r="M61418"/>
    </row>
    <row r="61419" spans="3:13" ht="12.75" customHeight="1" x14ac:dyDescent="0.25">
      <c r="C61419"/>
      <c r="M61419"/>
    </row>
    <row r="61420" spans="3:13" ht="12.75" customHeight="1" x14ac:dyDescent="0.25">
      <c r="C61420"/>
      <c r="M61420"/>
    </row>
    <row r="61421" spans="3:13" ht="12.75" customHeight="1" x14ac:dyDescent="0.25">
      <c r="C61421"/>
      <c r="M61421"/>
    </row>
    <row r="61422" spans="3:13" ht="12.75" customHeight="1" x14ac:dyDescent="0.25">
      <c r="C61422"/>
      <c r="M61422"/>
    </row>
    <row r="61423" spans="3:13" ht="12.75" customHeight="1" x14ac:dyDescent="0.25">
      <c r="C61423"/>
      <c r="M61423"/>
    </row>
    <row r="61424" spans="3:13" ht="12.75" customHeight="1" x14ac:dyDescent="0.25">
      <c r="C61424"/>
      <c r="M61424"/>
    </row>
    <row r="61425" spans="3:13" ht="12.75" customHeight="1" x14ac:dyDescent="0.25">
      <c r="C61425"/>
      <c r="M61425"/>
    </row>
    <row r="61426" spans="3:13" ht="12.75" customHeight="1" x14ac:dyDescent="0.25">
      <c r="C61426"/>
      <c r="M61426"/>
    </row>
    <row r="61427" spans="3:13" ht="12.75" customHeight="1" x14ac:dyDescent="0.25">
      <c r="C61427"/>
      <c r="M61427"/>
    </row>
    <row r="61428" spans="3:13" ht="12.75" customHeight="1" x14ac:dyDescent="0.25">
      <c r="C61428"/>
      <c r="M61428"/>
    </row>
    <row r="61429" spans="3:13" ht="12.75" customHeight="1" x14ac:dyDescent="0.25">
      <c r="C61429"/>
      <c r="M61429"/>
    </row>
    <row r="61430" spans="3:13" ht="12.75" customHeight="1" x14ac:dyDescent="0.25">
      <c r="C61430"/>
      <c r="M61430"/>
    </row>
    <row r="61433" spans="3:13" ht="12.75" customHeight="1" x14ac:dyDescent="0.25">
      <c r="C61433"/>
      <c r="M61433"/>
    </row>
    <row r="61434" spans="3:13" ht="12.75" customHeight="1" x14ac:dyDescent="0.25">
      <c r="C61434"/>
      <c r="M61434"/>
    </row>
    <row r="61435" spans="3:13" ht="12.75" customHeight="1" x14ac:dyDescent="0.25">
      <c r="C61435"/>
      <c r="M61435"/>
    </row>
    <row r="61436" spans="3:13" ht="12.75" customHeight="1" x14ac:dyDescent="0.25">
      <c r="C61436"/>
      <c r="M61436"/>
    </row>
    <row r="61437" spans="3:13" ht="12.75" customHeight="1" x14ac:dyDescent="0.25">
      <c r="C61437"/>
      <c r="M61437"/>
    </row>
    <row r="61438" spans="3:13" ht="12.75" customHeight="1" x14ac:dyDescent="0.25">
      <c r="C61438"/>
      <c r="M61438"/>
    </row>
    <row r="61439" spans="3:13" ht="12.75" customHeight="1" x14ac:dyDescent="0.25">
      <c r="C61439"/>
      <c r="M61439"/>
    </row>
    <row r="61440" spans="3:13" ht="12.75" customHeight="1" x14ac:dyDescent="0.25">
      <c r="C61440"/>
      <c r="M61440"/>
    </row>
    <row r="61441" spans="3:13" ht="12.75" customHeight="1" x14ac:dyDescent="0.25">
      <c r="C61441"/>
      <c r="M61441"/>
    </row>
    <row r="61442" spans="3:13" ht="12.75" customHeight="1" x14ac:dyDescent="0.25">
      <c r="C61442"/>
      <c r="M61442"/>
    </row>
    <row r="61443" spans="3:13" ht="12.75" customHeight="1" x14ac:dyDescent="0.25">
      <c r="C61443"/>
      <c r="M61443"/>
    </row>
    <row r="61444" spans="3:13" ht="12.75" customHeight="1" x14ac:dyDescent="0.25">
      <c r="C61444"/>
      <c r="M61444"/>
    </row>
    <row r="61445" spans="3:13" ht="12.75" customHeight="1" x14ac:dyDescent="0.25">
      <c r="C61445"/>
      <c r="M61445"/>
    </row>
    <row r="61446" spans="3:13" ht="12.75" customHeight="1" x14ac:dyDescent="0.25">
      <c r="C61446"/>
      <c r="M61446"/>
    </row>
    <row r="61447" spans="3:13" ht="12.75" customHeight="1" x14ac:dyDescent="0.25">
      <c r="C61447"/>
      <c r="M61447"/>
    </row>
    <row r="61449" spans="3:13" ht="12.75" customHeight="1" x14ac:dyDescent="0.25">
      <c r="C61449"/>
      <c r="M61449"/>
    </row>
    <row r="61450" spans="3:13" ht="12.75" customHeight="1" x14ac:dyDescent="0.25">
      <c r="C61450"/>
      <c r="M61450"/>
    </row>
    <row r="61451" spans="3:13" ht="12.75" customHeight="1" x14ac:dyDescent="0.25">
      <c r="C61451"/>
      <c r="M61451"/>
    </row>
    <row r="61452" spans="3:13" ht="12.75" customHeight="1" x14ac:dyDescent="0.25">
      <c r="C61452"/>
      <c r="M61452"/>
    </row>
    <row r="61453" spans="3:13" ht="12.75" customHeight="1" x14ac:dyDescent="0.25">
      <c r="C61453"/>
      <c r="M61453"/>
    </row>
    <row r="61454" spans="3:13" ht="12.75" customHeight="1" x14ac:dyDescent="0.25">
      <c r="C61454"/>
      <c r="M61454"/>
    </row>
    <row r="61455" spans="3:13" ht="12.75" customHeight="1" x14ac:dyDescent="0.25">
      <c r="C61455"/>
      <c r="M61455"/>
    </row>
    <row r="61456" spans="3:13" ht="12.75" customHeight="1" x14ac:dyDescent="0.25">
      <c r="C61456"/>
      <c r="M61456"/>
    </row>
    <row r="61457" spans="3:13" ht="12.75" customHeight="1" x14ac:dyDescent="0.25">
      <c r="C61457"/>
      <c r="M61457"/>
    </row>
    <row r="61458" spans="3:13" ht="12.75" customHeight="1" x14ac:dyDescent="0.25">
      <c r="C61458"/>
      <c r="M61458"/>
    </row>
    <row r="61459" spans="3:13" ht="12.75" customHeight="1" x14ac:dyDescent="0.25">
      <c r="C61459"/>
      <c r="M61459"/>
    </row>
    <row r="61460" spans="3:13" ht="12.75" customHeight="1" x14ac:dyDescent="0.25">
      <c r="C61460"/>
      <c r="M61460"/>
    </row>
    <row r="61461" spans="3:13" ht="12.75" customHeight="1" x14ac:dyDescent="0.25">
      <c r="C61461"/>
      <c r="M61461"/>
    </row>
    <row r="61462" spans="3:13" ht="12.75" customHeight="1" x14ac:dyDescent="0.25">
      <c r="C61462"/>
      <c r="M61462"/>
    </row>
    <row r="61463" spans="3:13" ht="12.75" customHeight="1" x14ac:dyDescent="0.25">
      <c r="C61463"/>
      <c r="M61463"/>
    </row>
    <row r="61464" spans="3:13" ht="12.75" customHeight="1" x14ac:dyDescent="0.25">
      <c r="C61464"/>
      <c r="M61464"/>
    </row>
    <row r="61465" spans="3:13" ht="12.75" customHeight="1" x14ac:dyDescent="0.25">
      <c r="C61465"/>
      <c r="M61465"/>
    </row>
    <row r="61466" spans="3:13" ht="12.75" customHeight="1" x14ac:dyDescent="0.25">
      <c r="C61466"/>
      <c r="M61466"/>
    </row>
    <row r="61467" spans="3:13" ht="12.75" customHeight="1" x14ac:dyDescent="0.25">
      <c r="C61467"/>
      <c r="M61467"/>
    </row>
    <row r="61468" spans="3:13" ht="12.75" customHeight="1" x14ac:dyDescent="0.25">
      <c r="C61468"/>
      <c r="M61468"/>
    </row>
    <row r="61469" spans="3:13" ht="12.75" customHeight="1" x14ac:dyDescent="0.25">
      <c r="C61469"/>
      <c r="M61469"/>
    </row>
    <row r="61470" spans="3:13" ht="12.75" customHeight="1" x14ac:dyDescent="0.25">
      <c r="C61470"/>
      <c r="M61470"/>
    </row>
    <row r="61471" spans="3:13" ht="12.75" customHeight="1" x14ac:dyDescent="0.25">
      <c r="C61471"/>
      <c r="M61471"/>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3" spans="3:13" ht="12.75" customHeight="1" x14ac:dyDescent="0.25">
      <c r="C61483"/>
      <c r="M61483"/>
    </row>
    <row r="61484" spans="3:13" ht="12.75" customHeight="1" x14ac:dyDescent="0.25">
      <c r="C61484"/>
      <c r="M61484"/>
    </row>
    <row r="61485" spans="3:13" ht="12.75" customHeight="1" x14ac:dyDescent="0.25">
      <c r="C61485"/>
      <c r="M61485"/>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499" spans="3:13" ht="12.75" customHeight="1" x14ac:dyDescent="0.25">
      <c r="C61499"/>
      <c r="M61499"/>
    </row>
    <row r="61500" spans="3:13" ht="12.75" customHeight="1" x14ac:dyDescent="0.25">
      <c r="C61500"/>
      <c r="M61500"/>
    </row>
    <row r="61501" spans="3:13" ht="12.75" customHeight="1" x14ac:dyDescent="0.25">
      <c r="C61501"/>
      <c r="M61501"/>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sheetData>
  <sheetProtection algorithmName="SHA-512" hashValue="IdQQq2CF9F5atOY/J2kpiF91TxTCn8cFz5osFon7zNZ4bcy5q9f6NnCWdZ8qJ7Fa23JkiiA3gOhYkPXQz36eYA==" saltValue="pHZVRLveOQAhvGl2oeuVTg==" spinCount="100000" sheet="1" objects="1" scenarios="1" autoFilter="0"/>
  <autoFilter ref="C15:C36" xr:uid="{00000000-0009-0000-0000-000006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16:I19 D28:I31 D26:I26 D34:I35">
    <cfRule type="expression" dxfId="389" priority="8527" stopIfTrue="1">
      <formula>$B14=1</formula>
    </cfRule>
    <cfRule type="expression" dxfId="388" priority="8528" stopIfTrue="1">
      <formula>OR($B14=0,$B14=2,$B14=3,$B14=4)</formula>
    </cfRule>
  </conditionalFormatting>
  <conditionalFormatting sqref="M12:N26 M28:N36">
    <cfRule type="expression" dxfId="387" priority="8529" stopIfTrue="1">
      <formula>ACOMPANHAMENTO="BM"</formula>
    </cfRule>
    <cfRule type="expression" dxfId="386" priority="8530" stopIfTrue="1">
      <formula>OR($B12=0,$B12=2,$B12=3,$B12=4)</formula>
    </cfRule>
    <cfRule type="expression" dxfId="385" priority="8531" stopIfTrue="1">
      <formula>$B12=1</formula>
    </cfRule>
  </conditionalFormatting>
  <conditionalFormatting sqref="K12:K36">
    <cfRule type="expression" dxfId="384" priority="8532" stopIfTrue="1">
      <formula>OR(ACOMPANHAMENTO="BM",$A$12&lt;&gt;"Manual")</formula>
    </cfRule>
    <cfRule type="expression" dxfId="383" priority="8533" stopIfTrue="1">
      <formula>$B12=1</formula>
    </cfRule>
    <cfRule type="expression" dxfId="382" priority="8534" stopIfTrue="1">
      <formula>OR($B12=2,$B12=3,$B12=4,$B12=0)</formula>
    </cfRule>
  </conditionalFormatting>
  <conditionalFormatting sqref="O12:AA36">
    <cfRule type="expression" dxfId="381" priority="2118" stopIfTrue="1">
      <formula>ACOMPANHAMENTO="BM"</formula>
    </cfRule>
    <cfRule type="expression" dxfId="380" priority="8536" stopIfTrue="1">
      <formula>AND(O$12&lt;&gt;".",OR($B12=0,$B12=2,$B12=3,$B12=4,AND(O$12="",$B12&lt;&gt;"Empty"),OFFSET(O$1,0,-1)=0))</formula>
    </cfRule>
    <cfRule type="expression" dxfId="379" priority="8537" stopIfTrue="1">
      <formula>AND($B12=1,O$1=1)</formula>
    </cfRule>
  </conditionalFormatting>
  <conditionalFormatting sqref="Q15:Z15">
    <cfRule type="expression" dxfId="378" priority="8535">
      <formula>Q$11="▼"</formula>
    </cfRule>
  </conditionalFormatting>
  <conditionalFormatting sqref="O15">
    <cfRule type="expression" dxfId="377" priority="2117">
      <formula>O$11="▼"</formula>
    </cfRule>
  </conditionalFormatting>
  <conditionalFormatting sqref="D22:I25 D20:I20">
    <cfRule type="expression" dxfId="376" priority="93" stopIfTrue="1">
      <formula>$B20=1</formula>
    </cfRule>
    <cfRule type="expression" dxfId="375" priority="94" stopIfTrue="1">
      <formula>OR($B20=0,$B20=2,$B20=3,$B20=4)</formula>
    </cfRule>
  </conditionalFormatting>
  <conditionalFormatting sqref="D32:I32">
    <cfRule type="expression" dxfId="374" priority="85" stopIfTrue="1">
      <formula>$B32=1</formula>
    </cfRule>
    <cfRule type="expression" dxfId="373" priority="86" stopIfTrue="1">
      <formula>OR($B32=0,$B32=2,$B32=3,$B32=4)</formula>
    </cfRule>
  </conditionalFormatting>
  <conditionalFormatting sqref="D33:I33">
    <cfRule type="expression" dxfId="372" priority="37" stopIfTrue="1">
      <formula>$B33=1</formula>
    </cfRule>
    <cfRule type="expression" dxfId="371" priority="38" stopIfTrue="1">
      <formula>OR($B33=0,$B33=2,$B33=3,$B33=4)</formula>
    </cfRule>
  </conditionalFormatting>
  <conditionalFormatting sqref="D21:I21">
    <cfRule type="expression" dxfId="370" priority="35" stopIfTrue="1">
      <formula>$B21=1</formula>
    </cfRule>
    <cfRule type="expression" dxfId="369" priority="36" stopIfTrue="1">
      <formula>OR($B21=0,$B21=2,$B21=3,$B21=4)</formula>
    </cfRule>
  </conditionalFormatting>
  <conditionalFormatting sqref="D27:I27">
    <cfRule type="expression" dxfId="368" priority="2" stopIfTrue="1">
      <formula>$B27=1</formula>
    </cfRule>
    <cfRule type="expression" dxfId="367" priority="3" stopIfTrue="1">
      <formula>OR($B27=0,$B27=2,$B27=3,$B27=4)</formula>
    </cfRule>
  </conditionalFormatting>
  <conditionalFormatting sqref="M27:N27">
    <cfRule type="expression" dxfId="366" priority="4" stopIfTrue="1">
      <formula>ACOMPANHAMENTO="BM"</formula>
    </cfRule>
    <cfRule type="expression" dxfId="365" priority="5" stopIfTrue="1">
      <formula>OR($B27=0,$B27=2,$B27=3,$B27=4)</formula>
    </cfRule>
    <cfRule type="expression" dxfId="364" priority="6" stopIfTrue="1">
      <formula>$B27=1</formula>
    </cfRule>
  </conditionalFormatting>
  <dataValidations count="4">
    <dataValidation type="decimal" operator="greaterThan" allowBlank="1" showErrorMessage="1" error="Apenas números decimais maiores que zero." sqref="O14 Q14:Z14 O16:O35 Q16:Z35" xr:uid="{00000000-0002-0000-0600-000000000000}">
      <formula1>0</formula1>
      <formula2>0</formula2>
    </dataValidation>
    <dataValidation type="list" allowBlank="1" showErrorMessage="1" sqref="K14 K16:K35" xr:uid="{00000000-0002-0000-06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35" xr:uid="{00000000-0002-0000-0600-000002000000}"/>
    <dataValidation allowBlank="1" showInputMessage="1" showErrorMessage="1" prompt="A frente de obra é uma porção física da obra. Exemplos: Única; Rua A; Rua B; Trecho 01; Trecho 02; 1º Andar; 2º Andar; Copa; Banheiro" sqref="Q12" xr:uid="{00000000-0002-0000-06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&amp;LPMv3.08&amp;R&amp;P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79"/>
  <sheetViews>
    <sheetView showGridLines="0" zoomScaleNormal="100" zoomScaleSheetLayoutView="100" workbookViewId="0">
      <pane xSplit="3" ySplit="13" topLeftCell="D38" activePane="bottomRight" state="frozen"/>
      <selection pane="topRight" activeCell="D3" sqref="D3"/>
      <selection pane="bottomLeft" activeCell="A13" sqref="A13"/>
      <selection pane="bottomRight" activeCell="G33" sqref="G33"/>
    </sheetView>
  </sheetViews>
  <sheetFormatPr defaultRowHeight="13.2" x14ac:dyDescent="0.25"/>
  <cols>
    <col min="1" max="1" width="3.6640625" customWidth="1"/>
    <col min="2" max="2" width="8.109375" customWidth="1"/>
    <col min="3" max="3" width="36.88671875" customWidth="1"/>
    <col min="4" max="4" width="0.88671875" customWidth="1"/>
    <col min="5" max="6" width="9.109375" hidden="1" customWidth="1"/>
    <col min="7" max="31" width="5.6640625" customWidth="1"/>
    <col min="32" max="32" width="5.6640625" hidden="1" customWidth="1"/>
  </cols>
  <sheetData>
    <row r="1" spans="1:31" hidden="1" x14ac:dyDescent="0.25">
      <c r="A1" s="5" t="e">
        <f ca="1">IF(AUTOEVENTO="Manual",IF(EVENTOS!$F1&gt;0,"F",""),IF(CRONOPLE!B1&lt;=MAX(CÁLCULO!$M$15:$M$36),"F",""))</f>
        <v>#REF!</v>
      </c>
      <c r="B1" s="195" t="e">
        <f ca="1">OFFSET(B1,-1,0)+1</f>
        <v>#REF!</v>
      </c>
      <c r="C1" s="526" t="e">
        <f ca="1">IF(AUTOEVENTO="Manual",IF($B1&gt;0,OFFSET(EVENTOS!$D$15,$B1-$B$15,0),0),IF(B1&lt;=MAX(CÁLCULO!$M$15:$M$36),VLOOKUP($B1,CÁLCULO!$M$15:$N$36,2,FALSE),0))</f>
        <v>#REF!</v>
      </c>
      <c r="D1" s="466"/>
      <c r="E1" s="196"/>
      <c r="F1" t="e">
        <f ca="1">IF($C1=0,"",CONCATENATE($B1,". ",$C1))</f>
        <v>#REF!</v>
      </c>
      <c r="G1" s="465"/>
      <c r="H1" s="465"/>
      <c r="I1" s="465"/>
      <c r="J1" s="465"/>
      <c r="K1" s="465"/>
      <c r="L1" s="465"/>
      <c r="M1" s="465"/>
      <c r="N1" s="465"/>
      <c r="O1" s="465"/>
      <c r="P1" s="465"/>
      <c r="Q1" s="465"/>
      <c r="R1" s="465"/>
      <c r="S1" s="465"/>
      <c r="T1" s="465"/>
      <c r="U1" s="465"/>
      <c r="V1" s="465"/>
      <c r="W1" s="465"/>
      <c r="X1" s="465"/>
      <c r="Y1" s="465"/>
      <c r="Z1" s="465"/>
      <c r="AA1" s="465"/>
      <c r="AB1" s="465"/>
      <c r="AC1" s="465"/>
      <c r="AD1" s="465"/>
      <c r="AE1" s="465"/>
    </row>
    <row r="2" spans="1:31" ht="30" customHeight="1" x14ac:dyDescent="0.25">
      <c r="G2" s="60" t="s">
        <v>801</v>
      </c>
      <c r="AC2" s="739" t="s">
        <v>780</v>
      </c>
      <c r="AD2" s="740"/>
      <c r="AE2" s="741"/>
    </row>
    <row r="3" spans="1:31" ht="12.75" customHeight="1" x14ac:dyDescent="0.3">
      <c r="G3" s="60"/>
      <c r="AD3" s="394"/>
      <c r="AE3" s="394"/>
    </row>
    <row r="4" spans="1:31" ht="12.75" customHeight="1" x14ac:dyDescent="0.3">
      <c r="B4" s="690" t="s">
        <v>658</v>
      </c>
      <c r="C4" s="690"/>
      <c r="D4" s="690"/>
      <c r="G4" s="702" t="s">
        <v>656</v>
      </c>
      <c r="H4" s="702"/>
      <c r="I4" s="702"/>
      <c r="J4" s="702" t="s">
        <v>714</v>
      </c>
      <c r="K4" s="702"/>
      <c r="L4" s="702"/>
      <c r="M4" s="163" t="s">
        <v>781</v>
      </c>
      <c r="N4" s="167"/>
      <c r="P4" s="145"/>
      <c r="Q4" s="145"/>
      <c r="R4" s="145"/>
      <c r="U4" s="395"/>
      <c r="V4" s="145"/>
      <c r="W4" s="145"/>
      <c r="X4" s="145"/>
      <c r="Y4" s="145"/>
      <c r="AD4" s="394"/>
      <c r="AE4" s="396"/>
    </row>
    <row r="5" spans="1:31" ht="12.75" customHeight="1" x14ac:dyDescent="0.25">
      <c r="B5" s="694" t="str">
        <f>Import.Proponente</f>
        <v>PREFEITURA MUNICIPAL DE URUARÁ</v>
      </c>
      <c r="C5" s="694"/>
      <c r="D5" s="694"/>
      <c r="G5" s="707" t="str">
        <f>Import.CR</f>
        <v>S/ INFORMAÇÃO</v>
      </c>
      <c r="H5" s="707"/>
      <c r="I5" s="707"/>
      <c r="J5" s="707" t="str">
        <f>Import.SICONV</f>
        <v>S/ INFORMAÇÃO</v>
      </c>
      <c r="K5" s="707"/>
      <c r="L5" s="707"/>
      <c r="M5" s="715" t="str">
        <f>Import.Apelido</f>
        <v>PAVIMENTAÇÃO DE VIAS NO MUNICÍPIO DE URUARÁ - PARÁ</v>
      </c>
      <c r="N5" s="716"/>
      <c r="O5" s="716"/>
      <c r="P5" s="716"/>
      <c r="Q5" s="716"/>
      <c r="R5" s="716"/>
      <c r="S5" s="716"/>
      <c r="T5" s="716"/>
      <c r="U5" s="716"/>
      <c r="V5" s="716"/>
      <c r="W5" s="716"/>
      <c r="X5" s="716"/>
      <c r="Y5" s="716"/>
      <c r="Z5" s="716"/>
      <c r="AA5" s="716"/>
      <c r="AB5" s="716"/>
      <c r="AC5" s="716"/>
      <c r="AD5" s="716"/>
      <c r="AE5" s="742"/>
    </row>
    <row r="6" spans="1:31" ht="14.25" customHeight="1" x14ac:dyDescent="0.25">
      <c r="B6" s="197" t="str">
        <f ca="1">IF(ACOMPANHAMENTO="BM","NO ACOMPANHAMENTO POR BM, UTILIZE A ABA CRONO",
  IF(MAX($B$14:$B$65)&lt;MAX(CÁLCULO!$M$15:$M$36),"ERRO: NÚMERO DE EVENTOS INSUFICIENTE, CLIQUE EM ATUALIZAR LINHAS",
  IF(ROUND(OFFSET(CRONO!$AG$174,0,-1),2)&lt;&gt;CRONO!$R$165,"ERRO: CRONOGRAMA NÃO FECHA 100%","")))</f>
        <v>NO ACOMPANHAMENTO POR BM, UTILIZE A ABA CRONO</v>
      </c>
    </row>
    <row r="7" spans="1:31" ht="15" customHeight="1" thickBot="1" x14ac:dyDescent="0.3">
      <c r="B7" s="432" t="str" cm="1">
        <f t="array" aca="1" ref="B7" ca="1">IF(AdmLocal="Automática","","1. Selecione o Título do Evento da Administração Local:")</f>
        <v>1. Selecione o Título do Evento da Administração Local:</v>
      </c>
    </row>
    <row r="8" spans="1:31" ht="13.8" thickBot="1" x14ac:dyDescent="0.3">
      <c r="A8" s="460" t="e">
        <f>MID(Import.EventoAdmLocal,1,SEARCH(".",Import.EventoAdmLocal)-1)</f>
        <v>#VALUE!</v>
      </c>
      <c r="B8" s="722" t="s">
        <v>252</v>
      </c>
      <c r="C8" s="723"/>
      <c r="D8" s="484" t="str">
        <f ca="1">IF($B$7="","",IF(AND($B$15=0,$B$8=""),"◄ Não foi indicado o Evento de Administração Local",IF(ISERROR(MATCH(Import.EventoAdmLocal,$F$15:$F$65,0)),"◄ Selecione um Título de Evento válido para a Administração Local","")))</f>
        <v>◄ Não foi indicado o Evento de Administração Local</v>
      </c>
    </row>
    <row r="9" spans="1:31" ht="3.9" customHeight="1" x14ac:dyDescent="0.25">
      <c r="A9" s="460"/>
    </row>
    <row r="10" spans="1:31" ht="15" customHeight="1" x14ac:dyDescent="0.25">
      <c r="A10" s="460" t="e">
        <f>MATCH(VALUE(A8),CÁLCULO!$M$15:$M$36,0)-2</f>
        <v>#VALUE!</v>
      </c>
      <c r="B10" s="432" t="str" cm="1">
        <f t="array" aca="1" ref="B10" ca="1">_xlfn.CONCAT(IF(AdmLocal="Automática",1,2),".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00" t="s">
        <v>661</v>
      </c>
      <c r="C11" s="199"/>
      <c r="E11" s="200" t="str">
        <f ca="1">IF(E$12&gt;CÁLCULO.FrentesPreenchidas,"",OFFSET(CÁLCULO!$P$12,0,E$12))</f>
        <v/>
      </c>
      <c r="G11" s="200" t="str">
        <f ca="1">IF(G$12&gt;CÁLCULO.FrentesPreenchidas,"",OFFSET(CÁLCULO!$P$12,0,G$12))</f>
        <v/>
      </c>
      <c r="H11" s="200" t="str">
        <f ca="1">IF(H$12&gt;CÁLCULO.FrentesPreenchidas,"",OFFSET(CÁLCULO!$P$12,0,H$12))</f>
        <v/>
      </c>
      <c r="I11" s="200" t="str">
        <f ca="1">IF(I$12&gt;CÁLCULO.FrentesPreenchidas,"",OFFSET(CÁLCULO!$P$12,0,I$12))</f>
        <v/>
      </c>
      <c r="J11" s="200" t="str">
        <f ca="1">IF(J$12&gt;CÁLCULO.FrentesPreenchidas,"",OFFSET(CÁLCULO!$P$12,0,J$12))</f>
        <v/>
      </c>
      <c r="K11" s="200" t="str">
        <f ca="1">IF(K$12&gt;CÁLCULO.FrentesPreenchidas,"",OFFSET(CÁLCULO!$P$12,0,K$12))</f>
        <v/>
      </c>
      <c r="L11" s="200" t="str">
        <f ca="1">IF(L$12&gt;CÁLCULO.FrentesPreenchidas,"",OFFSET(CÁLCULO!$P$12,0,L$12))</f>
        <v/>
      </c>
      <c r="M11" s="200" t="str">
        <f ca="1">IF(M$12&gt;CÁLCULO.FrentesPreenchidas,"",OFFSET(CÁLCULO!$P$12,0,M$12))</f>
        <v/>
      </c>
      <c r="N11" s="200" t="str">
        <f ca="1">IF(N$12&gt;CÁLCULO.FrentesPreenchidas,"",OFFSET(CÁLCULO!$P$12,0,N$12))</f>
        <v/>
      </c>
      <c r="O11" s="200" t="str">
        <f ca="1">IF(O$12&gt;CÁLCULO.FrentesPreenchidas,"",OFFSET(CÁLCULO!$P$12,0,O$12))</f>
        <v/>
      </c>
      <c r="P11" s="200" t="str">
        <f ca="1">IF(P$12&gt;CÁLCULO.FrentesPreenchidas,"",OFFSET(CÁLCULO!$P$12,0,P$12))</f>
        <v/>
      </c>
      <c r="Q11" s="200" t="str">
        <f ca="1">IF(Q$12&gt;CÁLCULO.FrentesPreenchidas,"",OFFSET(CÁLCULO!$P$12,0,Q$12))</f>
        <v/>
      </c>
      <c r="R11" s="200" t="str">
        <f ca="1">IF(R$12&gt;CÁLCULO.FrentesPreenchidas,"",OFFSET(CÁLCULO!$P$12,0,R$12))</f>
        <v/>
      </c>
      <c r="S11" s="200" t="str">
        <f ca="1">IF(S$12&gt;CÁLCULO.FrentesPreenchidas,"",OFFSET(CÁLCULO!$P$12,0,S$12))</f>
        <v/>
      </c>
      <c r="T11" s="200" t="str">
        <f ca="1">IF(T$12&gt;CÁLCULO.FrentesPreenchidas,"",OFFSET(CÁLCULO!$P$12,0,T$12))</f>
        <v/>
      </c>
      <c r="U11" s="200" t="str">
        <f ca="1">IF(U$12&gt;CÁLCULO.FrentesPreenchidas,"",OFFSET(CÁLCULO!$P$12,0,U$12))</f>
        <v/>
      </c>
      <c r="V11" s="200" t="str">
        <f ca="1">IF(V$12&gt;CÁLCULO.FrentesPreenchidas,"",OFFSET(CÁLCULO!$P$12,0,V$12))</f>
        <v/>
      </c>
      <c r="W11" s="200" t="str">
        <f ca="1">IF(W$12&gt;CÁLCULO.FrentesPreenchidas,"",OFFSET(CÁLCULO!$P$12,0,W$12))</f>
        <v/>
      </c>
      <c r="X11" s="200" t="str">
        <f ca="1">IF(X$12&gt;CÁLCULO.FrentesPreenchidas,"",OFFSET(CÁLCULO!$P$12,0,X$12))</f>
        <v/>
      </c>
      <c r="Y11" s="200" t="str">
        <f ca="1">IF(Y$12&gt;CÁLCULO.FrentesPreenchidas,"",OFFSET(CÁLCULO!$P$12,0,Y$12))</f>
        <v/>
      </c>
      <c r="Z11" s="200" t="str">
        <f ca="1">IF(Z$12&gt;CÁLCULO.FrentesPreenchidas,"",OFFSET(CÁLCULO!$P$12,0,Z$12))</f>
        <v/>
      </c>
      <c r="AA11" s="200" t="str">
        <f ca="1">IF(AA$12&gt;CÁLCULO.FrentesPreenchidas,"",OFFSET(CÁLCULO!$P$12,0,AA$12))</f>
        <v/>
      </c>
      <c r="AB11" s="200" t="str">
        <f ca="1">IF(AB$12&gt;CÁLCULO.FrentesPreenchidas,"",OFFSET(CÁLCULO!$P$12,0,AB$12))</f>
        <v/>
      </c>
      <c r="AC11" s="200" t="str">
        <f ca="1">IF(AC$12&gt;CÁLCULO.FrentesPreenchidas,"",OFFSET(CÁLCULO!$P$12,0,AC$12))</f>
        <v/>
      </c>
      <c r="AD11" s="200" t="str">
        <f ca="1">IF(AD$12&gt;CÁLCULO.FrentesPreenchidas,"",OFFSET(CÁLCULO!$P$12,0,AD$12))</f>
        <v/>
      </c>
      <c r="AE11" s="200" t="str">
        <f ca="1">IF(AE$12&gt;CÁLCULO.FrentesPreenchidas,"",OFFSET(CÁLCULO!$P$12,0,AE$12))</f>
        <v/>
      </c>
    </row>
    <row r="12" spans="1:31" ht="12.75" customHeight="1" x14ac:dyDescent="0.25">
      <c r="A12" s="401" t="s">
        <v>666</v>
      </c>
      <c r="B12" s="744" t="s">
        <v>784</v>
      </c>
      <c r="C12" s="744" t="s">
        <v>802</v>
      </c>
      <c r="E12" s="201">
        <f ca="1">OFFSET(E12,0,-1)+1</f>
        <v>1</v>
      </c>
      <c r="G12" s="201">
        <f ca="1">OFFSET(G12,0,-1)+1</f>
        <v>1</v>
      </c>
      <c r="H12" s="201">
        <f ca="1">OFFSET(H12,0,-1)+1</f>
        <v>2</v>
      </c>
      <c r="I12" s="201">
        <f t="shared" ref="I12:AE12" ca="1" si="0">OFFSET(I12,0,-1)+1</f>
        <v>3</v>
      </c>
      <c r="J12" s="201">
        <f t="shared" ca="1" si="0"/>
        <v>4</v>
      </c>
      <c r="K12" s="201">
        <f t="shared" ca="1" si="0"/>
        <v>5</v>
      </c>
      <c r="L12" s="201">
        <f t="shared" ca="1" si="0"/>
        <v>6</v>
      </c>
      <c r="M12" s="201">
        <f t="shared" ca="1" si="0"/>
        <v>7</v>
      </c>
      <c r="N12" s="201">
        <f t="shared" ca="1" si="0"/>
        <v>8</v>
      </c>
      <c r="O12" s="201">
        <f t="shared" ca="1" si="0"/>
        <v>9</v>
      </c>
      <c r="P12" s="201">
        <f t="shared" ca="1" si="0"/>
        <v>10</v>
      </c>
      <c r="Q12" s="201">
        <f t="shared" ca="1" si="0"/>
        <v>11</v>
      </c>
      <c r="R12" s="201">
        <f t="shared" ca="1" si="0"/>
        <v>12</v>
      </c>
      <c r="S12" s="201">
        <f t="shared" ca="1" si="0"/>
        <v>13</v>
      </c>
      <c r="T12" s="201">
        <f t="shared" ca="1" si="0"/>
        <v>14</v>
      </c>
      <c r="U12" s="201">
        <f t="shared" ca="1" si="0"/>
        <v>15</v>
      </c>
      <c r="V12" s="201">
        <f t="shared" ca="1" si="0"/>
        <v>16</v>
      </c>
      <c r="W12" s="201">
        <f t="shared" ca="1" si="0"/>
        <v>17</v>
      </c>
      <c r="X12" s="201">
        <f t="shared" ca="1" si="0"/>
        <v>18</v>
      </c>
      <c r="Y12" s="201">
        <f t="shared" ca="1" si="0"/>
        <v>19</v>
      </c>
      <c r="Z12" s="201">
        <f t="shared" ca="1" si="0"/>
        <v>20</v>
      </c>
      <c r="AA12" s="201">
        <f t="shared" ca="1" si="0"/>
        <v>21</v>
      </c>
      <c r="AB12" s="201">
        <f t="shared" ca="1" si="0"/>
        <v>22</v>
      </c>
      <c r="AC12" s="201">
        <f t="shared" ca="1" si="0"/>
        <v>23</v>
      </c>
      <c r="AD12" s="201">
        <f t="shared" ca="1" si="0"/>
        <v>24</v>
      </c>
      <c r="AE12" s="201">
        <f t="shared" ca="1" si="0"/>
        <v>25</v>
      </c>
    </row>
    <row r="13" spans="1:31" x14ac:dyDescent="0.25">
      <c r="A13" t="s">
        <v>661</v>
      </c>
      <c r="B13" s="744"/>
      <c r="C13" s="744"/>
      <c r="E13" s="202"/>
      <c r="G13" s="203"/>
      <c r="H13" s="202"/>
      <c r="I13" s="202"/>
      <c r="J13" s="202"/>
      <c r="K13" s="202"/>
      <c r="L13" s="202"/>
      <c r="M13" s="490" t="str">
        <f ca="1">IF(CRONOPLE.Erro="ERRO: CRONOGRAMA NÃO FECHA 100%","Informe abaixo o NÚMERO DO PERÍODO em que os eventos serão concluídos","")</f>
        <v/>
      </c>
      <c r="N13" s="202"/>
      <c r="O13" s="202"/>
      <c r="P13" s="202"/>
      <c r="Q13" s="202"/>
      <c r="R13" s="202"/>
      <c r="S13" s="202"/>
      <c r="T13" s="202"/>
      <c r="U13" s="202"/>
      <c r="V13" s="202"/>
      <c r="W13" s="202"/>
      <c r="X13" s="202"/>
      <c r="Y13" s="202"/>
      <c r="Z13" s="202"/>
      <c r="AA13" s="202"/>
      <c r="AB13" s="202"/>
      <c r="AC13" s="202"/>
      <c r="AD13" s="202"/>
      <c r="AE13" s="204"/>
    </row>
    <row r="14" spans="1:31" ht="5.0999999999999996" customHeight="1" x14ac:dyDescent="0.25">
      <c r="A14" s="5" t="s">
        <v>542</v>
      </c>
    </row>
    <row r="15" spans="1:31" x14ac:dyDescent="0.25">
      <c r="A15" s="5" t="str">
        <f ca="1">IF(AUTOEVENTO="Manual",IF(EVENTOS!$F15&gt;0,"F",""),IF(CRONOPLE!B15&lt;=MAX(CÁLCULO!$M$15:$M$36),"F",""))</f>
        <v>F</v>
      </c>
      <c r="B15" s="205">
        <f ca="1">EVENTOS!$C$15</f>
        <v>0</v>
      </c>
      <c r="C15" s="528" t="str">
        <f ca="1">EVENTOS!$D$15</f>
        <v/>
      </c>
      <c r="D15" s="466"/>
      <c r="E15" s="206"/>
      <c r="F15" t="str">
        <f ca="1">IF($C15="","",CONCATENATE($B15,". ",$C15))</f>
        <v/>
      </c>
      <c r="G15" s="207"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06"/>
      <c r="I15" s="206"/>
      <c r="J15" s="206"/>
      <c r="K15" s="206"/>
      <c r="L15" s="206"/>
      <c r="M15" s="206"/>
      <c r="N15" s="206"/>
      <c r="O15" s="206"/>
      <c r="P15" s="206"/>
      <c r="Q15" s="206"/>
      <c r="R15" s="206"/>
      <c r="S15" s="206"/>
      <c r="T15" s="206"/>
      <c r="U15" s="206"/>
      <c r="V15" s="206"/>
      <c r="W15" s="206"/>
      <c r="X15" s="206"/>
      <c r="Y15" s="206"/>
      <c r="Z15" s="206"/>
      <c r="AA15" s="206"/>
      <c r="AB15" s="206"/>
      <c r="AC15" s="206"/>
      <c r="AD15" s="206"/>
      <c r="AE15" s="208"/>
    </row>
    <row r="16" spans="1:31" x14ac:dyDescent="0.25">
      <c r="A16" s="5" t="str">
        <f ca="1">IF(AUTOEVENTO="Manual",IF(EVENTOS!$F16&gt;0,"F",""),IF(CRONOPLE!B16&lt;=MAX(CÁLCULO!$M$15:$M$36),"F",""))</f>
        <v>F</v>
      </c>
      <c r="B16" s="195">
        <f t="shared" ref="B16:B64" ca="1" si="1">OFFSET(B16,-1,0)+1</f>
        <v>1</v>
      </c>
      <c r="C16" s="526" t="str">
        <f ca="1">IF(AUTOEVENTO="Manual",IF($B16&gt;0,OFFSET(EVENTOS!$D$15,$B16-$B$15,0),0),IF(B16&lt;=MAX(CÁLCULO!$M$15:$M$36),VLOOKUP($B16,CÁLCULO!$M$15:$N$36,2,FALSE),0))</f>
        <v>ADMINISTRAÇÃO DE OBRA</v>
      </c>
      <c r="D16" s="466"/>
      <c r="E16" s="196"/>
      <c r="F16" t="str">
        <f t="shared" ref="F16:F64" ca="1" si="2">IF($C16=0,"",CONCATENATE($B16,". ",$C16))</f>
        <v>1. ADMINISTRAÇÃO DE OBRA</v>
      </c>
      <c r="G16" s="465">
        <v>1</v>
      </c>
      <c r="H16" s="465"/>
      <c r="I16" s="465"/>
      <c r="J16" s="465"/>
      <c r="K16" s="465"/>
      <c r="L16" s="465"/>
      <c r="M16" s="465"/>
      <c r="N16" s="465"/>
      <c r="O16" s="465"/>
      <c r="P16" s="465"/>
      <c r="Q16" s="465"/>
      <c r="R16" s="465"/>
      <c r="S16" s="465"/>
      <c r="T16" s="465"/>
      <c r="U16" s="465"/>
      <c r="V16" s="465"/>
      <c r="W16" s="465"/>
      <c r="X16" s="465"/>
      <c r="Y16" s="465"/>
      <c r="Z16" s="465"/>
      <c r="AA16" s="465"/>
      <c r="AB16" s="465"/>
      <c r="AC16" s="465"/>
      <c r="AD16" s="465"/>
      <c r="AE16" s="465"/>
    </row>
    <row r="17" spans="1:31" x14ac:dyDescent="0.25">
      <c r="A17" s="5" t="str">
        <f ca="1">IF(AUTOEVENTO="Manual",IF(EVENTOS!$F17&gt;0,"F",""),IF(CRONOPLE!B17&lt;=MAX(CÁLCULO!$M$15:$M$36),"F",""))</f>
        <v>F</v>
      </c>
      <c r="B17" s="195">
        <f t="shared" ca="1" si="1"/>
        <v>2</v>
      </c>
      <c r="C17" s="526" t="str">
        <f ca="1">IF(AUTOEVENTO="Manual",IF($B17&gt;0,OFFSET(EVENTOS!$D$15,$B17-$B$15,0),0),IF(B17&lt;=MAX(CÁLCULO!$M$15:$M$36),VLOOKUP($B17,CÁLCULO!$M$15:$N$36,2,FALSE),0))</f>
        <v>SERVIÇOS PRELIMINARES</v>
      </c>
      <c r="D17" s="466"/>
      <c r="E17" s="196"/>
      <c r="F17" t="str">
        <f t="shared" ca="1" si="2"/>
        <v>2. SERVIÇOS PRELIMINARES</v>
      </c>
      <c r="G17" s="465">
        <v>2</v>
      </c>
      <c r="H17" s="465"/>
      <c r="I17" s="465"/>
      <c r="J17" s="465"/>
      <c r="K17" s="465"/>
      <c r="L17" s="465"/>
      <c r="M17" s="465"/>
      <c r="N17" s="465"/>
      <c r="O17" s="465"/>
      <c r="P17" s="465"/>
      <c r="Q17" s="465"/>
      <c r="R17" s="465"/>
      <c r="S17" s="465"/>
      <c r="T17" s="465"/>
      <c r="U17" s="465"/>
      <c r="V17" s="465"/>
      <c r="W17" s="465"/>
      <c r="X17" s="465"/>
      <c r="Y17" s="465"/>
      <c r="Z17" s="465"/>
      <c r="AA17" s="465"/>
      <c r="AB17" s="465"/>
      <c r="AC17" s="465"/>
      <c r="AD17" s="465"/>
      <c r="AE17" s="465"/>
    </row>
    <row r="18" spans="1:31" x14ac:dyDescent="0.25">
      <c r="A18" s="5" t="str">
        <f ca="1">IF(AUTOEVENTO="Manual",IF(EVENTOS!$F18&gt;0,"F",""),IF(CRONOPLE!B18&lt;=MAX(CÁLCULO!$M$15:$M$36),"F",""))</f>
        <v>F</v>
      </c>
      <c r="B18" s="195">
        <f t="shared" ca="1" si="1"/>
        <v>3</v>
      </c>
      <c r="C18" s="526" t="str">
        <f ca="1">IF(AUTOEVENTO="Manual",IF($B18&gt;0,OFFSET(EVENTOS!$D$15,$B18-$B$15,0),0),IF(B18&lt;=MAX(CÁLCULO!$M$15:$M$36),VLOOKUP($B18,CÁLCULO!$M$15:$N$36,2,FALSE),0))</f>
        <v>MOBILIZAÇÃO DE MAQUINÁRIO</v>
      </c>
      <c r="D18" s="466"/>
      <c r="E18" s="196"/>
      <c r="F18" t="str">
        <f t="shared" ca="1" si="2"/>
        <v>3. MOBILIZAÇÃO DE MAQUINÁRIO</v>
      </c>
      <c r="G18" s="465">
        <v>3</v>
      </c>
      <c r="H18" s="465"/>
      <c r="I18" s="465"/>
      <c r="J18" s="465"/>
      <c r="K18" s="465"/>
      <c r="L18" s="465"/>
      <c r="M18" s="465"/>
      <c r="N18" s="465"/>
      <c r="O18" s="465"/>
      <c r="P18" s="465"/>
      <c r="Q18" s="465"/>
      <c r="R18" s="465"/>
      <c r="S18" s="465"/>
      <c r="T18" s="465"/>
      <c r="U18" s="465"/>
      <c r="V18" s="465"/>
      <c r="W18" s="465"/>
      <c r="X18" s="465"/>
      <c r="Y18" s="465"/>
      <c r="Z18" s="465"/>
      <c r="AA18" s="465"/>
      <c r="AB18" s="465"/>
      <c r="AC18" s="465"/>
      <c r="AD18" s="465"/>
      <c r="AE18" s="465"/>
    </row>
    <row r="19" spans="1:31" x14ac:dyDescent="0.25">
      <c r="A19" s="5" t="str">
        <f ca="1">IF(AUTOEVENTO="Manual",IF(EVENTOS!$F19&gt;0,"F",""),IF(CRONOPLE!B19&lt;=MAX(CÁLCULO!$M$15:$M$36),"F",""))</f>
        <v>F</v>
      </c>
      <c r="B19" s="195">
        <f t="shared" ca="1" si="1"/>
        <v>4</v>
      </c>
      <c r="C19" s="526" t="str">
        <f ca="1">IF(AUTOEVENTO="Manual",IF($B19&gt;0,OFFSET(EVENTOS!$D$15,$B19-$B$15,0),0),IF(B19&lt;=MAX(CÁLCULO!$M$15:$M$36),VLOOKUP($B19,CÁLCULO!$M$15:$N$36,2,FALSE),0))</f>
        <v>DESMOBILIZAÇÃO DE MAQUINÁRIO</v>
      </c>
      <c r="D19" s="466"/>
      <c r="E19" s="196"/>
      <c r="F19" t="str">
        <f t="shared" ca="1" si="2"/>
        <v>4. DESMOBILIZAÇÃO DE MAQUINÁRIO</v>
      </c>
      <c r="G19" s="465">
        <v>4</v>
      </c>
      <c r="H19" s="465"/>
      <c r="I19" s="465"/>
      <c r="J19" s="465"/>
      <c r="K19" s="465"/>
      <c r="L19" s="465"/>
      <c r="M19" s="465"/>
      <c r="N19" s="465"/>
      <c r="O19" s="465"/>
      <c r="P19" s="465"/>
      <c r="Q19" s="465"/>
      <c r="R19" s="465"/>
      <c r="S19" s="465"/>
      <c r="T19" s="465"/>
      <c r="U19" s="465"/>
      <c r="V19" s="465"/>
      <c r="W19" s="465"/>
      <c r="X19" s="465"/>
      <c r="Y19" s="465"/>
      <c r="Z19" s="465"/>
      <c r="AA19" s="465"/>
      <c r="AB19" s="465"/>
      <c r="AC19" s="465"/>
      <c r="AD19" s="465"/>
      <c r="AE19" s="465"/>
    </row>
    <row r="20" spans="1:31" x14ac:dyDescent="0.25">
      <c r="A20" s="5" t="str">
        <f ca="1">IF(AUTOEVENTO="Manual",IF(EVENTOS!$F20&gt;0,"F",""),IF(CRONOPLE!B20&lt;=MAX(CÁLCULO!$M$15:$M$36),"F",""))</f>
        <v>F</v>
      </c>
      <c r="B20" s="195">
        <f t="shared" ca="1" si="1"/>
        <v>5</v>
      </c>
      <c r="C20" s="526" t="str">
        <f ca="1">IF(AUTOEVENTO="Manual",IF($B20&gt;0,OFFSET(EVENTOS!$D$15,$B20-$B$15,0),0),IF(B20&lt;=MAX(CÁLCULO!$M$15:$M$36),VLOOKUP($B20,CÁLCULO!$M$15:$N$36,2,FALSE),0))</f>
        <v>PAVIMENTAÇÃO DE VIAS</v>
      </c>
      <c r="D20" s="466"/>
      <c r="E20" s="196"/>
      <c r="F20" t="str">
        <f t="shared" ca="1" si="2"/>
        <v>5. PAVIMENTAÇÃO DE VIAS</v>
      </c>
      <c r="G20" s="465">
        <v>5</v>
      </c>
      <c r="H20" s="465"/>
      <c r="I20" s="465"/>
      <c r="J20" s="465"/>
      <c r="K20" s="465"/>
      <c r="L20" s="465"/>
      <c r="M20" s="465"/>
      <c r="N20" s="465"/>
      <c r="O20" s="465"/>
      <c r="P20" s="465"/>
      <c r="Q20" s="465"/>
      <c r="R20" s="465"/>
      <c r="S20" s="465"/>
      <c r="T20" s="465"/>
      <c r="U20" s="465"/>
      <c r="V20" s="465"/>
      <c r="W20" s="465"/>
      <c r="X20" s="465"/>
      <c r="Y20" s="465"/>
      <c r="Z20" s="465"/>
      <c r="AA20" s="465"/>
      <c r="AB20" s="465"/>
      <c r="AC20" s="465"/>
      <c r="AD20" s="465"/>
      <c r="AE20" s="465"/>
    </row>
    <row r="21" spans="1:31" x14ac:dyDescent="0.25">
      <c r="A21" s="5" t="str">
        <f ca="1">IF(AUTOEVENTO="Manual",IF(EVENTOS!$F21&gt;0,"F",""),IF(CRONOPLE!B21&lt;=MAX(CÁLCULO!$M$15:$M$36),"F",""))</f>
        <v/>
      </c>
      <c r="B21" s="195">
        <f t="shared" ca="1" si="1"/>
        <v>6</v>
      </c>
      <c r="C21" s="526">
        <f ca="1">IF(AUTOEVENTO="Manual",IF($B21&gt;0,OFFSET(EVENTOS!$D$15,$B21-$B$15,0),0),IF(B21&lt;=MAX(CÁLCULO!$M$15:$M$36),VLOOKUP($B21,CÁLCULO!$M$15:$N$36,2,FALSE),0))</f>
        <v>0</v>
      </c>
      <c r="D21" s="466"/>
      <c r="E21" s="196"/>
      <c r="F21" t="str">
        <f t="shared" ca="1" si="2"/>
        <v/>
      </c>
      <c r="G21" s="465">
        <v>1</v>
      </c>
      <c r="H21" s="465"/>
      <c r="I21" s="465"/>
      <c r="J21" s="465"/>
      <c r="K21" s="465"/>
      <c r="L21" s="465"/>
      <c r="M21" s="465"/>
      <c r="N21" s="465"/>
      <c r="O21" s="465"/>
      <c r="P21" s="465"/>
      <c r="Q21" s="465"/>
      <c r="R21" s="465"/>
      <c r="S21" s="465"/>
      <c r="T21" s="465"/>
      <c r="U21" s="465"/>
      <c r="V21" s="465"/>
      <c r="W21" s="465"/>
      <c r="X21" s="465"/>
      <c r="Y21" s="465"/>
      <c r="Z21" s="465"/>
      <c r="AA21" s="465"/>
      <c r="AB21" s="465"/>
      <c r="AC21" s="465"/>
      <c r="AD21" s="465"/>
      <c r="AE21" s="465"/>
    </row>
    <row r="22" spans="1:31" x14ac:dyDescent="0.25">
      <c r="A22" s="5" t="str">
        <f ca="1">IF(AUTOEVENTO="Manual",IF(EVENTOS!$F22&gt;0,"F",""),IF(CRONOPLE!B22&lt;=MAX(CÁLCULO!$M$15:$M$36),"F",""))</f>
        <v/>
      </c>
      <c r="B22" s="195">
        <f t="shared" ca="1" si="1"/>
        <v>7</v>
      </c>
      <c r="C22" s="526">
        <f ca="1">IF(AUTOEVENTO="Manual",IF($B22&gt;0,OFFSET(EVENTOS!$D$15,$B22-$B$15,0),0),IF(B22&lt;=MAX(CÁLCULO!$M$15:$M$36),VLOOKUP($B22,CÁLCULO!$M$15:$N$36,2,FALSE),0))</f>
        <v>0</v>
      </c>
      <c r="D22" s="466"/>
      <c r="E22" s="196"/>
      <c r="F22" t="str">
        <f t="shared" ca="1" si="2"/>
        <v/>
      </c>
      <c r="G22" s="465">
        <v>1</v>
      </c>
      <c r="H22" s="465"/>
      <c r="I22" s="465"/>
      <c r="J22" s="465"/>
      <c r="K22" s="465"/>
      <c r="L22" s="465"/>
      <c r="M22" s="465"/>
      <c r="N22" s="465"/>
      <c r="O22" s="465"/>
      <c r="P22" s="465"/>
      <c r="Q22" s="465"/>
      <c r="R22" s="465"/>
      <c r="S22" s="465"/>
      <c r="T22" s="465"/>
      <c r="U22" s="465"/>
      <c r="V22" s="465"/>
      <c r="W22" s="465"/>
      <c r="X22" s="465"/>
      <c r="Y22" s="465"/>
      <c r="Z22" s="465"/>
      <c r="AA22" s="465"/>
      <c r="AB22" s="465"/>
      <c r="AC22" s="465"/>
      <c r="AD22" s="465"/>
      <c r="AE22" s="465"/>
    </row>
    <row r="23" spans="1:31" x14ac:dyDescent="0.25">
      <c r="A23" s="5" t="str">
        <f ca="1">IF(AUTOEVENTO="Manual",IF(EVENTOS!$F23&gt;0,"F",""),IF(CRONOPLE!B23&lt;=MAX(CÁLCULO!$M$15:$M$36),"F",""))</f>
        <v/>
      </c>
      <c r="B23" s="195">
        <f t="shared" ca="1" si="1"/>
        <v>8</v>
      </c>
      <c r="C23" s="526">
        <f ca="1">IF(AUTOEVENTO="Manual",IF($B23&gt;0,OFFSET(EVENTOS!$D$15,$B23-$B$15,0),0),IF(B23&lt;=MAX(CÁLCULO!$M$15:$M$36),VLOOKUP($B23,CÁLCULO!$M$15:$N$36,2,FALSE),0))</f>
        <v>0</v>
      </c>
      <c r="D23" s="466"/>
      <c r="E23" s="196"/>
      <c r="F23" t="str">
        <f t="shared" ca="1" si="2"/>
        <v/>
      </c>
      <c r="G23" s="465">
        <v>5</v>
      </c>
      <c r="H23" s="465"/>
      <c r="I23" s="465"/>
      <c r="J23" s="465"/>
      <c r="K23" s="465"/>
      <c r="L23" s="465"/>
      <c r="M23" s="465"/>
      <c r="N23" s="465"/>
      <c r="O23" s="465"/>
      <c r="P23" s="465"/>
      <c r="Q23" s="465"/>
      <c r="R23" s="465"/>
      <c r="S23" s="465"/>
      <c r="T23" s="465"/>
      <c r="U23" s="465"/>
      <c r="V23" s="465"/>
      <c r="W23" s="465"/>
      <c r="X23" s="465"/>
      <c r="Y23" s="465"/>
      <c r="Z23" s="465"/>
      <c r="AA23" s="465"/>
      <c r="AB23" s="465"/>
      <c r="AC23" s="465"/>
      <c r="AD23" s="465"/>
      <c r="AE23" s="465"/>
    </row>
    <row r="24" spans="1:31" x14ac:dyDescent="0.25">
      <c r="A24" s="5" t="str">
        <f ca="1">IF(AUTOEVENTO="Manual",IF(EVENTOS!$F24&gt;0,"F",""),IF(CRONOPLE!B24&lt;=MAX(CÁLCULO!$M$15:$M$36),"F",""))</f>
        <v/>
      </c>
      <c r="B24" s="195">
        <f t="shared" ca="1" si="1"/>
        <v>9</v>
      </c>
      <c r="C24" s="526">
        <f ca="1">IF(AUTOEVENTO="Manual",IF($B24&gt;0,OFFSET(EVENTOS!$D$15,$B24-$B$15,0),0),IF(B24&lt;=MAX(CÁLCULO!$M$15:$M$36),VLOOKUP($B24,CÁLCULO!$M$15:$N$36,2,FALSE),0))</f>
        <v>0</v>
      </c>
      <c r="D24" s="466"/>
      <c r="E24" s="196"/>
      <c r="F24" t="str">
        <f t="shared" ca="1" si="2"/>
        <v/>
      </c>
      <c r="G24" s="465">
        <v>1</v>
      </c>
      <c r="H24" s="465"/>
      <c r="I24" s="465"/>
      <c r="J24" s="465"/>
      <c r="K24" s="465"/>
      <c r="L24" s="465"/>
      <c r="M24" s="465"/>
      <c r="N24" s="465"/>
      <c r="O24" s="465"/>
      <c r="P24" s="465"/>
      <c r="Q24" s="465"/>
      <c r="R24" s="465"/>
      <c r="S24" s="465"/>
      <c r="T24" s="465"/>
      <c r="U24" s="465"/>
      <c r="V24" s="465"/>
      <c r="W24" s="465"/>
      <c r="X24" s="465"/>
      <c r="Y24" s="465"/>
      <c r="Z24" s="465"/>
      <c r="AA24" s="465"/>
      <c r="AB24" s="465"/>
      <c r="AC24" s="465"/>
      <c r="AD24" s="465"/>
      <c r="AE24" s="465"/>
    </row>
    <row r="25" spans="1:31" x14ac:dyDescent="0.25">
      <c r="A25" s="5" t="str">
        <f ca="1">IF(AUTOEVENTO="Manual",IF(EVENTOS!$F25&gt;0,"F",""),IF(CRONOPLE!B25&lt;=MAX(CÁLCULO!$M$15:$M$36),"F",""))</f>
        <v/>
      </c>
      <c r="B25" s="195">
        <f t="shared" ca="1" si="1"/>
        <v>10</v>
      </c>
      <c r="C25" s="526">
        <f ca="1">IF(AUTOEVENTO="Manual",IF($B25&gt;0,OFFSET(EVENTOS!$D$15,$B25-$B$15,0),0),IF(B25&lt;=MAX(CÁLCULO!$M$15:$M$36),VLOOKUP($B25,CÁLCULO!$M$15:$N$36,2,FALSE),0))</f>
        <v>0</v>
      </c>
      <c r="D25" s="466"/>
      <c r="E25" s="196"/>
      <c r="F25" t="str">
        <f t="shared" ca="1" si="2"/>
        <v/>
      </c>
      <c r="G25" s="465">
        <v>2</v>
      </c>
      <c r="H25" s="465"/>
      <c r="I25" s="465"/>
      <c r="J25" s="465"/>
      <c r="K25" s="465"/>
      <c r="L25" s="465"/>
      <c r="M25" s="465"/>
      <c r="N25" s="465"/>
      <c r="O25" s="465"/>
      <c r="P25" s="465"/>
      <c r="Q25" s="465"/>
      <c r="R25" s="465"/>
      <c r="S25" s="465"/>
      <c r="T25" s="465"/>
      <c r="U25" s="465"/>
      <c r="V25" s="465"/>
      <c r="W25" s="465"/>
      <c r="X25" s="465"/>
      <c r="Y25" s="465"/>
      <c r="Z25" s="465"/>
      <c r="AA25" s="465"/>
      <c r="AB25" s="465"/>
      <c r="AC25" s="465"/>
      <c r="AD25" s="465"/>
      <c r="AE25" s="465"/>
    </row>
    <row r="26" spans="1:31" x14ac:dyDescent="0.25">
      <c r="A26" s="5" t="str">
        <f ca="1">IF(AUTOEVENTO="Manual",IF(EVENTOS!$F26&gt;0,"F",""),IF(CRONOPLE!B26&lt;=MAX(CÁLCULO!$M$15:$M$36),"F",""))</f>
        <v/>
      </c>
      <c r="B26" s="195">
        <f t="shared" ca="1" si="1"/>
        <v>11</v>
      </c>
      <c r="C26" s="526">
        <f ca="1">IF(AUTOEVENTO="Manual",IF($B26&gt;0,OFFSET(EVENTOS!$D$15,$B26-$B$15,0),0),IF(B26&lt;=MAX(CÁLCULO!$M$15:$M$36),VLOOKUP($B26,CÁLCULO!$M$15:$N$36,2,FALSE),0))</f>
        <v>0</v>
      </c>
      <c r="D26" s="466"/>
      <c r="E26" s="196"/>
      <c r="F26" t="str">
        <f t="shared" ca="1" si="2"/>
        <v/>
      </c>
      <c r="G26" s="465">
        <v>2</v>
      </c>
      <c r="H26" s="465"/>
      <c r="I26" s="465"/>
      <c r="J26" s="465"/>
      <c r="K26" s="465"/>
      <c r="L26" s="465"/>
      <c r="M26" s="465"/>
      <c r="N26" s="465"/>
      <c r="O26" s="465"/>
      <c r="P26" s="465"/>
      <c r="Q26" s="465"/>
      <c r="R26" s="465"/>
      <c r="S26" s="465"/>
      <c r="T26" s="465"/>
      <c r="U26" s="465"/>
      <c r="V26" s="465"/>
      <c r="W26" s="465"/>
      <c r="X26" s="465"/>
      <c r="Y26" s="465"/>
      <c r="Z26" s="465"/>
      <c r="AA26" s="465"/>
      <c r="AB26" s="465"/>
      <c r="AC26" s="465"/>
      <c r="AD26" s="465"/>
      <c r="AE26" s="465"/>
    </row>
    <row r="27" spans="1:31" x14ac:dyDescent="0.25">
      <c r="A27" s="5" t="str">
        <f ca="1">IF(AUTOEVENTO="Manual",IF(EVENTOS!$F27&gt;0,"F",""),IF(CRONOPLE!B27&lt;=MAX(CÁLCULO!$M$15:$M$36),"F",""))</f>
        <v/>
      </c>
      <c r="B27" s="195">
        <f t="shared" ca="1" si="1"/>
        <v>12</v>
      </c>
      <c r="C27" s="526">
        <f ca="1">IF(AUTOEVENTO="Manual",IF($B27&gt;0,OFFSET(EVENTOS!$D$15,$B27-$B$15,0),0),IF(B27&lt;=MAX(CÁLCULO!$M$15:$M$36),VLOOKUP($B27,CÁLCULO!$M$15:$N$36,2,FALSE),0))</f>
        <v>0</v>
      </c>
      <c r="D27" s="466"/>
      <c r="E27" s="196"/>
      <c r="F27" t="str">
        <f t="shared" ca="1" si="2"/>
        <v/>
      </c>
      <c r="G27" s="465">
        <v>3</v>
      </c>
      <c r="H27" s="465"/>
      <c r="I27" s="465"/>
      <c r="J27" s="465"/>
      <c r="K27" s="465"/>
      <c r="L27" s="465"/>
      <c r="M27" s="465"/>
      <c r="N27" s="465"/>
      <c r="O27" s="465"/>
      <c r="P27" s="465"/>
      <c r="Q27" s="465"/>
      <c r="R27" s="465"/>
      <c r="S27" s="465"/>
      <c r="T27" s="465"/>
      <c r="U27" s="465"/>
      <c r="V27" s="465"/>
      <c r="W27" s="465"/>
      <c r="X27" s="465"/>
      <c r="Y27" s="465"/>
      <c r="Z27" s="465"/>
      <c r="AA27" s="465"/>
      <c r="AB27" s="465"/>
      <c r="AC27" s="465"/>
      <c r="AD27" s="465"/>
      <c r="AE27" s="465"/>
    </row>
    <row r="28" spans="1:31" x14ac:dyDescent="0.25">
      <c r="A28" s="5" t="str">
        <f ca="1">IF(AUTOEVENTO="Manual",IF(EVENTOS!$F28&gt;0,"F",""),IF(CRONOPLE!B28&lt;=MAX(CÁLCULO!$M$15:$M$36),"F",""))</f>
        <v/>
      </c>
      <c r="B28" s="195">
        <f t="shared" ca="1" si="1"/>
        <v>13</v>
      </c>
      <c r="C28" s="526">
        <f ca="1">IF(AUTOEVENTO="Manual",IF($B28&gt;0,OFFSET(EVENTOS!$D$15,$B28-$B$15,0),0),IF(B28&lt;=MAX(CÁLCULO!$M$15:$M$36),VLOOKUP($B28,CÁLCULO!$M$15:$N$36,2,FALSE),0))</f>
        <v>0</v>
      </c>
      <c r="D28" s="466"/>
      <c r="E28" s="196"/>
      <c r="F28" t="str">
        <f t="shared" ca="1" si="2"/>
        <v/>
      </c>
      <c r="G28" s="465">
        <v>4</v>
      </c>
      <c r="H28" s="465"/>
      <c r="I28" s="465"/>
      <c r="J28" s="465"/>
      <c r="K28" s="465"/>
      <c r="L28" s="465"/>
      <c r="M28" s="465"/>
      <c r="N28" s="465"/>
      <c r="O28" s="465"/>
      <c r="P28" s="465"/>
      <c r="Q28" s="465"/>
      <c r="R28" s="465"/>
      <c r="S28" s="465"/>
      <c r="T28" s="465"/>
      <c r="U28" s="465"/>
      <c r="V28" s="465"/>
      <c r="W28" s="465"/>
      <c r="X28" s="465"/>
      <c r="Y28" s="465"/>
      <c r="Z28" s="465"/>
      <c r="AA28" s="465"/>
      <c r="AB28" s="465"/>
      <c r="AC28" s="465"/>
      <c r="AD28" s="465"/>
      <c r="AE28" s="465"/>
    </row>
    <row r="29" spans="1:31" x14ac:dyDescent="0.25">
      <c r="A29" s="5" t="str">
        <f ca="1">IF(AUTOEVENTO="Manual",IF(EVENTOS!$F29&gt;0,"F",""),IF(CRONOPLE!B29&lt;=MAX(CÁLCULO!$M$15:$M$36),"F",""))</f>
        <v/>
      </c>
      <c r="B29" s="195">
        <f t="shared" ca="1" si="1"/>
        <v>14</v>
      </c>
      <c r="C29" s="526">
        <f ca="1">IF(AUTOEVENTO="Manual",IF($B29&gt;0,OFFSET(EVENTOS!$D$15,$B29-$B$15,0),0),IF(B29&lt;=MAX(CÁLCULO!$M$15:$M$36),VLOOKUP($B29,CÁLCULO!$M$15:$N$36,2,FALSE),0))</f>
        <v>0</v>
      </c>
      <c r="D29" s="466"/>
      <c r="E29" s="196"/>
      <c r="F29" t="str">
        <f t="shared" ca="1" si="2"/>
        <v/>
      </c>
      <c r="G29" s="465">
        <v>2</v>
      </c>
      <c r="H29" s="465"/>
      <c r="I29" s="465"/>
      <c r="J29" s="465"/>
      <c r="K29" s="465"/>
      <c r="L29" s="465"/>
      <c r="M29" s="465"/>
      <c r="N29" s="465"/>
      <c r="O29" s="465"/>
      <c r="P29" s="465"/>
      <c r="Q29" s="465"/>
      <c r="R29" s="465"/>
      <c r="S29" s="465"/>
      <c r="T29" s="465"/>
      <c r="U29" s="465"/>
      <c r="V29" s="465"/>
      <c r="W29" s="465"/>
      <c r="X29" s="465"/>
      <c r="Y29" s="465"/>
      <c r="Z29" s="465"/>
      <c r="AA29" s="465"/>
      <c r="AB29" s="465"/>
      <c r="AC29" s="465"/>
      <c r="AD29" s="465"/>
      <c r="AE29" s="465"/>
    </row>
    <row r="30" spans="1:31" x14ac:dyDescent="0.25">
      <c r="A30" s="5" t="str">
        <f ca="1">IF(AUTOEVENTO="Manual",IF(EVENTOS!$F30&gt;0,"F",""),IF(CRONOPLE!B30&lt;=MAX(CÁLCULO!$M$15:$M$36),"F",""))</f>
        <v/>
      </c>
      <c r="B30" s="195">
        <f t="shared" ca="1" si="1"/>
        <v>15</v>
      </c>
      <c r="C30" s="526">
        <f ca="1">IF(AUTOEVENTO="Manual",IF($B30&gt;0,OFFSET(EVENTOS!$D$15,$B30-$B$15,0),0),IF(B30&lt;=MAX(CÁLCULO!$M$15:$M$36),VLOOKUP($B30,CÁLCULO!$M$15:$N$36,2,FALSE),0))</f>
        <v>0</v>
      </c>
      <c r="D30" s="466"/>
      <c r="E30" s="196"/>
      <c r="F30" t="str">
        <f t="shared" ca="1" si="2"/>
        <v/>
      </c>
      <c r="G30" s="465">
        <v>2</v>
      </c>
      <c r="H30" s="465"/>
      <c r="I30" s="465"/>
      <c r="J30" s="465"/>
      <c r="K30" s="465"/>
      <c r="L30" s="465"/>
      <c r="M30" s="465"/>
      <c r="N30" s="465"/>
      <c r="O30" s="465"/>
      <c r="P30" s="465"/>
      <c r="Q30" s="465"/>
      <c r="R30" s="465"/>
      <c r="S30" s="465"/>
      <c r="T30" s="465"/>
      <c r="U30" s="465"/>
      <c r="V30" s="465"/>
      <c r="W30" s="465"/>
      <c r="X30" s="465"/>
      <c r="Y30" s="465"/>
      <c r="Z30" s="465"/>
      <c r="AA30" s="465"/>
      <c r="AB30" s="465"/>
      <c r="AC30" s="465"/>
      <c r="AD30" s="465"/>
      <c r="AE30" s="465"/>
    </row>
    <row r="31" spans="1:31" x14ac:dyDescent="0.25">
      <c r="A31" s="5" t="str">
        <f ca="1">IF(AUTOEVENTO="Manual",IF(EVENTOS!$F31&gt;0,"F",""),IF(CRONOPLE!B31&lt;=MAX(CÁLCULO!$M$15:$M$36),"F",""))</f>
        <v/>
      </c>
      <c r="B31" s="195">
        <f t="shared" ca="1" si="1"/>
        <v>16</v>
      </c>
      <c r="C31" s="526">
        <f ca="1">IF(AUTOEVENTO="Manual",IF($B31&gt;0,OFFSET(EVENTOS!$D$15,$B31-$B$15,0),0),IF(B31&lt;=MAX(CÁLCULO!$M$15:$M$36),VLOOKUP($B31,CÁLCULO!$M$15:$N$36,2,FALSE),0))</f>
        <v>0</v>
      </c>
      <c r="D31" s="466"/>
      <c r="E31" s="196"/>
      <c r="F31" t="str">
        <f t="shared" ca="1" si="2"/>
        <v/>
      </c>
      <c r="G31" s="465">
        <v>5</v>
      </c>
      <c r="H31" s="465"/>
      <c r="I31" s="465"/>
      <c r="J31" s="465"/>
      <c r="K31" s="465"/>
      <c r="L31" s="465"/>
      <c r="M31" s="465"/>
      <c r="N31" s="465"/>
      <c r="O31" s="465"/>
      <c r="P31" s="465"/>
      <c r="Q31" s="465"/>
      <c r="R31" s="465"/>
      <c r="S31" s="465"/>
      <c r="T31" s="465"/>
      <c r="U31" s="465"/>
      <c r="V31" s="465"/>
      <c r="W31" s="465"/>
      <c r="X31" s="465"/>
      <c r="Y31" s="465"/>
      <c r="Z31" s="465"/>
      <c r="AA31" s="465"/>
      <c r="AB31" s="465"/>
      <c r="AC31" s="465"/>
      <c r="AD31" s="465"/>
      <c r="AE31" s="465"/>
    </row>
    <row r="32" spans="1:31" x14ac:dyDescent="0.25">
      <c r="A32" s="5" t="str">
        <f ca="1">IF(AUTOEVENTO="Manual",IF(EVENTOS!$F32&gt;0,"F",""),IF(CRONOPLE!B32&lt;=MAX(CÁLCULO!$M$15:$M$36),"F",""))</f>
        <v/>
      </c>
      <c r="B32" s="195">
        <f t="shared" ca="1" si="1"/>
        <v>17</v>
      </c>
      <c r="C32" s="526">
        <f ca="1">IF(AUTOEVENTO="Manual",IF($B32&gt;0,OFFSET(EVENTOS!$D$15,$B32-$B$15,0),0),IF(B32&lt;=MAX(CÁLCULO!$M$15:$M$36),VLOOKUP($B32,CÁLCULO!$M$15:$N$36,2,FALSE),0))</f>
        <v>0</v>
      </c>
      <c r="D32" s="466"/>
      <c r="E32" s="196"/>
      <c r="F32" t="str">
        <f t="shared" ca="1" si="2"/>
        <v/>
      </c>
      <c r="G32" s="465">
        <v>5</v>
      </c>
      <c r="H32" s="465"/>
      <c r="I32" s="465"/>
      <c r="J32" s="465"/>
      <c r="K32" s="465"/>
      <c r="L32" s="465"/>
      <c r="M32" s="465"/>
      <c r="N32" s="465"/>
      <c r="O32" s="465"/>
      <c r="P32" s="465"/>
      <c r="Q32" s="465"/>
      <c r="R32" s="465"/>
      <c r="S32" s="465"/>
      <c r="T32" s="465"/>
      <c r="U32" s="465"/>
      <c r="V32" s="465"/>
      <c r="W32" s="465"/>
      <c r="X32" s="465"/>
      <c r="Y32" s="465"/>
      <c r="Z32" s="465"/>
      <c r="AA32" s="465"/>
      <c r="AB32" s="465"/>
      <c r="AC32" s="465"/>
      <c r="AD32" s="465"/>
      <c r="AE32" s="465"/>
    </row>
    <row r="33" spans="1:31" x14ac:dyDescent="0.25">
      <c r="A33" s="5" t="str">
        <f ca="1">IF(AUTOEVENTO="Manual",IF(EVENTOS!$F33&gt;0,"F",""),IF(CRONOPLE!B33&lt;=MAX(CÁLCULO!$M$15:$M$36),"F",""))</f>
        <v/>
      </c>
      <c r="B33" s="195">
        <f t="shared" ca="1" si="1"/>
        <v>18</v>
      </c>
      <c r="C33" s="526">
        <f ca="1">IF(AUTOEVENTO="Manual",IF($B33&gt;0,OFFSET(EVENTOS!$D$15,$B33-$B$15,0),0),IF(B33&lt;=MAX(CÁLCULO!$M$15:$M$36),VLOOKUP($B33,CÁLCULO!$M$15:$N$36,2,FALSE),0))</f>
        <v>0</v>
      </c>
      <c r="D33" s="466"/>
      <c r="E33" s="196"/>
      <c r="F33" t="str">
        <f t="shared" ca="1" si="2"/>
        <v/>
      </c>
      <c r="G33" s="465">
        <v>5</v>
      </c>
      <c r="H33" s="465"/>
      <c r="I33" s="465"/>
      <c r="J33" s="465"/>
      <c r="K33" s="465"/>
      <c r="L33" s="465"/>
      <c r="M33" s="465"/>
      <c r="N33" s="465"/>
      <c r="O33" s="465"/>
      <c r="P33" s="465"/>
      <c r="Q33" s="465"/>
      <c r="R33" s="465"/>
      <c r="S33" s="465"/>
      <c r="T33" s="465"/>
      <c r="U33" s="465"/>
      <c r="V33" s="465"/>
      <c r="W33" s="465"/>
      <c r="X33" s="465"/>
      <c r="Y33" s="465"/>
      <c r="Z33" s="465"/>
      <c r="AA33" s="465"/>
      <c r="AB33" s="465"/>
      <c r="AC33" s="465"/>
      <c r="AD33" s="465"/>
      <c r="AE33" s="465"/>
    </row>
    <row r="34" spans="1:31" x14ac:dyDescent="0.25">
      <c r="A34" s="5" t="str">
        <f ca="1">IF(AUTOEVENTO="Manual",IF(EVENTOS!$F34&gt;0,"F",""),IF(CRONOPLE!B34&lt;=MAX(CÁLCULO!$M$15:$M$36),"F",""))</f>
        <v/>
      </c>
      <c r="B34" s="195">
        <f t="shared" ca="1" si="1"/>
        <v>19</v>
      </c>
      <c r="C34" s="526">
        <f ca="1">IF(AUTOEVENTO="Manual",IF($B34&gt;0,OFFSET(EVENTOS!$D$15,$B34-$B$15,0),0),IF(B34&lt;=MAX(CÁLCULO!$M$15:$M$36),VLOOKUP($B34,CÁLCULO!$M$15:$N$36,2,FALSE),0))</f>
        <v>0</v>
      </c>
      <c r="D34" s="466"/>
      <c r="E34" s="196"/>
      <c r="F34" t="str">
        <f t="shared" ca="1" si="2"/>
        <v/>
      </c>
      <c r="G34" s="465">
        <v>5</v>
      </c>
      <c r="H34" s="465"/>
      <c r="I34" s="465"/>
      <c r="J34" s="465"/>
      <c r="K34" s="465"/>
      <c r="L34" s="465"/>
      <c r="M34" s="465"/>
      <c r="N34" s="465"/>
      <c r="O34" s="465"/>
      <c r="P34" s="465"/>
      <c r="Q34" s="465"/>
      <c r="R34" s="465"/>
      <c r="S34" s="465"/>
      <c r="T34" s="465"/>
      <c r="U34" s="465"/>
      <c r="V34" s="465"/>
      <c r="W34" s="465"/>
      <c r="X34" s="465"/>
      <c r="Y34" s="465"/>
      <c r="Z34" s="465"/>
      <c r="AA34" s="465"/>
      <c r="AB34" s="465"/>
      <c r="AC34" s="465"/>
      <c r="AD34" s="465"/>
      <c r="AE34" s="465"/>
    </row>
    <row r="35" spans="1:31" x14ac:dyDescent="0.25">
      <c r="A35" s="5" t="str">
        <f ca="1">IF(AUTOEVENTO="Manual",IF(EVENTOS!$F35&gt;0,"F",""),IF(CRONOPLE!B35&lt;=MAX(CÁLCULO!$M$15:$M$36),"F",""))</f>
        <v/>
      </c>
      <c r="B35" s="195">
        <f t="shared" ca="1" si="1"/>
        <v>20</v>
      </c>
      <c r="C35" s="526">
        <f ca="1">IF(AUTOEVENTO="Manual",IF($B35&gt;0,OFFSET(EVENTOS!$D$15,$B35-$B$15,0),0),IF(B35&lt;=MAX(CÁLCULO!$M$15:$M$36),VLOOKUP($B35,CÁLCULO!$M$15:$N$36,2,FALSE),0))</f>
        <v>0</v>
      </c>
      <c r="D35" s="466"/>
      <c r="E35" s="196"/>
      <c r="F35" t="str">
        <f t="shared" ca="1" si="2"/>
        <v/>
      </c>
      <c r="G35" s="465"/>
      <c r="H35" s="465"/>
      <c r="I35" s="465"/>
      <c r="J35" s="465"/>
      <c r="K35" s="465"/>
      <c r="L35" s="465"/>
      <c r="M35" s="465"/>
      <c r="N35" s="465"/>
      <c r="O35" s="465"/>
      <c r="P35" s="465"/>
      <c r="Q35" s="465"/>
      <c r="R35" s="465"/>
      <c r="S35" s="465"/>
      <c r="T35" s="465"/>
      <c r="U35" s="465"/>
      <c r="V35" s="465"/>
      <c r="W35" s="465"/>
      <c r="X35" s="465"/>
      <c r="Y35" s="465"/>
      <c r="Z35" s="465"/>
      <c r="AA35" s="465"/>
      <c r="AB35" s="465"/>
      <c r="AC35" s="465"/>
      <c r="AD35" s="465"/>
      <c r="AE35" s="465"/>
    </row>
    <row r="36" spans="1:31" x14ac:dyDescent="0.25">
      <c r="A36" s="5" t="str">
        <f ca="1">IF(AUTOEVENTO="Manual",IF(EVENTOS!$F36&gt;0,"F",""),IF(CRONOPLE!B36&lt;=MAX(CÁLCULO!$M$15:$M$36),"F",""))</f>
        <v/>
      </c>
      <c r="B36" s="195">
        <f t="shared" ca="1" si="1"/>
        <v>21</v>
      </c>
      <c r="C36" s="526">
        <f ca="1">IF(AUTOEVENTO="Manual",IF($B36&gt;0,OFFSET(EVENTOS!$D$15,$B36-$B$15,0),0),IF(B36&lt;=MAX(CÁLCULO!$M$15:$M$36),VLOOKUP($B36,CÁLCULO!$M$15:$N$36,2,FALSE),0))</f>
        <v>0</v>
      </c>
      <c r="D36" s="466"/>
      <c r="E36" s="196"/>
      <c r="F36" t="str">
        <f t="shared" ca="1" si="2"/>
        <v/>
      </c>
      <c r="G36" s="465"/>
      <c r="H36" s="465"/>
      <c r="I36" s="465"/>
      <c r="J36" s="465"/>
      <c r="K36" s="465"/>
      <c r="L36" s="465"/>
      <c r="M36" s="465"/>
      <c r="N36" s="465"/>
      <c r="O36" s="465"/>
      <c r="P36" s="465"/>
      <c r="Q36" s="465"/>
      <c r="R36" s="465"/>
      <c r="S36" s="465"/>
      <c r="T36" s="465"/>
      <c r="U36" s="465"/>
      <c r="V36" s="465"/>
      <c r="W36" s="465"/>
      <c r="X36" s="465"/>
      <c r="Y36" s="465"/>
      <c r="Z36" s="465"/>
      <c r="AA36" s="465"/>
      <c r="AB36" s="465"/>
      <c r="AC36" s="465"/>
      <c r="AD36" s="465"/>
      <c r="AE36" s="465"/>
    </row>
    <row r="37" spans="1:31" x14ac:dyDescent="0.25">
      <c r="A37" s="5" t="str">
        <f ca="1">IF(AUTOEVENTO="Manual",IF(EVENTOS!$F37&gt;0,"F",""),IF(CRONOPLE!B37&lt;=MAX(CÁLCULO!$M$15:$M$36),"F",""))</f>
        <v/>
      </c>
      <c r="B37" s="195">
        <f t="shared" ca="1" si="1"/>
        <v>22</v>
      </c>
      <c r="C37" s="526">
        <f ca="1">IF(AUTOEVENTO="Manual",IF($B37&gt;0,OFFSET(EVENTOS!$D$15,$B37-$B$15,0),0),IF(B37&lt;=MAX(CÁLCULO!$M$15:$M$36),VLOOKUP($B37,CÁLCULO!$M$15:$N$36,2,FALSE),0))</f>
        <v>0</v>
      </c>
      <c r="D37" s="466"/>
      <c r="E37" s="196"/>
      <c r="F37" t="str">
        <f t="shared" ca="1" si="2"/>
        <v/>
      </c>
      <c r="G37" s="465"/>
      <c r="H37" s="465"/>
      <c r="I37" s="465"/>
      <c r="J37" s="465"/>
      <c r="K37" s="465"/>
      <c r="L37" s="465"/>
      <c r="M37" s="465"/>
      <c r="N37" s="465"/>
      <c r="O37" s="465"/>
      <c r="P37" s="465"/>
      <c r="Q37" s="465"/>
      <c r="R37" s="465"/>
      <c r="S37" s="465"/>
      <c r="T37" s="465"/>
      <c r="U37" s="465"/>
      <c r="V37" s="465"/>
      <c r="W37" s="465"/>
      <c r="X37" s="465"/>
      <c r="Y37" s="465"/>
      <c r="Z37" s="465"/>
      <c r="AA37" s="465"/>
      <c r="AB37" s="465"/>
      <c r="AC37" s="465"/>
      <c r="AD37" s="465"/>
      <c r="AE37" s="465"/>
    </row>
    <row r="38" spans="1:31" x14ac:dyDescent="0.25">
      <c r="A38" s="5" t="str">
        <f ca="1">IF(AUTOEVENTO="Manual",IF(EVENTOS!$F38&gt;0,"F",""),IF(CRONOPLE!B38&lt;=MAX(CÁLCULO!$M$15:$M$36),"F",""))</f>
        <v/>
      </c>
      <c r="B38" s="195">
        <f t="shared" ca="1" si="1"/>
        <v>23</v>
      </c>
      <c r="C38" s="526">
        <f ca="1">IF(AUTOEVENTO="Manual",IF($B38&gt;0,OFFSET(EVENTOS!$D$15,$B38-$B$15,0),0),IF(B38&lt;=MAX(CÁLCULO!$M$15:$M$36),VLOOKUP($B38,CÁLCULO!$M$15:$N$36,2,FALSE),0))</f>
        <v>0</v>
      </c>
      <c r="D38" s="466"/>
      <c r="E38" s="196"/>
      <c r="F38" t="str">
        <f t="shared" ca="1" si="2"/>
        <v/>
      </c>
      <c r="G38" s="465"/>
      <c r="H38" s="465"/>
      <c r="I38" s="465"/>
      <c r="J38" s="465"/>
      <c r="K38" s="465"/>
      <c r="L38" s="465"/>
      <c r="M38" s="465"/>
      <c r="N38" s="465"/>
      <c r="O38" s="465"/>
      <c r="P38" s="465"/>
      <c r="Q38" s="465"/>
      <c r="R38" s="465"/>
      <c r="S38" s="465"/>
      <c r="T38" s="465"/>
      <c r="U38" s="465"/>
      <c r="V38" s="465"/>
      <c r="W38" s="465"/>
      <c r="X38" s="465"/>
      <c r="Y38" s="465"/>
      <c r="Z38" s="465"/>
      <c r="AA38" s="465"/>
      <c r="AB38" s="465"/>
      <c r="AC38" s="465"/>
      <c r="AD38" s="465"/>
      <c r="AE38" s="465"/>
    </row>
    <row r="39" spans="1:31" x14ac:dyDescent="0.25">
      <c r="A39" s="5" t="str">
        <f ca="1">IF(AUTOEVENTO="Manual",IF(EVENTOS!$F39&gt;0,"F",""),IF(CRONOPLE!B39&lt;=MAX(CÁLCULO!$M$15:$M$36),"F",""))</f>
        <v/>
      </c>
      <c r="B39" s="195">
        <f t="shared" ca="1" si="1"/>
        <v>24</v>
      </c>
      <c r="C39" s="526">
        <f ca="1">IF(AUTOEVENTO="Manual",IF($B39&gt;0,OFFSET(EVENTOS!$D$15,$B39-$B$15,0),0),IF(B39&lt;=MAX(CÁLCULO!$M$15:$M$36),VLOOKUP($B39,CÁLCULO!$M$15:$N$36,2,FALSE),0))</f>
        <v>0</v>
      </c>
      <c r="D39" s="466"/>
      <c r="E39" s="196"/>
      <c r="F39" t="str">
        <f t="shared" ca="1" si="2"/>
        <v/>
      </c>
      <c r="G39" s="465"/>
      <c r="H39" s="465"/>
      <c r="I39" s="465"/>
      <c r="J39" s="465"/>
      <c r="K39" s="465"/>
      <c r="L39" s="465"/>
      <c r="M39" s="465"/>
      <c r="N39" s="465"/>
      <c r="O39" s="465"/>
      <c r="P39" s="465"/>
      <c r="Q39" s="465"/>
      <c r="R39" s="465"/>
      <c r="S39" s="465"/>
      <c r="T39" s="465"/>
      <c r="U39" s="465"/>
      <c r="V39" s="465"/>
      <c r="W39" s="465"/>
      <c r="X39" s="465"/>
      <c r="Y39" s="465"/>
      <c r="Z39" s="465"/>
      <c r="AA39" s="465"/>
      <c r="AB39" s="465"/>
      <c r="AC39" s="465"/>
      <c r="AD39" s="465"/>
      <c r="AE39" s="465"/>
    </row>
    <row r="40" spans="1:31" x14ac:dyDescent="0.25">
      <c r="A40" s="5" t="str">
        <f ca="1">IF(AUTOEVENTO="Manual",IF(EVENTOS!$F40&gt;0,"F",""),IF(CRONOPLE!B40&lt;=MAX(CÁLCULO!$M$15:$M$36),"F",""))</f>
        <v/>
      </c>
      <c r="B40" s="195">
        <f t="shared" ca="1" si="1"/>
        <v>25</v>
      </c>
      <c r="C40" s="526">
        <f ca="1">IF(AUTOEVENTO="Manual",IF($B40&gt;0,OFFSET(EVENTOS!$D$15,$B40-$B$15,0),0),IF(B40&lt;=MAX(CÁLCULO!$M$15:$M$36),VLOOKUP($B40,CÁLCULO!$M$15:$N$36,2,FALSE),0))</f>
        <v>0</v>
      </c>
      <c r="D40" s="466"/>
      <c r="E40" s="196"/>
      <c r="F40" t="str">
        <f t="shared" ca="1" si="2"/>
        <v/>
      </c>
      <c r="G40" s="465"/>
      <c r="H40" s="465"/>
      <c r="I40" s="465"/>
      <c r="J40" s="465"/>
      <c r="K40" s="465"/>
      <c r="L40" s="465"/>
      <c r="M40" s="465"/>
      <c r="N40" s="465"/>
      <c r="O40" s="465"/>
      <c r="P40" s="465"/>
      <c r="Q40" s="465"/>
      <c r="R40" s="465"/>
      <c r="S40" s="465"/>
      <c r="T40" s="465"/>
      <c r="U40" s="465"/>
      <c r="V40" s="465"/>
      <c r="W40" s="465"/>
      <c r="X40" s="465"/>
      <c r="Y40" s="465"/>
      <c r="Z40" s="465"/>
      <c r="AA40" s="465"/>
      <c r="AB40" s="465"/>
      <c r="AC40" s="465"/>
      <c r="AD40" s="465"/>
      <c r="AE40" s="465"/>
    </row>
    <row r="41" spans="1:31" x14ac:dyDescent="0.25">
      <c r="A41" s="5" t="str">
        <f ca="1">IF(AUTOEVENTO="Manual",IF(EVENTOS!$F41&gt;0,"F",""),IF(CRONOPLE!B41&lt;=MAX(CÁLCULO!$M$15:$M$36),"F",""))</f>
        <v/>
      </c>
      <c r="B41" s="195">
        <f t="shared" ca="1" si="1"/>
        <v>26</v>
      </c>
      <c r="C41" s="526">
        <f ca="1">IF(AUTOEVENTO="Manual",IF($B41&gt;0,OFFSET(EVENTOS!$D$15,$B41-$B$15,0),0),IF(B41&lt;=MAX(CÁLCULO!$M$15:$M$36),VLOOKUP($B41,CÁLCULO!$M$15:$N$36,2,FALSE),0))</f>
        <v>0</v>
      </c>
      <c r="D41" s="466"/>
      <c r="E41" s="196"/>
      <c r="F41" t="str">
        <f t="shared" ca="1" si="2"/>
        <v/>
      </c>
      <c r="G41" s="465"/>
      <c r="H41" s="465"/>
      <c r="I41" s="465"/>
      <c r="J41" s="465"/>
      <c r="K41" s="465"/>
      <c r="L41" s="465"/>
      <c r="M41" s="465"/>
      <c r="N41" s="465"/>
      <c r="O41" s="465"/>
      <c r="P41" s="465"/>
      <c r="Q41" s="465"/>
      <c r="R41" s="465"/>
      <c r="S41" s="465"/>
      <c r="T41" s="465"/>
      <c r="U41" s="465"/>
      <c r="V41" s="465"/>
      <c r="W41" s="465"/>
      <c r="X41" s="465"/>
      <c r="Y41" s="465"/>
      <c r="Z41" s="465"/>
      <c r="AA41" s="465"/>
      <c r="AB41" s="465"/>
      <c r="AC41" s="465"/>
      <c r="AD41" s="465"/>
      <c r="AE41" s="465"/>
    </row>
    <row r="42" spans="1:31" x14ac:dyDescent="0.25">
      <c r="A42" s="5" t="str">
        <f ca="1">IF(AUTOEVENTO="Manual",IF(EVENTOS!$F42&gt;0,"F",""),IF(CRONOPLE!B42&lt;=MAX(CÁLCULO!$M$15:$M$36),"F",""))</f>
        <v/>
      </c>
      <c r="B42" s="195">
        <f t="shared" ca="1" si="1"/>
        <v>27</v>
      </c>
      <c r="C42" s="526">
        <f ca="1">IF(AUTOEVENTO="Manual",IF($B42&gt;0,OFFSET(EVENTOS!$D$15,$B42-$B$15,0),0),IF(B42&lt;=MAX(CÁLCULO!$M$15:$M$36),VLOOKUP($B42,CÁLCULO!$M$15:$N$36,2,FALSE),0))</f>
        <v>0</v>
      </c>
      <c r="D42" s="466"/>
      <c r="E42" s="196"/>
      <c r="F42" t="str">
        <f t="shared" ca="1" si="2"/>
        <v/>
      </c>
      <c r="G42" s="465"/>
      <c r="H42" s="465"/>
      <c r="I42" s="465"/>
      <c r="J42" s="465"/>
      <c r="K42" s="465"/>
      <c r="L42" s="465"/>
      <c r="M42" s="465"/>
      <c r="N42" s="465"/>
      <c r="O42" s="465"/>
      <c r="P42" s="465"/>
      <c r="Q42" s="465"/>
      <c r="R42" s="465"/>
      <c r="S42" s="465"/>
      <c r="T42" s="465"/>
      <c r="U42" s="465"/>
      <c r="V42" s="465"/>
      <c r="W42" s="465"/>
      <c r="X42" s="465"/>
      <c r="Y42" s="465"/>
      <c r="Z42" s="465"/>
      <c r="AA42" s="465"/>
      <c r="AB42" s="465"/>
      <c r="AC42" s="465"/>
      <c r="AD42" s="465"/>
      <c r="AE42" s="465"/>
    </row>
    <row r="43" spans="1:31" x14ac:dyDescent="0.25">
      <c r="A43" s="5" t="str">
        <f ca="1">IF(AUTOEVENTO="Manual",IF(EVENTOS!$F43&gt;0,"F",""),IF(CRONOPLE!B43&lt;=MAX(CÁLCULO!$M$15:$M$36),"F",""))</f>
        <v/>
      </c>
      <c r="B43" s="195">
        <f t="shared" ca="1" si="1"/>
        <v>28</v>
      </c>
      <c r="C43" s="526">
        <f ca="1">IF(AUTOEVENTO="Manual",IF($B43&gt;0,OFFSET(EVENTOS!$D$15,$B43-$B$15,0),0),IF(B43&lt;=MAX(CÁLCULO!$M$15:$M$36),VLOOKUP($B43,CÁLCULO!$M$15:$N$36,2,FALSE),0))</f>
        <v>0</v>
      </c>
      <c r="D43" s="466"/>
      <c r="E43" s="196"/>
      <c r="F43" t="str">
        <f t="shared" ca="1" si="2"/>
        <v/>
      </c>
      <c r="G43" s="465"/>
      <c r="H43" s="465"/>
      <c r="I43" s="465"/>
      <c r="J43" s="465"/>
      <c r="K43" s="465"/>
      <c r="L43" s="465"/>
      <c r="M43" s="465"/>
      <c r="N43" s="465"/>
      <c r="O43" s="465"/>
      <c r="P43" s="465"/>
      <c r="Q43" s="465"/>
      <c r="R43" s="465"/>
      <c r="S43" s="465"/>
      <c r="T43" s="465"/>
      <c r="U43" s="465"/>
      <c r="V43" s="465"/>
      <c r="W43" s="465"/>
      <c r="X43" s="465"/>
      <c r="Y43" s="465"/>
      <c r="Z43" s="465"/>
      <c r="AA43" s="465"/>
      <c r="AB43" s="465"/>
      <c r="AC43" s="465"/>
      <c r="AD43" s="465"/>
      <c r="AE43" s="465"/>
    </row>
    <row r="44" spans="1:31" x14ac:dyDescent="0.25">
      <c r="A44" s="5" t="str">
        <f ca="1">IF(AUTOEVENTO="Manual",IF(EVENTOS!$F44&gt;0,"F",""),IF(CRONOPLE!B44&lt;=MAX(CÁLCULO!$M$15:$M$36),"F",""))</f>
        <v/>
      </c>
      <c r="B44" s="195">
        <f t="shared" ca="1" si="1"/>
        <v>29</v>
      </c>
      <c r="C44" s="526">
        <f ca="1">IF(AUTOEVENTO="Manual",IF($B44&gt;0,OFFSET(EVENTOS!$D$15,$B44-$B$15,0),0),IF(B44&lt;=MAX(CÁLCULO!$M$15:$M$36),VLOOKUP($B44,CÁLCULO!$M$15:$N$36,2,FALSE),0))</f>
        <v>0</v>
      </c>
      <c r="D44" s="466"/>
      <c r="E44" s="196"/>
      <c r="F44" t="str">
        <f t="shared" ca="1" si="2"/>
        <v/>
      </c>
      <c r="G44" s="465"/>
      <c r="H44" s="465"/>
      <c r="I44" s="465"/>
      <c r="J44" s="465"/>
      <c r="K44" s="465"/>
      <c r="L44" s="465"/>
      <c r="M44" s="465"/>
      <c r="N44" s="465"/>
      <c r="O44" s="465"/>
      <c r="P44" s="465"/>
      <c r="Q44" s="465"/>
      <c r="R44" s="465"/>
      <c r="S44" s="465"/>
      <c r="T44" s="465"/>
      <c r="U44" s="465"/>
      <c r="V44" s="465"/>
      <c r="W44" s="465"/>
      <c r="X44" s="465"/>
      <c r="Y44" s="465"/>
      <c r="Z44" s="465"/>
      <c r="AA44" s="465"/>
      <c r="AB44" s="465"/>
      <c r="AC44" s="465"/>
      <c r="AD44" s="465"/>
      <c r="AE44" s="465"/>
    </row>
    <row r="45" spans="1:31" x14ac:dyDescent="0.25">
      <c r="A45" s="5" t="str">
        <f ca="1">IF(AUTOEVENTO="Manual",IF(EVENTOS!$F45&gt;0,"F",""),IF(CRONOPLE!B45&lt;=MAX(CÁLCULO!$M$15:$M$36),"F",""))</f>
        <v/>
      </c>
      <c r="B45" s="195">
        <f t="shared" ca="1" si="1"/>
        <v>30</v>
      </c>
      <c r="C45" s="526">
        <f ca="1">IF(AUTOEVENTO="Manual",IF($B45&gt;0,OFFSET(EVENTOS!$D$15,$B45-$B$15,0),0),IF(B45&lt;=MAX(CÁLCULO!$M$15:$M$36),VLOOKUP($B45,CÁLCULO!$M$15:$N$36,2,FALSE),0))</f>
        <v>0</v>
      </c>
      <c r="D45" s="466"/>
      <c r="E45" s="196"/>
      <c r="F45" t="str">
        <f t="shared" ca="1" si="2"/>
        <v/>
      </c>
      <c r="G45" s="465"/>
      <c r="H45" s="465"/>
      <c r="I45" s="465"/>
      <c r="J45" s="465"/>
      <c r="K45" s="465"/>
      <c r="L45" s="465"/>
      <c r="M45" s="465"/>
      <c r="N45" s="465"/>
      <c r="O45" s="465"/>
      <c r="P45" s="465"/>
      <c r="Q45" s="465"/>
      <c r="R45" s="465"/>
      <c r="S45" s="465"/>
      <c r="T45" s="465"/>
      <c r="U45" s="465"/>
      <c r="V45" s="465"/>
      <c r="W45" s="465"/>
      <c r="X45" s="465"/>
      <c r="Y45" s="465"/>
      <c r="Z45" s="465"/>
      <c r="AA45" s="465"/>
      <c r="AB45" s="465"/>
      <c r="AC45" s="465"/>
      <c r="AD45" s="465"/>
      <c r="AE45" s="465"/>
    </row>
    <row r="46" spans="1:31" x14ac:dyDescent="0.25">
      <c r="A46" s="5" t="str">
        <f ca="1">IF(AUTOEVENTO="Manual",IF(EVENTOS!$F46&gt;0,"F",""),IF(CRONOPLE!B46&lt;=MAX(CÁLCULO!$M$15:$M$36),"F",""))</f>
        <v/>
      </c>
      <c r="B46" s="195">
        <f t="shared" ca="1" si="1"/>
        <v>31</v>
      </c>
      <c r="C46" s="526">
        <f ca="1">IF(AUTOEVENTO="Manual",IF($B46&gt;0,OFFSET(EVENTOS!$D$15,$B46-$B$15,0),0),IF(B46&lt;=MAX(CÁLCULO!$M$15:$M$36),VLOOKUP($B46,CÁLCULO!$M$15:$N$36,2,FALSE),0))</f>
        <v>0</v>
      </c>
      <c r="D46" s="466"/>
      <c r="E46" s="196"/>
      <c r="F46" t="str">
        <f t="shared" ca="1" si="2"/>
        <v/>
      </c>
      <c r="G46" s="465"/>
      <c r="H46" s="465"/>
      <c r="I46" s="465"/>
      <c r="J46" s="465"/>
      <c r="K46" s="465"/>
      <c r="L46" s="465"/>
      <c r="M46" s="465"/>
      <c r="N46" s="465"/>
      <c r="O46" s="465"/>
      <c r="P46" s="465"/>
      <c r="Q46" s="465"/>
      <c r="R46" s="465"/>
      <c r="S46" s="465"/>
      <c r="T46" s="465"/>
      <c r="U46" s="465"/>
      <c r="V46" s="465"/>
      <c r="W46" s="465"/>
      <c r="X46" s="465"/>
      <c r="Y46" s="465"/>
      <c r="Z46" s="465"/>
      <c r="AA46" s="465"/>
      <c r="AB46" s="465"/>
      <c r="AC46" s="465"/>
      <c r="AD46" s="465"/>
      <c r="AE46" s="465"/>
    </row>
    <row r="47" spans="1:31" x14ac:dyDescent="0.25">
      <c r="A47" s="5" t="str">
        <f ca="1">IF(AUTOEVENTO="Manual",IF(EVENTOS!$F47&gt;0,"F",""),IF(CRONOPLE!B47&lt;=MAX(CÁLCULO!$M$15:$M$36),"F",""))</f>
        <v/>
      </c>
      <c r="B47" s="195">
        <f t="shared" ca="1" si="1"/>
        <v>32</v>
      </c>
      <c r="C47" s="526">
        <f ca="1">IF(AUTOEVENTO="Manual",IF($B47&gt;0,OFFSET(EVENTOS!$D$15,$B47-$B$15,0),0),IF(B47&lt;=MAX(CÁLCULO!$M$15:$M$36),VLOOKUP($B47,CÁLCULO!$M$15:$N$36,2,FALSE),0))</f>
        <v>0</v>
      </c>
      <c r="D47" s="466"/>
      <c r="E47" s="196"/>
      <c r="F47" t="str">
        <f t="shared" ca="1" si="2"/>
        <v/>
      </c>
      <c r="G47" s="465"/>
      <c r="H47" s="465"/>
      <c r="I47" s="465"/>
      <c r="J47" s="465"/>
      <c r="K47" s="465"/>
      <c r="L47" s="465"/>
      <c r="M47" s="465"/>
      <c r="N47" s="465"/>
      <c r="O47" s="465"/>
      <c r="P47" s="465"/>
      <c r="Q47" s="465"/>
      <c r="R47" s="465"/>
      <c r="S47" s="465"/>
      <c r="T47" s="465"/>
      <c r="U47" s="465"/>
      <c r="V47" s="465"/>
      <c r="W47" s="465"/>
      <c r="X47" s="465"/>
      <c r="Y47" s="465"/>
      <c r="Z47" s="465"/>
      <c r="AA47" s="465"/>
      <c r="AB47" s="465"/>
      <c r="AC47" s="465"/>
      <c r="AD47" s="465"/>
      <c r="AE47" s="465"/>
    </row>
    <row r="48" spans="1:31" x14ac:dyDescent="0.25">
      <c r="A48" s="5" t="str">
        <f ca="1">IF(AUTOEVENTO="Manual",IF(EVENTOS!$F48&gt;0,"F",""),IF(CRONOPLE!B48&lt;=MAX(CÁLCULO!$M$15:$M$36),"F",""))</f>
        <v/>
      </c>
      <c r="B48" s="195">
        <f t="shared" ca="1" si="1"/>
        <v>33</v>
      </c>
      <c r="C48" s="526">
        <f ca="1">IF(AUTOEVENTO="Manual",IF($B48&gt;0,OFFSET(EVENTOS!$D$15,$B48-$B$15,0),0),IF(B48&lt;=MAX(CÁLCULO!$M$15:$M$36),VLOOKUP($B48,CÁLCULO!$M$15:$N$36,2,FALSE),0))</f>
        <v>0</v>
      </c>
      <c r="D48" s="466"/>
      <c r="E48" s="196"/>
      <c r="F48" t="str">
        <f t="shared" ca="1" si="2"/>
        <v/>
      </c>
      <c r="G48" s="465"/>
      <c r="H48" s="465"/>
      <c r="I48" s="465"/>
      <c r="J48" s="465"/>
      <c r="K48" s="465"/>
      <c r="L48" s="465"/>
      <c r="M48" s="465"/>
      <c r="N48" s="465"/>
      <c r="O48" s="465"/>
      <c r="P48" s="465"/>
      <c r="Q48" s="465"/>
      <c r="R48" s="465"/>
      <c r="S48" s="465"/>
      <c r="T48" s="465"/>
      <c r="U48" s="465"/>
      <c r="V48" s="465"/>
      <c r="W48" s="465"/>
      <c r="X48" s="465"/>
      <c r="Y48" s="465"/>
      <c r="Z48" s="465"/>
      <c r="AA48" s="465"/>
      <c r="AB48" s="465"/>
      <c r="AC48" s="465"/>
      <c r="AD48" s="465"/>
      <c r="AE48" s="465"/>
    </row>
    <row r="49" spans="1:31" x14ac:dyDescent="0.25">
      <c r="A49" s="5" t="str">
        <f ca="1">IF(AUTOEVENTO="Manual",IF(EVENTOS!$F49&gt;0,"F",""),IF(CRONOPLE!B49&lt;=MAX(CÁLCULO!$M$15:$M$36),"F",""))</f>
        <v/>
      </c>
      <c r="B49" s="195">
        <f t="shared" ca="1" si="1"/>
        <v>34</v>
      </c>
      <c r="C49" s="526">
        <f ca="1">IF(AUTOEVENTO="Manual",IF($B49&gt;0,OFFSET(EVENTOS!$D$15,$B49-$B$15,0),0),IF(B49&lt;=MAX(CÁLCULO!$M$15:$M$36),VLOOKUP($B49,CÁLCULO!$M$15:$N$36,2,FALSE),0))</f>
        <v>0</v>
      </c>
      <c r="D49" s="466"/>
      <c r="E49" s="196"/>
      <c r="F49" t="str">
        <f t="shared" ca="1" si="2"/>
        <v/>
      </c>
      <c r="G49" s="465"/>
      <c r="H49" s="465"/>
      <c r="I49" s="465"/>
      <c r="J49" s="465"/>
      <c r="K49" s="465"/>
      <c r="L49" s="465"/>
      <c r="M49" s="465"/>
      <c r="N49" s="465"/>
      <c r="O49" s="465"/>
      <c r="P49" s="465"/>
      <c r="Q49" s="465"/>
      <c r="R49" s="465"/>
      <c r="S49" s="465"/>
      <c r="T49" s="465"/>
      <c r="U49" s="465"/>
      <c r="V49" s="465"/>
      <c r="W49" s="465"/>
      <c r="X49" s="465"/>
      <c r="Y49" s="465"/>
      <c r="Z49" s="465"/>
      <c r="AA49" s="465"/>
      <c r="AB49" s="465"/>
      <c r="AC49" s="465"/>
      <c r="AD49" s="465"/>
      <c r="AE49" s="465"/>
    </row>
    <row r="50" spans="1:31" x14ac:dyDescent="0.25">
      <c r="A50" s="5" t="str">
        <f ca="1">IF(AUTOEVENTO="Manual",IF(EVENTOS!$F50&gt;0,"F",""),IF(CRONOPLE!B50&lt;=MAX(CÁLCULO!$M$15:$M$36),"F",""))</f>
        <v/>
      </c>
      <c r="B50" s="195">
        <f t="shared" ca="1" si="1"/>
        <v>35</v>
      </c>
      <c r="C50" s="526">
        <f ca="1">IF(AUTOEVENTO="Manual",IF($B50&gt;0,OFFSET(EVENTOS!$D$15,$B50-$B$15,0),0),IF(B50&lt;=MAX(CÁLCULO!$M$15:$M$36),VLOOKUP($B50,CÁLCULO!$M$15:$N$36,2,FALSE),0))</f>
        <v>0</v>
      </c>
      <c r="D50" s="466"/>
      <c r="E50" s="196"/>
      <c r="F50" t="str">
        <f t="shared" ca="1" si="2"/>
        <v/>
      </c>
      <c r="G50" s="465"/>
      <c r="H50" s="465"/>
      <c r="I50" s="465"/>
      <c r="J50" s="465"/>
      <c r="K50" s="465"/>
      <c r="L50" s="465"/>
      <c r="M50" s="465"/>
      <c r="N50" s="465"/>
      <c r="O50" s="465"/>
      <c r="P50" s="465"/>
      <c r="Q50" s="465"/>
      <c r="R50" s="465"/>
      <c r="S50" s="465"/>
      <c r="T50" s="465"/>
      <c r="U50" s="465"/>
      <c r="V50" s="465"/>
      <c r="W50" s="465"/>
      <c r="X50" s="465"/>
      <c r="Y50" s="465"/>
      <c r="Z50" s="465"/>
      <c r="AA50" s="465"/>
      <c r="AB50" s="465"/>
      <c r="AC50" s="465"/>
      <c r="AD50" s="465"/>
      <c r="AE50" s="465"/>
    </row>
    <row r="51" spans="1:31" x14ac:dyDescent="0.25">
      <c r="A51" s="5" t="str">
        <f ca="1">IF(AUTOEVENTO="Manual",IF(EVENTOS!$F51&gt;0,"F",""),IF(CRONOPLE!B51&lt;=MAX(CÁLCULO!$M$15:$M$36),"F",""))</f>
        <v/>
      </c>
      <c r="B51" s="195">
        <f t="shared" ca="1" si="1"/>
        <v>36</v>
      </c>
      <c r="C51" s="526">
        <f ca="1">IF(AUTOEVENTO="Manual",IF($B51&gt;0,OFFSET(EVENTOS!$D$15,$B51-$B$15,0),0),IF(B51&lt;=MAX(CÁLCULO!$M$15:$M$36),VLOOKUP($B51,CÁLCULO!$M$15:$N$36,2,FALSE),0))</f>
        <v>0</v>
      </c>
      <c r="D51" s="466"/>
      <c r="E51" s="196"/>
      <c r="F51" t="str">
        <f t="shared" ca="1" si="2"/>
        <v/>
      </c>
      <c r="G51" s="465"/>
      <c r="H51" s="465"/>
      <c r="I51" s="465"/>
      <c r="J51" s="465"/>
      <c r="K51" s="465"/>
      <c r="L51" s="465"/>
      <c r="M51" s="465"/>
      <c r="N51" s="465"/>
      <c r="O51" s="465"/>
      <c r="P51" s="465"/>
      <c r="Q51" s="465"/>
      <c r="R51" s="465"/>
      <c r="S51" s="465"/>
      <c r="T51" s="465"/>
      <c r="U51" s="465"/>
      <c r="V51" s="465"/>
      <c r="W51" s="465"/>
      <c r="X51" s="465"/>
      <c r="Y51" s="465"/>
      <c r="Z51" s="465"/>
      <c r="AA51" s="465"/>
      <c r="AB51" s="465"/>
      <c r="AC51" s="465"/>
      <c r="AD51" s="465"/>
      <c r="AE51" s="465"/>
    </row>
    <row r="52" spans="1:31" x14ac:dyDescent="0.25">
      <c r="A52" s="5" t="str">
        <f ca="1">IF(AUTOEVENTO="Manual",IF(EVENTOS!$F52&gt;0,"F",""),IF(CRONOPLE!B52&lt;=MAX(CÁLCULO!$M$15:$M$36),"F",""))</f>
        <v/>
      </c>
      <c r="B52" s="195">
        <f t="shared" ca="1" si="1"/>
        <v>37</v>
      </c>
      <c r="C52" s="526">
        <f ca="1">IF(AUTOEVENTO="Manual",IF($B52&gt;0,OFFSET(EVENTOS!$D$15,$B52-$B$15,0),0),IF(B52&lt;=MAX(CÁLCULO!$M$15:$M$36),VLOOKUP($B52,CÁLCULO!$M$15:$N$36,2,FALSE),0))</f>
        <v>0</v>
      </c>
      <c r="D52" s="466"/>
      <c r="E52" s="196"/>
      <c r="F52" t="str">
        <f t="shared" ca="1" si="2"/>
        <v/>
      </c>
      <c r="G52" s="465"/>
      <c r="H52" s="465"/>
      <c r="I52" s="465"/>
      <c r="J52" s="465"/>
      <c r="K52" s="465"/>
      <c r="L52" s="465"/>
      <c r="M52" s="465"/>
      <c r="N52" s="465"/>
      <c r="O52" s="465"/>
      <c r="P52" s="465"/>
      <c r="Q52" s="465"/>
      <c r="R52" s="465"/>
      <c r="S52" s="465"/>
      <c r="T52" s="465"/>
      <c r="U52" s="465"/>
      <c r="V52" s="465"/>
      <c r="W52" s="465"/>
      <c r="X52" s="465"/>
      <c r="Y52" s="465"/>
      <c r="Z52" s="465"/>
      <c r="AA52" s="465"/>
      <c r="AB52" s="465"/>
      <c r="AC52" s="465"/>
      <c r="AD52" s="465"/>
      <c r="AE52" s="465"/>
    </row>
    <row r="53" spans="1:31" x14ac:dyDescent="0.25">
      <c r="A53" s="5" t="str">
        <f ca="1">IF(AUTOEVENTO="Manual",IF(EVENTOS!$F53&gt;0,"F",""),IF(CRONOPLE!B53&lt;=MAX(CÁLCULO!$M$15:$M$36),"F",""))</f>
        <v/>
      </c>
      <c r="B53" s="195">
        <f t="shared" ca="1" si="1"/>
        <v>38</v>
      </c>
      <c r="C53" s="526">
        <f ca="1">IF(AUTOEVENTO="Manual",IF($B53&gt;0,OFFSET(EVENTOS!$D$15,$B53-$B$15,0),0),IF(B53&lt;=MAX(CÁLCULO!$M$15:$M$36),VLOOKUP($B53,CÁLCULO!$M$15:$N$36,2,FALSE),0))</f>
        <v>0</v>
      </c>
      <c r="D53" s="466"/>
      <c r="E53" s="196"/>
      <c r="F53" t="str">
        <f t="shared" ca="1" si="2"/>
        <v/>
      </c>
      <c r="G53" s="465"/>
      <c r="H53" s="465"/>
      <c r="I53" s="465"/>
      <c r="J53" s="465"/>
      <c r="K53" s="465"/>
      <c r="L53" s="465"/>
      <c r="M53" s="465"/>
      <c r="N53" s="465"/>
      <c r="O53" s="465"/>
      <c r="P53" s="465"/>
      <c r="Q53" s="465"/>
      <c r="R53" s="465"/>
      <c r="S53" s="465"/>
      <c r="T53" s="465"/>
      <c r="U53" s="465"/>
      <c r="V53" s="465"/>
      <c r="W53" s="465"/>
      <c r="X53" s="465"/>
      <c r="Y53" s="465"/>
      <c r="Z53" s="465"/>
      <c r="AA53" s="465"/>
      <c r="AB53" s="465"/>
      <c r="AC53" s="465"/>
      <c r="AD53" s="465"/>
      <c r="AE53" s="465"/>
    </row>
    <row r="54" spans="1:31" x14ac:dyDescent="0.25">
      <c r="A54" s="5" t="str">
        <f ca="1">IF(AUTOEVENTO="Manual",IF(EVENTOS!$F54&gt;0,"F",""),IF(CRONOPLE!B54&lt;=MAX(CÁLCULO!$M$15:$M$36),"F",""))</f>
        <v/>
      </c>
      <c r="B54" s="195">
        <f t="shared" ca="1" si="1"/>
        <v>39</v>
      </c>
      <c r="C54" s="526">
        <f ca="1">IF(AUTOEVENTO="Manual",IF($B54&gt;0,OFFSET(EVENTOS!$D$15,$B54-$B$15,0),0),IF(B54&lt;=MAX(CÁLCULO!$M$15:$M$36),VLOOKUP($B54,CÁLCULO!$M$15:$N$36,2,FALSE),0))</f>
        <v>0</v>
      </c>
      <c r="D54" s="466"/>
      <c r="E54" s="196"/>
      <c r="F54" t="str">
        <f t="shared" ca="1" si="2"/>
        <v/>
      </c>
      <c r="G54" s="465"/>
      <c r="H54" s="465"/>
      <c r="I54" s="465"/>
      <c r="J54" s="465"/>
      <c r="K54" s="465"/>
      <c r="L54" s="465"/>
      <c r="M54" s="465"/>
      <c r="N54" s="465"/>
      <c r="O54" s="465"/>
      <c r="P54" s="465"/>
      <c r="Q54" s="465"/>
      <c r="R54" s="465"/>
      <c r="S54" s="465"/>
      <c r="T54" s="465"/>
      <c r="U54" s="465"/>
      <c r="V54" s="465"/>
      <c r="W54" s="465"/>
      <c r="X54" s="465"/>
      <c r="Y54" s="465"/>
      <c r="Z54" s="465"/>
      <c r="AA54" s="465"/>
      <c r="AB54" s="465"/>
      <c r="AC54" s="465"/>
      <c r="AD54" s="465"/>
      <c r="AE54" s="465"/>
    </row>
    <row r="55" spans="1:31" x14ac:dyDescent="0.25">
      <c r="A55" s="5" t="str">
        <f ca="1">IF(AUTOEVENTO="Manual",IF(EVENTOS!$F55&gt;0,"F",""),IF(CRONOPLE!B55&lt;=MAX(CÁLCULO!$M$15:$M$36),"F",""))</f>
        <v/>
      </c>
      <c r="B55" s="195">
        <f t="shared" ca="1" si="1"/>
        <v>40</v>
      </c>
      <c r="C55" s="526">
        <f ca="1">IF(AUTOEVENTO="Manual",IF($B55&gt;0,OFFSET(EVENTOS!$D$15,$B55-$B$15,0),0),IF(B55&lt;=MAX(CÁLCULO!$M$15:$M$36),VLOOKUP($B55,CÁLCULO!$M$15:$N$36,2,FALSE),0))</f>
        <v>0</v>
      </c>
      <c r="D55" s="466"/>
      <c r="E55" s="196"/>
      <c r="F55" t="str">
        <f t="shared" ca="1" si="2"/>
        <v/>
      </c>
      <c r="G55" s="465"/>
      <c r="H55" s="465"/>
      <c r="I55" s="465"/>
      <c r="J55" s="465"/>
      <c r="K55" s="465"/>
      <c r="L55" s="465"/>
      <c r="M55" s="465"/>
      <c r="N55" s="465"/>
      <c r="O55" s="465"/>
      <c r="P55" s="465"/>
      <c r="Q55" s="465"/>
      <c r="R55" s="465"/>
      <c r="S55" s="465"/>
      <c r="T55" s="465"/>
      <c r="U55" s="465"/>
      <c r="V55" s="465"/>
      <c r="W55" s="465"/>
      <c r="X55" s="465"/>
      <c r="Y55" s="465"/>
      <c r="Z55" s="465"/>
      <c r="AA55" s="465"/>
      <c r="AB55" s="465"/>
      <c r="AC55" s="465"/>
      <c r="AD55" s="465"/>
      <c r="AE55" s="465"/>
    </row>
    <row r="56" spans="1:31" x14ac:dyDescent="0.25">
      <c r="A56" s="5" t="str">
        <f ca="1">IF(AUTOEVENTO="Manual",IF(EVENTOS!$F56&gt;0,"F",""),IF(CRONOPLE!B56&lt;=MAX(CÁLCULO!$M$15:$M$36),"F",""))</f>
        <v/>
      </c>
      <c r="B56" s="195">
        <f t="shared" ca="1" si="1"/>
        <v>41</v>
      </c>
      <c r="C56" s="526">
        <f ca="1">IF(AUTOEVENTO="Manual",IF($B56&gt;0,OFFSET(EVENTOS!$D$15,$B56-$B$15,0),0),IF(B56&lt;=MAX(CÁLCULO!$M$15:$M$36),VLOOKUP($B56,CÁLCULO!$M$15:$N$36,2,FALSE),0))</f>
        <v>0</v>
      </c>
      <c r="D56" s="466"/>
      <c r="E56" s="196"/>
      <c r="F56" t="str">
        <f t="shared" ca="1" si="2"/>
        <v/>
      </c>
      <c r="G56" s="465"/>
      <c r="H56" s="465"/>
      <c r="I56" s="465"/>
      <c r="J56" s="465"/>
      <c r="K56" s="465"/>
      <c r="L56" s="465"/>
      <c r="M56" s="465"/>
      <c r="N56" s="465"/>
      <c r="O56" s="465"/>
      <c r="P56" s="465"/>
      <c r="Q56" s="465"/>
      <c r="R56" s="465"/>
      <c r="S56" s="465"/>
      <c r="T56" s="465"/>
      <c r="U56" s="465"/>
      <c r="V56" s="465"/>
      <c r="W56" s="465"/>
      <c r="X56" s="465"/>
      <c r="Y56" s="465"/>
      <c r="Z56" s="465"/>
      <c r="AA56" s="465"/>
      <c r="AB56" s="465"/>
      <c r="AC56" s="465"/>
      <c r="AD56" s="465"/>
      <c r="AE56" s="465"/>
    </row>
    <row r="57" spans="1:31" x14ac:dyDescent="0.25">
      <c r="A57" s="5" t="str">
        <f ca="1">IF(AUTOEVENTO="Manual",IF(EVENTOS!$F57&gt;0,"F",""),IF(CRONOPLE!B57&lt;=MAX(CÁLCULO!$M$15:$M$36),"F",""))</f>
        <v/>
      </c>
      <c r="B57" s="195">
        <f t="shared" ca="1" si="1"/>
        <v>42</v>
      </c>
      <c r="C57" s="526">
        <f ca="1">IF(AUTOEVENTO="Manual",IF($B57&gt;0,OFFSET(EVENTOS!$D$15,$B57-$B$15,0),0),IF(B57&lt;=MAX(CÁLCULO!$M$15:$M$36),VLOOKUP($B57,CÁLCULO!$M$15:$N$36,2,FALSE),0))</f>
        <v>0</v>
      </c>
      <c r="D57" s="466"/>
      <c r="E57" s="196"/>
      <c r="F57" t="str">
        <f t="shared" ca="1" si="2"/>
        <v/>
      </c>
      <c r="G57" s="465"/>
      <c r="H57" s="465"/>
      <c r="I57" s="465"/>
      <c r="J57" s="465"/>
      <c r="K57" s="465"/>
      <c r="L57" s="465"/>
      <c r="M57" s="465"/>
      <c r="N57" s="465"/>
      <c r="O57" s="465"/>
      <c r="P57" s="465"/>
      <c r="Q57" s="465"/>
      <c r="R57" s="465"/>
      <c r="S57" s="465"/>
      <c r="T57" s="465"/>
      <c r="U57" s="465"/>
      <c r="V57" s="465"/>
      <c r="W57" s="465"/>
      <c r="X57" s="465"/>
      <c r="Y57" s="465"/>
      <c r="Z57" s="465"/>
      <c r="AA57" s="465"/>
      <c r="AB57" s="465"/>
      <c r="AC57" s="465"/>
      <c r="AD57" s="465"/>
      <c r="AE57" s="465"/>
    </row>
    <row r="58" spans="1:31" x14ac:dyDescent="0.25">
      <c r="A58" s="5" t="str">
        <f ca="1">IF(AUTOEVENTO="Manual",IF(EVENTOS!$F58&gt;0,"F",""),IF(CRONOPLE!B58&lt;=MAX(CÁLCULO!$M$15:$M$36),"F",""))</f>
        <v/>
      </c>
      <c r="B58" s="195">
        <f t="shared" ca="1" si="1"/>
        <v>43</v>
      </c>
      <c r="C58" s="526">
        <f ca="1">IF(AUTOEVENTO="Manual",IF($B58&gt;0,OFFSET(EVENTOS!$D$15,$B58-$B$15,0),0),IF(B58&lt;=MAX(CÁLCULO!$M$15:$M$36),VLOOKUP($B58,CÁLCULO!$M$15:$N$36,2,FALSE),0))</f>
        <v>0</v>
      </c>
      <c r="D58" s="466"/>
      <c r="E58" s="196"/>
      <c r="F58" t="str">
        <f t="shared" ca="1" si="2"/>
        <v/>
      </c>
      <c r="G58" s="465"/>
      <c r="H58" s="465"/>
      <c r="I58" s="465"/>
      <c r="J58" s="465"/>
      <c r="K58" s="465"/>
      <c r="L58" s="465"/>
      <c r="M58" s="465"/>
      <c r="N58" s="465"/>
      <c r="O58" s="465"/>
      <c r="P58" s="465"/>
      <c r="Q58" s="465"/>
      <c r="R58" s="465"/>
      <c r="S58" s="465"/>
      <c r="T58" s="465"/>
      <c r="U58" s="465"/>
      <c r="V58" s="465"/>
      <c r="W58" s="465"/>
      <c r="X58" s="465"/>
      <c r="Y58" s="465"/>
      <c r="Z58" s="465"/>
      <c r="AA58" s="465"/>
      <c r="AB58" s="465"/>
      <c r="AC58" s="465"/>
      <c r="AD58" s="465"/>
      <c r="AE58" s="465"/>
    </row>
    <row r="59" spans="1:31" x14ac:dyDescent="0.25">
      <c r="A59" s="5" t="str">
        <f ca="1">IF(AUTOEVENTO="Manual",IF(EVENTOS!$F59&gt;0,"F",""),IF(CRONOPLE!B59&lt;=MAX(CÁLCULO!$M$15:$M$36),"F",""))</f>
        <v/>
      </c>
      <c r="B59" s="195">
        <f t="shared" ca="1" si="1"/>
        <v>44</v>
      </c>
      <c r="C59" s="526">
        <f ca="1">IF(AUTOEVENTO="Manual",IF($B59&gt;0,OFFSET(EVENTOS!$D$15,$B59-$B$15,0),0),IF(B59&lt;=MAX(CÁLCULO!$M$15:$M$36),VLOOKUP($B59,CÁLCULO!$M$15:$N$36,2,FALSE),0))</f>
        <v>0</v>
      </c>
      <c r="D59" s="466"/>
      <c r="E59" s="196"/>
      <c r="F59" t="str">
        <f t="shared" ca="1" si="2"/>
        <v/>
      </c>
      <c r="G59" s="465"/>
      <c r="H59" s="465"/>
      <c r="I59" s="465"/>
      <c r="J59" s="465"/>
      <c r="K59" s="465"/>
      <c r="L59" s="465"/>
      <c r="M59" s="465"/>
      <c r="N59" s="465"/>
      <c r="O59" s="465"/>
      <c r="P59" s="465"/>
      <c r="Q59" s="465"/>
      <c r="R59" s="465"/>
      <c r="S59" s="465"/>
      <c r="T59" s="465"/>
      <c r="U59" s="465"/>
      <c r="V59" s="465"/>
      <c r="W59" s="465"/>
      <c r="X59" s="465"/>
      <c r="Y59" s="465"/>
      <c r="Z59" s="465"/>
      <c r="AA59" s="465"/>
      <c r="AB59" s="465"/>
      <c r="AC59" s="465"/>
      <c r="AD59" s="465"/>
      <c r="AE59" s="465"/>
    </row>
    <row r="60" spans="1:31" x14ac:dyDescent="0.25">
      <c r="A60" s="5" t="str">
        <f ca="1">IF(AUTOEVENTO="Manual",IF(EVENTOS!$F60&gt;0,"F",""),IF(CRONOPLE!B60&lt;=MAX(CÁLCULO!$M$15:$M$36),"F",""))</f>
        <v/>
      </c>
      <c r="B60" s="195">
        <f t="shared" ca="1" si="1"/>
        <v>45</v>
      </c>
      <c r="C60" s="526">
        <f ca="1">IF(AUTOEVENTO="Manual",IF($B60&gt;0,OFFSET(EVENTOS!$D$15,$B60-$B$15,0),0),IF(B60&lt;=MAX(CÁLCULO!$M$15:$M$36),VLOOKUP($B60,CÁLCULO!$M$15:$N$36,2,FALSE),0))</f>
        <v>0</v>
      </c>
      <c r="D60" s="466"/>
      <c r="E60" s="196"/>
      <c r="F60" t="str">
        <f t="shared" ca="1" si="2"/>
        <v/>
      </c>
      <c r="G60" s="465"/>
      <c r="H60" s="465"/>
      <c r="I60" s="465"/>
      <c r="J60" s="465"/>
      <c r="K60" s="465"/>
      <c r="L60" s="465"/>
      <c r="M60" s="465"/>
      <c r="N60" s="465"/>
      <c r="O60" s="465"/>
      <c r="P60" s="465"/>
      <c r="Q60" s="465"/>
      <c r="R60" s="465"/>
      <c r="S60" s="465"/>
      <c r="T60" s="465"/>
      <c r="U60" s="465"/>
      <c r="V60" s="465"/>
      <c r="W60" s="465"/>
      <c r="X60" s="465"/>
      <c r="Y60" s="465"/>
      <c r="Z60" s="465"/>
      <c r="AA60" s="465"/>
      <c r="AB60" s="465"/>
      <c r="AC60" s="465"/>
      <c r="AD60" s="465"/>
      <c r="AE60" s="465"/>
    </row>
    <row r="61" spans="1:31" x14ac:dyDescent="0.25">
      <c r="A61" s="5" t="str">
        <f ca="1">IF(AUTOEVENTO="Manual",IF(EVENTOS!$F61&gt;0,"F",""),IF(CRONOPLE!B61&lt;=MAX(CÁLCULO!$M$15:$M$36),"F",""))</f>
        <v/>
      </c>
      <c r="B61" s="195">
        <f t="shared" ca="1" si="1"/>
        <v>46</v>
      </c>
      <c r="C61" s="526">
        <f ca="1">IF(AUTOEVENTO="Manual",IF($B61&gt;0,OFFSET(EVENTOS!$D$15,$B61-$B$15,0),0),IF(B61&lt;=MAX(CÁLCULO!$M$15:$M$36),VLOOKUP($B61,CÁLCULO!$M$15:$N$36,2,FALSE),0))</f>
        <v>0</v>
      </c>
      <c r="D61" s="466"/>
      <c r="E61" s="196"/>
      <c r="F61" t="str">
        <f t="shared" ca="1" si="2"/>
        <v/>
      </c>
      <c r="G61" s="465"/>
      <c r="H61" s="465"/>
      <c r="I61" s="465"/>
      <c r="J61" s="465"/>
      <c r="K61" s="465"/>
      <c r="L61" s="465"/>
      <c r="M61" s="465"/>
      <c r="N61" s="465"/>
      <c r="O61" s="465"/>
      <c r="P61" s="465"/>
      <c r="Q61" s="465"/>
      <c r="R61" s="465"/>
      <c r="S61" s="465"/>
      <c r="T61" s="465"/>
      <c r="U61" s="465"/>
      <c r="V61" s="465"/>
      <c r="W61" s="465"/>
      <c r="X61" s="465"/>
      <c r="Y61" s="465"/>
      <c r="Z61" s="465"/>
      <c r="AA61" s="465"/>
      <c r="AB61" s="465"/>
      <c r="AC61" s="465"/>
      <c r="AD61" s="465"/>
      <c r="AE61" s="465"/>
    </row>
    <row r="62" spans="1:31" x14ac:dyDescent="0.25">
      <c r="A62" s="5" t="str">
        <f ca="1">IF(AUTOEVENTO="Manual",IF(EVENTOS!$F62&gt;0,"F",""),IF(CRONOPLE!B62&lt;=MAX(CÁLCULO!$M$15:$M$36),"F",""))</f>
        <v/>
      </c>
      <c r="B62" s="195">
        <f t="shared" ca="1" si="1"/>
        <v>47</v>
      </c>
      <c r="C62" s="526">
        <f ca="1">IF(AUTOEVENTO="Manual",IF($B62&gt;0,OFFSET(EVENTOS!$D$15,$B62-$B$15,0),0),IF(B62&lt;=MAX(CÁLCULO!$M$15:$M$36),VLOOKUP($B62,CÁLCULO!$M$15:$N$36,2,FALSE),0))</f>
        <v>0</v>
      </c>
      <c r="D62" s="466"/>
      <c r="E62" s="196"/>
      <c r="F62" t="str">
        <f t="shared" ca="1" si="2"/>
        <v/>
      </c>
      <c r="G62" s="465"/>
      <c r="H62" s="465"/>
      <c r="I62" s="465"/>
      <c r="J62" s="465"/>
      <c r="K62" s="465"/>
      <c r="L62" s="465"/>
      <c r="M62" s="465"/>
      <c r="N62" s="465"/>
      <c r="O62" s="465"/>
      <c r="P62" s="465"/>
      <c r="Q62" s="465"/>
      <c r="R62" s="465"/>
      <c r="S62" s="465"/>
      <c r="T62" s="465"/>
      <c r="U62" s="465"/>
      <c r="V62" s="465"/>
      <c r="W62" s="465"/>
      <c r="X62" s="465"/>
      <c r="Y62" s="465"/>
      <c r="Z62" s="465"/>
      <c r="AA62" s="465"/>
      <c r="AB62" s="465"/>
      <c r="AC62" s="465"/>
      <c r="AD62" s="465"/>
      <c r="AE62" s="465"/>
    </row>
    <row r="63" spans="1:31" x14ac:dyDescent="0.25">
      <c r="A63" s="5" t="str">
        <f ca="1">IF(AUTOEVENTO="Manual",IF(EVENTOS!$F63&gt;0,"F",""),IF(CRONOPLE!B63&lt;=MAX(CÁLCULO!$M$15:$M$36),"F",""))</f>
        <v/>
      </c>
      <c r="B63" s="195">
        <f t="shared" ca="1" si="1"/>
        <v>48</v>
      </c>
      <c r="C63" s="526">
        <f ca="1">IF(AUTOEVENTO="Manual",IF($B63&gt;0,OFFSET(EVENTOS!$D$15,$B63-$B$15,0),0),IF(B63&lt;=MAX(CÁLCULO!$M$15:$M$36),VLOOKUP($B63,CÁLCULO!$M$15:$N$36,2,FALSE),0))</f>
        <v>0</v>
      </c>
      <c r="D63" s="466"/>
      <c r="E63" s="196"/>
      <c r="F63" t="str">
        <f t="shared" ca="1" si="2"/>
        <v/>
      </c>
      <c r="G63" s="465"/>
      <c r="H63" s="465"/>
      <c r="I63" s="465"/>
      <c r="J63" s="465"/>
      <c r="K63" s="465"/>
      <c r="L63" s="465"/>
      <c r="M63" s="465"/>
      <c r="N63" s="465"/>
      <c r="O63" s="465"/>
      <c r="P63" s="465"/>
      <c r="Q63" s="465"/>
      <c r="R63" s="465"/>
      <c r="S63" s="465"/>
      <c r="T63" s="465"/>
      <c r="U63" s="465"/>
      <c r="V63" s="465"/>
      <c r="W63" s="465"/>
      <c r="X63" s="465"/>
      <c r="Y63" s="465"/>
      <c r="Z63" s="465"/>
      <c r="AA63" s="465"/>
      <c r="AB63" s="465"/>
      <c r="AC63" s="465"/>
      <c r="AD63" s="465"/>
      <c r="AE63" s="465"/>
    </row>
    <row r="64" spans="1:31" x14ac:dyDescent="0.25">
      <c r="A64" s="5" t="str">
        <f ca="1">IF(AUTOEVENTO="Manual",IF(EVENTOS!$F64&gt;0,"F",""),IF(CRONOPLE!B64&lt;=MAX(CÁLCULO!$M$15:$M$36),"F",""))</f>
        <v/>
      </c>
      <c r="B64" s="195">
        <f t="shared" ca="1" si="1"/>
        <v>49</v>
      </c>
      <c r="C64" s="526">
        <f ca="1">IF(AUTOEVENTO="Manual",IF($B64&gt;0,OFFSET(EVENTOS!$D$15,$B64-$B$15,0),0),IF(B64&lt;=MAX(CÁLCULO!$M$15:$M$36),VLOOKUP($B64,CÁLCULO!$M$15:$N$36,2,FALSE),0))</f>
        <v>0</v>
      </c>
      <c r="D64" s="466"/>
      <c r="E64" s="196"/>
      <c r="F64" t="str">
        <f t="shared" ca="1" si="2"/>
        <v/>
      </c>
      <c r="G64" s="465"/>
      <c r="H64" s="465"/>
      <c r="I64" s="465"/>
      <c r="J64" s="465"/>
      <c r="K64" s="465"/>
      <c r="L64" s="465"/>
      <c r="M64" s="465"/>
      <c r="N64" s="465"/>
      <c r="O64" s="465"/>
      <c r="P64" s="465"/>
      <c r="Q64" s="465"/>
      <c r="R64" s="465"/>
      <c r="S64" s="465"/>
      <c r="T64" s="465"/>
      <c r="U64" s="465"/>
      <c r="V64" s="465"/>
      <c r="W64" s="465"/>
      <c r="X64" s="465"/>
      <c r="Y64" s="465"/>
      <c r="Z64" s="465"/>
      <c r="AA64" s="465"/>
      <c r="AB64" s="465"/>
      <c r="AC64" s="465"/>
      <c r="AD64" s="465"/>
      <c r="AE64" s="465"/>
    </row>
    <row r="65" spans="1:31" ht="5.0999999999999996" customHeight="1" x14ac:dyDescent="0.25">
      <c r="B65" s="614"/>
      <c r="C65" s="615"/>
      <c r="D65" s="467"/>
      <c r="E65" s="209"/>
      <c r="F65" s="209"/>
      <c r="G65" s="614"/>
      <c r="H65" s="616"/>
      <c r="I65" s="616"/>
      <c r="J65" s="616"/>
      <c r="K65" s="616"/>
      <c r="L65" s="616"/>
      <c r="M65" s="616"/>
      <c r="N65" s="616"/>
      <c r="O65" s="616"/>
      <c r="P65" s="616"/>
      <c r="Q65" s="616"/>
      <c r="R65" s="616"/>
      <c r="S65" s="616"/>
      <c r="T65" s="616"/>
      <c r="U65" s="616"/>
      <c r="V65" s="616"/>
      <c r="W65" s="616"/>
      <c r="X65" s="616"/>
      <c r="Y65" s="616"/>
      <c r="Z65" s="616"/>
      <c r="AA65" s="616"/>
      <c r="AB65" s="616"/>
      <c r="AC65" s="616"/>
      <c r="AD65" s="616"/>
      <c r="AE65" s="615"/>
    </row>
    <row r="66" spans="1:31" ht="6" customHeight="1" x14ac:dyDescent="0.25">
      <c r="A66" s="5" t="s">
        <v>542</v>
      </c>
    </row>
    <row r="67" spans="1:31" ht="14.4" x14ac:dyDescent="0.25">
      <c r="A67" s="5" t="s">
        <v>542</v>
      </c>
      <c r="C67" s="397" t="s">
        <v>803</v>
      </c>
      <c r="H67" s="743">
        <f>(ROW($G67)-ROW($G$67))/8*12+1</f>
        <v>1</v>
      </c>
      <c r="I67" s="743"/>
      <c r="J67" s="743">
        <f>H67+1</f>
        <v>2</v>
      </c>
      <c r="K67" s="743"/>
      <c r="L67" s="743">
        <f>J67+1</f>
        <v>3</v>
      </c>
      <c r="M67" s="743"/>
      <c r="N67" s="743">
        <f>L67+1</f>
        <v>4</v>
      </c>
      <c r="O67" s="743"/>
      <c r="P67" s="743">
        <f>N67+1</f>
        <v>5</v>
      </c>
      <c r="Q67" s="743"/>
      <c r="R67" s="743">
        <f>P67+1</f>
        <v>6</v>
      </c>
      <c r="S67" s="743"/>
      <c r="T67" s="743">
        <f>R67+1</f>
        <v>7</v>
      </c>
      <c r="U67" s="743"/>
      <c r="V67" s="743">
        <f>T67+1</f>
        <v>8</v>
      </c>
      <c r="W67" s="743"/>
      <c r="X67" s="743">
        <f>V67+1</f>
        <v>9</v>
      </c>
      <c r="Y67" s="743"/>
      <c r="Z67" s="743">
        <f>X67+1</f>
        <v>10</v>
      </c>
      <c r="AA67" s="743"/>
      <c r="AB67" s="743">
        <f>Z67+1</f>
        <v>11</v>
      </c>
      <c r="AC67" s="743"/>
      <c r="AD67" s="743">
        <f>AB67+1</f>
        <v>12</v>
      </c>
      <c r="AE67" s="743"/>
    </row>
    <row r="68" spans="1:31" ht="12.75" customHeight="1" x14ac:dyDescent="0.25">
      <c r="A68" s="5" t="s">
        <v>542</v>
      </c>
      <c r="C68" s="728" t="s">
        <v>804</v>
      </c>
      <c r="G68" s="463" t="s">
        <v>805</v>
      </c>
      <c r="H68" s="730">
        <f ca="1">OFFSET(CRONO!$T$165,0,CRONOPLE!H67)</f>
        <v>0.11865210018595086</v>
      </c>
      <c r="I68" s="730"/>
      <c r="J68" s="730">
        <f ca="1">OFFSET(CRONO!$T$165,0,CRONOPLE!J67)</f>
        <v>0.10394358772573997</v>
      </c>
      <c r="K68" s="730"/>
      <c r="L68" s="730">
        <f ca="1">OFFSET(CRONO!$T$165,0,CRONOPLE!L67)</f>
        <v>0.10556035906529262</v>
      </c>
      <c r="M68" s="730"/>
      <c r="N68" s="730">
        <f ca="1">OFFSET(CRONO!$T$165,0,CRONOPLE!N67)</f>
        <v>0.12288397639744955</v>
      </c>
      <c r="O68" s="730"/>
      <c r="P68" s="730">
        <f ca="1">OFFSET(CRONO!$T$165,0,CRONOPLE!P67)</f>
        <v>0.12288397639744955</v>
      </c>
      <c r="Q68" s="730"/>
      <c r="R68" s="730">
        <f ca="1">OFFSET(CRONO!$T$165,0,CRONOPLE!R67)</f>
        <v>0.10556035746347901</v>
      </c>
      <c r="S68" s="730"/>
      <c r="T68" s="730">
        <f ca="1">OFFSET(CRONO!$T$165,0,CRONOPLE!T67)</f>
        <v>0.11025830376848612</v>
      </c>
      <c r="U68" s="730"/>
      <c r="V68" s="730">
        <f ca="1">OFFSET(CRONO!$T$165,0,CRONOPLE!V67)</f>
        <v>0.10394358772573997</v>
      </c>
      <c r="W68" s="730"/>
      <c r="X68" s="730">
        <f ca="1">OFFSET(CRONO!$T$165,0,CRONOPLE!X67)</f>
        <v>0.10631375127041238</v>
      </c>
      <c r="Y68" s="730"/>
      <c r="Z68" s="730">
        <f ca="1">OFFSET(CRONO!$T$165,0,CRONOPLE!Z67)</f>
        <v>0</v>
      </c>
      <c r="AA68" s="730"/>
      <c r="AB68" s="730">
        <f ca="1">OFFSET(CRONO!$T$165,0,CRONOPLE!AB67)</f>
        <v>0</v>
      </c>
      <c r="AC68" s="730"/>
      <c r="AD68" s="730">
        <f ca="1">OFFSET(CRONO!$T$165,0,CRONOPLE!AD67)</f>
        <v>0</v>
      </c>
      <c r="AE68" s="730"/>
    </row>
    <row r="69" spans="1:31" ht="12.75" customHeight="1" x14ac:dyDescent="0.25">
      <c r="A69" s="5" t="s">
        <v>542</v>
      </c>
      <c r="C69" s="745"/>
      <c r="G69" s="398" t="s">
        <v>806</v>
      </c>
      <c r="H69" s="746">
        <f ca="1">OFFSET(CRONO!$T$169,0,CRONOPLE!H67)</f>
        <v>740736</v>
      </c>
      <c r="I69" s="746"/>
      <c r="J69" s="747">
        <f ca="1">OFFSET(CRONO!$T$169,0,CRONOPLE!J67)</f>
        <v>648911.87999999989</v>
      </c>
      <c r="K69" s="748"/>
      <c r="L69" s="747">
        <f ca="1">OFFSET(CRONO!$T$169,0,CRONOPLE!L67)</f>
        <v>659005.26</v>
      </c>
      <c r="M69" s="748"/>
      <c r="N69" s="747">
        <f ca="1">OFFSET(CRONO!$T$169,0,CRONOPLE!N67)</f>
        <v>767155.28</v>
      </c>
      <c r="O69" s="748"/>
      <c r="P69" s="747">
        <f ca="1">OFFSET(CRONO!$T$169,0,CRONOPLE!P67)</f>
        <v>767155.28000000026</v>
      </c>
      <c r="Q69" s="748"/>
      <c r="R69" s="747">
        <f ca="1">OFFSET(CRONO!$T$169,0,CRONOPLE!R67)</f>
        <v>659005.25</v>
      </c>
      <c r="S69" s="748"/>
      <c r="T69" s="747">
        <f ca="1">OFFSET(CRONO!$T$169,0,CRONOPLE!T67)</f>
        <v>688334.16999999993</v>
      </c>
      <c r="U69" s="748"/>
      <c r="V69" s="747">
        <f ca="1">OFFSET(CRONO!$T$169,0,CRONOPLE!V67)</f>
        <v>648911.87999999989</v>
      </c>
      <c r="W69" s="748"/>
      <c r="X69" s="747">
        <f ca="1">OFFSET(CRONO!$T$169,0,CRONOPLE!X67)</f>
        <v>663708.62999999989</v>
      </c>
      <c r="Y69" s="748"/>
      <c r="Z69" s="747">
        <f ca="1">OFFSET(CRONO!$T$169,0,CRONOPLE!Z67)</f>
        <v>0</v>
      </c>
      <c r="AA69" s="748"/>
      <c r="AB69" s="747">
        <f ca="1">OFFSET(CRONO!$T$169,0,CRONOPLE!AB67)</f>
        <v>0</v>
      </c>
      <c r="AC69" s="748"/>
      <c r="AD69" s="747">
        <f ca="1">OFFSET(CRONO!$T$169,0,CRONOPLE!AD67)</f>
        <v>0</v>
      </c>
      <c r="AE69" s="748"/>
    </row>
    <row r="70" spans="1:31" ht="12.75" customHeight="1" x14ac:dyDescent="0.25">
      <c r="A70" s="5" t="s">
        <v>542</v>
      </c>
      <c r="C70" s="728" t="s">
        <v>807</v>
      </c>
      <c r="G70" s="463" t="s">
        <v>805</v>
      </c>
      <c r="H70" s="730">
        <f ca="1">OFFSET(CRONO!$T$170,0,CRONOPLE!H67)</f>
        <v>0.11865210018595086</v>
      </c>
      <c r="I70" s="730"/>
      <c r="J70" s="733">
        <f ca="1">OFFSET(CRONO!$T$170,0,CRONOPLE!J67)</f>
        <v>0.22259568791169082</v>
      </c>
      <c r="K70" s="734"/>
      <c r="L70" s="733">
        <f ca="1">OFFSET(CRONO!$T$170,0,CRONOPLE!L67)</f>
        <v>0.32815604697698342</v>
      </c>
      <c r="M70" s="734"/>
      <c r="N70" s="733">
        <f ca="1">OFFSET(CRONO!$T$170,0,CRONOPLE!N67)</f>
        <v>0.451040023374433</v>
      </c>
      <c r="O70" s="734"/>
      <c r="P70" s="733">
        <f ca="1">OFFSET(CRONO!$T$170,0,CRONOPLE!P67)</f>
        <v>0.57392399977188258</v>
      </c>
      <c r="Q70" s="734"/>
      <c r="R70" s="733">
        <f ca="1">OFFSET(CRONO!$T$170,0,CRONOPLE!R67)</f>
        <v>0.6794843572353616</v>
      </c>
      <c r="S70" s="734"/>
      <c r="T70" s="733">
        <f ca="1">OFFSET(CRONO!$T$170,0,CRONOPLE!T67)</f>
        <v>0.78974266100384771</v>
      </c>
      <c r="U70" s="734"/>
      <c r="V70" s="733">
        <f ca="1">OFFSET(CRONO!$T$170,0,CRONOPLE!V67)</f>
        <v>0.89368624872958768</v>
      </c>
      <c r="W70" s="734"/>
      <c r="X70" s="733">
        <f ca="1">OFFSET(CRONO!$T$170,0,CRONOPLE!X67)</f>
        <v>1</v>
      </c>
      <c r="Y70" s="734"/>
      <c r="Z70" s="733">
        <f ca="1">OFFSET(CRONO!$T$170,0,CRONOPLE!Z67)</f>
        <v>1</v>
      </c>
      <c r="AA70" s="734"/>
      <c r="AB70" s="733">
        <f ca="1">OFFSET(CRONO!$T$170,0,CRONOPLE!AB67)</f>
        <v>1</v>
      </c>
      <c r="AC70" s="734"/>
      <c r="AD70" s="733">
        <f ca="1">OFFSET(CRONO!$T$170,0,CRONOPLE!AD67)</f>
        <v>1</v>
      </c>
      <c r="AE70" s="734"/>
    </row>
    <row r="71" spans="1:31" ht="12.75" customHeight="1" x14ac:dyDescent="0.25">
      <c r="A71" s="5" t="s">
        <v>542</v>
      </c>
      <c r="C71" s="729"/>
      <c r="G71" s="398" t="s">
        <v>806</v>
      </c>
      <c r="H71" s="738">
        <f ca="1">OFFSET(CRONO!$T$174,0,CRONOPLE!H67)</f>
        <v>740736.00037700008</v>
      </c>
      <c r="I71" s="738"/>
      <c r="J71" s="735">
        <f ca="1">OFFSET(CRONO!$T$174,0,CRONOPLE!J67)</f>
        <v>1389647.8798460001</v>
      </c>
      <c r="K71" s="736"/>
      <c r="L71" s="735">
        <f ca="1">OFFSET(CRONO!$T$174,0,CRONOPLE!L67)</f>
        <v>2048653.1356220001</v>
      </c>
      <c r="M71" s="736"/>
      <c r="N71" s="735">
        <f ca="1">OFFSET(CRONO!$T$174,0,CRONOPLE!N67)</f>
        <v>2815808.415581</v>
      </c>
      <c r="O71" s="736"/>
      <c r="P71" s="735">
        <f ca="1">OFFSET(CRONO!$T$174,0,CRONOPLE!P67)</f>
        <v>3582963.6955400002</v>
      </c>
      <c r="Q71" s="736"/>
      <c r="R71" s="735">
        <f ca="1">OFFSET(CRONO!$T$174,0,CRONOPLE!R67)</f>
        <v>4241968.951316</v>
      </c>
      <c r="S71" s="736"/>
      <c r="T71" s="735">
        <f ca="1">OFFSET(CRONO!$T$174,0,CRONOPLE!T67)</f>
        <v>4930303.1205289997</v>
      </c>
      <c r="U71" s="736"/>
      <c r="V71" s="735">
        <f ca="1">OFFSET(CRONO!$T$174,0,CRONOPLE!V67)</f>
        <v>5579214.9999979995</v>
      </c>
      <c r="W71" s="736"/>
      <c r="X71" s="735">
        <f ca="1">OFFSET(CRONO!$T$174,0,CRONOPLE!X67)</f>
        <v>6242923.6299999999</v>
      </c>
      <c r="Y71" s="736"/>
      <c r="Z71" s="735">
        <f ca="1">OFFSET(CRONO!$T$174,0,CRONOPLE!Z67)</f>
        <v>6242923.6299999999</v>
      </c>
      <c r="AA71" s="736"/>
      <c r="AB71" s="735">
        <f ca="1">OFFSET(CRONO!$T$174,0,CRONOPLE!AB67)</f>
        <v>6242923.6299999999</v>
      </c>
      <c r="AC71" s="736"/>
      <c r="AD71" s="735">
        <f ca="1">OFFSET(CRONO!$T$174,0,CRONOPLE!AD67)</f>
        <v>6242923.6299999999</v>
      </c>
      <c r="AE71" s="736"/>
    </row>
    <row r="72" spans="1:31" ht="12.75" customHeight="1" x14ac:dyDescent="0.25">
      <c r="A72" s="5" t="s">
        <v>542</v>
      </c>
      <c r="C72" s="464" t="s">
        <v>808</v>
      </c>
      <c r="D72" s="462"/>
      <c r="G72" s="463" t="s">
        <v>805</v>
      </c>
      <c r="H72" s="730" t="str">
        <f ca="1">OFFSET(CRONO!$T$175,0,CRONOPLE!H67)</f>
        <v/>
      </c>
      <c r="I72" s="730"/>
      <c r="J72" s="731" t="str">
        <f ca="1">OFFSET(CRONO!$T$175,0,CRONOPLE!J67)</f>
        <v/>
      </c>
      <c r="K72" s="732"/>
      <c r="L72" s="731" t="str">
        <f ca="1">OFFSET(CRONO!$T$175,0,CRONOPLE!L67)</f>
        <v/>
      </c>
      <c r="M72" s="732"/>
      <c r="N72" s="731" t="str">
        <f ca="1">OFFSET(CRONO!$T$175,0,CRONOPLE!N67)</f>
        <v/>
      </c>
      <c r="O72" s="732"/>
      <c r="P72" s="731" t="str">
        <f ca="1">OFFSET(CRONO!$T$175,0,CRONOPLE!P67)</f>
        <v/>
      </c>
      <c r="Q72" s="732"/>
      <c r="R72" s="731" t="str">
        <f ca="1">OFFSET(CRONO!$T$175,0,CRONOPLE!R67)</f>
        <v/>
      </c>
      <c r="S72" s="732"/>
      <c r="T72" s="731" t="str">
        <f ca="1">OFFSET(CRONO!$T$175,0,CRONOPLE!T67)</f>
        <v/>
      </c>
      <c r="U72" s="732"/>
      <c r="V72" s="731" t="str">
        <f ca="1">OFFSET(CRONO!$T$175,0,CRONOPLE!V67)</f>
        <v/>
      </c>
      <c r="W72" s="732"/>
      <c r="X72" s="731" t="str">
        <f ca="1">OFFSET(CRONO!$T$175,0,CRONOPLE!X67)</f>
        <v/>
      </c>
      <c r="Y72" s="732"/>
      <c r="Z72" s="731" t="str">
        <f ca="1">OFFSET(CRONO!$T$175,0,CRONOPLE!Z67)</f>
        <v/>
      </c>
      <c r="AA72" s="732"/>
      <c r="AB72" s="731" t="str">
        <f ca="1">OFFSET(CRONO!$T$175,0,CRONOPLE!AB67)</f>
        <v/>
      </c>
      <c r="AC72" s="732"/>
      <c r="AD72" s="731" t="str">
        <f ca="1">OFFSET(CRONO!$T$175,0,CRONOPLE!AD67)</f>
        <v/>
      </c>
      <c r="AE72" s="732"/>
    </row>
    <row r="73" spans="1:31" ht="15" customHeight="1" x14ac:dyDescent="0.3">
      <c r="A73" s="5" t="s">
        <v>542</v>
      </c>
      <c r="C73" s="461"/>
      <c r="G73" s="497" t="str">
        <f ca="1">IF(COUNTIF(H73:AF73,"%Adm&gt;%Global")&gt;0,"Verificar proporcionalidade da Administração Local","")</f>
        <v/>
      </c>
      <c r="H73" s="445" t="str">
        <f ca="1">IF(H72="","",IF(ROUND(H72,4)&gt;ROUND(H70,4),"%Adm&gt;%Global",""))</f>
        <v/>
      </c>
      <c r="J73" s="445" t="str">
        <f t="shared" ref="J73" ca="1" si="3">IF(J72="","",IF(ROUND(J72,4)&gt;ROUND(J70,4),"%Adm&gt;%Global",""))</f>
        <v/>
      </c>
      <c r="L73" s="445" t="str">
        <f t="shared" ref="L73" ca="1" si="4">IF(L72="","",IF(ROUND(L72,4)&gt;ROUND(L70,4),"%Adm&gt;%Global",""))</f>
        <v/>
      </c>
      <c r="N73" s="445" t="str">
        <f t="shared" ref="N73" ca="1" si="5">IF(N72="","",IF(ROUND(N72,4)&gt;ROUND(N70,4),"%Adm&gt;%Global",""))</f>
        <v/>
      </c>
      <c r="P73" s="445" t="str">
        <f t="shared" ref="P73" ca="1" si="6">IF(P72="","",IF(ROUND(P72,4)&gt;ROUND(P70,4),"%Adm&gt;%Global",""))</f>
        <v/>
      </c>
      <c r="R73" s="445" t="str">
        <f t="shared" ref="R73" ca="1" si="7">IF(R72="","",IF(ROUND(R72,4)&gt;ROUND(R70,4),"%Adm&gt;%Global",""))</f>
        <v/>
      </c>
      <c r="T73" s="445" t="str">
        <f t="shared" ref="T73" ca="1" si="8">IF(T72="","",IF(ROUND(T72,4)&gt;ROUND(T70,4),"%Adm&gt;%Global",""))</f>
        <v/>
      </c>
      <c r="V73" s="445" t="str">
        <f t="shared" ref="V73" ca="1" si="9">IF(V72="","",IF(ROUND(V72,4)&gt;ROUND(V70,4),"%Adm&gt;%Global",""))</f>
        <v/>
      </c>
      <c r="X73" s="445" t="str">
        <f t="shared" ref="X73" ca="1" si="10">IF(X72="","",IF(ROUND(X72,4)&gt;ROUND(X70,4),"%Adm&gt;%Global",""))</f>
        <v/>
      </c>
      <c r="Z73" s="445" t="str">
        <f t="shared" ref="Z73" ca="1" si="11">IF(Z72="","",IF(ROUND(Z72,4)&gt;ROUND(Z70,4),"%Adm&gt;%Global",""))</f>
        <v/>
      </c>
      <c r="AB73" s="445" t="str">
        <f t="shared" ref="AB73" ca="1" si="12">IF(AB72="","",IF(ROUND(AB72,4)&gt;ROUND(AB70,4),"%Adm&gt;%Global",""))</f>
        <v/>
      </c>
      <c r="AD73" s="445" t="str">
        <f t="shared" ref="AD73" ca="1" si="13">IF(AD72="","",IF(ROUND(AD72,4)&gt;ROUND(AD70,4),"%Adm&gt;%Global",""))</f>
        <v/>
      </c>
    </row>
    <row r="74" spans="1:31" x14ac:dyDescent="0.25">
      <c r="A74" s="5" t="s">
        <v>542</v>
      </c>
    </row>
    <row r="75" spans="1:31" ht="13.8" x14ac:dyDescent="0.25">
      <c r="A75" s="5" t="s">
        <v>542</v>
      </c>
      <c r="B75" s="520" t="str">
        <f>Import.Município</f>
        <v>URUARÁ-PARÁ</v>
      </c>
      <c r="C75" s="520"/>
      <c r="E75" s="399"/>
      <c r="F75" s="399"/>
      <c r="G75" s="399"/>
      <c r="H75" s="399"/>
      <c r="I75" s="399"/>
      <c r="J75" s="399"/>
      <c r="K75" s="399"/>
      <c r="L75" s="399"/>
      <c r="V75" s="371"/>
      <c r="W75" s="335"/>
      <c r="X75" s="335"/>
      <c r="Y75" s="335"/>
      <c r="Z75" s="335"/>
      <c r="AA75" s="335"/>
      <c r="AB75" s="335"/>
      <c r="AC75" s="335"/>
      <c r="AD75" s="335"/>
      <c r="AE75" s="335"/>
    </row>
    <row r="76" spans="1:31" x14ac:dyDescent="0.25">
      <c r="A76" s="5" t="s">
        <v>542</v>
      </c>
      <c r="B76" s="7" t="s">
        <v>700</v>
      </c>
      <c r="F76" s="144"/>
      <c r="G76" s="144"/>
      <c r="H76" s="144"/>
      <c r="I76" s="144"/>
      <c r="J76" s="144"/>
      <c r="K76" s="144"/>
      <c r="L76" s="146"/>
      <c r="V76" s="535" t="s">
        <v>703</v>
      </c>
    </row>
    <row r="77" spans="1:31" x14ac:dyDescent="0.25">
      <c r="A77" s="5" t="s">
        <v>542</v>
      </c>
      <c r="F77" s="144"/>
      <c r="G77" s="144"/>
      <c r="H77" s="144"/>
      <c r="I77" s="144"/>
      <c r="J77" s="144"/>
      <c r="K77" s="144"/>
      <c r="L77" s="146"/>
      <c r="V77" s="316" t="str">
        <f t="array" aca="1" ref="V77:V79" ca="1">OFFSET(Import.RespOrçamento,0,-1) &amp; " " &amp; Import.RespOrçamento</f>
        <v>Nome: DOUGLAS NASCIMENTO DOS SANTOS</v>
      </c>
    </row>
    <row r="78" spans="1:31" ht="13.8" x14ac:dyDescent="0.25">
      <c r="A78" s="5" t="s">
        <v>542</v>
      </c>
      <c r="B78" s="737">
        <f>DADOS!$C$25</f>
        <v>46144</v>
      </c>
      <c r="C78" s="737"/>
      <c r="F78" s="144"/>
      <c r="G78" s="144"/>
      <c r="H78" s="144"/>
      <c r="I78" s="144"/>
      <c r="J78" s="144"/>
      <c r="K78" s="144"/>
      <c r="L78" s="146"/>
      <c r="V78" s="316" t="str">
        <f ca="1"/>
        <v>CREA/CAU: 151536623-5</v>
      </c>
    </row>
    <row r="79" spans="1:31" x14ac:dyDescent="0.25">
      <c r="A79" s="5" t="s">
        <v>542</v>
      </c>
      <c r="B79" s="7" t="s">
        <v>701</v>
      </c>
      <c r="F79" s="144"/>
      <c r="G79" s="144"/>
      <c r="H79" s="144"/>
      <c r="I79" s="144"/>
      <c r="J79" s="144"/>
      <c r="K79" s="144"/>
      <c r="L79" s="146"/>
      <c r="V79" s="316" t="str">
        <f ca="1"/>
        <v xml:space="preserve">ART/RRT: </v>
      </c>
    </row>
  </sheetData>
  <sheetProtection algorithmName="SHA-512" hashValue="6cxckEDrjRTQr9hY2s2SSa1kDF00uoasXkej6J2ng7kFf75Amy2iotRg0U0yy46xlb1yYxbhDat22CdkV0x/MA==" saltValue="iZmNZzPYCEpzgM8R00r45g==" spinCount="100000" sheet="1" objects="1" scenarios="1" autoFilter="0"/>
  <autoFilter ref="A13:A79" xr:uid="{00000000-0009-0000-0000-000007000000}"/>
  <mergeCells count="86">
    <mergeCell ref="AD69:AE69"/>
    <mergeCell ref="L69:M69"/>
    <mergeCell ref="N69:O69"/>
    <mergeCell ref="AB72:AC72"/>
    <mergeCell ref="AD72:AE72"/>
    <mergeCell ref="R72:S72"/>
    <mergeCell ref="T72:U72"/>
    <mergeCell ref="V72:W72"/>
    <mergeCell ref="X72:Y72"/>
    <mergeCell ref="Z72:AA72"/>
    <mergeCell ref="AD70:AE70"/>
    <mergeCell ref="L72:M72"/>
    <mergeCell ref="N72:O72"/>
    <mergeCell ref="P72:Q72"/>
    <mergeCell ref="AD71:AE71"/>
    <mergeCell ref="L71:M71"/>
    <mergeCell ref="AB69:AC69"/>
    <mergeCell ref="X68:Y68"/>
    <mergeCell ref="Z68:AA68"/>
    <mergeCell ref="AB68:AC68"/>
    <mergeCell ref="L68:M68"/>
    <mergeCell ref="N68:O68"/>
    <mergeCell ref="P68:Q68"/>
    <mergeCell ref="R68:S68"/>
    <mergeCell ref="T68:U68"/>
    <mergeCell ref="V68:W68"/>
    <mergeCell ref="T69:U69"/>
    <mergeCell ref="V69:W69"/>
    <mergeCell ref="X69:Y69"/>
    <mergeCell ref="Z69:AA69"/>
    <mergeCell ref="P69:Q69"/>
    <mergeCell ref="R69:S69"/>
    <mergeCell ref="C68:C69"/>
    <mergeCell ref="H68:I68"/>
    <mergeCell ref="J68:K68"/>
    <mergeCell ref="H69:I69"/>
    <mergeCell ref="J69:K69"/>
    <mergeCell ref="H67:I67"/>
    <mergeCell ref="J67:K67"/>
    <mergeCell ref="L67:M67"/>
    <mergeCell ref="AD67:AE67"/>
    <mergeCell ref="B8:C8"/>
    <mergeCell ref="AB67:AC67"/>
    <mergeCell ref="N67:O67"/>
    <mergeCell ref="P67:Q67"/>
    <mergeCell ref="B12:B13"/>
    <mergeCell ref="C12:C13"/>
    <mergeCell ref="R67:S67"/>
    <mergeCell ref="AD68:AE68"/>
    <mergeCell ref="T67:U67"/>
    <mergeCell ref="V67:W67"/>
    <mergeCell ref="X67:Y67"/>
    <mergeCell ref="Z67:AA67"/>
    <mergeCell ref="AC2:AE2"/>
    <mergeCell ref="B4:D4"/>
    <mergeCell ref="G4:I4"/>
    <mergeCell ref="J4:L4"/>
    <mergeCell ref="B5:D5"/>
    <mergeCell ref="G5:I5"/>
    <mergeCell ref="J5:L5"/>
    <mergeCell ref="M5:AE5"/>
    <mergeCell ref="B78:C78"/>
    <mergeCell ref="V71:W71"/>
    <mergeCell ref="X71:Y71"/>
    <mergeCell ref="Z71:AA71"/>
    <mergeCell ref="H70:I70"/>
    <mergeCell ref="J70:K70"/>
    <mergeCell ref="L70:M70"/>
    <mergeCell ref="N70:O70"/>
    <mergeCell ref="H71:I71"/>
    <mergeCell ref="J71:K71"/>
    <mergeCell ref="N71:O71"/>
    <mergeCell ref="P71:Q71"/>
    <mergeCell ref="R71:S71"/>
    <mergeCell ref="T71:U71"/>
    <mergeCell ref="P70:Q70"/>
    <mergeCell ref="R70:S70"/>
    <mergeCell ref="C70:C71"/>
    <mergeCell ref="H72:I72"/>
    <mergeCell ref="J72:K72"/>
    <mergeCell ref="X70:Y70"/>
    <mergeCell ref="AB71:AC71"/>
    <mergeCell ref="Z70:AA70"/>
    <mergeCell ref="AB70:AC70"/>
    <mergeCell ref="T70:U70"/>
    <mergeCell ref="V70:W70"/>
  </mergeCells>
  <phoneticPr fontId="38" type="noConversion"/>
  <conditionalFormatting sqref="E1 G1:AE1">
    <cfRule type="expression" dxfId="363" priority="505" stopIfTrue="1">
      <formula>IF(OR(E$12&gt;CÁLCULO.NúmeroDeFrentes,ACOMPANHAMENTO="BM"),TRUE,CRONOPLE.ValorDoEvento=0)</formula>
    </cfRule>
  </conditionalFormatting>
  <conditionalFormatting sqref="U4:Y4">
    <cfRule type="expression" dxfId="362" priority="395" stopIfTrue="1">
      <formula>QCI.ExisteManual</formula>
    </cfRule>
  </conditionalFormatting>
  <conditionalFormatting sqref="J67:AE67">
    <cfRule type="expression" dxfId="361" priority="394" stopIfTrue="1">
      <formula>OFFSET(J67,3,-2)=1</formula>
    </cfRule>
  </conditionalFormatting>
  <conditionalFormatting sqref="J68:AE68">
    <cfRule type="expression" dxfId="360" priority="389" stopIfTrue="1">
      <formula>OFFSET(J68,2,-2)=1</formula>
    </cfRule>
  </conditionalFormatting>
  <conditionalFormatting sqref="J69:AE69">
    <cfRule type="expression" dxfId="359" priority="388" stopIfTrue="1">
      <formula>OFFSET(J69,1,-2)=1</formula>
    </cfRule>
  </conditionalFormatting>
  <conditionalFormatting sqref="J70:AE70">
    <cfRule type="expression" dxfId="358" priority="387" stopIfTrue="1">
      <formula>OFFSET(J70,0,-2)=1</formula>
    </cfRule>
  </conditionalFormatting>
  <conditionalFormatting sqref="J71:AE71">
    <cfRule type="expression" dxfId="357" priority="386" stopIfTrue="1">
      <formula>OFFSET(J71,-1,-2)=1</formula>
    </cfRule>
  </conditionalFormatting>
  <conditionalFormatting sqref="B15:C15 E15 G15:AF15">
    <cfRule type="expression" dxfId="356" priority="210">
      <formula>$B$15=0</formula>
    </cfRule>
  </conditionalFormatting>
  <conditionalFormatting sqref="B8:C8">
    <cfRule type="expression" dxfId="355" priority="209">
      <formula>$B$7=""</formula>
    </cfRule>
  </conditionalFormatting>
  <conditionalFormatting sqref="J72:AE72">
    <cfRule type="expression" dxfId="354" priority="208">
      <formula>OFFSET(J72,-2,-2)=1</formula>
    </cfRule>
  </conditionalFormatting>
  <conditionalFormatting sqref="H72:AE72">
    <cfRule type="expression" dxfId="353" priority="207">
      <formula>ROUND(H72,4)&gt;ROUND(H70,4)</formula>
    </cfRule>
  </conditionalFormatting>
  <conditionalFormatting sqref="E16:E24 G16:AE24">
    <cfRule type="expression" dxfId="352" priority="6" stopIfTrue="1">
      <formula>IF(OR(E$12&gt;CÁLCULO.NúmeroDeFrentes,ACOMPANHAMENTO="BM"),TRUE,CRONOPLE.ValorDoEvento=0)</formula>
    </cfRule>
  </conditionalFormatting>
  <conditionalFormatting sqref="E25:E33 G25:AE33">
    <cfRule type="expression" dxfId="351" priority="5" stopIfTrue="1">
      <formula>IF(OR(E$12&gt;CÁLCULO.NúmeroDeFrentes,ACOMPANHAMENTO="BM"),TRUE,CRONOPLE.ValorDoEvento=0)</formula>
    </cfRule>
  </conditionalFormatting>
  <conditionalFormatting sqref="E34:E42 G34:AE42">
    <cfRule type="expression" dxfId="350" priority="4" stopIfTrue="1">
      <formula>IF(OR(E$12&gt;CÁLCULO.NúmeroDeFrentes,ACOMPANHAMENTO="BM"),TRUE,CRONOPLE.ValorDoEvento=0)</formula>
    </cfRule>
  </conditionalFormatting>
  <conditionalFormatting sqref="E43:E51 G43:AE51">
    <cfRule type="expression" dxfId="349" priority="3" stopIfTrue="1">
      <formula>IF(OR(E$12&gt;CÁLCULO.NúmeroDeFrentes,ACOMPANHAMENTO="BM"),TRUE,CRONOPLE.ValorDoEvento=0)</formula>
    </cfRule>
  </conditionalFormatting>
  <conditionalFormatting sqref="E52:E60 G52:AE60">
    <cfRule type="expression" dxfId="348" priority="2" stopIfTrue="1">
      <formula>IF(OR(E$12&gt;CÁLCULO.NúmeroDeFrentes,ACOMPANHAMENTO="BM"),TRUE,CRONOPLE.ValorDoEvento=0)</formula>
    </cfRule>
  </conditionalFormatting>
  <conditionalFormatting sqref="E61:E64 G61:AE64">
    <cfRule type="expression" dxfId="347"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700-000000000000}">
      <formula1>0</formula1>
      <formula2>0</formula2>
    </dataValidation>
    <dataValidation type="list" allowBlank="1" showErrorMessage="1" errorTitle="Atenção" error="Selecione uma opção da lista." sqref="B8:C8" xr:uid="{00000000-0002-0000-0700-000001000000}">
      <formula1>$F$15:$F$65</formula1>
    </dataValidation>
  </dataValidations>
  <pageMargins left="0.78740157480314998" right="0.78740157480314998" top="0.78740157480314998" bottom="0.78740157480314998" header="0.59055118110236204" footer="0.59055118110236204"/>
  <pageSetup paperSize="9" scale="46" firstPageNumber="0" orientation="landscape" horizontalDpi="300" verticalDpi="300" r:id="rId1"/>
  <headerFooter alignWithMargins="0">
    <oddHeader>&amp;L_&amp;C&amp;14I</oddHeader>
    <oddFooter>&amp;LPMv3.08&amp;R&amp;P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G181"/>
  <sheetViews>
    <sheetView showGridLines="0" tabSelected="1" zoomScaleNormal="100" zoomScaleSheetLayoutView="90" workbookViewId="0">
      <pane xSplit="20" ySplit="13" topLeftCell="U18" activePane="bottomRight" state="frozen"/>
      <selection pane="topRight" activeCell="T4" sqref="T4"/>
      <selection pane="bottomLeft" activeCell="F14" sqref="F14"/>
      <selection pane="bottomRight" activeCell="AC30" sqref="AC30"/>
    </sheetView>
  </sheetViews>
  <sheetFormatPr defaultColWidth="9.109375" defaultRowHeight="13.2" x14ac:dyDescent="0.25"/>
  <cols>
    <col min="1" max="1" width="9.109375" style="145" hidden="1" customWidth="1"/>
    <col min="2" max="4" width="9.109375" style="144" hidden="1" customWidth="1"/>
    <col min="5" max="5" width="11" style="145" hidden="1" customWidth="1"/>
    <col min="6" max="6" width="19" style="144" hidden="1" customWidth="1"/>
    <col min="7" max="7" width="3.6640625" style="145" customWidth="1"/>
    <col min="8" max="8" width="12.6640625" style="144" customWidth="1"/>
    <col min="9" max="9" width="7.109375" style="145" customWidth="1"/>
    <col min="10" max="10" width="11.6640625" style="145" customWidth="1"/>
    <col min="11" max="11" width="12" style="145" customWidth="1"/>
    <col min="12" max="12" width="11" style="145" customWidth="1"/>
    <col min="13" max="18" width="9.109375" style="144" hidden="1" customWidth="1"/>
    <col min="19" max="19" width="11.44140625" style="146" customWidth="1"/>
    <col min="20" max="20" width="9.6640625" style="146" customWidth="1"/>
    <col min="21" max="32" width="11" style="145" customWidth="1"/>
    <col min="33" max="33" width="5.6640625" style="145" hidden="1" customWidth="1"/>
    <col min="34" max="16384" width="9.109375" style="145"/>
  </cols>
  <sheetData>
    <row r="1" spans="1:33" hidden="1" x14ac:dyDescent="0.25">
      <c r="A1" s="145" t="e">
        <f ca="1">IF($M1&gt;1,CONCATENATE($I1," ",$J1),"")</f>
        <v>#REF!</v>
      </c>
      <c r="B1" s="144" t="e">
        <f ca="1">OFFSET(B1,-3,0)+1</f>
        <v>#REF!</v>
      </c>
      <c r="C1" s="144" t="e">
        <f ca="1">IF($R1&lt;&gt;2,0,IF($S1=0,1,IF(F2&gt;0,OFFSET(QCI!$M$13,SUBSTITUTE(F2,".",""),0),OFFSET(ORÇAMENTO!$AA$15,CRONO!$F1,0))/$S1))</f>
        <v>#REF!</v>
      </c>
      <c r="D1" s="144" t="e">
        <f ca="1">IF($R1&lt;&gt;2,0,IF($S1=0,1,IF(F2&gt;0,OFFSET(QCI!$N$13,SUBSTITUTE(F2,".",""),0),OFFSET(ORÇAMENTO!$AB$15,CRONO!$F1,0))/$S1))</f>
        <v>#REF!</v>
      </c>
      <c r="E1" s="147" t="e">
        <f ca="1">IF(AND($R1=2,ACOMPANHAMENTO="BM"),ROUND(E2,4),E3/$S1)</f>
        <v>#REF!</v>
      </c>
      <c r="F1" s="144" t="e">
        <f ca="1">IF(B1&lt;=ORÇAMENTO.MáximoListaCrono,MATCH(B1,ORÇAMENTO.ListaCrono,0),NA())</f>
        <v>#REF!</v>
      </c>
      <c r="G1" s="144" t="e">
        <f ca="1">IF(AND($F2&lt;&gt;-1,$S1&gt;0),"F","")</f>
        <v>#REF!</v>
      </c>
      <c r="H1" s="617" t="e">
        <f ca="1">IF(OR(S1=0,S1=""),"Linha",IF(AND(OR(ACOMPANHAMENTO="PLE",$R1&lt;&gt;2),$F2=0),"Linha",ROUND(1-SUM(U1:AG1),4)))</f>
        <v>#REF!</v>
      </c>
      <c r="I1" s="148" t="e">
        <f ca="1">IF($F2=0,OFFSET(ORÇAMENTO!O$15,$F1,0),IF($F2&lt;&gt;-1,OFFSET(QCI!$D$13,$F2,0),""))</f>
        <v>#REF!</v>
      </c>
      <c r="J1" s="149" t="e">
        <f ca="1">IF($F2=0,OFFSET(ORÇAMENTO!R$15,$F1,0),IF($F2&lt;&gt;-1,OFFSET(QCI!$G$13,$F2,0),""))</f>
        <v>#REF!</v>
      </c>
      <c r="K1" s="149"/>
      <c r="L1" s="149"/>
      <c r="M1" s="150" t="e">
        <f ca="1">IF($F2=0,OFFSET(ORÇAMENTO!C$15,$F1,0),1)</f>
        <v>#REF!</v>
      </c>
      <c r="N1" s="151" t="e">
        <f ca="1">IF($F2=-1,0,IF(N$13&lt;=$M1,IF(ISERROR(MATCH(N$13,OFFSET($M1,1,0,ROW($M$164)-ROW($M1)-1),0)),ROW($M$164)-ROW($M1)-1,MATCH(N$13,OFFSET($M1,1,0,ROW($M$164)-ROW($M1)-1),0)-1),0))</f>
        <v>#REF!</v>
      </c>
      <c r="O1" s="151" t="e">
        <f ca="1">IF($F2=-1,0,IF(O$13&lt;=$M1,IF(ISERROR(MATCH(O$13,OFFSET($M1,1,0,ROW($M$164)-ROW($M1)-1),0)),ROW($M$164)-ROW($M1)-1,MATCH(O$13,OFFSET($M1,1,0,ROW($M$164)-ROW($M1)-1),0)-1),0))</f>
        <v>#REF!</v>
      </c>
      <c r="P1" s="151" t="e">
        <f ca="1">IF($F2=-1,0,IF(P$13&lt;=$M1,IF(ISERROR(MATCH(P$13,OFFSET($M1,1,0,ROW($M$164)-ROW($M1)-1),0)),ROW($M$164)-ROW($M1)-1,MATCH(P$13,OFFSET($M1,1,0,ROW($M$164)-ROW($M1)-1),0)-1),0))</f>
        <v>#REF!</v>
      </c>
      <c r="Q1" s="151" t="e">
        <f ca="1">IF($F2=-1,0,IF(Q$13&lt;=$M1,IF(ISERROR(MATCH(Q$13,OFFSET($M1,1,0,ROW($M$164)-ROW($M1)-1),0)),ROW($M$164)-ROW($M1)-1,MATCH(Q$13,OFFSET($M1,1,0,ROW($M$164)-ROW($M1)-1),0)-1),0))</f>
        <v>#REF!</v>
      </c>
      <c r="R1" s="151" t="e">
        <f ca="1">MIN(OFFSET(M1,0,1,,M1))</f>
        <v>#REF!</v>
      </c>
      <c r="S1" s="152" t="e">
        <f ca="1">IF($F2=0,OFFSET(ORÇAMENTO!X$15,$F1,0),IF($F2&lt;&gt;-1,OFFSET(QCI!$O$13,$F2,0),""))</f>
        <v>#REF!</v>
      </c>
      <c r="T1" s="618" t="s">
        <v>809</v>
      </c>
      <c r="U1" s="147" t="e">
        <f ca="1">IF(AND($R1=2,ACOMPANHAMENTO="BM"),ROUND(U2,4),U3/$S1)</f>
        <v>#REF!</v>
      </c>
      <c r="V1" s="147" t="e">
        <f ca="1">IF(AND($R1=2,ACOMPANHAMENTO="BM"),ROUND(V2,4),V3/$S1)</f>
        <v>#REF!</v>
      </c>
      <c r="W1" s="147" t="e">
        <f ca="1">IF(AND($R1=2,ACOMPANHAMENTO="BM"),ROUND(W2,4),W3/$S1)</f>
        <v>#REF!</v>
      </c>
      <c r="X1" s="147" t="e">
        <f ca="1">IF(AND($R1=2,ACOMPANHAMENTO="BM"),ROUND(X2,4),X3/$S1)</f>
        <v>#REF!</v>
      </c>
      <c r="Y1" s="147" t="e">
        <f ca="1">IF(AND($R1=2,ACOMPANHAMENTO="BM"),ROUND(Y2,4),Y3/$S1)</f>
        <v>#REF!</v>
      </c>
      <c r="Z1" s="147" t="e">
        <f ca="1">IF(AND($R1=2,ACOMPANHAMENTO="BM"),ROUND(Z2,4),Z3/$S1)</f>
        <v>#REF!</v>
      </c>
      <c r="AA1" s="147" t="e">
        <f ca="1">IF(AND($R1=2,ACOMPANHAMENTO="BM"),ROUND(AA2,4),AA3/$S1)</f>
        <v>#REF!</v>
      </c>
      <c r="AB1" s="147" t="e">
        <f ca="1">IF(AND($R1=2,ACOMPANHAMENTO="BM"),ROUND(AB2,4),AB3/$S1)</f>
        <v>#REF!</v>
      </c>
      <c r="AC1" s="147" t="e">
        <f ca="1">IF(AND($R1=2,ACOMPANHAMENTO="BM"),ROUND(AC2,4),AC3/$S1)</f>
        <v>#REF!</v>
      </c>
      <c r="AD1" s="147" t="e">
        <f ca="1">IF(AND($R1=2,ACOMPANHAMENTO="BM"),ROUND(AD2,4),AD3/$S1)</f>
        <v>#REF!</v>
      </c>
      <c r="AE1" s="147" t="e">
        <f ca="1">IF(AND($R1=2,ACOMPANHAMENTO="BM"),ROUND(AE2,4),AE3/$S1)</f>
        <v>#REF!</v>
      </c>
      <c r="AF1" s="147" t="e">
        <f ca="1">IF(AND($R1=2,ACOMPANHAMENTO="BM"),ROUND(AF2,4),AF3/$S1)</f>
        <v>#REF!</v>
      </c>
      <c r="AG1" s="444"/>
    </row>
    <row r="2" spans="1:33" ht="12.75" hidden="1" customHeight="1" x14ac:dyDescent="0.25">
      <c r="E2" s="501"/>
      <c r="F2" s="144" t="e">
        <f ca="1">IF(ISERROR(F1),IF(1+COUNTIF($M$13:OFFSET(M1,-1,0),1)&lt;=MAX(QCI!$D$13:$D$24),1+COUNTIF($M$13:OFFSET(M1,-1,0),1),-1),0)</f>
        <v>#REF!</v>
      </c>
      <c r="G2" s="144" t="e">
        <f ca="1">IF(ACOMPANHAMENTO="BM",OFFSET(G2,-1,0),"")</f>
        <v>#REF!</v>
      </c>
      <c r="H2" s="153" t="e">
        <f ca="1">IF(OR(S1=0,S1=""),"vazia",IF(AND(OR(ACOMPANHAMENTO="PLE",$R1&lt;&gt;2),$F2=0),"calculada","--&gt;"))</f>
        <v>#REF!</v>
      </c>
      <c r="I2" s="154"/>
      <c r="J2" s="155" t="e">
        <f ca="1">IF(AND(H1&lt;&gt;0,ISNUMBER(H1)),"PREENCHA ESTA LINHA --&gt;","")</f>
        <v>#REF!</v>
      </c>
      <c r="K2" s="155"/>
      <c r="L2" s="155"/>
      <c r="M2" s="156"/>
      <c r="N2" s="156"/>
      <c r="O2" s="156"/>
      <c r="P2" s="156"/>
      <c r="Q2" s="156"/>
      <c r="R2" s="156"/>
      <c r="S2" s="157"/>
      <c r="T2" s="158"/>
      <c r="U2" s="501"/>
      <c r="V2" s="501"/>
      <c r="W2" s="501"/>
      <c r="X2" s="501"/>
      <c r="Y2" s="501"/>
      <c r="Z2" s="501"/>
      <c r="AA2" s="501"/>
      <c r="AB2" s="501"/>
      <c r="AC2" s="501"/>
      <c r="AD2" s="501"/>
      <c r="AE2" s="501"/>
      <c r="AF2" s="501"/>
      <c r="AG2" s="444"/>
    </row>
    <row r="3" spans="1:33" ht="12.75" hidden="1" customHeight="1" x14ac:dyDescent="0.25">
      <c r="D3" s="443"/>
      <c r="E3" s="159" t="e">
        <f ca="1">IF($R1=2,
         IF(AND(ACOMPANHAMENTO="PLE",ISNUMBER($F1)),
                SUMIF((OFFSET(CÁLCULO!$AM$15:$AW$15,$F1,0,OFFSET(ORÇAMENTO!$D$15,CRONO!$F1,0))),CRONO!E$12,OFFSET(CÁLCULO!$AB$15:$AL$15,$F1,0,OFFSET(ORÇAMENTO!$D$15,CRONO!$F1,0)))
                +IF(AND($F3&lt;&gt;"",$F3&lt;&gt;0),
                        SUMIF(CÁLCULO!$AM$15:$AW$36,CRONO!E$12,CÁLCULO!$AB$15:$AL$36)/(ORÇAMENTO!$X$15-CÁLCULO.TotalAdmLocal)*CRONO!$F3,
                        0),
                 E2*$S1),
          SUMIF(OFFSET($S3,1,0,$R1-2),($M1+1)&amp;"$",OFFSET(E3,1,0,$R1-2)))</f>
        <v>#REF!</v>
      </c>
      <c r="F3" s="144" t="e">
        <f ca="1">IF(OR($R1&lt;&gt;2,AUTOEVENTO&lt;&gt;"manual",$F2&gt;0),"",
        IF(Import.TipoArredondamento="Tradicional",
              SUMIF(OFFSET(CÁLCULO!$M$15,CRONO!$F1,0,OFFSET(ORÇAMENTO!$D$15,CRONO!$F1,0)),1,OFFSET(ORÇAMENTO!$X$15,CRONO!$F1,0,OFFSET(ORÇAMENTO!$D$15,CRONO!$F1,0))),
              0))</f>
        <v>#REF!</v>
      </c>
      <c r="H3" s="530"/>
      <c r="S3" s="160" t="e">
        <f ca="1">M1&amp;"$"</f>
        <v>#REF!</v>
      </c>
      <c r="T3" s="161"/>
      <c r="U3" s="159" t="e">
        <f ca="1">IF($R1=2,
         IF(AND(ACOMPANHAMENTO="PLE",ISNUMBER($F1)),
                SUMIF((OFFSET(CÁLCULO!$AM$15:$AW$15,$F1,0,OFFSET(ORÇAMENTO!$D$15,CRONO!$F1,0))),CRONO!U$12,OFFSET(CÁLCULO!$AB$15:$AL$15,$F1,0,OFFSET(ORÇAMENTO!$D$15,CRONO!$F1,0)))
                +IF(AND($F3&lt;&gt;"",$F3&lt;&gt;0),
                        SUMIF(CÁLCULO!$AM$15:$AW$36,CRONO!U$12,CÁLCULO!$AB$15:$AL$36)/(ORÇAMENTO!$X$15-CÁLCULO.TotalAdmLocal)*CRONO!$F3,
                        0),
                 U2*$S1),
          SUMIF(OFFSET($S3,1,0,$R1-2),($M1+1)&amp;"$",OFFSET(U3,1,0,$R1-2)))</f>
        <v>#REF!</v>
      </c>
      <c r="V3" s="159" t="e">
        <f ca="1">IF($R1=2,
         IF(AND(ACOMPANHAMENTO="PLE",ISNUMBER($F1)),
                SUMIF((OFFSET(CÁLCULO!$AM$15:$AW$15,$F1,0,OFFSET(ORÇAMENTO!$D$15,CRONO!$F1,0))),CRONO!V$12,OFFSET(CÁLCULO!$AB$15:$AL$15,$F1,0,OFFSET(ORÇAMENTO!$D$15,CRONO!$F1,0)))
                +IF(AND($F3&lt;&gt;"",$F3&lt;&gt;0),
                        SUMIF(CÁLCULO!$AM$15:$AW$36,CRONO!V$12,CÁLCULO!$AB$15:$AL$36)/(ORÇAMENTO!$X$15-CÁLCULO.TotalAdmLocal)*CRONO!$F3,
                        0),
                 V2*$S1),
          SUMIF(OFFSET($S3,1,0,$R1-2),($M1+1)&amp;"$",OFFSET(V3,1,0,$R1-2)))</f>
        <v>#REF!</v>
      </c>
      <c r="W3" s="159" t="e">
        <f ca="1">IF($R1=2,
         IF(AND(ACOMPANHAMENTO="PLE",ISNUMBER($F1)),
                SUMIF((OFFSET(CÁLCULO!$AM$15:$AW$15,$F1,0,OFFSET(ORÇAMENTO!$D$15,CRONO!$F1,0))),CRONO!W$12,OFFSET(CÁLCULO!$AB$15:$AL$15,$F1,0,OFFSET(ORÇAMENTO!$D$15,CRONO!$F1,0)))
                +IF(AND($F3&lt;&gt;"",$F3&lt;&gt;0),
                        SUMIF(CÁLCULO!$AM$15:$AW$36,CRONO!W$12,CÁLCULO!$AB$15:$AL$36)/(ORÇAMENTO!$X$15-CÁLCULO.TotalAdmLocal)*CRONO!$F3,
                        0),
                 W2*$S1),
          SUMIF(OFFSET($S3,1,0,$R1-2),($M1+1)&amp;"$",OFFSET(W3,1,0,$R1-2)))</f>
        <v>#REF!</v>
      </c>
      <c r="X3" s="159" t="e">
        <f ca="1">IF($R1=2,
         IF(AND(ACOMPANHAMENTO="PLE",ISNUMBER($F1)),
                SUMIF((OFFSET(CÁLCULO!$AM$15:$AW$15,$F1,0,OFFSET(ORÇAMENTO!$D$15,CRONO!$F1,0))),CRONO!X$12,OFFSET(CÁLCULO!$AB$15:$AL$15,$F1,0,OFFSET(ORÇAMENTO!$D$15,CRONO!$F1,0)))
                +IF(AND($F3&lt;&gt;"",$F3&lt;&gt;0),
                        SUMIF(CÁLCULO!$AM$15:$AW$36,CRONO!X$12,CÁLCULO!$AB$15:$AL$36)/(ORÇAMENTO!$X$15-CÁLCULO.TotalAdmLocal)*CRONO!$F3,
                        0),
                 X2*$S1),
          SUMIF(OFFSET($S3,1,0,$R1-2),($M1+1)&amp;"$",OFFSET(X3,1,0,$R1-2)))</f>
        <v>#REF!</v>
      </c>
      <c r="Y3" s="159" t="e">
        <f ca="1">IF($R1=2,
         IF(AND(ACOMPANHAMENTO="PLE",ISNUMBER($F1)),
                SUMIF((OFFSET(CÁLCULO!$AM$15:$AW$15,$F1,0,OFFSET(ORÇAMENTO!$D$15,CRONO!$F1,0))),CRONO!Y$12,OFFSET(CÁLCULO!$AB$15:$AL$15,$F1,0,OFFSET(ORÇAMENTO!$D$15,CRONO!$F1,0)))
                +IF(AND($F3&lt;&gt;"",$F3&lt;&gt;0),
                        SUMIF(CÁLCULO!$AM$15:$AW$36,CRONO!Y$12,CÁLCULO!$AB$15:$AL$36)/(ORÇAMENTO!$X$15-CÁLCULO.TotalAdmLocal)*CRONO!$F3,
                        0),
                 Y2*$S1),
          SUMIF(OFFSET($S3,1,0,$R1-2),($M1+1)&amp;"$",OFFSET(Y3,1,0,$R1-2)))</f>
        <v>#REF!</v>
      </c>
      <c r="Z3" s="159" t="e">
        <f ca="1">IF($R1=2,
         IF(AND(ACOMPANHAMENTO="PLE",ISNUMBER($F1)),
                SUMIF((OFFSET(CÁLCULO!$AM$15:$AW$15,$F1,0,OFFSET(ORÇAMENTO!$D$15,CRONO!$F1,0))),CRONO!Z$12,OFFSET(CÁLCULO!$AB$15:$AL$15,$F1,0,OFFSET(ORÇAMENTO!$D$15,CRONO!$F1,0)))
                +IF(AND($F3&lt;&gt;"",$F3&lt;&gt;0),
                        SUMIF(CÁLCULO!$AM$15:$AW$36,CRONO!Z$12,CÁLCULO!$AB$15:$AL$36)/(ORÇAMENTO!$X$15-CÁLCULO.TotalAdmLocal)*CRONO!$F3,
                        0),
                 Z2*$S1),
          SUMIF(OFFSET($S3,1,0,$R1-2),($M1+1)&amp;"$",OFFSET(Z3,1,0,$R1-2)))</f>
        <v>#REF!</v>
      </c>
      <c r="AA3" s="159" t="e">
        <f ca="1">IF($R1=2,
         IF(AND(ACOMPANHAMENTO="PLE",ISNUMBER($F1)),
                SUMIF((OFFSET(CÁLCULO!$AM$15:$AW$15,$F1,0,OFFSET(ORÇAMENTO!$D$15,CRONO!$F1,0))),CRONO!AA$12,OFFSET(CÁLCULO!$AB$15:$AL$15,$F1,0,OFFSET(ORÇAMENTO!$D$15,CRONO!$F1,0)))
                +IF(AND($F3&lt;&gt;"",$F3&lt;&gt;0),
                        SUMIF(CÁLCULO!$AM$15:$AW$36,CRONO!AA$12,CÁLCULO!$AB$15:$AL$36)/(ORÇAMENTO!$X$15-CÁLCULO.TotalAdmLocal)*CRONO!$F3,
                        0),
                 AA2*$S1),
          SUMIF(OFFSET($S3,1,0,$R1-2),($M1+1)&amp;"$",OFFSET(AA3,1,0,$R1-2)))</f>
        <v>#REF!</v>
      </c>
      <c r="AB3" s="159" t="e">
        <f ca="1">IF($R1=2,
         IF(AND(ACOMPANHAMENTO="PLE",ISNUMBER($F1)),
                SUMIF((OFFSET(CÁLCULO!$AM$15:$AW$15,$F1,0,OFFSET(ORÇAMENTO!$D$15,CRONO!$F1,0))),CRONO!AB$12,OFFSET(CÁLCULO!$AB$15:$AL$15,$F1,0,OFFSET(ORÇAMENTO!$D$15,CRONO!$F1,0)))
                +IF(AND($F3&lt;&gt;"",$F3&lt;&gt;0),
                        SUMIF(CÁLCULO!$AM$15:$AW$36,CRONO!AB$12,CÁLCULO!$AB$15:$AL$36)/(ORÇAMENTO!$X$15-CÁLCULO.TotalAdmLocal)*CRONO!$F3,
                        0),
                 AB2*$S1),
          SUMIF(OFFSET($S3,1,0,$R1-2),($M1+1)&amp;"$",OFFSET(AB3,1,0,$R1-2)))</f>
        <v>#REF!</v>
      </c>
      <c r="AC3" s="159" t="e">
        <f ca="1">IF($R1=2,
         IF(AND(ACOMPANHAMENTO="PLE",ISNUMBER($F1)),
                SUMIF((OFFSET(CÁLCULO!$AM$15:$AW$15,$F1,0,OFFSET(ORÇAMENTO!$D$15,CRONO!$F1,0))),CRONO!AC$12,OFFSET(CÁLCULO!$AB$15:$AL$15,$F1,0,OFFSET(ORÇAMENTO!$D$15,CRONO!$F1,0)))
                +IF(AND($F3&lt;&gt;"",$F3&lt;&gt;0),
                        SUMIF(CÁLCULO!$AM$15:$AW$36,CRONO!AC$12,CÁLCULO!$AB$15:$AL$36)/(ORÇAMENTO!$X$15-CÁLCULO.TotalAdmLocal)*CRONO!$F3,
                        0),
                 AC2*$S1),
          SUMIF(OFFSET($S3,1,0,$R1-2),($M1+1)&amp;"$",OFFSET(AC3,1,0,$R1-2)))</f>
        <v>#REF!</v>
      </c>
      <c r="AD3" s="159" t="e">
        <f ca="1">IF($R1=2,
         IF(AND(ACOMPANHAMENTO="PLE",ISNUMBER($F1)),
                SUMIF((OFFSET(CÁLCULO!$AM$15:$AW$15,$F1,0,OFFSET(ORÇAMENTO!$D$15,CRONO!$F1,0))),CRONO!AD$12,OFFSET(CÁLCULO!$AB$15:$AL$15,$F1,0,OFFSET(ORÇAMENTO!$D$15,CRONO!$F1,0)))
                +IF(AND($F3&lt;&gt;"",$F3&lt;&gt;0),
                        SUMIF(CÁLCULO!$AM$15:$AW$36,CRONO!AD$12,CÁLCULO!$AB$15:$AL$36)/(ORÇAMENTO!$X$15-CÁLCULO.TotalAdmLocal)*CRONO!$F3,
                        0),
                 AD2*$S1),
          SUMIF(OFFSET($S3,1,0,$R1-2),($M1+1)&amp;"$",OFFSET(AD3,1,0,$R1-2)))</f>
        <v>#REF!</v>
      </c>
      <c r="AE3" s="159" t="e">
        <f ca="1">IF($R1=2,
         IF(AND(ACOMPANHAMENTO="PLE",ISNUMBER($F1)),
                SUMIF((OFFSET(CÁLCULO!$AM$15:$AW$15,$F1,0,OFFSET(ORÇAMENTO!$D$15,CRONO!$F1,0))),CRONO!AE$12,OFFSET(CÁLCULO!$AB$15:$AL$15,$F1,0,OFFSET(ORÇAMENTO!$D$15,CRONO!$F1,0)))
                +IF(AND($F3&lt;&gt;"",$F3&lt;&gt;0),
                        SUMIF(CÁLCULO!$AM$15:$AW$36,CRONO!AE$12,CÁLCULO!$AB$15:$AL$36)/(ORÇAMENTO!$X$15-CÁLCULO.TotalAdmLocal)*CRONO!$F3,
                        0),
                 AE2*$S1),
          SUMIF(OFFSET($S3,1,0,$R1-2),($M1+1)&amp;"$",OFFSET(AE3,1,0,$R1-2)))</f>
        <v>#REF!</v>
      </c>
      <c r="AF3" s="159" t="e">
        <f ca="1">IF($R1=2,
         IF(AND(ACOMPANHAMENTO="PLE",ISNUMBER($F1)),
                SUMIF((OFFSET(CÁLCULO!$AM$15:$AW$15,$F1,0,OFFSET(ORÇAMENTO!$D$15,CRONO!$F1,0))),CRONO!AF$12,OFFSET(CÁLCULO!$AB$15:$AL$15,$F1,0,OFFSET(ORÇAMENTO!$D$15,CRONO!$F1,0)))
                +IF(AND($F3&lt;&gt;"",$F3&lt;&gt;0),
                        SUMIF(CÁLCULO!$AM$15:$AW$36,CRONO!AF$12,CÁLCULO!$AB$15:$AL$36)/(ORÇAMENTO!$X$15-CÁLCULO.TotalAdmLocal)*CRONO!$F3,
                        0),
                 AF2*$S1),
          SUMIF(OFFSET($S3,1,0,$R1-2),($M1+1)&amp;"$",OFFSET(AF3,1,0,$R1-2)))</f>
        <v>#REF!</v>
      </c>
      <c r="AG3" s="444"/>
    </row>
    <row r="4" spans="1:33" ht="15" customHeight="1" x14ac:dyDescent="0.3">
      <c r="S4" s="162" t="str">
        <f>IF(TIPOORCAMENTO="licitado","CFF - CRONOGRAMA FÍSICO-FINANCEIRO LICITADO","CFF - CRONOGRAMA FÍSICO-FINANCEIRO")</f>
        <v>CFF - CRONOGRAMA FÍSICO-FINANCEIRO</v>
      </c>
      <c r="AE4" s="695" t="s">
        <v>650</v>
      </c>
      <c r="AF4" s="695"/>
    </row>
    <row r="5" spans="1:33" ht="15" x14ac:dyDescent="0.25">
      <c r="S5" s="61" t="str">
        <f>import.recurso</f>
        <v>OGU</v>
      </c>
      <c r="AE5" s="696" t="s">
        <v>653</v>
      </c>
      <c r="AF5" s="696"/>
    </row>
    <row r="6" spans="1:33" ht="12.75" customHeight="1" x14ac:dyDescent="0.25"/>
    <row r="7" spans="1:33" ht="12.75" customHeight="1" x14ac:dyDescent="0.25">
      <c r="F7" s="519"/>
      <c r="H7" s="760" t="s">
        <v>810</v>
      </c>
      <c r="I7" s="163" t="s">
        <v>656</v>
      </c>
      <c r="J7" s="164"/>
      <c r="K7" s="165" t="s">
        <v>811</v>
      </c>
      <c r="L7" s="166" t="s">
        <v>812</v>
      </c>
      <c r="M7" s="145"/>
      <c r="N7" s="145"/>
      <c r="O7" s="145"/>
      <c r="T7" s="167"/>
      <c r="U7" s="163" t="s">
        <v>781</v>
      </c>
      <c r="Y7" s="164"/>
      <c r="Z7" s="163" t="str">
        <f>IF(TIPOORCAMENTO="Licitado","NOME DA EMPRESA","DESCRIÇÃO DO LOTE")</f>
        <v>DESCRIÇÃO DO LOTE</v>
      </c>
      <c r="AF7" s="529" t="str">
        <f>IF(TIPOORCAMENTO="Licitado","Nº CTEF","")</f>
        <v/>
      </c>
    </row>
    <row r="8" spans="1:33" ht="13.8" x14ac:dyDescent="0.3">
      <c r="E8" s="144"/>
      <c r="F8" s="85"/>
      <c r="G8" s="683" t="s">
        <v>661</v>
      </c>
      <c r="H8" s="760"/>
      <c r="I8" s="751" t="str">
        <f>Import.CR</f>
        <v>S/ INFORMAÇÃO</v>
      </c>
      <c r="J8" s="751"/>
      <c r="K8" s="168" t="str">
        <f>Import.TransfereGOV</f>
        <v>S/ INFORMAÇÃO</v>
      </c>
      <c r="L8" s="750" t="str">
        <f>Import.Proponente</f>
        <v>PREFEITURA MUNICIPAL DE URUARÁ</v>
      </c>
      <c r="M8" s="750"/>
      <c r="N8" s="750"/>
      <c r="O8" s="750"/>
      <c r="P8" s="750"/>
      <c r="Q8" s="750"/>
      <c r="R8" s="750"/>
      <c r="S8" s="750"/>
      <c r="T8" s="750"/>
      <c r="U8" s="751" t="str">
        <f>Import.Apelido</f>
        <v>PAVIMENTAÇÃO DE VIAS NO MUNICÍPIO DE URUARÁ - PARÁ</v>
      </c>
      <c r="V8" s="751"/>
      <c r="W8" s="751"/>
      <c r="X8" s="751"/>
      <c r="Y8" s="751"/>
      <c r="Z8" s="761" t="str">
        <f>IF(TIPOORCAMENTO="Licitado",Import.empresa,Import.DescLote)</f>
        <v>PAVIMENTAÇÃO DE VIAS NO MUNICÍPIO DE URUARÁ - PARÁ</v>
      </c>
      <c r="AA8" s="761"/>
      <c r="AB8" s="761"/>
      <c r="AC8" s="761"/>
      <c r="AD8" s="761"/>
      <c r="AE8" s="761"/>
      <c r="AF8" s="530" t="str">
        <f>IF(TIPOORCAMENTO="Licitado",Import.CTEF,"")</f>
        <v/>
      </c>
    </row>
    <row r="9" spans="1:33" ht="13.8" x14ac:dyDescent="0.3">
      <c r="F9" s="85"/>
      <c r="G9" s="683"/>
      <c r="H9" s="760"/>
    </row>
    <row r="10" spans="1:33" x14ac:dyDescent="0.25">
      <c r="F10" s="144" cm="1">
        <f t="array" aca="1" ref="F10" ca="1">CRONO.LinhasNecessarias</f>
        <v>8</v>
      </c>
      <c r="G10" s="683"/>
      <c r="H10" s="169">
        <v>3</v>
      </c>
      <c r="K10" s="752" t="str">
        <f ca="1">IF(MAX($B$13:$B$164)&lt;CRONO.LinhasNecessarias,"ERRO: NÚMERO DE LINHAS DO CRONOGRAMA INSUFICIENTE. CLIQUE EM ATUALIZAR LINHAS.",IF(AND(ACOMPANHAMENTO="PLE",ROUND(OFFSET($AG$174,0,-1),2)=0),"CRONOGRAMA DEVE SER PREENCHIDO POR EVENTOS",IF(ROUND(OFFSET($AG$174,0,-1),2)&lt;&gt;$R$165,"ERRO: CRONOGRAMA NÃO FECHA 100%","")))</f>
        <v/>
      </c>
      <c r="L10" s="752"/>
      <c r="M10" s="752"/>
      <c r="N10" s="752"/>
      <c r="O10" s="752"/>
      <c r="P10" s="752"/>
      <c r="Q10" s="752"/>
      <c r="R10" s="752"/>
      <c r="S10" s="752"/>
      <c r="T10" s="752"/>
    </row>
    <row r="11" spans="1:33" ht="12.75" customHeight="1" x14ac:dyDescent="0.25">
      <c r="F11" s="144" cm="1">
        <f t="array" aca="1" ref="F11" ca="1">CRONO.ParcelaFinal</f>
        <v>9</v>
      </c>
      <c r="G11" s="683"/>
      <c r="I11" s="170"/>
      <c r="J11" s="170"/>
      <c r="K11" s="752"/>
      <c r="L11" s="752"/>
      <c r="M11" s="752"/>
      <c r="N11" s="752"/>
      <c r="O11" s="752"/>
      <c r="P11" s="752"/>
      <c r="Q11" s="752"/>
      <c r="R11" s="752"/>
      <c r="S11" s="752"/>
      <c r="T11" s="752"/>
    </row>
    <row r="12" spans="1:33" ht="12.75" customHeight="1" x14ac:dyDescent="0.25">
      <c r="A12" s="145" t="s">
        <v>813</v>
      </c>
      <c r="E12" s="619">
        <f ca="1">OFFSET(E12,0,-1)+1</f>
        <v>1</v>
      </c>
      <c r="G12" s="79" t="s">
        <v>666</v>
      </c>
      <c r="H12" s="754" t="s">
        <v>814</v>
      </c>
      <c r="I12" s="755" t="s">
        <v>742</v>
      </c>
      <c r="J12" s="756" t="s">
        <v>115</v>
      </c>
      <c r="K12" s="620"/>
      <c r="L12" s="620"/>
      <c r="M12" s="621"/>
      <c r="N12" s="621"/>
      <c r="O12" s="621"/>
      <c r="P12" s="621"/>
      <c r="Q12" s="621"/>
      <c r="R12" s="621"/>
      <c r="S12" s="759" t="s">
        <v>815</v>
      </c>
      <c r="T12" s="749" t="s">
        <v>816</v>
      </c>
      <c r="U12" s="622">
        <v>1</v>
      </c>
      <c r="V12" s="619">
        <f ca="1">OFFSET(V12,0,-1)+1</f>
        <v>2</v>
      </c>
      <c r="W12" s="619">
        <f t="shared" ref="W12:AF12" ca="1" si="0">OFFSET(W12,0,-1)+1</f>
        <v>3</v>
      </c>
      <c r="X12" s="619">
        <f t="shared" ca="1" si="0"/>
        <v>4</v>
      </c>
      <c r="Y12" s="619">
        <f t="shared" ca="1" si="0"/>
        <v>5</v>
      </c>
      <c r="Z12" s="619">
        <f t="shared" ca="1" si="0"/>
        <v>6</v>
      </c>
      <c r="AA12" s="619">
        <f t="shared" ca="1" si="0"/>
        <v>7</v>
      </c>
      <c r="AB12" s="619">
        <f t="shared" ca="1" si="0"/>
        <v>8</v>
      </c>
      <c r="AC12" s="619">
        <f t="shared" ca="1" si="0"/>
        <v>9</v>
      </c>
      <c r="AD12" s="619">
        <f t="shared" ca="1" si="0"/>
        <v>10</v>
      </c>
      <c r="AE12" s="619">
        <f t="shared" ca="1" si="0"/>
        <v>11</v>
      </c>
      <c r="AF12" s="623">
        <f t="shared" ca="1" si="0"/>
        <v>12</v>
      </c>
      <c r="AG12" s="444"/>
    </row>
    <row r="13" spans="1:33" ht="24.9" customHeight="1" x14ac:dyDescent="0.25">
      <c r="B13" s="524" t="s">
        <v>817</v>
      </c>
      <c r="C13" s="524" t="s">
        <v>462</v>
      </c>
      <c r="D13" s="524" t="s">
        <v>818</v>
      </c>
      <c r="E13" s="171" t="e">
        <f ca="1">OFFSET(E13,0,-1)+41-DAY(OFFSET(E13,0,-1)+40)</f>
        <v>#VALUE!</v>
      </c>
      <c r="F13" s="524" t="s">
        <v>819</v>
      </c>
      <c r="H13" s="754"/>
      <c r="I13" s="755"/>
      <c r="J13" s="756"/>
      <c r="K13" s="172"/>
      <c r="L13" s="172"/>
      <c r="M13" s="173" t="s">
        <v>740</v>
      </c>
      <c r="N13" s="173">
        <v>1</v>
      </c>
      <c r="O13" s="173">
        <v>2</v>
      </c>
      <c r="P13" s="173">
        <v>3</v>
      </c>
      <c r="Q13" s="173">
        <v>4</v>
      </c>
      <c r="R13" s="174" t="s">
        <v>820</v>
      </c>
      <c r="S13" s="759"/>
      <c r="T13" s="749"/>
      <c r="U13" s="175">
        <v>46235</v>
      </c>
      <c r="V13" s="171">
        <f ca="1">OFFSET(V13,0,-1)+41-DAY(OFFSET(V13,0,-1)+40)</f>
        <v>46266</v>
      </c>
      <c r="W13" s="171">
        <f ca="1">OFFSET(W13,0,-1)+41-DAY(OFFSET(W13,0,-1)+40)</f>
        <v>46296</v>
      </c>
      <c r="X13" s="171">
        <f t="shared" ref="X13:AF13" ca="1" si="1">OFFSET(X13,0,-1)+41-DAY(OFFSET(X13,0,-1)+40)</f>
        <v>46327</v>
      </c>
      <c r="Y13" s="171">
        <f t="shared" ca="1" si="1"/>
        <v>46357</v>
      </c>
      <c r="Z13" s="171">
        <f t="shared" ca="1" si="1"/>
        <v>46388</v>
      </c>
      <c r="AA13" s="171">
        <f t="shared" ca="1" si="1"/>
        <v>46419</v>
      </c>
      <c r="AB13" s="171">
        <f t="shared" ca="1" si="1"/>
        <v>46447</v>
      </c>
      <c r="AC13" s="171">
        <f t="shared" ca="1" si="1"/>
        <v>46478</v>
      </c>
      <c r="AD13" s="171">
        <f t="shared" ca="1" si="1"/>
        <v>46508</v>
      </c>
      <c r="AE13" s="171">
        <f t="shared" ca="1" si="1"/>
        <v>46539</v>
      </c>
      <c r="AF13" s="447">
        <f t="shared" ca="1" si="1"/>
        <v>46569</v>
      </c>
      <c r="AG13" s="444"/>
    </row>
    <row r="14" spans="1:33" x14ac:dyDescent="0.25">
      <c r="A14" s="145" t="str">
        <f t="shared" ref="A14" ca="1" si="2">IF($M14&gt;1,CONCATENATE($I14," ",$J14),"")</f>
        <v/>
      </c>
      <c r="B14" s="144">
        <f t="shared" ref="B14" ca="1" si="3">OFFSET(B14,-3,0)+1</f>
        <v>1</v>
      </c>
      <c r="C14" s="144">
        <f ca="1">IF($R14&lt;&gt;2,0,IF($S14=0,1,IF(F15&gt;0,OFFSET(QCI!$M$13,SUBSTITUTE(F15,".",""),0),OFFSET(ORÇAMENTO!$AA$15,CRONO!$F14,0))/$S14))</f>
        <v>0</v>
      </c>
      <c r="D14" s="144">
        <f ca="1">IF($R14&lt;&gt;2,0,IF($S14=0,1,IF(F15&gt;0,OFFSET(QCI!$N$13,SUBSTITUTE(F15,".",""),0),OFFSET(ORÇAMENTO!$AB$15,CRONO!$F14,0))/$S14))</f>
        <v>0</v>
      </c>
      <c r="E14" s="147">
        <f ca="1">IF(AND($R14=2,ACOMPANHAMENTO="BM"),ROUND(E15,4),E16/$S14)</f>
        <v>0</v>
      </c>
      <c r="F14" s="144">
        <f ca="1">IF(B14&lt;=ORÇAMENTO.MáximoListaCrono,MATCH(B14,ORÇAMENTO.ListaCrono,0),NA())</f>
        <v>1</v>
      </c>
      <c r="G14" s="144" t="str">
        <f t="shared" ref="G14" ca="1" si="4">IF(AND($F15&lt;&gt;-1,$S14&gt;0),"F","")</f>
        <v>F</v>
      </c>
      <c r="H14" s="617" t="str">
        <f ca="1">IF(OR(S14=0,S14=""),"Linha",IF(AND(OR(ACOMPANHAMENTO="PLE",$R14&lt;&gt;2),$F15=0),"Linha",ROUND(1-SUM(U14:AG14),4)))</f>
        <v>Linha</v>
      </c>
      <c r="I14" s="148" t="str">
        <f ca="1">IF($F15=0,OFFSET(ORÇAMENTO!O$15,$F14,0),IF($F15&lt;&gt;-1,OFFSET(QCI!$D$13,$F15,0),""))</f>
        <v>1.</v>
      </c>
      <c r="J14" s="149" t="str">
        <f ca="1">IF($F15=0,OFFSET(ORÇAMENTO!R$15,$F14,0),IF($F15&lt;&gt;-1,OFFSET(QCI!$G$13,$F15,0),""))</f>
        <v>PAVIMENTAÇÃO ASFÁLTICA</v>
      </c>
      <c r="K14" s="149"/>
      <c r="L14" s="149"/>
      <c r="M14" s="150">
        <f ca="1">IF($F15=0,OFFSET(ORÇAMENTO!C$15,$F14,0),1)</f>
        <v>1</v>
      </c>
      <c r="N14" s="151">
        <f ca="1">IF($F15=-1,0,IF(N$13&lt;=$M14,IF(ISERROR(MATCH(N$13,OFFSET($M14,1,0,ROW($M$164)-ROW($M14)-1),0)),ROW($M$164)-ROW($M14)-1,MATCH(N$13,OFFSET($M14,1,0,ROW($M$164)-ROW($M14)-1),0)-1),0))</f>
        <v>23</v>
      </c>
      <c r="O14" s="151">
        <f ca="1">IF($F15=-1,0,IF(O$13&lt;=$M14,IF(ISERROR(MATCH(O$13,OFFSET($M14,1,0,ROW($M$164)-ROW($M14)-1),0)),ROW($M$164)-ROW($M14)-1,MATCH(O$13,OFFSET($M14,1,0,ROW($M$164)-ROW($M14)-1),0)-1),0))</f>
        <v>0</v>
      </c>
      <c r="P14" s="151">
        <f ca="1">IF($F15=-1,0,IF(P$13&lt;=$M14,IF(ISERROR(MATCH(P$13,OFFSET($M14,1,0,ROW($M$164)-ROW($M14)-1),0)),ROW($M$164)-ROW($M14)-1,MATCH(P$13,OFFSET($M14,1,0,ROW($M$164)-ROW($M14)-1),0)-1),0))</f>
        <v>0</v>
      </c>
      <c r="Q14" s="151">
        <f ca="1">IF($F15=-1,0,IF(Q$13&lt;=$M14,IF(ISERROR(MATCH(Q$13,OFFSET($M14,1,0,ROW($M$164)-ROW($M14)-1),0)),ROW($M$164)-ROW($M14)-1,MATCH(Q$13,OFFSET($M14,1,0,ROW($M$164)-ROW($M14)-1),0)-1),0))</f>
        <v>0</v>
      </c>
      <c r="R14" s="151">
        <f t="shared" ref="R14" ca="1" si="5">MIN(OFFSET(M14,0,1,,M14))</f>
        <v>23</v>
      </c>
      <c r="S14" s="152">
        <f ca="1">IF($F15=0,OFFSET(ORÇAMENTO!X$15,$F14,0),IF($F15&lt;&gt;-1,OFFSET(QCI!$O$13,$F15,0),""))</f>
        <v>6242923.6299999999</v>
      </c>
      <c r="T14" s="618" t="s">
        <v>809</v>
      </c>
      <c r="U14" s="147">
        <f ca="1">IF(AND($R14=2,ACOMPANHAMENTO="BM"),ROUND(U15,4),U16/$S14)</f>
        <v>0.11865210024633925</v>
      </c>
      <c r="V14" s="147">
        <f ca="1">IF(AND($R14=2,ACOMPANHAMENTO="BM"),ROUND(V15,4),V16/$S14)</f>
        <v>0.10394358764068368</v>
      </c>
      <c r="W14" s="147">
        <f ca="1">IF(AND($R14=2,ACOMPANHAMENTO="BM"),ROUND(W15,4),W16/$S14)</f>
        <v>0.10556035838868655</v>
      </c>
      <c r="X14" s="147">
        <f ca="1">IF(AND($R14=2,ACOMPANHAMENTO="BM"),ROUND(X15,4),X16/$S14)</f>
        <v>0.12288397639088211</v>
      </c>
      <c r="Y14" s="147">
        <f ca="1">IF(AND($R14=2,ACOMPANHAMENTO="BM"),ROUND(Y15,4),Y16/$S14)</f>
        <v>0.12288397639088211</v>
      </c>
      <c r="Z14" s="147">
        <f ca="1">IF(AND($R14=2,ACOMPANHAMENTO="BM"),ROUND(Z15,4),Z16/$S14)</f>
        <v>0.10556035838868655</v>
      </c>
      <c r="AA14" s="147">
        <f ca="1">IF(AND($R14=2,ACOMPANHAMENTO="BM"),ROUND(AA15,4),AA16/$S14)</f>
        <v>0.11025830364242339</v>
      </c>
      <c r="AB14" s="147">
        <f ca="1">IF(AND($R14=2,ACOMPANHAMENTO="BM"),ROUND(AB15,4),AB16/$S14)</f>
        <v>0.10394358764068368</v>
      </c>
      <c r="AC14" s="147">
        <f ca="1">IF(AND($R14=2,ACOMPANHAMENTO="BM"),ROUND(AC15,4),AC16/$S14)</f>
        <v>0.10631375127073275</v>
      </c>
      <c r="AD14" s="147">
        <f ca="1">IF(AND($R14=2,ACOMPANHAMENTO="BM"),ROUND(AD15,4),AD16/$S14)</f>
        <v>0</v>
      </c>
      <c r="AE14" s="147">
        <f ca="1">IF(AND($R14=2,ACOMPANHAMENTO="BM"),ROUND(AE15,4),AE16/$S14)</f>
        <v>0</v>
      </c>
      <c r="AF14" s="147">
        <f ca="1">IF(AND($R14=2,ACOMPANHAMENTO="BM"),ROUND(AF15,4),AF16/$S14)</f>
        <v>0</v>
      </c>
      <c r="AG14" s="444"/>
    </row>
    <row r="15" spans="1:33" ht="12.75" customHeight="1" x14ac:dyDescent="0.25">
      <c r="E15" s="501"/>
      <c r="F15" s="144">
        <f ca="1">IF(ISERROR(F14),IF(1+COUNTIF($M$13:OFFSET(M14,-1,0),1)&lt;=MAX(QCI!$D$13:$D$24),1+COUNTIF($M$13:OFFSET(M14,-1,0),1),-1),0)</f>
        <v>0</v>
      </c>
      <c r="G15" s="144" t="str">
        <f ca="1">IF(ACOMPANHAMENTO="BM",OFFSET(G15,-1,0),"")</f>
        <v>F</v>
      </c>
      <c r="H15" s="153" t="str">
        <f ca="1">IF(OR(S14=0,S14=""),"vazia",IF(AND(OR(ACOMPANHAMENTO="PLE",$R14&lt;&gt;2),$F15=0),"calculada","--&gt;"))</f>
        <v>calculada</v>
      </c>
      <c r="I15" s="154"/>
      <c r="J15" s="155" t="str">
        <f t="shared" ref="J15" ca="1" si="6">IF(AND(H14&lt;&gt;0,ISNUMBER(H14)),"PREENCHA ESTA LINHA --&gt;","")</f>
        <v/>
      </c>
      <c r="K15" s="155"/>
      <c r="L15" s="155"/>
      <c r="M15" s="156"/>
      <c r="N15" s="156"/>
      <c r="O15" s="156"/>
      <c r="P15" s="156"/>
      <c r="Q15" s="156"/>
      <c r="R15" s="156"/>
      <c r="S15" s="157"/>
      <c r="T15" s="158"/>
      <c r="U15" s="501"/>
      <c r="V15" s="501"/>
      <c r="W15" s="501"/>
      <c r="X15" s="501"/>
      <c r="Y15" s="501"/>
      <c r="Z15" s="501"/>
      <c r="AA15" s="501"/>
      <c r="AB15" s="501"/>
      <c r="AC15" s="501"/>
      <c r="AD15" s="501"/>
      <c r="AE15" s="501"/>
      <c r="AF15" s="501"/>
      <c r="AG15" s="444"/>
    </row>
    <row r="16" spans="1:33" ht="12.75" hidden="1" customHeight="1" x14ac:dyDescent="0.25">
      <c r="D16" s="443"/>
      <c r="E16" s="159">
        <f ca="1">IF($R14=2,
         IF(AND(ACOMPANHAMENTO="PLE",ISNUMBER($F14)),
                SUMIF((OFFSET(CÁLCULO!$AM$15:$AW$15,$F14,0,OFFSET(ORÇAMENTO!$D$15,CRONO!$F14,0))),CRONO!E$12,OFFSET(CÁLCULO!$AB$15:$AL$15,$F14,0,OFFSET(ORÇAMENTO!$D$15,CRONO!$F14,0)))
                +IF(AND($F16&lt;&gt;"",$F16&lt;&gt;0),
                        SUMIF(CÁLCULO!$AM$15:$AW$36,CRONO!E$12,CÁLCULO!$AB$15:$AL$36)/(ORÇAMENTO!$X$15-CÁLCULO.TotalAdmLocal)*CRONO!$F16,
                        0),
                 E15*$S14),
          SUMIF(OFFSET($S16,1,0,$R14-2),($M14+1)&amp;"$",OFFSET(E16,1,0,$R14-2)))</f>
        <v>0</v>
      </c>
      <c r="F16" s="144" t="str">
        <f ca="1">IF(OR($R14&lt;&gt;2,AUTOEVENTO&lt;&gt;"manual",$F15&gt;0),"",
        IF(Import.TipoArredondamento="Tradicional",
              SUMIF(OFFSET(CÁLCULO!$M$15,CRONO!$F14,0,OFFSET(ORÇAMENTO!$D$15,CRONO!$F14,0)),1,OFFSET(ORÇAMENTO!$X$15,CRONO!$F14,0,OFFSET(ORÇAMENTO!$D$15,CRONO!$F14,0))),
              0))</f>
        <v/>
      </c>
      <c r="H16" s="530"/>
      <c r="S16" s="160" t="str">
        <f t="shared" ref="S16" ca="1" si="7">M14&amp;"$"</f>
        <v>1$</v>
      </c>
      <c r="T16" s="161"/>
      <c r="U16" s="159">
        <f ca="1">IF($R14=2,
         IF(AND(ACOMPANHAMENTO="PLE",ISNUMBER($F14)),
                SUMIF((OFFSET(CÁLCULO!$AM$15:$AW$15,$F14,0,OFFSET(ORÇAMENTO!$D$15,CRONO!$F14,0))),CRONO!U$12,OFFSET(CÁLCULO!$AB$15:$AL$15,$F14,0,OFFSET(ORÇAMENTO!$D$15,CRONO!$F14,0)))
                +IF(AND($F16&lt;&gt;"",$F16&lt;&gt;0),
                        SUMIF(CÁLCULO!$AM$15:$AW$36,CRONO!U$12,CÁLCULO!$AB$15:$AL$36)/(ORÇAMENTO!$X$15-CÁLCULO.TotalAdmLocal)*CRONO!$F16,
                        0),
                 U15*$S14),
          SUMIF(OFFSET($S16,1,0,$R14-2),($M14+1)&amp;"$",OFFSET(U16,1,0,$R14-2)))</f>
        <v>740736.00037700008</v>
      </c>
      <c r="V16" s="159">
        <f ca="1">IF($R14=2,
         IF(AND(ACOMPANHAMENTO="PLE",ISNUMBER($F14)),
                SUMIF((OFFSET(CÁLCULO!$AM$15:$AW$15,$F14,0,OFFSET(ORÇAMENTO!$D$15,CRONO!$F14,0))),CRONO!V$12,OFFSET(CÁLCULO!$AB$15:$AL$15,$F14,0,OFFSET(ORÇAMENTO!$D$15,CRONO!$F14,0)))
                +IF(AND($F16&lt;&gt;"",$F16&lt;&gt;0),
                        SUMIF(CÁLCULO!$AM$15:$AW$36,CRONO!V$12,CÁLCULO!$AB$15:$AL$36)/(ORÇAMENTO!$X$15-CÁLCULO.TotalAdmLocal)*CRONO!$F16,
                        0),
                 V15*$S14),
          SUMIF(OFFSET($S16,1,0,$R14-2),($M14+1)&amp;"$",OFFSET(V16,1,0,$R14-2)))</f>
        <v>648911.87946900004</v>
      </c>
      <c r="W16" s="159">
        <f ca="1">IF($R14=2,
         IF(AND(ACOMPANHAMENTO="PLE",ISNUMBER($F14)),
                SUMIF((OFFSET(CÁLCULO!$AM$15:$AW$15,$F14,0,OFFSET(ORÇAMENTO!$D$15,CRONO!$F14,0))),CRONO!W$12,OFFSET(CÁLCULO!$AB$15:$AL$15,$F14,0,OFFSET(ORÇAMENTO!$D$15,CRONO!$F14,0)))
                +IF(AND($F16&lt;&gt;"",$F16&lt;&gt;0),
                        SUMIF(CÁLCULO!$AM$15:$AW$36,CRONO!W$12,CÁLCULO!$AB$15:$AL$36)/(ORÇAMENTO!$X$15-CÁLCULO.TotalAdmLocal)*CRONO!$F16,
                        0),
                 W15*$S14),
          SUMIF(OFFSET($S16,1,0,$R14-2),($M14+1)&amp;"$",OFFSET(W16,1,0,$R14-2)))</f>
        <v>659005.25577599998</v>
      </c>
      <c r="X16" s="159">
        <f ca="1">IF($R14=2,
         IF(AND(ACOMPANHAMENTO="PLE",ISNUMBER($F14)),
                SUMIF((OFFSET(CÁLCULO!$AM$15:$AW$15,$F14,0,OFFSET(ORÇAMENTO!$D$15,CRONO!$F14,0))),CRONO!X$12,OFFSET(CÁLCULO!$AB$15:$AL$15,$F14,0,OFFSET(ORÇAMENTO!$D$15,CRONO!$F14,0)))
                +IF(AND($F16&lt;&gt;"",$F16&lt;&gt;0),
                        SUMIF(CÁLCULO!$AM$15:$AW$36,CRONO!X$12,CÁLCULO!$AB$15:$AL$36)/(ORÇAMENTO!$X$15-CÁLCULO.TotalAdmLocal)*CRONO!$F16,
                        0),
                 X15*$S14),
          SUMIF(OFFSET($S16,1,0,$R14-2),($M14+1)&amp;"$",OFFSET(X16,1,0,$R14-2)))</f>
        <v>767155.27995900006</v>
      </c>
      <c r="Y16" s="159">
        <f ca="1">IF($R14=2,
         IF(AND(ACOMPANHAMENTO="PLE",ISNUMBER($F14)),
                SUMIF((OFFSET(CÁLCULO!$AM$15:$AW$15,$F14,0,OFFSET(ORÇAMENTO!$D$15,CRONO!$F14,0))),CRONO!Y$12,OFFSET(CÁLCULO!$AB$15:$AL$15,$F14,0,OFFSET(ORÇAMENTO!$D$15,CRONO!$F14,0)))
                +IF(AND($F16&lt;&gt;"",$F16&lt;&gt;0),
                        SUMIF(CÁLCULO!$AM$15:$AW$36,CRONO!Y$12,CÁLCULO!$AB$15:$AL$36)/(ORÇAMENTO!$X$15-CÁLCULO.TotalAdmLocal)*CRONO!$F16,
                        0),
                 Y15*$S14),
          SUMIF(OFFSET($S16,1,0,$R14-2),($M14+1)&amp;"$",OFFSET(Y16,1,0,$R14-2)))</f>
        <v>767155.27995900006</v>
      </c>
      <c r="Z16" s="159">
        <f ca="1">IF($R14=2,
         IF(AND(ACOMPANHAMENTO="PLE",ISNUMBER($F14)),
                SUMIF((OFFSET(CÁLCULO!$AM$15:$AW$15,$F14,0,OFFSET(ORÇAMENTO!$D$15,CRONO!$F14,0))),CRONO!Z$12,OFFSET(CÁLCULO!$AB$15:$AL$15,$F14,0,OFFSET(ORÇAMENTO!$D$15,CRONO!$F14,0)))
                +IF(AND($F16&lt;&gt;"",$F16&lt;&gt;0),
                        SUMIF(CÁLCULO!$AM$15:$AW$36,CRONO!Z$12,CÁLCULO!$AB$15:$AL$36)/(ORÇAMENTO!$X$15-CÁLCULO.TotalAdmLocal)*CRONO!$F16,
                        0),
                 Z15*$S14),
          SUMIF(OFFSET($S16,1,0,$R14-2),($M14+1)&amp;"$",OFFSET(Z16,1,0,$R14-2)))</f>
        <v>659005.25577599998</v>
      </c>
      <c r="AA16" s="159">
        <f ca="1">IF($R14=2,
         IF(AND(ACOMPANHAMENTO="PLE",ISNUMBER($F14)),
                SUMIF((OFFSET(CÁLCULO!$AM$15:$AW$15,$F14,0,OFFSET(ORÇAMENTO!$D$15,CRONO!$F14,0))),CRONO!AA$12,OFFSET(CÁLCULO!$AB$15:$AL$15,$F14,0,OFFSET(ORÇAMENTO!$D$15,CRONO!$F14,0)))
                +IF(AND($F16&lt;&gt;"",$F16&lt;&gt;0),
                        SUMIF(CÁLCULO!$AM$15:$AW$36,CRONO!AA$12,CÁLCULO!$AB$15:$AL$36)/(ORÇAMENTO!$X$15-CÁLCULO.TotalAdmLocal)*CRONO!$F16,
                        0),
                 AA15*$S14),
          SUMIF(OFFSET($S16,1,0,$R14-2),($M14+1)&amp;"$",OFFSET(AA16,1,0,$R14-2)))</f>
        <v>688334.1692130001</v>
      </c>
      <c r="AB16" s="159">
        <f ca="1">IF($R14=2,
         IF(AND(ACOMPANHAMENTO="PLE",ISNUMBER($F14)),
                SUMIF((OFFSET(CÁLCULO!$AM$15:$AW$15,$F14,0,OFFSET(ORÇAMENTO!$D$15,CRONO!$F14,0))),CRONO!AB$12,OFFSET(CÁLCULO!$AB$15:$AL$15,$F14,0,OFFSET(ORÇAMENTO!$D$15,CRONO!$F14,0)))
                +IF(AND($F16&lt;&gt;"",$F16&lt;&gt;0),
                        SUMIF(CÁLCULO!$AM$15:$AW$36,CRONO!AB$12,CÁLCULO!$AB$15:$AL$36)/(ORÇAMENTO!$X$15-CÁLCULO.TotalAdmLocal)*CRONO!$F16,
                        0),
                 AB15*$S14),
          SUMIF(OFFSET($S16,1,0,$R14-2),($M14+1)&amp;"$",OFFSET(AB16,1,0,$R14-2)))</f>
        <v>648911.87946900004</v>
      </c>
      <c r="AC16" s="159">
        <f ca="1">IF($R14=2,
         IF(AND(ACOMPANHAMENTO="PLE",ISNUMBER($F14)),
                SUMIF((OFFSET(CÁLCULO!$AM$15:$AW$15,$F14,0,OFFSET(ORÇAMENTO!$D$15,CRONO!$F14,0))),CRONO!AC$12,OFFSET(CÁLCULO!$AB$15:$AL$15,$F14,0,OFFSET(ORÇAMENTO!$D$15,CRONO!$F14,0)))
                +IF(AND($F16&lt;&gt;"",$F16&lt;&gt;0),
                        SUMIF(CÁLCULO!$AM$15:$AW$36,CRONO!AC$12,CÁLCULO!$AB$15:$AL$36)/(ORÇAMENTO!$X$15-CÁLCULO.TotalAdmLocal)*CRONO!$F16,
                        0),
                 AC15*$S14),
          SUMIF(OFFSET($S16,1,0,$R14-2),($M14+1)&amp;"$",OFFSET(AC16,1,0,$R14-2)))</f>
        <v>663708.63000200002</v>
      </c>
      <c r="AD16" s="159">
        <f ca="1">IF($R14=2,
         IF(AND(ACOMPANHAMENTO="PLE",ISNUMBER($F14)),
                SUMIF((OFFSET(CÁLCULO!$AM$15:$AW$15,$F14,0,OFFSET(ORÇAMENTO!$D$15,CRONO!$F14,0))),CRONO!AD$12,OFFSET(CÁLCULO!$AB$15:$AL$15,$F14,0,OFFSET(ORÇAMENTO!$D$15,CRONO!$F14,0)))
                +IF(AND($F16&lt;&gt;"",$F16&lt;&gt;0),
                        SUMIF(CÁLCULO!$AM$15:$AW$36,CRONO!AD$12,CÁLCULO!$AB$15:$AL$36)/(ORÇAMENTO!$X$15-CÁLCULO.TotalAdmLocal)*CRONO!$F16,
                        0),
                 AD15*$S14),
          SUMIF(OFFSET($S16,1,0,$R14-2),($M14+1)&amp;"$",OFFSET(AD16,1,0,$R14-2)))</f>
        <v>0</v>
      </c>
      <c r="AE16" s="159">
        <f ca="1">IF($R14=2,
         IF(AND(ACOMPANHAMENTO="PLE",ISNUMBER($F14)),
                SUMIF((OFFSET(CÁLCULO!$AM$15:$AW$15,$F14,0,OFFSET(ORÇAMENTO!$D$15,CRONO!$F14,0))),CRONO!AE$12,OFFSET(CÁLCULO!$AB$15:$AL$15,$F14,0,OFFSET(ORÇAMENTO!$D$15,CRONO!$F14,0)))
                +IF(AND($F16&lt;&gt;"",$F16&lt;&gt;0),
                        SUMIF(CÁLCULO!$AM$15:$AW$36,CRONO!AE$12,CÁLCULO!$AB$15:$AL$36)/(ORÇAMENTO!$X$15-CÁLCULO.TotalAdmLocal)*CRONO!$F16,
                        0),
                 AE15*$S14),
          SUMIF(OFFSET($S16,1,0,$R14-2),($M14+1)&amp;"$",OFFSET(AE16,1,0,$R14-2)))</f>
        <v>0</v>
      </c>
      <c r="AF16" s="159">
        <f ca="1">IF($R14=2,
         IF(AND(ACOMPANHAMENTO="PLE",ISNUMBER($F14)),
                SUMIF((OFFSET(CÁLCULO!$AM$15:$AW$15,$F14,0,OFFSET(ORÇAMENTO!$D$15,CRONO!$F14,0))),CRONO!AF$12,OFFSET(CÁLCULO!$AB$15:$AL$15,$F14,0,OFFSET(ORÇAMENTO!$D$15,CRONO!$F14,0)))
                +IF(AND($F16&lt;&gt;"",$F16&lt;&gt;0),
                        SUMIF(CÁLCULO!$AM$15:$AW$36,CRONO!AF$12,CÁLCULO!$AB$15:$AL$36)/(ORÇAMENTO!$X$15-CÁLCULO.TotalAdmLocal)*CRONO!$F16,
                        0),
                 AF15*$S14),
          SUMIF(OFFSET($S16,1,0,$R14-2),($M14+1)&amp;"$",OFFSET(AF16,1,0,$R14-2)))</f>
        <v>0</v>
      </c>
      <c r="AG16" s="444"/>
    </row>
    <row r="17" spans="1:33" x14ac:dyDescent="0.25">
      <c r="A17" s="145" t="str">
        <f t="shared" ref="A17" ca="1" si="8">IF($M17&gt;1,CONCATENATE($I17," ",$J17),"")</f>
        <v>1.1. ADMINISTRAÇÃO DE OBRA</v>
      </c>
      <c r="B17" s="144">
        <f t="shared" ref="B17" ca="1" si="9">OFFSET(B17,-3,0)+1</f>
        <v>2</v>
      </c>
      <c r="C17" s="144">
        <f ca="1">IF($R17&lt;&gt;2,0,IF($S17=0,1,IF(F18&gt;0,OFFSET(QCI!$M$13,SUBSTITUTE(F18,".",""),0),OFFSET(ORÇAMENTO!$AA$15,CRONO!$F17,0))/$S17))</f>
        <v>3.8911837529558228E-2</v>
      </c>
      <c r="D17" s="144">
        <f ca="1">IF($R17&lt;&gt;2,0,IF($S17=0,1,IF(F18&gt;0,OFFSET(QCI!$N$13,SUBSTITUTE(F18,".",""),0),OFFSET(ORÇAMENTO!$AB$15,CRONO!$F17,0))/$S17))</f>
        <v>0</v>
      </c>
      <c r="E17" s="147">
        <f ca="1">IF(AND($R17=2,ACOMPANHAMENTO="BM"),ROUND(E18,4),E19/$S17)</f>
        <v>0</v>
      </c>
      <c r="F17" s="144">
        <f ca="1">IF(B17&lt;=ORÇAMENTO.MáximoListaCrono,MATCH(B17,ORÇAMENTO.ListaCrono,0),NA())</f>
        <v>2</v>
      </c>
      <c r="G17" s="144" t="str">
        <f t="shared" ref="G17" ca="1" si="10">IF(AND($F18&lt;&gt;-1,$S17&gt;0),"F","")</f>
        <v>F</v>
      </c>
      <c r="H17" s="617">
        <f ca="1">IF(OR(S17=0,S17=""),"Linha",IF(AND(OR(ACOMPANHAMENTO="PLE",$R17&lt;&gt;2),$F18=0),"Linha",ROUND(1-SUM(U17:AG17),4)))</f>
        <v>0</v>
      </c>
      <c r="I17" s="148" t="str">
        <f ca="1">IF($F18=0,OFFSET(ORÇAMENTO!O$15,$F17,0),IF($F18&lt;&gt;-1,OFFSET(QCI!$D$13,$F18,0),""))</f>
        <v>1.1.</v>
      </c>
      <c r="J17" s="149" t="str">
        <f ca="1">IF($F18=0,OFFSET(ORÇAMENTO!R$15,$F17,0),IF($F18&lt;&gt;-1,OFFSET(QCI!$G$13,$F18,0),""))</f>
        <v>ADMINISTRAÇÃO DE OBRA</v>
      </c>
      <c r="K17" s="149"/>
      <c r="L17" s="149"/>
      <c r="M17" s="150">
        <f ca="1">IF($F18=0,OFFSET(ORÇAMENTO!C$15,$F17,0),1)</f>
        <v>2</v>
      </c>
      <c r="N17" s="151">
        <f ca="1">IF($F18=-1,0,IF(N$13&lt;=$M17,IF(ISERROR(MATCH(N$13,OFFSET($M17,1,0,ROW($M$164)-ROW($M17)-1),0)),ROW($M$164)-ROW($M17)-1,MATCH(N$13,OFFSET($M17,1,0,ROW($M$164)-ROW($M17)-1),0)-1),0))</f>
        <v>20</v>
      </c>
      <c r="O17" s="151">
        <f ca="1">IF($F18=-1,0,IF(O$13&lt;=$M17,IF(ISERROR(MATCH(O$13,OFFSET($M17,1,0,ROW($M$164)-ROW($M17)-1),0)),ROW($M$164)-ROW($M17)-1,MATCH(O$13,OFFSET($M17,1,0,ROW($M$164)-ROW($M17)-1),0)-1),0))</f>
        <v>2</v>
      </c>
      <c r="P17" s="151">
        <f ca="1">IF($F18=-1,0,IF(P$13&lt;=$M17,IF(ISERROR(MATCH(P$13,OFFSET($M17,1,0,ROW($M$164)-ROW($M17)-1),0)),ROW($M$164)-ROW($M17)-1,MATCH(P$13,OFFSET($M17,1,0,ROW($M$164)-ROW($M17)-1),0)-1),0))</f>
        <v>0</v>
      </c>
      <c r="Q17" s="151">
        <f ca="1">IF($F18=-1,0,IF(Q$13&lt;=$M17,IF(ISERROR(MATCH(Q$13,OFFSET($M17,1,0,ROW($M$164)-ROW($M17)-1),0)),ROW($M$164)-ROW($M17)-1,MATCH(Q$13,OFFSET($M17,1,0,ROW($M$164)-ROW($M17)-1),0)-1),0))</f>
        <v>0</v>
      </c>
      <c r="R17" s="151">
        <f t="shared" ref="R17" ca="1" si="11">MIN(OFFSET(M17,0,1,,M17))</f>
        <v>2</v>
      </c>
      <c r="S17" s="152">
        <f ca="1">IF($F18=0,OFFSET(ORÇAMENTO!X$15,$F17,0),IF($F18&lt;&gt;-1,OFFSET(QCI!$O$13,$F18,0),""))</f>
        <v>117343.71</v>
      </c>
      <c r="T17" s="618" t="s">
        <v>809</v>
      </c>
      <c r="U17" s="147">
        <f ca="1">IF(AND($R17=2,ACOMPANHAMENTO="BM"),ROUND(U18,4),U19/$S17)</f>
        <v>0.1187</v>
      </c>
      <c r="V17" s="147">
        <f ca="1">IF(AND($R17=2,ACOMPANHAMENTO="BM"),ROUND(V18,4),V19/$S17)</f>
        <v>0.10390000000000001</v>
      </c>
      <c r="W17" s="147">
        <f ca="1">IF(AND($R17=2,ACOMPANHAMENTO="BM"),ROUND(W18,4),W19/$S17)</f>
        <v>0.1056</v>
      </c>
      <c r="X17" s="147">
        <f ca="1">IF(AND($R17=2,ACOMPANHAMENTO="BM"),ROUND(X18,4),X19/$S17)</f>
        <v>0.1229</v>
      </c>
      <c r="Y17" s="147">
        <f ca="1">IF(AND($R17=2,ACOMPANHAMENTO="BM"),ROUND(Y18,4),Y19/$S17)</f>
        <v>0.1229</v>
      </c>
      <c r="Z17" s="147">
        <f ca="1">IF(AND($R17=2,ACOMPANHAMENTO="BM"),ROUND(Z18,4),Z19/$S17)</f>
        <v>0.1056</v>
      </c>
      <c r="AA17" s="147">
        <f ca="1">IF(AND($R17=2,ACOMPANHAMENTO="BM"),ROUND(AA18,4),AA19/$S17)</f>
        <v>0.1103</v>
      </c>
      <c r="AB17" s="147">
        <f ca="1">IF(AND($R17=2,ACOMPANHAMENTO="BM"),ROUND(AB18,4),AB19/$S17)</f>
        <v>0.10390000000000001</v>
      </c>
      <c r="AC17" s="147">
        <f ca="1">IF(AND($R17=2,ACOMPANHAMENTO="BM"),ROUND(AC18,4),AC19/$S17)</f>
        <v>0.1062</v>
      </c>
      <c r="AD17" s="147">
        <f ca="1">IF(AND($R17=2,ACOMPANHAMENTO="BM"),ROUND(AD18,4),AD19/$S17)</f>
        <v>0</v>
      </c>
      <c r="AE17" s="147">
        <f ca="1">IF(AND($R17=2,ACOMPANHAMENTO="BM"),ROUND(AE18,4),AE19/$S17)</f>
        <v>0</v>
      </c>
      <c r="AF17" s="147">
        <f ca="1">IF(AND($R17=2,ACOMPANHAMENTO="BM"),ROUND(AF18,4),AF19/$S17)</f>
        <v>0</v>
      </c>
      <c r="AG17" s="444"/>
    </row>
    <row r="18" spans="1:33" ht="12.75" customHeight="1" x14ac:dyDescent="0.25">
      <c r="E18" s="501"/>
      <c r="F18" s="144">
        <f ca="1">IF(ISERROR(F17),IF(1+COUNTIF($M$13:OFFSET(M17,-1,0),1)&lt;=MAX(QCI!$D$13:$D$24),1+COUNTIF($M$13:OFFSET(M17,-1,0),1),-1),0)</f>
        <v>0</v>
      </c>
      <c r="G18" s="144" t="str">
        <f ca="1">IF(ACOMPANHAMENTO="BM",OFFSET(G18,-1,0),"")</f>
        <v>F</v>
      </c>
      <c r="H18" s="153" t="str">
        <f ca="1">IF(OR(S17=0,S17=""),"vazia",IF(AND(OR(ACOMPANHAMENTO="PLE",$R17&lt;&gt;2),$F18=0),"calculada","--&gt;"))</f>
        <v>--&gt;</v>
      </c>
      <c r="I18" s="154"/>
      <c r="J18" s="155" t="str">
        <f t="shared" ref="J18" ca="1" si="12">IF(AND(H17&lt;&gt;0,ISNUMBER(H17)),"PREENCHA ESTA LINHA --&gt;","")</f>
        <v/>
      </c>
      <c r="K18" s="155"/>
      <c r="L18" s="155"/>
      <c r="M18" s="156"/>
      <c r="N18" s="156"/>
      <c r="O18" s="156"/>
      <c r="P18" s="156"/>
      <c r="Q18" s="156"/>
      <c r="R18" s="156"/>
      <c r="S18" s="157"/>
      <c r="T18" s="158"/>
      <c r="U18" s="501">
        <v>0.1187</v>
      </c>
      <c r="V18" s="501">
        <v>0.10390000000000001</v>
      </c>
      <c r="W18" s="501">
        <v>0.1056</v>
      </c>
      <c r="X18" s="501">
        <v>0.1229</v>
      </c>
      <c r="Y18" s="501">
        <v>0.1229</v>
      </c>
      <c r="Z18" s="501">
        <v>0.1056</v>
      </c>
      <c r="AA18" s="501">
        <v>0.1103</v>
      </c>
      <c r="AB18" s="501">
        <v>0.10390000000000001</v>
      </c>
      <c r="AC18" s="501">
        <f>1-AB18-AA18-Z18-Y18-X18-W18-V18-U18</f>
        <v>0.10619999999999999</v>
      </c>
      <c r="AD18" s="501"/>
      <c r="AE18" s="501"/>
      <c r="AF18" s="501"/>
      <c r="AG18" s="444"/>
    </row>
    <row r="19" spans="1:33" ht="12.75" hidden="1" customHeight="1" x14ac:dyDescent="0.25">
      <c r="D19" s="443"/>
      <c r="E19" s="159">
        <f ca="1">IF($R17=2,
         IF(AND(ACOMPANHAMENTO="PLE",ISNUMBER($F17)),
                SUMIF((OFFSET(CÁLCULO!$AM$15:$AW$15,$F17,0,OFFSET(ORÇAMENTO!$D$15,CRONO!$F17,0))),CRONO!E$12,OFFSET(CÁLCULO!$AB$15:$AL$15,$F17,0,OFFSET(ORÇAMENTO!$D$15,CRONO!$F17,0)))
                +IF(AND($F19&lt;&gt;"",$F19&lt;&gt;0),
                        SUMIF(CÁLCULO!$AM$15:$AW$36,CRONO!E$12,CÁLCULO!$AB$15:$AL$36)/(ORÇAMENTO!$X$15-CÁLCULO.TotalAdmLocal)*CRONO!$F19,
                        0),
                 E18*$S17),
          SUMIF(OFFSET($S19,1,0,$R17-2),($M17+1)&amp;"$",OFFSET(E19,1,0,$R17-2)))</f>
        <v>0</v>
      </c>
      <c r="F19" s="144" t="str">
        <f ca="1">IF(OR($R17&lt;&gt;2,AUTOEVENTO&lt;&gt;"manual",$F18&gt;0),"",
        IF(Import.TipoArredondamento="Tradicional",
              SUMIF(OFFSET(CÁLCULO!$M$15,CRONO!$F17,0,OFFSET(ORÇAMENTO!$D$15,CRONO!$F17,0)),1,OFFSET(ORÇAMENTO!$X$15,CRONO!$F17,0,OFFSET(ORÇAMENTO!$D$15,CRONO!$F17,0))),
              0))</f>
        <v/>
      </c>
      <c r="H19" s="530"/>
      <c r="S19" s="160" t="str">
        <f t="shared" ref="S19" ca="1" si="13">M17&amp;"$"</f>
        <v>2$</v>
      </c>
      <c r="T19" s="161"/>
      <c r="U19" s="159">
        <f ca="1">IF($R17=2,
         IF(AND(ACOMPANHAMENTO="PLE",ISNUMBER($F17)),
                SUMIF((OFFSET(CÁLCULO!$AM$15:$AW$15,$F17,0,OFFSET(ORÇAMENTO!$D$15,CRONO!$F17,0))),CRONO!U$12,OFFSET(CÁLCULO!$AB$15:$AL$15,$F17,0,OFFSET(ORÇAMENTO!$D$15,CRONO!$F17,0)))
                +IF(AND($F19&lt;&gt;"",$F19&lt;&gt;0),
                        SUMIF(CÁLCULO!$AM$15:$AW$36,CRONO!U$12,CÁLCULO!$AB$15:$AL$36)/(ORÇAMENTO!$X$15-CÁLCULO.TotalAdmLocal)*CRONO!$F19,
                        0),
                 U18*$S17),
          SUMIF(OFFSET($S19,1,0,$R17-2),($M17+1)&amp;"$",OFFSET(U19,1,0,$R17-2)))</f>
        <v>13928.698377000001</v>
      </c>
      <c r="V19" s="159">
        <f ca="1">IF($R17=2,
         IF(AND(ACOMPANHAMENTO="PLE",ISNUMBER($F17)),
                SUMIF((OFFSET(CÁLCULO!$AM$15:$AW$15,$F17,0,OFFSET(ORÇAMENTO!$D$15,CRONO!$F17,0))),CRONO!V$12,OFFSET(CÁLCULO!$AB$15:$AL$15,$F17,0,OFFSET(ORÇAMENTO!$D$15,CRONO!$F17,0)))
                +IF(AND($F19&lt;&gt;"",$F19&lt;&gt;0),
                        SUMIF(CÁLCULO!$AM$15:$AW$36,CRONO!V$12,CÁLCULO!$AB$15:$AL$36)/(ORÇAMENTO!$X$15-CÁLCULO.TotalAdmLocal)*CRONO!$F19,
                        0),
                 V18*$S17),
          SUMIF(OFFSET($S19,1,0,$R17-2),($M17+1)&amp;"$",OFFSET(V19,1,0,$R17-2)))</f>
        <v>12192.011469000001</v>
      </c>
      <c r="W19" s="159">
        <f ca="1">IF($R17=2,
         IF(AND(ACOMPANHAMENTO="PLE",ISNUMBER($F17)),
                SUMIF((OFFSET(CÁLCULO!$AM$15:$AW$15,$F17,0,OFFSET(ORÇAMENTO!$D$15,CRONO!$F17,0))),CRONO!W$12,OFFSET(CÁLCULO!$AB$15:$AL$15,$F17,0,OFFSET(ORÇAMENTO!$D$15,CRONO!$F17,0)))
                +IF(AND($F19&lt;&gt;"",$F19&lt;&gt;0),
                        SUMIF(CÁLCULO!$AM$15:$AW$36,CRONO!W$12,CÁLCULO!$AB$15:$AL$36)/(ORÇAMENTO!$X$15-CÁLCULO.TotalAdmLocal)*CRONO!$F19,
                        0),
                 W18*$S17),
          SUMIF(OFFSET($S19,1,0,$R17-2),($M17+1)&amp;"$",OFFSET(W19,1,0,$R17-2)))</f>
        <v>12391.495776</v>
      </c>
      <c r="X19" s="159">
        <f ca="1">IF($R17=2,
         IF(AND(ACOMPANHAMENTO="PLE",ISNUMBER($F17)),
                SUMIF((OFFSET(CÁLCULO!$AM$15:$AW$15,$F17,0,OFFSET(ORÇAMENTO!$D$15,CRONO!$F17,0))),CRONO!X$12,OFFSET(CÁLCULO!$AB$15:$AL$15,$F17,0,OFFSET(ORÇAMENTO!$D$15,CRONO!$F17,0)))
                +IF(AND($F19&lt;&gt;"",$F19&lt;&gt;0),
                        SUMIF(CÁLCULO!$AM$15:$AW$36,CRONO!X$12,CÁLCULO!$AB$15:$AL$36)/(ORÇAMENTO!$X$15-CÁLCULO.TotalAdmLocal)*CRONO!$F19,
                        0),
                 X18*$S17),
          SUMIF(OFFSET($S19,1,0,$R17-2),($M17+1)&amp;"$",OFFSET(X19,1,0,$R17-2)))</f>
        <v>14421.541959</v>
      </c>
      <c r="Y19" s="159">
        <f ca="1">IF($R17=2,
         IF(AND(ACOMPANHAMENTO="PLE",ISNUMBER($F17)),
                SUMIF((OFFSET(CÁLCULO!$AM$15:$AW$15,$F17,0,OFFSET(ORÇAMENTO!$D$15,CRONO!$F17,0))),CRONO!Y$12,OFFSET(CÁLCULO!$AB$15:$AL$15,$F17,0,OFFSET(ORÇAMENTO!$D$15,CRONO!$F17,0)))
                +IF(AND($F19&lt;&gt;"",$F19&lt;&gt;0),
                        SUMIF(CÁLCULO!$AM$15:$AW$36,CRONO!Y$12,CÁLCULO!$AB$15:$AL$36)/(ORÇAMENTO!$X$15-CÁLCULO.TotalAdmLocal)*CRONO!$F19,
                        0),
                 Y18*$S17),
          SUMIF(OFFSET($S19,1,0,$R17-2),($M17+1)&amp;"$",OFFSET(Y19,1,0,$R17-2)))</f>
        <v>14421.541959</v>
      </c>
      <c r="Z19" s="159">
        <f ca="1">IF($R17=2,
         IF(AND(ACOMPANHAMENTO="PLE",ISNUMBER($F17)),
                SUMIF((OFFSET(CÁLCULO!$AM$15:$AW$15,$F17,0,OFFSET(ORÇAMENTO!$D$15,CRONO!$F17,0))),CRONO!Z$12,OFFSET(CÁLCULO!$AB$15:$AL$15,$F17,0,OFFSET(ORÇAMENTO!$D$15,CRONO!$F17,0)))
                +IF(AND($F19&lt;&gt;"",$F19&lt;&gt;0),
                        SUMIF(CÁLCULO!$AM$15:$AW$36,CRONO!Z$12,CÁLCULO!$AB$15:$AL$36)/(ORÇAMENTO!$X$15-CÁLCULO.TotalAdmLocal)*CRONO!$F19,
                        0),
                 Z18*$S17),
          SUMIF(OFFSET($S19,1,0,$R17-2),($M17+1)&amp;"$",OFFSET(Z19,1,0,$R17-2)))</f>
        <v>12391.495776</v>
      </c>
      <c r="AA19" s="159">
        <f ca="1">IF($R17=2,
         IF(AND(ACOMPANHAMENTO="PLE",ISNUMBER($F17)),
                SUMIF((OFFSET(CÁLCULO!$AM$15:$AW$15,$F17,0,OFFSET(ORÇAMENTO!$D$15,CRONO!$F17,0))),CRONO!AA$12,OFFSET(CÁLCULO!$AB$15:$AL$15,$F17,0,OFFSET(ORÇAMENTO!$D$15,CRONO!$F17,0)))
                +IF(AND($F19&lt;&gt;"",$F19&lt;&gt;0),
                        SUMIF(CÁLCULO!$AM$15:$AW$36,CRONO!AA$12,CÁLCULO!$AB$15:$AL$36)/(ORÇAMENTO!$X$15-CÁLCULO.TotalAdmLocal)*CRONO!$F19,
                        0),
                 AA18*$S17),
          SUMIF(OFFSET($S19,1,0,$R17-2),($M17+1)&amp;"$",OFFSET(AA19,1,0,$R17-2)))</f>
        <v>12943.011213</v>
      </c>
      <c r="AB19" s="159">
        <f ca="1">IF($R17=2,
         IF(AND(ACOMPANHAMENTO="PLE",ISNUMBER($F17)),
                SUMIF((OFFSET(CÁLCULO!$AM$15:$AW$15,$F17,0,OFFSET(ORÇAMENTO!$D$15,CRONO!$F17,0))),CRONO!AB$12,OFFSET(CÁLCULO!$AB$15:$AL$15,$F17,0,OFFSET(ORÇAMENTO!$D$15,CRONO!$F17,0)))
                +IF(AND($F19&lt;&gt;"",$F19&lt;&gt;0),
                        SUMIF(CÁLCULO!$AM$15:$AW$36,CRONO!AB$12,CÁLCULO!$AB$15:$AL$36)/(ORÇAMENTO!$X$15-CÁLCULO.TotalAdmLocal)*CRONO!$F19,
                        0),
                 AB18*$S17),
          SUMIF(OFFSET($S19,1,0,$R17-2),($M17+1)&amp;"$",OFFSET(AB19,1,0,$R17-2)))</f>
        <v>12192.011469000001</v>
      </c>
      <c r="AC19" s="159">
        <f ca="1">IF($R17=2,
         IF(AND(ACOMPANHAMENTO="PLE",ISNUMBER($F17)),
                SUMIF((OFFSET(CÁLCULO!$AM$15:$AW$15,$F17,0,OFFSET(ORÇAMENTO!$D$15,CRONO!$F17,0))),CRONO!AC$12,OFFSET(CÁLCULO!$AB$15:$AL$15,$F17,0,OFFSET(ORÇAMENTO!$D$15,CRONO!$F17,0)))
                +IF(AND($F19&lt;&gt;"",$F19&lt;&gt;0),
                        SUMIF(CÁLCULO!$AM$15:$AW$36,CRONO!AC$12,CÁLCULO!$AB$15:$AL$36)/(ORÇAMENTO!$X$15-CÁLCULO.TotalAdmLocal)*CRONO!$F19,
                        0),
                 AC18*$S17),
          SUMIF(OFFSET($S19,1,0,$R17-2),($M17+1)&amp;"$",OFFSET(AC19,1,0,$R17-2)))</f>
        <v>12461.902001999999</v>
      </c>
      <c r="AD19" s="159">
        <f ca="1">IF($R17=2,
         IF(AND(ACOMPANHAMENTO="PLE",ISNUMBER($F17)),
                SUMIF((OFFSET(CÁLCULO!$AM$15:$AW$15,$F17,0,OFFSET(ORÇAMENTO!$D$15,CRONO!$F17,0))),CRONO!AD$12,OFFSET(CÁLCULO!$AB$15:$AL$15,$F17,0,OFFSET(ORÇAMENTO!$D$15,CRONO!$F17,0)))
                +IF(AND($F19&lt;&gt;"",$F19&lt;&gt;0),
                        SUMIF(CÁLCULO!$AM$15:$AW$36,CRONO!AD$12,CÁLCULO!$AB$15:$AL$36)/(ORÇAMENTO!$X$15-CÁLCULO.TotalAdmLocal)*CRONO!$F19,
                        0),
                 AD18*$S17),
          SUMIF(OFFSET($S19,1,0,$R17-2),($M17+1)&amp;"$",OFFSET(AD19,1,0,$R17-2)))</f>
        <v>0</v>
      </c>
      <c r="AE19" s="159">
        <f ca="1">IF($R17=2,
         IF(AND(ACOMPANHAMENTO="PLE",ISNUMBER($F17)),
                SUMIF((OFFSET(CÁLCULO!$AM$15:$AW$15,$F17,0,OFFSET(ORÇAMENTO!$D$15,CRONO!$F17,0))),CRONO!AE$12,OFFSET(CÁLCULO!$AB$15:$AL$15,$F17,0,OFFSET(ORÇAMENTO!$D$15,CRONO!$F17,0)))
                +IF(AND($F19&lt;&gt;"",$F19&lt;&gt;0),
                        SUMIF(CÁLCULO!$AM$15:$AW$36,CRONO!AE$12,CÁLCULO!$AB$15:$AL$36)/(ORÇAMENTO!$X$15-CÁLCULO.TotalAdmLocal)*CRONO!$F19,
                        0),
                 AE18*$S17),
          SUMIF(OFFSET($S19,1,0,$R17-2),($M17+1)&amp;"$",OFFSET(AE19,1,0,$R17-2)))</f>
        <v>0</v>
      </c>
      <c r="AF19" s="159">
        <f ca="1">IF($R17=2,
         IF(AND(ACOMPANHAMENTO="PLE",ISNUMBER($F17)),
                SUMIF((OFFSET(CÁLCULO!$AM$15:$AW$15,$F17,0,OFFSET(ORÇAMENTO!$D$15,CRONO!$F17,0))),CRONO!AF$12,OFFSET(CÁLCULO!$AB$15:$AL$15,$F17,0,OFFSET(ORÇAMENTO!$D$15,CRONO!$F17,0)))
                +IF(AND($F19&lt;&gt;"",$F19&lt;&gt;0),
                        SUMIF(CÁLCULO!$AM$15:$AW$36,CRONO!AF$12,CÁLCULO!$AB$15:$AL$36)/(ORÇAMENTO!$X$15-CÁLCULO.TotalAdmLocal)*CRONO!$F19,
                        0),
                 AF18*$S17),
          SUMIF(OFFSET($S19,1,0,$R17-2),($M17+1)&amp;"$",OFFSET(AF19,1,0,$R17-2)))</f>
        <v>0</v>
      </c>
      <c r="AG19" s="444"/>
    </row>
    <row r="20" spans="1:33" x14ac:dyDescent="0.25">
      <c r="A20" s="145" t="str">
        <f t="shared" ref="A20" ca="1" si="14">IF($M20&gt;1,CONCATENATE($I20," ",$J20),"")</f>
        <v>1.2. SERVIÇOS PRELIMINARES</v>
      </c>
      <c r="B20" s="144">
        <f t="shared" ref="B20" ca="1" si="15">OFFSET(B20,-3,0)+1</f>
        <v>3</v>
      </c>
      <c r="C20" s="144">
        <f ca="1">IF($R20&lt;&gt;2,0,IF($S20=0,1,IF(F21&gt;0,OFFSET(QCI!$M$13,SUBSTITUTE(F21,".",""),0),OFFSET(ORÇAMENTO!$AA$15,CRONO!$F20,0))/$S20))</f>
        <v>3.8911837529558221E-2</v>
      </c>
      <c r="D20" s="144">
        <f ca="1">IF($R20&lt;&gt;2,0,IF($S20=0,1,IF(F21&gt;0,OFFSET(QCI!$N$13,SUBSTITUTE(F21,".",""),0),OFFSET(ORÇAMENTO!$AB$15,CRONO!$F20,0))/$S20))</f>
        <v>0</v>
      </c>
      <c r="E20" s="147">
        <f ca="1">IF(AND($R20=2,ACOMPANHAMENTO="BM"),ROUND(E21,4),E22/$S20)</f>
        <v>0</v>
      </c>
      <c r="F20" s="144">
        <f ca="1">IF(B20&lt;=ORÇAMENTO.MáximoListaCrono,MATCH(B20,ORÇAMENTO.ListaCrono,0),NA())</f>
        <v>4</v>
      </c>
      <c r="G20" s="144" t="str">
        <f t="shared" ref="G20" ca="1" si="16">IF(AND($F21&lt;&gt;-1,$S20&gt;0),"F","")</f>
        <v>F</v>
      </c>
      <c r="H20" s="617">
        <f ca="1">IF(OR(S20=0,S20=""),"Linha",IF(AND(OR(ACOMPANHAMENTO="PLE",$R20&lt;&gt;2),$F21=0),"Linha",ROUND(1-SUM(U20:AG20),4)))</f>
        <v>0</v>
      </c>
      <c r="I20" s="148" t="str">
        <f ca="1">IF($F21=0,OFFSET(ORÇAMENTO!O$15,$F20,0),IF($F21&lt;&gt;-1,OFFSET(QCI!$D$13,$F21,0),""))</f>
        <v>1.2.</v>
      </c>
      <c r="J20" s="149" t="str">
        <f ca="1">IF($F21=0,OFFSET(ORÇAMENTO!R$15,$F20,0),IF($F21&lt;&gt;-1,OFFSET(QCI!$G$13,$F21,0),""))</f>
        <v>SERVIÇOS PRELIMINARES</v>
      </c>
      <c r="K20" s="149"/>
      <c r="L20" s="149"/>
      <c r="M20" s="150">
        <f ca="1">IF($F21=0,OFFSET(ORÇAMENTO!C$15,$F20,0),1)</f>
        <v>2</v>
      </c>
      <c r="N20" s="151">
        <f ca="1">IF($F21=-1,0,IF(N$13&lt;=$M20,IF(ISERROR(MATCH(N$13,OFFSET($M20,1,0,ROW($M$164)-ROW($M20)-1),0)),ROW($M$164)-ROW($M20)-1,MATCH(N$13,OFFSET($M20,1,0,ROW($M$164)-ROW($M20)-1),0)-1),0))</f>
        <v>17</v>
      </c>
      <c r="O20" s="151">
        <f ca="1">IF($F21=-1,0,IF(O$13&lt;=$M20,IF(ISERROR(MATCH(O$13,OFFSET($M20,1,0,ROW($M$164)-ROW($M20)-1),0)),ROW($M$164)-ROW($M20)-1,MATCH(O$13,OFFSET($M20,1,0,ROW($M$164)-ROW($M20)-1),0)-1),0))</f>
        <v>2</v>
      </c>
      <c r="P20" s="151">
        <f ca="1">IF($F21=-1,0,IF(P$13&lt;=$M20,IF(ISERROR(MATCH(P$13,OFFSET($M20,1,0,ROW($M$164)-ROW($M20)-1),0)),ROW($M$164)-ROW($M20)-1,MATCH(P$13,OFFSET($M20,1,0,ROW($M$164)-ROW($M20)-1),0)-1),0))</f>
        <v>0</v>
      </c>
      <c r="Q20" s="151">
        <f ca="1">IF($F21=-1,0,IF(Q$13&lt;=$M20,IF(ISERROR(MATCH(Q$13,OFFSET($M20,1,0,ROW($M$164)-ROW($M20)-1),0)),ROW($M$164)-ROW($M20)-1,MATCH(Q$13,OFFSET($M20,1,0,ROW($M$164)-ROW($M20)-1),0)-1),0))</f>
        <v>0</v>
      </c>
      <c r="R20" s="151">
        <f t="shared" ref="R20" ca="1" si="17">MIN(OFFSET(M20,0,1,,M20))</f>
        <v>2</v>
      </c>
      <c r="S20" s="152">
        <f ca="1">IF($F21=0,OFFSET(ORÇAMENTO!X$15,$F20,0),IF($F21&lt;&gt;-1,OFFSET(QCI!$O$13,$F21,0),""))</f>
        <v>17101.5</v>
      </c>
      <c r="T20" s="618" t="s">
        <v>809</v>
      </c>
      <c r="U20" s="147">
        <f ca="1">IF(AND($R20=2,ACOMPANHAMENTO="BM"),ROUND(U21,4),U22/$S20)</f>
        <v>1</v>
      </c>
      <c r="V20" s="147">
        <f ca="1">IF(AND($R20=2,ACOMPANHAMENTO="BM"),ROUND(V21,4),V22/$S20)</f>
        <v>0</v>
      </c>
      <c r="W20" s="147">
        <f ca="1">IF(AND($R20=2,ACOMPANHAMENTO="BM"),ROUND(W21,4),W22/$S20)</f>
        <v>0</v>
      </c>
      <c r="X20" s="147">
        <f ca="1">IF(AND($R20=2,ACOMPANHAMENTO="BM"),ROUND(X21,4),X22/$S20)</f>
        <v>0</v>
      </c>
      <c r="Y20" s="147">
        <f ca="1">IF(AND($R20=2,ACOMPANHAMENTO="BM"),ROUND(Y21,4),Y22/$S20)</f>
        <v>0</v>
      </c>
      <c r="Z20" s="147">
        <f ca="1">IF(AND($R20=2,ACOMPANHAMENTO="BM"),ROUND(Z21,4),Z22/$S20)</f>
        <v>0</v>
      </c>
      <c r="AA20" s="147">
        <f ca="1">IF(AND($R20=2,ACOMPANHAMENTO="BM"),ROUND(AA21,4),AA22/$S20)</f>
        <v>0</v>
      </c>
      <c r="AB20" s="147">
        <f ca="1">IF(AND($R20=2,ACOMPANHAMENTO="BM"),ROUND(AB21,4),AB22/$S20)</f>
        <v>0</v>
      </c>
      <c r="AC20" s="147">
        <f ca="1">IF(AND($R20=2,ACOMPANHAMENTO="BM"),ROUND(AC21,4),AC22/$S20)</f>
        <v>0</v>
      </c>
      <c r="AD20" s="147">
        <f ca="1">IF(AND($R20=2,ACOMPANHAMENTO="BM"),ROUND(AD21,4),AD22/$S20)</f>
        <v>0</v>
      </c>
      <c r="AE20" s="147">
        <f ca="1">IF(AND($R20=2,ACOMPANHAMENTO="BM"),ROUND(AE21,4),AE22/$S20)</f>
        <v>0</v>
      </c>
      <c r="AF20" s="147">
        <f ca="1">IF(AND($R20=2,ACOMPANHAMENTO="BM"),ROUND(AF21,4),AF22/$S20)</f>
        <v>0</v>
      </c>
      <c r="AG20" s="444"/>
    </row>
    <row r="21" spans="1:33" ht="12.75" customHeight="1" x14ac:dyDescent="0.25">
      <c r="E21" s="501"/>
      <c r="F21" s="144">
        <f ca="1">IF(ISERROR(F20),IF(1+COUNTIF($M$13:OFFSET(M20,-1,0),1)&lt;=MAX(QCI!$D$13:$D$24),1+COUNTIF($M$13:OFFSET(M20,-1,0),1),-1),0)</f>
        <v>0</v>
      </c>
      <c r="G21" s="144" t="str">
        <f ca="1">IF(ACOMPANHAMENTO="BM",OFFSET(G21,-1,0),"")</f>
        <v>F</v>
      </c>
      <c r="H21" s="153" t="str">
        <f ca="1">IF(OR(S20=0,S20=""),"vazia",IF(AND(OR(ACOMPANHAMENTO="PLE",$R20&lt;&gt;2),$F21=0),"calculada","--&gt;"))</f>
        <v>--&gt;</v>
      </c>
      <c r="I21" s="154"/>
      <c r="J21" s="155" t="str">
        <f t="shared" ref="J21" ca="1" si="18">IF(AND(H20&lt;&gt;0,ISNUMBER(H20)),"PREENCHA ESTA LINHA --&gt;","")</f>
        <v/>
      </c>
      <c r="K21" s="155"/>
      <c r="L21" s="155"/>
      <c r="M21" s="156"/>
      <c r="N21" s="156"/>
      <c r="O21" s="156"/>
      <c r="P21" s="156"/>
      <c r="Q21" s="156"/>
      <c r="R21" s="156"/>
      <c r="S21" s="157"/>
      <c r="T21" s="158"/>
      <c r="U21" s="501">
        <v>1</v>
      </c>
      <c r="V21" s="501"/>
      <c r="W21" s="501"/>
      <c r="X21" s="501"/>
      <c r="Y21" s="501"/>
      <c r="Z21" s="501"/>
      <c r="AA21" s="501"/>
      <c r="AB21" s="501"/>
      <c r="AC21" s="501"/>
      <c r="AD21" s="501"/>
      <c r="AE21" s="501"/>
      <c r="AF21" s="501"/>
      <c r="AG21" s="444"/>
    </row>
    <row r="22" spans="1:33" ht="12.75" hidden="1" customHeight="1" x14ac:dyDescent="0.25">
      <c r="D22" s="443"/>
      <c r="E22" s="159">
        <f ca="1">IF($R20=2,
         IF(AND(ACOMPANHAMENTO="PLE",ISNUMBER($F20)),
                SUMIF((OFFSET(CÁLCULO!$AM$15:$AW$15,$F20,0,OFFSET(ORÇAMENTO!$D$15,CRONO!$F20,0))),CRONO!E$12,OFFSET(CÁLCULO!$AB$15:$AL$15,$F20,0,OFFSET(ORÇAMENTO!$D$15,CRONO!$F20,0)))
                +IF(AND($F22&lt;&gt;"",$F22&lt;&gt;0),
                        SUMIF(CÁLCULO!$AM$15:$AW$36,CRONO!E$12,CÁLCULO!$AB$15:$AL$36)/(ORÇAMENTO!$X$15-CÁLCULO.TotalAdmLocal)*CRONO!$F22,
                        0),
                 E21*$S20),
          SUMIF(OFFSET($S22,1,0,$R20-2),($M20+1)&amp;"$",OFFSET(E22,1,0,$R20-2)))</f>
        <v>0</v>
      </c>
      <c r="F22" s="144" t="str">
        <f ca="1">IF(OR($R20&lt;&gt;2,AUTOEVENTO&lt;&gt;"manual",$F21&gt;0),"",
        IF(Import.TipoArredondamento="Tradicional",
              SUMIF(OFFSET(CÁLCULO!$M$15,CRONO!$F20,0,OFFSET(ORÇAMENTO!$D$15,CRONO!$F20,0)),1,OFFSET(ORÇAMENTO!$X$15,CRONO!$F20,0,OFFSET(ORÇAMENTO!$D$15,CRONO!$F20,0))),
              0))</f>
        <v/>
      </c>
      <c r="H22" s="530"/>
      <c r="S22" s="160" t="str">
        <f t="shared" ref="S22" ca="1" si="19">M20&amp;"$"</f>
        <v>2$</v>
      </c>
      <c r="T22" s="161"/>
      <c r="U22" s="159">
        <f ca="1">IF($R20=2,
         IF(AND(ACOMPANHAMENTO="PLE",ISNUMBER($F20)),
                SUMIF((OFFSET(CÁLCULO!$AM$15:$AW$15,$F20,0,OFFSET(ORÇAMENTO!$D$15,CRONO!$F20,0))),CRONO!U$12,OFFSET(CÁLCULO!$AB$15:$AL$15,$F20,0,OFFSET(ORÇAMENTO!$D$15,CRONO!$F20,0)))
                +IF(AND($F22&lt;&gt;"",$F22&lt;&gt;0),
                        SUMIF(CÁLCULO!$AM$15:$AW$36,CRONO!U$12,CÁLCULO!$AB$15:$AL$36)/(ORÇAMENTO!$X$15-CÁLCULO.TotalAdmLocal)*CRONO!$F22,
                        0),
                 U21*$S20),
          SUMIF(OFFSET($S22,1,0,$R20-2),($M20+1)&amp;"$",OFFSET(U22,1,0,$R20-2)))</f>
        <v>17101.5</v>
      </c>
      <c r="V22" s="159">
        <f ca="1">IF($R20=2,
         IF(AND(ACOMPANHAMENTO="PLE",ISNUMBER($F20)),
                SUMIF((OFFSET(CÁLCULO!$AM$15:$AW$15,$F20,0,OFFSET(ORÇAMENTO!$D$15,CRONO!$F20,0))),CRONO!V$12,OFFSET(CÁLCULO!$AB$15:$AL$15,$F20,0,OFFSET(ORÇAMENTO!$D$15,CRONO!$F20,0)))
                +IF(AND($F22&lt;&gt;"",$F22&lt;&gt;0),
                        SUMIF(CÁLCULO!$AM$15:$AW$36,CRONO!V$12,CÁLCULO!$AB$15:$AL$36)/(ORÇAMENTO!$X$15-CÁLCULO.TotalAdmLocal)*CRONO!$F22,
                        0),
                 V21*$S20),
          SUMIF(OFFSET($S22,1,0,$R20-2),($M20+1)&amp;"$",OFFSET(V22,1,0,$R20-2)))</f>
        <v>0</v>
      </c>
      <c r="W22" s="159">
        <f ca="1">IF($R20=2,
         IF(AND(ACOMPANHAMENTO="PLE",ISNUMBER($F20)),
                SUMIF((OFFSET(CÁLCULO!$AM$15:$AW$15,$F20,0,OFFSET(ORÇAMENTO!$D$15,CRONO!$F20,0))),CRONO!W$12,OFFSET(CÁLCULO!$AB$15:$AL$15,$F20,0,OFFSET(ORÇAMENTO!$D$15,CRONO!$F20,0)))
                +IF(AND($F22&lt;&gt;"",$F22&lt;&gt;0),
                        SUMIF(CÁLCULO!$AM$15:$AW$36,CRONO!W$12,CÁLCULO!$AB$15:$AL$36)/(ORÇAMENTO!$X$15-CÁLCULO.TotalAdmLocal)*CRONO!$F22,
                        0),
                 W21*$S20),
          SUMIF(OFFSET($S22,1,0,$R20-2),($M20+1)&amp;"$",OFFSET(W22,1,0,$R20-2)))</f>
        <v>0</v>
      </c>
      <c r="X22" s="159">
        <f ca="1">IF($R20=2,
         IF(AND(ACOMPANHAMENTO="PLE",ISNUMBER($F20)),
                SUMIF((OFFSET(CÁLCULO!$AM$15:$AW$15,$F20,0,OFFSET(ORÇAMENTO!$D$15,CRONO!$F20,0))),CRONO!X$12,OFFSET(CÁLCULO!$AB$15:$AL$15,$F20,0,OFFSET(ORÇAMENTO!$D$15,CRONO!$F20,0)))
                +IF(AND($F22&lt;&gt;"",$F22&lt;&gt;0),
                        SUMIF(CÁLCULO!$AM$15:$AW$36,CRONO!X$12,CÁLCULO!$AB$15:$AL$36)/(ORÇAMENTO!$X$15-CÁLCULO.TotalAdmLocal)*CRONO!$F22,
                        0),
                 X21*$S20),
          SUMIF(OFFSET($S22,1,0,$R20-2),($M20+1)&amp;"$",OFFSET(X22,1,0,$R20-2)))</f>
        <v>0</v>
      </c>
      <c r="Y22" s="159">
        <f ca="1">IF($R20=2,
         IF(AND(ACOMPANHAMENTO="PLE",ISNUMBER($F20)),
                SUMIF((OFFSET(CÁLCULO!$AM$15:$AW$15,$F20,0,OFFSET(ORÇAMENTO!$D$15,CRONO!$F20,0))),CRONO!Y$12,OFFSET(CÁLCULO!$AB$15:$AL$15,$F20,0,OFFSET(ORÇAMENTO!$D$15,CRONO!$F20,0)))
                +IF(AND($F22&lt;&gt;"",$F22&lt;&gt;0),
                        SUMIF(CÁLCULO!$AM$15:$AW$36,CRONO!Y$12,CÁLCULO!$AB$15:$AL$36)/(ORÇAMENTO!$X$15-CÁLCULO.TotalAdmLocal)*CRONO!$F22,
                        0),
                 Y21*$S20),
          SUMIF(OFFSET($S22,1,0,$R20-2),($M20+1)&amp;"$",OFFSET(Y22,1,0,$R20-2)))</f>
        <v>0</v>
      </c>
      <c r="Z22" s="159">
        <f ca="1">IF($R20=2,
         IF(AND(ACOMPANHAMENTO="PLE",ISNUMBER($F20)),
                SUMIF((OFFSET(CÁLCULO!$AM$15:$AW$15,$F20,0,OFFSET(ORÇAMENTO!$D$15,CRONO!$F20,0))),CRONO!Z$12,OFFSET(CÁLCULO!$AB$15:$AL$15,$F20,0,OFFSET(ORÇAMENTO!$D$15,CRONO!$F20,0)))
                +IF(AND($F22&lt;&gt;"",$F22&lt;&gt;0),
                        SUMIF(CÁLCULO!$AM$15:$AW$36,CRONO!Z$12,CÁLCULO!$AB$15:$AL$36)/(ORÇAMENTO!$X$15-CÁLCULO.TotalAdmLocal)*CRONO!$F22,
                        0),
                 Z21*$S20),
          SUMIF(OFFSET($S22,1,0,$R20-2),($M20+1)&amp;"$",OFFSET(Z22,1,0,$R20-2)))</f>
        <v>0</v>
      </c>
      <c r="AA22" s="159">
        <f ca="1">IF($R20=2,
         IF(AND(ACOMPANHAMENTO="PLE",ISNUMBER($F20)),
                SUMIF((OFFSET(CÁLCULO!$AM$15:$AW$15,$F20,0,OFFSET(ORÇAMENTO!$D$15,CRONO!$F20,0))),CRONO!AA$12,OFFSET(CÁLCULO!$AB$15:$AL$15,$F20,0,OFFSET(ORÇAMENTO!$D$15,CRONO!$F20,0)))
                +IF(AND($F22&lt;&gt;"",$F22&lt;&gt;0),
                        SUMIF(CÁLCULO!$AM$15:$AW$36,CRONO!AA$12,CÁLCULO!$AB$15:$AL$36)/(ORÇAMENTO!$X$15-CÁLCULO.TotalAdmLocal)*CRONO!$F22,
                        0),
                 AA21*$S20),
          SUMIF(OFFSET($S22,1,0,$R20-2),($M20+1)&amp;"$",OFFSET(AA22,1,0,$R20-2)))</f>
        <v>0</v>
      </c>
      <c r="AB22" s="159">
        <f ca="1">IF($R20=2,
         IF(AND(ACOMPANHAMENTO="PLE",ISNUMBER($F20)),
                SUMIF((OFFSET(CÁLCULO!$AM$15:$AW$15,$F20,0,OFFSET(ORÇAMENTO!$D$15,CRONO!$F20,0))),CRONO!AB$12,OFFSET(CÁLCULO!$AB$15:$AL$15,$F20,0,OFFSET(ORÇAMENTO!$D$15,CRONO!$F20,0)))
                +IF(AND($F22&lt;&gt;"",$F22&lt;&gt;0),
                        SUMIF(CÁLCULO!$AM$15:$AW$36,CRONO!AB$12,CÁLCULO!$AB$15:$AL$36)/(ORÇAMENTO!$X$15-CÁLCULO.TotalAdmLocal)*CRONO!$F22,
                        0),
                 AB21*$S20),
          SUMIF(OFFSET($S22,1,0,$R20-2),($M20+1)&amp;"$",OFFSET(AB22,1,0,$R20-2)))</f>
        <v>0</v>
      </c>
      <c r="AC22" s="159">
        <f ca="1">IF($R20=2,
         IF(AND(ACOMPANHAMENTO="PLE",ISNUMBER($F20)),
                SUMIF((OFFSET(CÁLCULO!$AM$15:$AW$15,$F20,0,OFFSET(ORÇAMENTO!$D$15,CRONO!$F20,0))),CRONO!AC$12,OFFSET(CÁLCULO!$AB$15:$AL$15,$F20,0,OFFSET(ORÇAMENTO!$D$15,CRONO!$F20,0)))
                +IF(AND($F22&lt;&gt;"",$F22&lt;&gt;0),
                        SUMIF(CÁLCULO!$AM$15:$AW$36,CRONO!AC$12,CÁLCULO!$AB$15:$AL$36)/(ORÇAMENTO!$X$15-CÁLCULO.TotalAdmLocal)*CRONO!$F22,
                        0),
                 AC21*$S20),
          SUMIF(OFFSET($S22,1,0,$R20-2),($M20+1)&amp;"$",OFFSET(AC22,1,0,$R20-2)))</f>
        <v>0</v>
      </c>
      <c r="AD22" s="159">
        <f ca="1">IF($R20=2,
         IF(AND(ACOMPANHAMENTO="PLE",ISNUMBER($F20)),
                SUMIF((OFFSET(CÁLCULO!$AM$15:$AW$15,$F20,0,OFFSET(ORÇAMENTO!$D$15,CRONO!$F20,0))),CRONO!AD$12,OFFSET(CÁLCULO!$AB$15:$AL$15,$F20,0,OFFSET(ORÇAMENTO!$D$15,CRONO!$F20,0)))
                +IF(AND($F22&lt;&gt;"",$F22&lt;&gt;0),
                        SUMIF(CÁLCULO!$AM$15:$AW$36,CRONO!AD$12,CÁLCULO!$AB$15:$AL$36)/(ORÇAMENTO!$X$15-CÁLCULO.TotalAdmLocal)*CRONO!$F22,
                        0),
                 AD21*$S20),
          SUMIF(OFFSET($S22,1,0,$R20-2),($M20+1)&amp;"$",OFFSET(AD22,1,0,$R20-2)))</f>
        <v>0</v>
      </c>
      <c r="AE22" s="159">
        <f ca="1">IF($R20=2,
         IF(AND(ACOMPANHAMENTO="PLE",ISNUMBER($F20)),
                SUMIF((OFFSET(CÁLCULO!$AM$15:$AW$15,$F20,0,OFFSET(ORÇAMENTO!$D$15,CRONO!$F20,0))),CRONO!AE$12,OFFSET(CÁLCULO!$AB$15:$AL$15,$F20,0,OFFSET(ORÇAMENTO!$D$15,CRONO!$F20,0)))
                +IF(AND($F22&lt;&gt;"",$F22&lt;&gt;0),
                        SUMIF(CÁLCULO!$AM$15:$AW$36,CRONO!AE$12,CÁLCULO!$AB$15:$AL$36)/(ORÇAMENTO!$X$15-CÁLCULO.TotalAdmLocal)*CRONO!$F22,
                        0),
                 AE21*$S20),
          SUMIF(OFFSET($S22,1,0,$R20-2),($M20+1)&amp;"$",OFFSET(AE22,1,0,$R20-2)))</f>
        <v>0</v>
      </c>
      <c r="AF22" s="159">
        <f ca="1">IF($R20=2,
         IF(AND(ACOMPANHAMENTO="PLE",ISNUMBER($F20)),
                SUMIF((OFFSET(CÁLCULO!$AM$15:$AW$15,$F20,0,OFFSET(ORÇAMENTO!$D$15,CRONO!$F20,0))),CRONO!AF$12,OFFSET(CÁLCULO!$AB$15:$AL$15,$F20,0,OFFSET(ORÇAMENTO!$D$15,CRONO!$F20,0)))
                +IF(AND($F22&lt;&gt;"",$F22&lt;&gt;0),
                        SUMIF(CÁLCULO!$AM$15:$AW$36,CRONO!AF$12,CÁLCULO!$AB$15:$AL$36)/(ORÇAMENTO!$X$15-CÁLCULO.TotalAdmLocal)*CRONO!$F22,
                        0),
                 AF21*$S20),
          SUMIF(OFFSET($S22,1,0,$R20-2),($M20+1)&amp;"$",OFFSET(AF22,1,0,$R20-2)))</f>
        <v>0</v>
      </c>
      <c r="AG22" s="444"/>
    </row>
    <row r="23" spans="1:33" x14ac:dyDescent="0.25">
      <c r="A23" s="145" t="str">
        <f t="shared" ref="A23" ca="1" si="20">IF($M23&gt;1,CONCATENATE($I23," ",$J23),"")</f>
        <v>1.3. MOBILIZAÇÃO DE MAQUINÁRIO</v>
      </c>
      <c r="B23" s="144">
        <f t="shared" ref="B23" ca="1" si="21">OFFSET(B23,-3,0)+1</f>
        <v>4</v>
      </c>
      <c r="C23" s="144">
        <f ca="1">IF($R23&lt;&gt;2,0,IF($S23=0,1,IF(F24&gt;0,OFFSET(QCI!$M$13,SUBSTITUTE(F24,".",""),0),OFFSET(ORÇAMENTO!$AA$15,CRONO!$F23,0))/$S23))</f>
        <v>3.8911837529558228E-2</v>
      </c>
      <c r="D23" s="144">
        <f ca="1">IF($R23&lt;&gt;2,0,IF($S23=0,1,IF(F24&gt;0,OFFSET(QCI!$N$13,SUBSTITUTE(F24,".",""),0),OFFSET(ORÇAMENTO!$AB$15,CRONO!$F23,0))/$S23))</f>
        <v>0</v>
      </c>
      <c r="E23" s="147">
        <f ca="1">IF(AND($R23=2,ACOMPANHAMENTO="BM"),ROUND(E24,4),E25/$S23)</f>
        <v>0</v>
      </c>
      <c r="F23" s="144">
        <f ca="1">IF(B23&lt;=ORÇAMENTO.MáximoListaCrono,MATCH(B23,ORÇAMENTO.ListaCrono,0),NA())</f>
        <v>7</v>
      </c>
      <c r="G23" s="144" t="str">
        <f t="shared" ref="G23" ca="1" si="22">IF(AND($F24&lt;&gt;-1,$S23&gt;0),"F","")</f>
        <v>F</v>
      </c>
      <c r="H23" s="617">
        <f ca="1">IF(OR(S23=0,S23=""),"Linha",IF(AND(OR(ACOMPANHAMENTO="PLE",$R23&lt;&gt;2),$F24=0),"Linha",ROUND(1-SUM(U23:AG23),4)))</f>
        <v>0</v>
      </c>
      <c r="I23" s="148" t="str">
        <f ca="1">IF($F24=0,OFFSET(ORÇAMENTO!O$15,$F23,0),IF($F24&lt;&gt;-1,OFFSET(QCI!$D$13,$F24,0),""))</f>
        <v>1.3.</v>
      </c>
      <c r="J23" s="149" t="str">
        <f ca="1">IF($F24=0,OFFSET(ORÇAMENTO!R$15,$F23,0),IF($F24&lt;&gt;-1,OFFSET(QCI!$G$13,$F24,0),""))</f>
        <v>MOBILIZAÇÃO DE MAQUINÁRIO</v>
      </c>
      <c r="K23" s="149"/>
      <c r="L23" s="149"/>
      <c r="M23" s="150">
        <f ca="1">IF($F24=0,OFFSET(ORÇAMENTO!C$15,$F23,0),1)</f>
        <v>2</v>
      </c>
      <c r="N23" s="151">
        <f ca="1">IF($F24=-1,0,IF(N$13&lt;=$M23,IF(ISERROR(MATCH(N$13,OFFSET($M23,1,0,ROW($M$164)-ROW($M23)-1),0)),ROW($M$164)-ROW($M23)-1,MATCH(N$13,OFFSET($M23,1,0,ROW($M$164)-ROW($M23)-1),0)-1),0))</f>
        <v>14</v>
      </c>
      <c r="O23" s="151">
        <f ca="1">IF($F24=-1,0,IF(O$13&lt;=$M23,IF(ISERROR(MATCH(O$13,OFFSET($M23,1,0,ROW($M$164)-ROW($M23)-1),0)),ROW($M$164)-ROW($M23)-1,MATCH(O$13,OFFSET($M23,1,0,ROW($M$164)-ROW($M23)-1),0)-1),0))</f>
        <v>2</v>
      </c>
      <c r="P23" s="151">
        <f ca="1">IF($F24=-1,0,IF(P$13&lt;=$M23,IF(ISERROR(MATCH(P$13,OFFSET($M23,1,0,ROW($M$164)-ROW($M23)-1),0)),ROW($M$164)-ROW($M23)-1,MATCH(P$13,OFFSET($M23,1,0,ROW($M$164)-ROW($M23)-1),0)-1),0))</f>
        <v>0</v>
      </c>
      <c r="Q23" s="151">
        <f ca="1">IF($F24=-1,0,IF(Q$13&lt;=$M23,IF(ISERROR(MATCH(Q$13,OFFSET($M23,1,0,ROW($M$164)-ROW($M23)-1),0)),ROW($M$164)-ROW($M23)-1,MATCH(Q$13,OFFSET($M23,1,0,ROW($M$164)-ROW($M23)-1),0)-1),0))</f>
        <v>0</v>
      </c>
      <c r="R23" s="151">
        <f t="shared" ref="R23" ca="1" si="23">MIN(OFFSET(M23,0,1,,M23))</f>
        <v>2</v>
      </c>
      <c r="S23" s="152">
        <f ca="1">IF($F24=0,OFFSET(ORÇAMENTO!X$15,$F23,0),IF($F24&lt;&gt;-1,OFFSET(QCI!$O$13,$F24,0),""))</f>
        <v>14526.86</v>
      </c>
      <c r="T23" s="618" t="s">
        <v>809</v>
      </c>
      <c r="U23" s="147">
        <f ca="1">IF(AND($R23=2,ACOMPANHAMENTO="BM"),ROUND(U24,4),U25/$S23)</f>
        <v>1</v>
      </c>
      <c r="V23" s="147">
        <f ca="1">IF(AND($R23=2,ACOMPANHAMENTO="BM"),ROUND(V24,4),V25/$S23)</f>
        <v>0</v>
      </c>
      <c r="W23" s="147">
        <f ca="1">IF(AND($R23=2,ACOMPANHAMENTO="BM"),ROUND(W24,4),W25/$S23)</f>
        <v>0</v>
      </c>
      <c r="X23" s="147">
        <f ca="1">IF(AND($R23=2,ACOMPANHAMENTO="BM"),ROUND(X24,4),X25/$S23)</f>
        <v>0</v>
      </c>
      <c r="Y23" s="147">
        <f ca="1">IF(AND($R23=2,ACOMPANHAMENTO="BM"),ROUND(Y24,4),Y25/$S23)</f>
        <v>0</v>
      </c>
      <c r="Z23" s="147">
        <f ca="1">IF(AND($R23=2,ACOMPANHAMENTO="BM"),ROUND(Z24,4),Z25/$S23)</f>
        <v>0</v>
      </c>
      <c r="AA23" s="147">
        <f ca="1">IF(AND($R23=2,ACOMPANHAMENTO="BM"),ROUND(AA24,4),AA25/$S23)</f>
        <v>0</v>
      </c>
      <c r="AB23" s="147">
        <f ca="1">IF(AND($R23=2,ACOMPANHAMENTO="BM"),ROUND(AB24,4),AB25/$S23)</f>
        <v>0</v>
      </c>
      <c r="AC23" s="147">
        <f ca="1">IF(AND($R23=2,ACOMPANHAMENTO="BM"),ROUND(AC24,4),AC25/$S23)</f>
        <v>0</v>
      </c>
      <c r="AD23" s="147">
        <f ca="1">IF(AND($R23=2,ACOMPANHAMENTO="BM"),ROUND(AD24,4),AD25/$S23)</f>
        <v>0</v>
      </c>
      <c r="AE23" s="147">
        <f ca="1">IF(AND($R23=2,ACOMPANHAMENTO="BM"),ROUND(AE24,4),AE25/$S23)</f>
        <v>0</v>
      </c>
      <c r="AF23" s="147">
        <f ca="1">IF(AND($R23=2,ACOMPANHAMENTO="BM"),ROUND(AF24,4),AF25/$S23)</f>
        <v>0</v>
      </c>
      <c r="AG23" s="444"/>
    </row>
    <row r="24" spans="1:33" ht="12.75" customHeight="1" x14ac:dyDescent="0.25">
      <c r="E24" s="501"/>
      <c r="F24" s="144">
        <f ca="1">IF(ISERROR(F23),IF(1+COUNTIF($M$13:OFFSET(M23,-1,0),1)&lt;=MAX(QCI!$D$13:$D$24),1+COUNTIF($M$13:OFFSET(M23,-1,0),1),-1),0)</f>
        <v>0</v>
      </c>
      <c r="G24" s="144" t="str">
        <f ca="1">IF(ACOMPANHAMENTO="BM",OFFSET(G24,-1,0),"")</f>
        <v>F</v>
      </c>
      <c r="H24" s="153" t="str">
        <f ca="1">IF(OR(S23=0,S23=""),"vazia",IF(AND(OR(ACOMPANHAMENTO="PLE",$R23&lt;&gt;2),$F24=0),"calculada","--&gt;"))</f>
        <v>--&gt;</v>
      </c>
      <c r="I24" s="154"/>
      <c r="J24" s="155" t="str">
        <f t="shared" ref="J24" ca="1" si="24">IF(AND(H23&lt;&gt;0,ISNUMBER(H23)),"PREENCHA ESTA LINHA --&gt;","")</f>
        <v/>
      </c>
      <c r="K24" s="155"/>
      <c r="L24" s="155"/>
      <c r="M24" s="156"/>
      <c r="N24" s="156"/>
      <c r="O24" s="156"/>
      <c r="P24" s="156"/>
      <c r="Q24" s="156"/>
      <c r="R24" s="156"/>
      <c r="S24" s="157"/>
      <c r="T24" s="158"/>
      <c r="U24" s="501">
        <v>1</v>
      </c>
      <c r="V24" s="501"/>
      <c r="W24" s="501"/>
      <c r="X24" s="501"/>
      <c r="Y24" s="501"/>
      <c r="Z24" s="501"/>
      <c r="AA24" s="501"/>
      <c r="AB24" s="501"/>
      <c r="AC24" s="501"/>
      <c r="AD24" s="501"/>
      <c r="AE24" s="501"/>
      <c r="AF24" s="501"/>
      <c r="AG24" s="444"/>
    </row>
    <row r="25" spans="1:33" ht="12.75" hidden="1" customHeight="1" x14ac:dyDescent="0.25">
      <c r="D25" s="443"/>
      <c r="E25" s="159">
        <f ca="1">IF($R23=2,
         IF(AND(ACOMPANHAMENTO="PLE",ISNUMBER($F23)),
                SUMIF((OFFSET(CÁLCULO!$AM$15:$AW$15,$F23,0,OFFSET(ORÇAMENTO!$D$15,CRONO!$F23,0))),CRONO!E$12,OFFSET(CÁLCULO!$AB$15:$AL$15,$F23,0,OFFSET(ORÇAMENTO!$D$15,CRONO!$F23,0)))
                +IF(AND($F25&lt;&gt;"",$F25&lt;&gt;0),
                        SUMIF(CÁLCULO!$AM$15:$AW$36,CRONO!E$12,CÁLCULO!$AB$15:$AL$36)/(ORÇAMENTO!$X$15-CÁLCULO.TotalAdmLocal)*CRONO!$F25,
                        0),
                 E24*$S23),
          SUMIF(OFFSET($S25,1,0,$R23-2),($M23+1)&amp;"$",OFFSET(E25,1,0,$R23-2)))</f>
        <v>0</v>
      </c>
      <c r="F25" s="144" t="str">
        <f ca="1">IF(OR($R23&lt;&gt;2,AUTOEVENTO&lt;&gt;"manual",$F24&gt;0),"",
        IF(Import.TipoArredondamento="Tradicional",
              SUMIF(OFFSET(CÁLCULO!$M$15,CRONO!$F23,0,OFFSET(ORÇAMENTO!$D$15,CRONO!$F23,0)),1,OFFSET(ORÇAMENTO!$X$15,CRONO!$F23,0,OFFSET(ORÇAMENTO!$D$15,CRONO!$F23,0))),
              0))</f>
        <v/>
      </c>
      <c r="H25" s="530"/>
      <c r="S25" s="160" t="str">
        <f t="shared" ref="S25" ca="1" si="25">M23&amp;"$"</f>
        <v>2$</v>
      </c>
      <c r="T25" s="161"/>
      <c r="U25" s="159">
        <f ca="1">IF($R23=2,
         IF(AND(ACOMPANHAMENTO="PLE",ISNUMBER($F23)),
                SUMIF((OFFSET(CÁLCULO!$AM$15:$AW$15,$F23,0,OFFSET(ORÇAMENTO!$D$15,CRONO!$F23,0))),CRONO!U$12,OFFSET(CÁLCULO!$AB$15:$AL$15,$F23,0,OFFSET(ORÇAMENTO!$D$15,CRONO!$F23,0)))
                +IF(AND($F25&lt;&gt;"",$F25&lt;&gt;0),
                        SUMIF(CÁLCULO!$AM$15:$AW$36,CRONO!U$12,CÁLCULO!$AB$15:$AL$36)/(ORÇAMENTO!$X$15-CÁLCULO.TotalAdmLocal)*CRONO!$F25,
                        0),
                 U24*$S23),
          SUMIF(OFFSET($S25,1,0,$R23-2),($M23+1)&amp;"$",OFFSET(U25,1,0,$R23-2)))</f>
        <v>14526.86</v>
      </c>
      <c r="V25" s="159">
        <f ca="1">IF($R23=2,
         IF(AND(ACOMPANHAMENTO="PLE",ISNUMBER($F23)),
                SUMIF((OFFSET(CÁLCULO!$AM$15:$AW$15,$F23,0,OFFSET(ORÇAMENTO!$D$15,CRONO!$F23,0))),CRONO!V$12,OFFSET(CÁLCULO!$AB$15:$AL$15,$F23,0,OFFSET(ORÇAMENTO!$D$15,CRONO!$F23,0)))
                +IF(AND($F25&lt;&gt;"",$F25&lt;&gt;0),
                        SUMIF(CÁLCULO!$AM$15:$AW$36,CRONO!V$12,CÁLCULO!$AB$15:$AL$36)/(ORÇAMENTO!$X$15-CÁLCULO.TotalAdmLocal)*CRONO!$F25,
                        0),
                 V24*$S23),
          SUMIF(OFFSET($S25,1,0,$R23-2),($M23+1)&amp;"$",OFFSET(V25,1,0,$R23-2)))</f>
        <v>0</v>
      </c>
      <c r="W25" s="159">
        <f ca="1">IF($R23=2,
         IF(AND(ACOMPANHAMENTO="PLE",ISNUMBER($F23)),
                SUMIF((OFFSET(CÁLCULO!$AM$15:$AW$15,$F23,0,OFFSET(ORÇAMENTO!$D$15,CRONO!$F23,0))),CRONO!W$12,OFFSET(CÁLCULO!$AB$15:$AL$15,$F23,0,OFFSET(ORÇAMENTO!$D$15,CRONO!$F23,0)))
                +IF(AND($F25&lt;&gt;"",$F25&lt;&gt;0),
                        SUMIF(CÁLCULO!$AM$15:$AW$36,CRONO!W$12,CÁLCULO!$AB$15:$AL$36)/(ORÇAMENTO!$X$15-CÁLCULO.TotalAdmLocal)*CRONO!$F25,
                        0),
                 W24*$S23),
          SUMIF(OFFSET($S25,1,0,$R23-2),($M23+1)&amp;"$",OFFSET(W25,1,0,$R23-2)))</f>
        <v>0</v>
      </c>
      <c r="X25" s="159">
        <f ca="1">IF($R23=2,
         IF(AND(ACOMPANHAMENTO="PLE",ISNUMBER($F23)),
                SUMIF((OFFSET(CÁLCULO!$AM$15:$AW$15,$F23,0,OFFSET(ORÇAMENTO!$D$15,CRONO!$F23,0))),CRONO!X$12,OFFSET(CÁLCULO!$AB$15:$AL$15,$F23,0,OFFSET(ORÇAMENTO!$D$15,CRONO!$F23,0)))
                +IF(AND($F25&lt;&gt;"",$F25&lt;&gt;0),
                        SUMIF(CÁLCULO!$AM$15:$AW$36,CRONO!X$12,CÁLCULO!$AB$15:$AL$36)/(ORÇAMENTO!$X$15-CÁLCULO.TotalAdmLocal)*CRONO!$F25,
                        0),
                 X24*$S23),
          SUMIF(OFFSET($S25,1,0,$R23-2),($M23+1)&amp;"$",OFFSET(X25,1,0,$R23-2)))</f>
        <v>0</v>
      </c>
      <c r="Y25" s="159">
        <f ca="1">IF($R23=2,
         IF(AND(ACOMPANHAMENTO="PLE",ISNUMBER($F23)),
                SUMIF((OFFSET(CÁLCULO!$AM$15:$AW$15,$F23,0,OFFSET(ORÇAMENTO!$D$15,CRONO!$F23,0))),CRONO!Y$12,OFFSET(CÁLCULO!$AB$15:$AL$15,$F23,0,OFFSET(ORÇAMENTO!$D$15,CRONO!$F23,0)))
                +IF(AND($F25&lt;&gt;"",$F25&lt;&gt;0),
                        SUMIF(CÁLCULO!$AM$15:$AW$36,CRONO!Y$12,CÁLCULO!$AB$15:$AL$36)/(ORÇAMENTO!$X$15-CÁLCULO.TotalAdmLocal)*CRONO!$F25,
                        0),
                 Y24*$S23),
          SUMIF(OFFSET($S25,1,0,$R23-2),($M23+1)&amp;"$",OFFSET(Y25,1,0,$R23-2)))</f>
        <v>0</v>
      </c>
      <c r="Z25" s="159">
        <f ca="1">IF($R23=2,
         IF(AND(ACOMPANHAMENTO="PLE",ISNUMBER($F23)),
                SUMIF((OFFSET(CÁLCULO!$AM$15:$AW$15,$F23,0,OFFSET(ORÇAMENTO!$D$15,CRONO!$F23,0))),CRONO!Z$12,OFFSET(CÁLCULO!$AB$15:$AL$15,$F23,0,OFFSET(ORÇAMENTO!$D$15,CRONO!$F23,0)))
                +IF(AND($F25&lt;&gt;"",$F25&lt;&gt;0),
                        SUMIF(CÁLCULO!$AM$15:$AW$36,CRONO!Z$12,CÁLCULO!$AB$15:$AL$36)/(ORÇAMENTO!$X$15-CÁLCULO.TotalAdmLocal)*CRONO!$F25,
                        0),
                 Z24*$S23),
          SUMIF(OFFSET($S25,1,0,$R23-2),($M23+1)&amp;"$",OFFSET(Z25,1,0,$R23-2)))</f>
        <v>0</v>
      </c>
      <c r="AA25" s="159">
        <f ca="1">IF($R23=2,
         IF(AND(ACOMPANHAMENTO="PLE",ISNUMBER($F23)),
                SUMIF((OFFSET(CÁLCULO!$AM$15:$AW$15,$F23,0,OFFSET(ORÇAMENTO!$D$15,CRONO!$F23,0))),CRONO!AA$12,OFFSET(CÁLCULO!$AB$15:$AL$15,$F23,0,OFFSET(ORÇAMENTO!$D$15,CRONO!$F23,0)))
                +IF(AND($F25&lt;&gt;"",$F25&lt;&gt;0),
                        SUMIF(CÁLCULO!$AM$15:$AW$36,CRONO!AA$12,CÁLCULO!$AB$15:$AL$36)/(ORÇAMENTO!$X$15-CÁLCULO.TotalAdmLocal)*CRONO!$F25,
                        0),
                 AA24*$S23),
          SUMIF(OFFSET($S25,1,0,$R23-2),($M23+1)&amp;"$",OFFSET(AA25,1,0,$R23-2)))</f>
        <v>0</v>
      </c>
      <c r="AB25" s="159">
        <f ca="1">IF($R23=2,
         IF(AND(ACOMPANHAMENTO="PLE",ISNUMBER($F23)),
                SUMIF((OFFSET(CÁLCULO!$AM$15:$AW$15,$F23,0,OFFSET(ORÇAMENTO!$D$15,CRONO!$F23,0))),CRONO!AB$12,OFFSET(CÁLCULO!$AB$15:$AL$15,$F23,0,OFFSET(ORÇAMENTO!$D$15,CRONO!$F23,0)))
                +IF(AND($F25&lt;&gt;"",$F25&lt;&gt;0),
                        SUMIF(CÁLCULO!$AM$15:$AW$36,CRONO!AB$12,CÁLCULO!$AB$15:$AL$36)/(ORÇAMENTO!$X$15-CÁLCULO.TotalAdmLocal)*CRONO!$F25,
                        0),
                 AB24*$S23),
          SUMIF(OFFSET($S25,1,0,$R23-2),($M23+1)&amp;"$",OFFSET(AB25,1,0,$R23-2)))</f>
        <v>0</v>
      </c>
      <c r="AC25" s="159">
        <f ca="1">IF($R23=2,
         IF(AND(ACOMPANHAMENTO="PLE",ISNUMBER($F23)),
                SUMIF((OFFSET(CÁLCULO!$AM$15:$AW$15,$F23,0,OFFSET(ORÇAMENTO!$D$15,CRONO!$F23,0))),CRONO!AC$12,OFFSET(CÁLCULO!$AB$15:$AL$15,$F23,0,OFFSET(ORÇAMENTO!$D$15,CRONO!$F23,0)))
                +IF(AND($F25&lt;&gt;"",$F25&lt;&gt;0),
                        SUMIF(CÁLCULO!$AM$15:$AW$36,CRONO!AC$12,CÁLCULO!$AB$15:$AL$36)/(ORÇAMENTO!$X$15-CÁLCULO.TotalAdmLocal)*CRONO!$F25,
                        0),
                 AC24*$S23),
          SUMIF(OFFSET($S25,1,0,$R23-2),($M23+1)&amp;"$",OFFSET(AC25,1,0,$R23-2)))</f>
        <v>0</v>
      </c>
      <c r="AD25" s="159">
        <f ca="1">IF($R23=2,
         IF(AND(ACOMPANHAMENTO="PLE",ISNUMBER($F23)),
                SUMIF((OFFSET(CÁLCULO!$AM$15:$AW$15,$F23,0,OFFSET(ORÇAMENTO!$D$15,CRONO!$F23,0))),CRONO!AD$12,OFFSET(CÁLCULO!$AB$15:$AL$15,$F23,0,OFFSET(ORÇAMENTO!$D$15,CRONO!$F23,0)))
                +IF(AND($F25&lt;&gt;"",$F25&lt;&gt;0),
                        SUMIF(CÁLCULO!$AM$15:$AW$36,CRONO!AD$12,CÁLCULO!$AB$15:$AL$36)/(ORÇAMENTO!$X$15-CÁLCULO.TotalAdmLocal)*CRONO!$F25,
                        0),
                 AD24*$S23),
          SUMIF(OFFSET($S25,1,0,$R23-2),($M23+1)&amp;"$",OFFSET(AD25,1,0,$R23-2)))</f>
        <v>0</v>
      </c>
      <c r="AE25" s="159">
        <f ca="1">IF($R23=2,
         IF(AND(ACOMPANHAMENTO="PLE",ISNUMBER($F23)),
                SUMIF((OFFSET(CÁLCULO!$AM$15:$AW$15,$F23,0,OFFSET(ORÇAMENTO!$D$15,CRONO!$F23,0))),CRONO!AE$12,OFFSET(CÁLCULO!$AB$15:$AL$15,$F23,0,OFFSET(ORÇAMENTO!$D$15,CRONO!$F23,0)))
                +IF(AND($F25&lt;&gt;"",$F25&lt;&gt;0),
                        SUMIF(CÁLCULO!$AM$15:$AW$36,CRONO!AE$12,CÁLCULO!$AB$15:$AL$36)/(ORÇAMENTO!$X$15-CÁLCULO.TotalAdmLocal)*CRONO!$F25,
                        0),
                 AE24*$S23),
          SUMIF(OFFSET($S25,1,0,$R23-2),($M23+1)&amp;"$",OFFSET(AE25,1,0,$R23-2)))</f>
        <v>0</v>
      </c>
      <c r="AF25" s="159">
        <f ca="1">IF($R23=2,
         IF(AND(ACOMPANHAMENTO="PLE",ISNUMBER($F23)),
                SUMIF((OFFSET(CÁLCULO!$AM$15:$AW$15,$F23,0,OFFSET(ORÇAMENTO!$D$15,CRONO!$F23,0))),CRONO!AF$12,OFFSET(CÁLCULO!$AB$15:$AL$15,$F23,0,OFFSET(ORÇAMENTO!$D$15,CRONO!$F23,0)))
                +IF(AND($F25&lt;&gt;"",$F25&lt;&gt;0),
                        SUMIF(CÁLCULO!$AM$15:$AW$36,CRONO!AF$12,CÁLCULO!$AB$15:$AL$36)/(ORÇAMENTO!$X$15-CÁLCULO.TotalAdmLocal)*CRONO!$F25,
                        0),
                 AF24*$S23),
          SUMIF(OFFSET($S25,1,0,$R23-2),($M23+1)&amp;"$",OFFSET(AF25,1,0,$R23-2)))</f>
        <v>0</v>
      </c>
      <c r="AG25" s="444"/>
    </row>
    <row r="26" spans="1:33" x14ac:dyDescent="0.25">
      <c r="A26" s="145" t="str">
        <f t="shared" ref="A26" ca="1" si="26">IF($M26&gt;1,CONCATENATE($I26," ",$J26),"")</f>
        <v>1.4. DESMOBILIZAÇÃO DE MAQUINÁRIO</v>
      </c>
      <c r="B26" s="144">
        <f t="shared" ref="B26" ca="1" si="27">OFFSET(B26,-3,0)+1</f>
        <v>5</v>
      </c>
      <c r="C26" s="144">
        <f ca="1">IF($R26&lt;&gt;2,0,IF($S26=0,1,IF(F27&gt;0,OFFSET(QCI!$M$13,SUBSTITUTE(F27,".",""),0),OFFSET(ORÇAMENTO!$AA$15,CRONO!$F26,0))/$S26))</f>
        <v>3.8911837529558228E-2</v>
      </c>
      <c r="D26" s="144">
        <f ca="1">IF($R26&lt;&gt;2,0,IF($S26=0,1,IF(F27&gt;0,OFFSET(QCI!$N$13,SUBSTITUTE(F27,".",""),0),OFFSET(ORÇAMENTO!$AB$15,CRONO!$F26,0))/$S26))</f>
        <v>0</v>
      </c>
      <c r="E26" s="147">
        <f ca="1">IF(AND($R26=2,ACOMPANHAMENTO="BM"),ROUND(E27,4),E28/$S26)</f>
        <v>0</v>
      </c>
      <c r="F26" s="144">
        <f ca="1">IF(B26&lt;=ORÇAMENTO.MáximoListaCrono,MATCH(B26,ORÇAMENTO.ListaCrono,0),NA())</f>
        <v>9</v>
      </c>
      <c r="G26" s="144" t="str">
        <f t="shared" ref="G26" ca="1" si="28">IF(AND($F27&lt;&gt;-1,$S26&gt;0),"F","")</f>
        <v>F</v>
      </c>
      <c r="H26" s="617">
        <f ca="1">IF(OR(S26=0,S26=""),"Linha",IF(AND(OR(ACOMPANHAMENTO="PLE",$R26&lt;&gt;2),$F27=0),"Linha",ROUND(1-SUM(U26:AG26),4)))</f>
        <v>0</v>
      </c>
      <c r="I26" s="148" t="str">
        <f ca="1">IF($F27=0,OFFSET(ORÇAMENTO!O$15,$F26,0),IF($F27&lt;&gt;-1,OFFSET(QCI!$D$13,$F27,0),""))</f>
        <v>1.4.</v>
      </c>
      <c r="J26" s="149" t="str">
        <f ca="1">IF($F27=0,OFFSET(ORÇAMENTO!R$15,$F26,0),IF($F27&lt;&gt;-1,OFFSET(QCI!$G$13,$F27,0),""))</f>
        <v>DESMOBILIZAÇÃO DE MAQUINÁRIO</v>
      </c>
      <c r="K26" s="149"/>
      <c r="L26" s="149"/>
      <c r="M26" s="150">
        <f ca="1">IF($F27=0,OFFSET(ORÇAMENTO!C$15,$F26,0),1)</f>
        <v>2</v>
      </c>
      <c r="N26" s="151">
        <f ca="1">IF($F27=-1,0,IF(N$13&lt;=$M26,IF(ISERROR(MATCH(N$13,OFFSET($M26,1,0,ROW($M$164)-ROW($M26)-1),0)),ROW($M$164)-ROW($M26)-1,MATCH(N$13,OFFSET($M26,1,0,ROW($M$164)-ROW($M26)-1),0)-1),0))</f>
        <v>11</v>
      </c>
      <c r="O26" s="151">
        <f ca="1">IF($F27=-1,0,IF(O$13&lt;=$M26,IF(ISERROR(MATCH(O$13,OFFSET($M26,1,0,ROW($M$164)-ROW($M26)-1),0)),ROW($M$164)-ROW($M26)-1,MATCH(O$13,OFFSET($M26,1,0,ROW($M$164)-ROW($M26)-1),0)-1),0))</f>
        <v>2</v>
      </c>
      <c r="P26" s="151">
        <f ca="1">IF($F27=-1,0,IF(P$13&lt;=$M26,IF(ISERROR(MATCH(P$13,OFFSET($M26,1,0,ROW($M$164)-ROW($M26)-1),0)),ROW($M$164)-ROW($M26)-1,MATCH(P$13,OFFSET($M26,1,0,ROW($M$164)-ROW($M26)-1),0)-1),0))</f>
        <v>0</v>
      </c>
      <c r="Q26" s="151">
        <f ca="1">IF($F27=-1,0,IF(Q$13&lt;=$M26,IF(ISERROR(MATCH(Q$13,OFFSET($M26,1,0,ROW($M$164)-ROW($M26)-1),0)),ROW($M$164)-ROW($M26)-1,MATCH(Q$13,OFFSET($M26,1,0,ROW($M$164)-ROW($M26)-1),0)-1),0))</f>
        <v>0</v>
      </c>
      <c r="R26" s="151">
        <f t="shared" ref="R26" ca="1" si="29">MIN(OFFSET(M26,0,1,,M26))</f>
        <v>2</v>
      </c>
      <c r="S26" s="152">
        <f ca="1">IF($F27=0,OFFSET(ORÇAMENTO!X$15,$F26,0),IF($F27&lt;&gt;-1,OFFSET(QCI!$O$13,$F27,0),""))</f>
        <v>14526.86</v>
      </c>
      <c r="T26" s="618" t="s">
        <v>809</v>
      </c>
      <c r="U26" s="147">
        <f ca="1">IF(AND($R26=2,ACOMPANHAMENTO="BM"),ROUND(U27,4),U28/$S26)</f>
        <v>0</v>
      </c>
      <c r="V26" s="147">
        <f ca="1">IF(AND($R26=2,ACOMPANHAMENTO="BM"),ROUND(V27,4),V28/$S26)</f>
        <v>0</v>
      </c>
      <c r="W26" s="147">
        <f ca="1">IF(AND($R26=2,ACOMPANHAMENTO="BM"),ROUND(W27,4),W28/$S26)</f>
        <v>0</v>
      </c>
      <c r="X26" s="147">
        <f ca="1">IF(AND($R26=2,ACOMPANHAMENTO="BM"),ROUND(X27,4),X28/$S26)</f>
        <v>0</v>
      </c>
      <c r="Y26" s="147">
        <f ca="1">IF(AND($R26=2,ACOMPANHAMENTO="BM"),ROUND(Y27,4),Y28/$S26)</f>
        <v>0</v>
      </c>
      <c r="Z26" s="147">
        <f ca="1">IF(AND($R26=2,ACOMPANHAMENTO="BM"),ROUND(Z27,4),Z28/$S26)</f>
        <v>0</v>
      </c>
      <c r="AA26" s="147">
        <f ca="1">IF(AND($R26=2,ACOMPANHAMENTO="BM"),ROUND(AA27,4),AA28/$S26)</f>
        <v>0</v>
      </c>
      <c r="AB26" s="147">
        <f ca="1">IF(AND($R26=2,ACOMPANHAMENTO="BM"),ROUND(AB27,4),AB28/$S26)</f>
        <v>0</v>
      </c>
      <c r="AC26" s="147">
        <f ca="1">IF(AND($R26=2,ACOMPANHAMENTO="BM"),ROUND(AC27,4),AC28/$S26)</f>
        <v>1</v>
      </c>
      <c r="AD26" s="147">
        <f ca="1">IF(AND($R26=2,ACOMPANHAMENTO="BM"),ROUND(AD27,4),AD28/$S26)</f>
        <v>0</v>
      </c>
      <c r="AE26" s="147">
        <f ca="1">IF(AND($R26=2,ACOMPANHAMENTO="BM"),ROUND(AE27,4),AE28/$S26)</f>
        <v>0</v>
      </c>
      <c r="AF26" s="147">
        <f ca="1">IF(AND($R26=2,ACOMPANHAMENTO="BM"),ROUND(AF27,4),AF28/$S26)</f>
        <v>0</v>
      </c>
      <c r="AG26" s="444"/>
    </row>
    <row r="27" spans="1:33" ht="12.75" customHeight="1" x14ac:dyDescent="0.25">
      <c r="E27" s="501"/>
      <c r="F27" s="144">
        <f ca="1">IF(ISERROR(F26),IF(1+COUNTIF($M$13:OFFSET(M26,-1,0),1)&lt;=MAX(QCI!$D$13:$D$24),1+COUNTIF($M$13:OFFSET(M26,-1,0),1),-1),0)</f>
        <v>0</v>
      </c>
      <c r="G27" s="144" t="str">
        <f ca="1">IF(ACOMPANHAMENTO="BM",OFFSET(G27,-1,0),"")</f>
        <v>F</v>
      </c>
      <c r="H27" s="153" t="str">
        <f ca="1">IF(OR(S26=0,S26=""),"vazia",IF(AND(OR(ACOMPANHAMENTO="PLE",$R26&lt;&gt;2),$F27=0),"calculada","--&gt;"))</f>
        <v>--&gt;</v>
      </c>
      <c r="I27" s="154"/>
      <c r="J27" s="155" t="str">
        <f t="shared" ref="J27" ca="1" si="30">IF(AND(H26&lt;&gt;0,ISNUMBER(H26)),"PREENCHA ESTA LINHA --&gt;","")</f>
        <v/>
      </c>
      <c r="K27" s="155"/>
      <c r="L27" s="155"/>
      <c r="M27" s="156"/>
      <c r="N27" s="156"/>
      <c r="O27" s="156"/>
      <c r="P27" s="156"/>
      <c r="Q27" s="156"/>
      <c r="R27" s="156"/>
      <c r="S27" s="157"/>
      <c r="T27" s="158"/>
      <c r="U27" s="501"/>
      <c r="V27" s="501"/>
      <c r="W27" s="501"/>
      <c r="X27" s="501"/>
      <c r="Y27" s="501"/>
      <c r="Z27" s="501"/>
      <c r="AA27" s="501"/>
      <c r="AB27" s="501"/>
      <c r="AC27" s="501">
        <v>1</v>
      </c>
      <c r="AD27" s="501"/>
      <c r="AE27" s="501"/>
      <c r="AF27" s="501"/>
      <c r="AG27" s="444"/>
    </row>
    <row r="28" spans="1:33" ht="12.75" hidden="1" customHeight="1" x14ac:dyDescent="0.25">
      <c r="D28" s="443"/>
      <c r="E28" s="159">
        <f ca="1">IF($R26=2,
         IF(AND(ACOMPANHAMENTO="PLE",ISNUMBER($F26)),
                SUMIF((OFFSET(CÁLCULO!$AM$15:$AW$15,$F26,0,OFFSET(ORÇAMENTO!$D$15,CRONO!$F26,0))),CRONO!E$12,OFFSET(CÁLCULO!$AB$15:$AL$15,$F26,0,OFFSET(ORÇAMENTO!$D$15,CRONO!$F26,0)))
                +IF(AND($F28&lt;&gt;"",$F28&lt;&gt;0),
                        SUMIF(CÁLCULO!$AM$15:$AW$36,CRONO!E$12,CÁLCULO!$AB$15:$AL$36)/(ORÇAMENTO!$X$15-CÁLCULO.TotalAdmLocal)*CRONO!$F28,
                        0),
                 E27*$S26),
          SUMIF(OFFSET($S28,1,0,$R26-2),($M26+1)&amp;"$",OFFSET(E28,1,0,$R26-2)))</f>
        <v>0</v>
      </c>
      <c r="F28" s="144" t="str">
        <f ca="1">IF(OR($R26&lt;&gt;2,AUTOEVENTO&lt;&gt;"manual",$F27&gt;0),"",
        IF(Import.TipoArredondamento="Tradicional",
              SUMIF(OFFSET(CÁLCULO!$M$15,CRONO!$F26,0,OFFSET(ORÇAMENTO!$D$15,CRONO!$F26,0)),1,OFFSET(ORÇAMENTO!$X$15,CRONO!$F26,0,OFFSET(ORÇAMENTO!$D$15,CRONO!$F26,0))),
              0))</f>
        <v/>
      </c>
      <c r="H28" s="530"/>
      <c r="S28" s="160" t="str">
        <f t="shared" ref="S28" ca="1" si="31">M26&amp;"$"</f>
        <v>2$</v>
      </c>
      <c r="T28" s="161"/>
      <c r="U28" s="159">
        <f ca="1">IF($R26=2,
         IF(AND(ACOMPANHAMENTO="PLE",ISNUMBER($F26)),
                SUMIF((OFFSET(CÁLCULO!$AM$15:$AW$15,$F26,0,OFFSET(ORÇAMENTO!$D$15,CRONO!$F26,0))),CRONO!U$12,OFFSET(CÁLCULO!$AB$15:$AL$15,$F26,0,OFFSET(ORÇAMENTO!$D$15,CRONO!$F26,0)))
                +IF(AND($F28&lt;&gt;"",$F28&lt;&gt;0),
                        SUMIF(CÁLCULO!$AM$15:$AW$36,CRONO!U$12,CÁLCULO!$AB$15:$AL$36)/(ORÇAMENTO!$X$15-CÁLCULO.TotalAdmLocal)*CRONO!$F28,
                        0),
                 U27*$S26),
          SUMIF(OFFSET($S28,1,0,$R26-2),($M26+1)&amp;"$",OFFSET(U28,1,0,$R26-2)))</f>
        <v>0</v>
      </c>
      <c r="V28" s="159">
        <f ca="1">IF($R26=2,
         IF(AND(ACOMPANHAMENTO="PLE",ISNUMBER($F26)),
                SUMIF((OFFSET(CÁLCULO!$AM$15:$AW$15,$F26,0,OFFSET(ORÇAMENTO!$D$15,CRONO!$F26,0))),CRONO!V$12,OFFSET(CÁLCULO!$AB$15:$AL$15,$F26,0,OFFSET(ORÇAMENTO!$D$15,CRONO!$F26,0)))
                +IF(AND($F28&lt;&gt;"",$F28&lt;&gt;0),
                        SUMIF(CÁLCULO!$AM$15:$AW$36,CRONO!V$12,CÁLCULO!$AB$15:$AL$36)/(ORÇAMENTO!$X$15-CÁLCULO.TotalAdmLocal)*CRONO!$F28,
                        0),
                 V27*$S26),
          SUMIF(OFFSET($S28,1,0,$R26-2),($M26+1)&amp;"$",OFFSET(V28,1,0,$R26-2)))</f>
        <v>0</v>
      </c>
      <c r="W28" s="159">
        <f ca="1">IF($R26=2,
         IF(AND(ACOMPANHAMENTO="PLE",ISNUMBER($F26)),
                SUMIF((OFFSET(CÁLCULO!$AM$15:$AW$15,$F26,0,OFFSET(ORÇAMENTO!$D$15,CRONO!$F26,0))),CRONO!W$12,OFFSET(CÁLCULO!$AB$15:$AL$15,$F26,0,OFFSET(ORÇAMENTO!$D$15,CRONO!$F26,0)))
                +IF(AND($F28&lt;&gt;"",$F28&lt;&gt;0),
                        SUMIF(CÁLCULO!$AM$15:$AW$36,CRONO!W$12,CÁLCULO!$AB$15:$AL$36)/(ORÇAMENTO!$X$15-CÁLCULO.TotalAdmLocal)*CRONO!$F28,
                        0),
                 W27*$S26),
          SUMIF(OFFSET($S28,1,0,$R26-2),($M26+1)&amp;"$",OFFSET(W28,1,0,$R26-2)))</f>
        <v>0</v>
      </c>
      <c r="X28" s="159">
        <f ca="1">IF($R26=2,
         IF(AND(ACOMPANHAMENTO="PLE",ISNUMBER($F26)),
                SUMIF((OFFSET(CÁLCULO!$AM$15:$AW$15,$F26,0,OFFSET(ORÇAMENTO!$D$15,CRONO!$F26,0))),CRONO!X$12,OFFSET(CÁLCULO!$AB$15:$AL$15,$F26,0,OFFSET(ORÇAMENTO!$D$15,CRONO!$F26,0)))
                +IF(AND($F28&lt;&gt;"",$F28&lt;&gt;0),
                        SUMIF(CÁLCULO!$AM$15:$AW$36,CRONO!X$12,CÁLCULO!$AB$15:$AL$36)/(ORÇAMENTO!$X$15-CÁLCULO.TotalAdmLocal)*CRONO!$F28,
                        0),
                 X27*$S26),
          SUMIF(OFFSET($S28,1,0,$R26-2),($M26+1)&amp;"$",OFFSET(X28,1,0,$R26-2)))</f>
        <v>0</v>
      </c>
      <c r="Y28" s="159">
        <f ca="1">IF($R26=2,
         IF(AND(ACOMPANHAMENTO="PLE",ISNUMBER($F26)),
                SUMIF((OFFSET(CÁLCULO!$AM$15:$AW$15,$F26,0,OFFSET(ORÇAMENTO!$D$15,CRONO!$F26,0))),CRONO!Y$12,OFFSET(CÁLCULO!$AB$15:$AL$15,$F26,0,OFFSET(ORÇAMENTO!$D$15,CRONO!$F26,0)))
                +IF(AND($F28&lt;&gt;"",$F28&lt;&gt;0),
                        SUMIF(CÁLCULO!$AM$15:$AW$36,CRONO!Y$12,CÁLCULO!$AB$15:$AL$36)/(ORÇAMENTO!$X$15-CÁLCULO.TotalAdmLocal)*CRONO!$F28,
                        0),
                 Y27*$S26),
          SUMIF(OFFSET($S28,1,0,$R26-2),($M26+1)&amp;"$",OFFSET(Y28,1,0,$R26-2)))</f>
        <v>0</v>
      </c>
      <c r="Z28" s="159">
        <f ca="1">IF($R26=2,
         IF(AND(ACOMPANHAMENTO="PLE",ISNUMBER($F26)),
                SUMIF((OFFSET(CÁLCULO!$AM$15:$AW$15,$F26,0,OFFSET(ORÇAMENTO!$D$15,CRONO!$F26,0))),CRONO!Z$12,OFFSET(CÁLCULO!$AB$15:$AL$15,$F26,0,OFFSET(ORÇAMENTO!$D$15,CRONO!$F26,0)))
                +IF(AND($F28&lt;&gt;"",$F28&lt;&gt;0),
                        SUMIF(CÁLCULO!$AM$15:$AW$36,CRONO!Z$12,CÁLCULO!$AB$15:$AL$36)/(ORÇAMENTO!$X$15-CÁLCULO.TotalAdmLocal)*CRONO!$F28,
                        0),
                 Z27*$S26),
          SUMIF(OFFSET($S28,1,0,$R26-2),($M26+1)&amp;"$",OFFSET(Z28,1,0,$R26-2)))</f>
        <v>0</v>
      </c>
      <c r="AA28" s="159">
        <f ca="1">IF($R26=2,
         IF(AND(ACOMPANHAMENTO="PLE",ISNUMBER($F26)),
                SUMIF((OFFSET(CÁLCULO!$AM$15:$AW$15,$F26,0,OFFSET(ORÇAMENTO!$D$15,CRONO!$F26,0))),CRONO!AA$12,OFFSET(CÁLCULO!$AB$15:$AL$15,$F26,0,OFFSET(ORÇAMENTO!$D$15,CRONO!$F26,0)))
                +IF(AND($F28&lt;&gt;"",$F28&lt;&gt;0),
                        SUMIF(CÁLCULO!$AM$15:$AW$36,CRONO!AA$12,CÁLCULO!$AB$15:$AL$36)/(ORÇAMENTO!$X$15-CÁLCULO.TotalAdmLocal)*CRONO!$F28,
                        0),
                 AA27*$S26),
          SUMIF(OFFSET($S28,1,0,$R26-2),($M26+1)&amp;"$",OFFSET(AA28,1,0,$R26-2)))</f>
        <v>0</v>
      </c>
      <c r="AB28" s="159">
        <f ca="1">IF($R26=2,
         IF(AND(ACOMPANHAMENTO="PLE",ISNUMBER($F26)),
                SUMIF((OFFSET(CÁLCULO!$AM$15:$AW$15,$F26,0,OFFSET(ORÇAMENTO!$D$15,CRONO!$F26,0))),CRONO!AB$12,OFFSET(CÁLCULO!$AB$15:$AL$15,$F26,0,OFFSET(ORÇAMENTO!$D$15,CRONO!$F26,0)))
                +IF(AND($F28&lt;&gt;"",$F28&lt;&gt;0),
                        SUMIF(CÁLCULO!$AM$15:$AW$36,CRONO!AB$12,CÁLCULO!$AB$15:$AL$36)/(ORÇAMENTO!$X$15-CÁLCULO.TotalAdmLocal)*CRONO!$F28,
                        0),
                 AB27*$S26),
          SUMIF(OFFSET($S28,1,0,$R26-2),($M26+1)&amp;"$",OFFSET(AB28,1,0,$R26-2)))</f>
        <v>0</v>
      </c>
      <c r="AC28" s="159">
        <f ca="1">IF($R26=2,
         IF(AND(ACOMPANHAMENTO="PLE",ISNUMBER($F26)),
                SUMIF((OFFSET(CÁLCULO!$AM$15:$AW$15,$F26,0,OFFSET(ORÇAMENTO!$D$15,CRONO!$F26,0))),CRONO!AC$12,OFFSET(CÁLCULO!$AB$15:$AL$15,$F26,0,OFFSET(ORÇAMENTO!$D$15,CRONO!$F26,0)))
                +IF(AND($F28&lt;&gt;"",$F28&lt;&gt;0),
                        SUMIF(CÁLCULO!$AM$15:$AW$36,CRONO!AC$12,CÁLCULO!$AB$15:$AL$36)/(ORÇAMENTO!$X$15-CÁLCULO.TotalAdmLocal)*CRONO!$F28,
                        0),
                 AC27*$S26),
          SUMIF(OFFSET($S28,1,0,$R26-2),($M26+1)&amp;"$",OFFSET(AC28,1,0,$R26-2)))</f>
        <v>14526.86</v>
      </c>
      <c r="AD28" s="159">
        <f ca="1">IF($R26=2,
         IF(AND(ACOMPANHAMENTO="PLE",ISNUMBER($F26)),
                SUMIF((OFFSET(CÁLCULO!$AM$15:$AW$15,$F26,0,OFFSET(ORÇAMENTO!$D$15,CRONO!$F26,0))),CRONO!AD$12,OFFSET(CÁLCULO!$AB$15:$AL$15,$F26,0,OFFSET(ORÇAMENTO!$D$15,CRONO!$F26,0)))
                +IF(AND($F28&lt;&gt;"",$F28&lt;&gt;0),
                        SUMIF(CÁLCULO!$AM$15:$AW$36,CRONO!AD$12,CÁLCULO!$AB$15:$AL$36)/(ORÇAMENTO!$X$15-CÁLCULO.TotalAdmLocal)*CRONO!$F28,
                        0),
                 AD27*$S26),
          SUMIF(OFFSET($S28,1,0,$R26-2),($M26+1)&amp;"$",OFFSET(AD28,1,0,$R26-2)))</f>
        <v>0</v>
      </c>
      <c r="AE28" s="159">
        <f ca="1">IF($R26=2,
         IF(AND(ACOMPANHAMENTO="PLE",ISNUMBER($F26)),
                SUMIF((OFFSET(CÁLCULO!$AM$15:$AW$15,$F26,0,OFFSET(ORÇAMENTO!$D$15,CRONO!$F26,0))),CRONO!AE$12,OFFSET(CÁLCULO!$AB$15:$AL$15,$F26,0,OFFSET(ORÇAMENTO!$D$15,CRONO!$F26,0)))
                +IF(AND($F28&lt;&gt;"",$F28&lt;&gt;0),
                        SUMIF(CÁLCULO!$AM$15:$AW$36,CRONO!AE$12,CÁLCULO!$AB$15:$AL$36)/(ORÇAMENTO!$X$15-CÁLCULO.TotalAdmLocal)*CRONO!$F28,
                        0),
                 AE27*$S26),
          SUMIF(OFFSET($S28,1,0,$R26-2),($M26+1)&amp;"$",OFFSET(AE28,1,0,$R26-2)))</f>
        <v>0</v>
      </c>
      <c r="AF28" s="159">
        <f ca="1">IF($R26=2,
         IF(AND(ACOMPANHAMENTO="PLE",ISNUMBER($F26)),
                SUMIF((OFFSET(CÁLCULO!$AM$15:$AW$15,$F26,0,OFFSET(ORÇAMENTO!$D$15,CRONO!$F26,0))),CRONO!AF$12,OFFSET(CÁLCULO!$AB$15:$AL$15,$F26,0,OFFSET(ORÇAMENTO!$D$15,CRONO!$F26,0)))
                +IF(AND($F28&lt;&gt;"",$F28&lt;&gt;0),
                        SUMIF(CÁLCULO!$AM$15:$AW$36,CRONO!AF$12,CÁLCULO!$AB$15:$AL$36)/(ORÇAMENTO!$X$15-CÁLCULO.TotalAdmLocal)*CRONO!$F28,
                        0),
                 AF27*$S26),
          SUMIF(OFFSET($S28,1,0,$R26-2),($M26+1)&amp;"$",OFFSET(AF28,1,0,$R26-2)))</f>
        <v>0</v>
      </c>
      <c r="AG28" s="444"/>
    </row>
    <row r="29" spans="1:33" x14ac:dyDescent="0.25">
      <c r="A29" s="145" t="str">
        <f t="shared" ref="A29" ca="1" si="32">IF($M29&gt;1,CONCATENATE($I29," ",$J29),"")</f>
        <v>1.5. PAVIMENTAÇÃO DE VIAS</v>
      </c>
      <c r="B29" s="144">
        <f t="shared" ref="B29" ca="1" si="33">OFFSET(B29,-3,0)+1</f>
        <v>6</v>
      </c>
      <c r="C29" s="144">
        <f ca="1">IF($R29&lt;&gt;2,0,IF($S29=0,1,IF(F30&gt;0,OFFSET(QCI!$M$13,SUBSTITUTE(F30,".",""),0),OFFSET(ORÇAMENTO!$AA$15,CRONO!$F29,0))/$S29))</f>
        <v>0</v>
      </c>
      <c r="D29" s="144">
        <f ca="1">IF($R29&lt;&gt;2,0,IF($S29=0,1,IF(F30&gt;0,OFFSET(QCI!$N$13,SUBSTITUTE(F30,".",""),0),OFFSET(ORÇAMENTO!$AB$15,CRONO!$F29,0))/$S29))</f>
        <v>0</v>
      </c>
      <c r="E29" s="147">
        <f ca="1">IF(AND($R29=2,ACOMPANHAMENTO="BM"),ROUND(E30,4),E31/$S29)</f>
        <v>0</v>
      </c>
      <c r="F29" s="144">
        <f ca="1">IF(B29&lt;=ORÇAMENTO.MáximoListaCrono,MATCH(B29,ORÇAMENTO.ListaCrono,0),NA())</f>
        <v>11</v>
      </c>
      <c r="G29" s="144" t="str">
        <f t="shared" ref="G29" ca="1" si="34">IF(AND($F30&lt;&gt;-1,$S29&gt;0),"F","")</f>
        <v>F</v>
      </c>
      <c r="H29" s="617" t="str">
        <f ca="1">IF(OR(S29=0,S29=""),"Linha",IF(AND(OR(ACOMPANHAMENTO="PLE",$R29&lt;&gt;2),$F30=0),"Linha",ROUND(1-SUM(U29:AG29),4)))</f>
        <v>Linha</v>
      </c>
      <c r="I29" s="148" t="str">
        <f ca="1">IF($F30=0,OFFSET(ORÇAMENTO!O$15,$F29,0),IF($F30&lt;&gt;-1,OFFSET(QCI!$D$13,$F30,0),""))</f>
        <v>1.5.</v>
      </c>
      <c r="J29" s="149" t="str">
        <f ca="1">IF($F30=0,OFFSET(ORÇAMENTO!R$15,$F29,0),IF($F30&lt;&gt;-1,OFFSET(QCI!$G$13,$F30,0),""))</f>
        <v>PAVIMENTAÇÃO DE VIAS</v>
      </c>
      <c r="K29" s="149"/>
      <c r="L29" s="149"/>
      <c r="M29" s="150">
        <f ca="1">IF($F30=0,OFFSET(ORÇAMENTO!C$15,$F29,0),1)</f>
        <v>2</v>
      </c>
      <c r="N29" s="151">
        <f ca="1">IF($F30=-1,0,IF(N$13&lt;=$M29,IF(ISERROR(MATCH(N$13,OFFSET($M29,1,0,ROW($M$164)-ROW($M29)-1),0)),ROW($M$164)-ROW($M29)-1,MATCH(N$13,OFFSET($M29,1,0,ROW($M$164)-ROW($M29)-1),0)-1),0))</f>
        <v>8</v>
      </c>
      <c r="O29" s="151">
        <f ca="1">IF($F30=-1,0,IF(O$13&lt;=$M29,IF(ISERROR(MATCH(O$13,OFFSET($M29,1,0,ROW($M$164)-ROW($M29)-1),0)),ROW($M$164)-ROW($M29)-1,MATCH(O$13,OFFSET($M29,1,0,ROW($M$164)-ROW($M29)-1),0)-1),0))</f>
        <v>134</v>
      </c>
      <c r="P29" s="151">
        <f ca="1">IF($F30=-1,0,IF(P$13&lt;=$M29,IF(ISERROR(MATCH(P$13,OFFSET($M29,1,0,ROW($M$164)-ROW($M29)-1),0)),ROW($M$164)-ROW($M29)-1,MATCH(P$13,OFFSET($M29,1,0,ROW($M$164)-ROW($M29)-1),0)-1),0))</f>
        <v>0</v>
      </c>
      <c r="Q29" s="151">
        <f ca="1">IF($F30=-1,0,IF(Q$13&lt;=$M29,IF(ISERROR(MATCH(Q$13,OFFSET($M29,1,0,ROW($M$164)-ROW($M29)-1),0)),ROW($M$164)-ROW($M29)-1,MATCH(Q$13,OFFSET($M29,1,0,ROW($M$164)-ROW($M29)-1),0)-1),0))</f>
        <v>0</v>
      </c>
      <c r="R29" s="151">
        <f t="shared" ref="R29" ca="1" si="35">MIN(OFFSET(M29,0,1,,M29))</f>
        <v>8</v>
      </c>
      <c r="S29" s="152">
        <f ca="1">IF($F30=0,OFFSET(ORÇAMENTO!X$15,$F29,0),IF($F30&lt;&gt;-1,OFFSET(QCI!$O$13,$F30,0),""))</f>
        <v>6079424.7000000002</v>
      </c>
      <c r="T29" s="618" t="s">
        <v>809</v>
      </c>
      <c r="U29" s="147">
        <f ca="1">IF(AND($R29=2,ACOMPANHAMENTO="BM"),ROUND(U30,4),U31/$S29)</f>
        <v>0.11434946171798131</v>
      </c>
      <c r="V29" s="147">
        <f ca="1">IF(AND($R29=2,ACOMPANHAMENTO="BM"),ROUND(V30,4),V31/$S29)</f>
        <v>0.10473357256978609</v>
      </c>
      <c r="W29" s="147">
        <f ca="1">IF(AND($R29=2,ACOMPANHAMENTO="BM"),ROUND(W30,4),W31/$S29)</f>
        <v>0.1063610114292558</v>
      </c>
      <c r="X29" s="147">
        <f ca="1">IF(AND($R29=2,ACOMPANHAMENTO="BM"),ROUND(X30,4),X31/$S29)</f>
        <v>0.12381660685755348</v>
      </c>
      <c r="Y29" s="147">
        <f ca="1">IF(AND($R29=2,ACOMPANHAMENTO="BM"),ROUND(Y30,4),Y31/$S29)</f>
        <v>0.12381660685755348</v>
      </c>
      <c r="Z29" s="147">
        <f ca="1">IF(AND($R29=2,ACOMPANHAMENTO="BM"),ROUND(Z30,4),Z31/$S29)</f>
        <v>0.1063610114292558</v>
      </c>
      <c r="AA29" s="147">
        <f ca="1">IF(AND($R29=2,ACOMPANHAMENTO="BM"),ROUND(AA30,4),AA31/$S29)</f>
        <v>0.11109458399904189</v>
      </c>
      <c r="AB29" s="147">
        <f ca="1">IF(AND($R29=2,ACOMPANHAMENTO="BM"),ROUND(AB30,4),AB31/$S29)</f>
        <v>0.10473357256978609</v>
      </c>
      <c r="AC29" s="147">
        <f ca="1">IF(AND($R29=2,ACOMPANHAMENTO="BM"),ROUND(AC30,4),AC31/$S29)</f>
        <v>0.10473357256978609</v>
      </c>
      <c r="AD29" s="147">
        <f ca="1">IF(AND($R29=2,ACOMPANHAMENTO="BM"),ROUND(AD30,4),AD31/$S29)</f>
        <v>0</v>
      </c>
      <c r="AE29" s="147">
        <f ca="1">IF(AND($R29=2,ACOMPANHAMENTO="BM"),ROUND(AE30,4),AE31/$S29)</f>
        <v>0</v>
      </c>
      <c r="AF29" s="147">
        <f ca="1">IF(AND($R29=2,ACOMPANHAMENTO="BM"),ROUND(AF30,4),AF31/$S29)</f>
        <v>0</v>
      </c>
      <c r="AG29" s="444"/>
    </row>
    <row r="30" spans="1:33" ht="12.75" customHeight="1" x14ac:dyDescent="0.25">
      <c r="E30" s="501"/>
      <c r="F30" s="144">
        <f ca="1">IF(ISERROR(F29),IF(1+COUNTIF($M$13:OFFSET(M29,-1,0),1)&lt;=MAX(QCI!$D$13:$D$24),1+COUNTIF($M$13:OFFSET(M29,-1,0),1),-1),0)</f>
        <v>0</v>
      </c>
      <c r="G30" s="144" t="str">
        <f ca="1">IF(ACOMPANHAMENTO="BM",OFFSET(G30,-1,0),"")</f>
        <v>F</v>
      </c>
      <c r="H30" s="153" t="str">
        <f ca="1">IF(OR(S29=0,S29=""),"vazia",IF(AND(OR(ACOMPANHAMENTO="PLE",$R29&lt;&gt;2),$F30=0),"calculada","--&gt;"))</f>
        <v>calculada</v>
      </c>
      <c r="I30" s="154"/>
      <c r="J30" s="155" t="str">
        <f t="shared" ref="J30" ca="1" si="36">IF(AND(H29&lt;&gt;0,ISNUMBER(H29)),"PREENCHA ESTA LINHA --&gt;","")</f>
        <v/>
      </c>
      <c r="K30" s="155"/>
      <c r="L30" s="155"/>
      <c r="M30" s="156"/>
      <c r="N30" s="156"/>
      <c r="O30" s="156"/>
      <c r="P30" s="156"/>
      <c r="Q30" s="156"/>
      <c r="R30" s="156"/>
      <c r="S30" s="157"/>
      <c r="T30" s="158"/>
      <c r="U30" s="501"/>
      <c r="V30" s="501"/>
      <c r="W30" s="501"/>
      <c r="X30" s="501"/>
      <c r="Y30" s="501"/>
      <c r="Z30" s="501"/>
      <c r="AA30" s="501"/>
      <c r="AB30" s="501"/>
      <c r="AC30" s="501"/>
      <c r="AD30" s="501"/>
      <c r="AE30" s="501"/>
      <c r="AF30" s="501"/>
      <c r="AG30" s="444"/>
    </row>
    <row r="31" spans="1:33" ht="12.75" hidden="1" customHeight="1" x14ac:dyDescent="0.25">
      <c r="D31" s="443"/>
      <c r="E31" s="159">
        <f ca="1">IF($R29=2,
         IF(AND(ACOMPANHAMENTO="PLE",ISNUMBER($F29)),
                SUMIF((OFFSET(CÁLCULO!$AM$15:$AW$15,$F29,0,OFFSET(ORÇAMENTO!$D$15,CRONO!$F29,0))),CRONO!E$12,OFFSET(CÁLCULO!$AB$15:$AL$15,$F29,0,OFFSET(ORÇAMENTO!$D$15,CRONO!$F29,0)))
                +IF(AND($F31&lt;&gt;"",$F31&lt;&gt;0),
                        SUMIF(CÁLCULO!$AM$15:$AW$36,CRONO!E$12,CÁLCULO!$AB$15:$AL$36)/(ORÇAMENTO!$X$15-CÁLCULO.TotalAdmLocal)*CRONO!$F31,
                        0),
                 E30*$S29),
          SUMIF(OFFSET($S31,1,0,$R29-2),($M29+1)&amp;"$",OFFSET(E31,1,0,$R29-2)))</f>
        <v>0</v>
      </c>
      <c r="F31" s="144" t="str">
        <f ca="1">IF(OR($R29&lt;&gt;2,AUTOEVENTO&lt;&gt;"manual",$F30&gt;0),"",
        IF(Import.TipoArredondamento="Tradicional",
              SUMIF(OFFSET(CÁLCULO!$M$15,CRONO!$F29,0,OFFSET(ORÇAMENTO!$D$15,CRONO!$F29,0)),1,OFFSET(ORÇAMENTO!$X$15,CRONO!$F29,0,OFFSET(ORÇAMENTO!$D$15,CRONO!$F29,0))),
              0))</f>
        <v/>
      </c>
      <c r="H31" s="530"/>
      <c r="S31" s="160" t="str">
        <f t="shared" ref="S31" ca="1" si="37">M29&amp;"$"</f>
        <v>2$</v>
      </c>
      <c r="T31" s="161"/>
      <c r="U31" s="159">
        <f ca="1">IF($R29=2,
         IF(AND(ACOMPANHAMENTO="PLE",ISNUMBER($F29)),
                SUMIF((OFFSET(CÁLCULO!$AM$15:$AW$15,$F29,0,OFFSET(ORÇAMENTO!$D$15,CRONO!$F29,0))),CRONO!U$12,OFFSET(CÁLCULO!$AB$15:$AL$15,$F29,0,OFFSET(ORÇAMENTO!$D$15,CRONO!$F29,0)))
                +IF(AND($F31&lt;&gt;"",$F31&lt;&gt;0),
                        SUMIF(CÁLCULO!$AM$15:$AW$36,CRONO!U$12,CÁLCULO!$AB$15:$AL$36)/(ORÇAMENTO!$X$15-CÁLCULO.TotalAdmLocal)*CRONO!$F31,
                        0),
                 U30*$S29),
          SUMIF(OFFSET($S31,1,0,$R29-2),($M29+1)&amp;"$",OFFSET(U31,1,0,$R29-2)))</f>
        <v>695178.94200000004</v>
      </c>
      <c r="V31" s="159">
        <f ca="1">IF($R29=2,
         IF(AND(ACOMPANHAMENTO="PLE",ISNUMBER($F29)),
                SUMIF((OFFSET(CÁLCULO!$AM$15:$AW$15,$F29,0,OFFSET(ORÇAMENTO!$D$15,CRONO!$F29,0))),CRONO!V$12,OFFSET(CÁLCULO!$AB$15:$AL$15,$F29,0,OFFSET(ORÇAMENTO!$D$15,CRONO!$F29,0)))
                +IF(AND($F31&lt;&gt;"",$F31&lt;&gt;0),
                        SUMIF(CÁLCULO!$AM$15:$AW$36,CRONO!V$12,CÁLCULO!$AB$15:$AL$36)/(ORÇAMENTO!$X$15-CÁLCULO.TotalAdmLocal)*CRONO!$F31,
                        0),
                 V30*$S29),
          SUMIF(OFFSET($S31,1,0,$R29-2),($M29+1)&amp;"$",OFFSET(V31,1,0,$R29-2)))</f>
        <v>636719.86800000002</v>
      </c>
      <c r="W31" s="159">
        <f ca="1">IF($R29=2,
         IF(AND(ACOMPANHAMENTO="PLE",ISNUMBER($F29)),
                SUMIF((OFFSET(CÁLCULO!$AM$15:$AW$15,$F29,0,OFFSET(ORÇAMENTO!$D$15,CRONO!$F29,0))),CRONO!W$12,OFFSET(CÁLCULO!$AB$15:$AL$15,$F29,0,OFFSET(ORÇAMENTO!$D$15,CRONO!$F29,0)))
                +IF(AND($F31&lt;&gt;"",$F31&lt;&gt;0),
                        SUMIF(CÁLCULO!$AM$15:$AW$36,CRONO!W$12,CÁLCULO!$AB$15:$AL$36)/(ORÇAMENTO!$X$15-CÁLCULO.TotalAdmLocal)*CRONO!$F31,
                        0),
                 W30*$S29),
          SUMIF(OFFSET($S31,1,0,$R29-2),($M29+1)&amp;"$",OFFSET(W31,1,0,$R29-2)))</f>
        <v>646613.76000000001</v>
      </c>
      <c r="X31" s="159">
        <f ca="1">IF($R29=2,
         IF(AND(ACOMPANHAMENTO="PLE",ISNUMBER($F29)),
                SUMIF((OFFSET(CÁLCULO!$AM$15:$AW$15,$F29,0,OFFSET(ORÇAMENTO!$D$15,CRONO!$F29,0))),CRONO!X$12,OFFSET(CÁLCULO!$AB$15:$AL$15,$F29,0,OFFSET(ORÇAMENTO!$D$15,CRONO!$F29,0)))
                +IF(AND($F31&lt;&gt;"",$F31&lt;&gt;0),
                        SUMIF(CÁLCULO!$AM$15:$AW$36,CRONO!X$12,CÁLCULO!$AB$15:$AL$36)/(ORÇAMENTO!$X$15-CÁLCULO.TotalAdmLocal)*CRONO!$F31,
                        0),
                 X30*$S29),
          SUMIF(OFFSET($S31,1,0,$R29-2),($M29+1)&amp;"$",OFFSET(X31,1,0,$R29-2)))</f>
        <v>752733.73800000001</v>
      </c>
      <c r="Y31" s="159">
        <f ca="1">IF($R29=2,
         IF(AND(ACOMPANHAMENTO="PLE",ISNUMBER($F29)),
                SUMIF((OFFSET(CÁLCULO!$AM$15:$AW$15,$F29,0,OFFSET(ORÇAMENTO!$D$15,CRONO!$F29,0))),CRONO!Y$12,OFFSET(CÁLCULO!$AB$15:$AL$15,$F29,0,OFFSET(ORÇAMENTO!$D$15,CRONO!$F29,0)))
                +IF(AND($F31&lt;&gt;"",$F31&lt;&gt;0),
                        SUMIF(CÁLCULO!$AM$15:$AW$36,CRONO!Y$12,CÁLCULO!$AB$15:$AL$36)/(ORÇAMENTO!$X$15-CÁLCULO.TotalAdmLocal)*CRONO!$F31,
                        0),
                 Y30*$S29),
          SUMIF(OFFSET($S31,1,0,$R29-2),($M29+1)&amp;"$",OFFSET(Y31,1,0,$R29-2)))</f>
        <v>752733.73800000001</v>
      </c>
      <c r="Z31" s="159">
        <f ca="1">IF($R29=2,
         IF(AND(ACOMPANHAMENTO="PLE",ISNUMBER($F29)),
                SUMIF((OFFSET(CÁLCULO!$AM$15:$AW$15,$F29,0,OFFSET(ORÇAMENTO!$D$15,CRONO!$F29,0))),CRONO!Z$12,OFFSET(CÁLCULO!$AB$15:$AL$15,$F29,0,OFFSET(ORÇAMENTO!$D$15,CRONO!$F29,0)))
                +IF(AND($F31&lt;&gt;"",$F31&lt;&gt;0),
                        SUMIF(CÁLCULO!$AM$15:$AW$36,CRONO!Z$12,CÁLCULO!$AB$15:$AL$36)/(ORÇAMENTO!$X$15-CÁLCULO.TotalAdmLocal)*CRONO!$F31,
                        0),
                 Z30*$S29),
          SUMIF(OFFSET($S31,1,0,$R29-2),($M29+1)&amp;"$",OFFSET(Z31,1,0,$R29-2)))</f>
        <v>646613.76000000001</v>
      </c>
      <c r="AA31" s="159">
        <f ca="1">IF($R29=2,
         IF(AND(ACOMPANHAMENTO="PLE",ISNUMBER($F29)),
                SUMIF((OFFSET(CÁLCULO!$AM$15:$AW$15,$F29,0,OFFSET(ORÇAMENTO!$D$15,CRONO!$F29,0))),CRONO!AA$12,OFFSET(CÁLCULO!$AB$15:$AL$15,$F29,0,OFFSET(ORÇAMENTO!$D$15,CRONO!$F29,0)))
                +IF(AND($F31&lt;&gt;"",$F31&lt;&gt;0),
                        SUMIF(CÁLCULO!$AM$15:$AW$36,CRONO!AA$12,CÁLCULO!$AB$15:$AL$36)/(ORÇAMENTO!$X$15-CÁLCULO.TotalAdmLocal)*CRONO!$F31,
                        0),
                 AA30*$S29),
          SUMIF(OFFSET($S31,1,0,$R29-2),($M29+1)&amp;"$",OFFSET(AA31,1,0,$R29-2)))</f>
        <v>675391.15800000005</v>
      </c>
      <c r="AB31" s="159">
        <f ca="1">IF($R29=2,
         IF(AND(ACOMPANHAMENTO="PLE",ISNUMBER($F29)),
                SUMIF((OFFSET(CÁLCULO!$AM$15:$AW$15,$F29,0,OFFSET(ORÇAMENTO!$D$15,CRONO!$F29,0))),CRONO!AB$12,OFFSET(CÁLCULO!$AB$15:$AL$15,$F29,0,OFFSET(ORÇAMENTO!$D$15,CRONO!$F29,0)))
                +IF(AND($F31&lt;&gt;"",$F31&lt;&gt;0),
                        SUMIF(CÁLCULO!$AM$15:$AW$36,CRONO!AB$12,CÁLCULO!$AB$15:$AL$36)/(ORÇAMENTO!$X$15-CÁLCULO.TotalAdmLocal)*CRONO!$F31,
                        0),
                 AB30*$S29),
          SUMIF(OFFSET($S31,1,0,$R29-2),($M29+1)&amp;"$",OFFSET(AB31,1,0,$R29-2)))</f>
        <v>636719.86800000002</v>
      </c>
      <c r="AC31" s="159">
        <f ca="1">IF($R29=2,
         IF(AND(ACOMPANHAMENTO="PLE",ISNUMBER($F29)),
                SUMIF((OFFSET(CÁLCULO!$AM$15:$AW$15,$F29,0,OFFSET(ORÇAMENTO!$D$15,CRONO!$F29,0))),CRONO!AC$12,OFFSET(CÁLCULO!$AB$15:$AL$15,$F29,0,OFFSET(ORÇAMENTO!$D$15,CRONO!$F29,0)))
                +IF(AND($F31&lt;&gt;"",$F31&lt;&gt;0),
                        SUMIF(CÁLCULO!$AM$15:$AW$36,CRONO!AC$12,CÁLCULO!$AB$15:$AL$36)/(ORÇAMENTO!$X$15-CÁLCULO.TotalAdmLocal)*CRONO!$F31,
                        0),
                 AC30*$S29),
          SUMIF(OFFSET($S31,1,0,$R29-2),($M29+1)&amp;"$",OFFSET(AC31,1,0,$R29-2)))</f>
        <v>636719.86800000002</v>
      </c>
      <c r="AD31" s="159">
        <f ca="1">IF($R29=2,
         IF(AND(ACOMPANHAMENTO="PLE",ISNUMBER($F29)),
                SUMIF((OFFSET(CÁLCULO!$AM$15:$AW$15,$F29,0,OFFSET(ORÇAMENTO!$D$15,CRONO!$F29,0))),CRONO!AD$12,OFFSET(CÁLCULO!$AB$15:$AL$15,$F29,0,OFFSET(ORÇAMENTO!$D$15,CRONO!$F29,0)))
                +IF(AND($F31&lt;&gt;"",$F31&lt;&gt;0),
                        SUMIF(CÁLCULO!$AM$15:$AW$36,CRONO!AD$12,CÁLCULO!$AB$15:$AL$36)/(ORÇAMENTO!$X$15-CÁLCULO.TotalAdmLocal)*CRONO!$F31,
                        0),
                 AD30*$S29),
          SUMIF(OFFSET($S31,1,0,$R29-2),($M29+1)&amp;"$",OFFSET(AD31,1,0,$R29-2)))</f>
        <v>0</v>
      </c>
      <c r="AE31" s="159">
        <f ca="1">IF($R29=2,
         IF(AND(ACOMPANHAMENTO="PLE",ISNUMBER($F29)),
                SUMIF((OFFSET(CÁLCULO!$AM$15:$AW$15,$F29,0,OFFSET(ORÇAMENTO!$D$15,CRONO!$F29,0))),CRONO!AE$12,OFFSET(CÁLCULO!$AB$15:$AL$15,$F29,0,OFFSET(ORÇAMENTO!$D$15,CRONO!$F29,0)))
                +IF(AND($F31&lt;&gt;"",$F31&lt;&gt;0),
                        SUMIF(CÁLCULO!$AM$15:$AW$36,CRONO!AE$12,CÁLCULO!$AB$15:$AL$36)/(ORÇAMENTO!$X$15-CÁLCULO.TotalAdmLocal)*CRONO!$F31,
                        0),
                 AE30*$S29),
          SUMIF(OFFSET($S31,1,0,$R29-2),($M29+1)&amp;"$",OFFSET(AE31,1,0,$R29-2)))</f>
        <v>0</v>
      </c>
      <c r="AF31" s="159">
        <f ca="1">IF($R29=2,
         IF(AND(ACOMPANHAMENTO="PLE",ISNUMBER($F29)),
                SUMIF((OFFSET(CÁLCULO!$AM$15:$AW$15,$F29,0,OFFSET(ORÇAMENTO!$D$15,CRONO!$F29,0))),CRONO!AF$12,OFFSET(CÁLCULO!$AB$15:$AL$15,$F29,0,OFFSET(ORÇAMENTO!$D$15,CRONO!$F29,0)))
                +IF(AND($F31&lt;&gt;"",$F31&lt;&gt;0),
                        SUMIF(CÁLCULO!$AM$15:$AW$36,CRONO!AF$12,CÁLCULO!$AB$15:$AL$36)/(ORÇAMENTO!$X$15-CÁLCULO.TotalAdmLocal)*CRONO!$F31,
                        0),
                 AF30*$S29),
          SUMIF(OFFSET($S31,1,0,$R29-2),($M29+1)&amp;"$",OFFSET(AF31,1,0,$R29-2)))</f>
        <v>0</v>
      </c>
      <c r="AG31" s="444"/>
    </row>
    <row r="32" spans="1:33" x14ac:dyDescent="0.25">
      <c r="A32" s="145" t="str">
        <f t="shared" ref="A32" ca="1" si="38">IF($M32&gt;1,CONCATENATE($I32," ",$J32),"")</f>
        <v>1.5.1. PAVIMENTAÇÃO ASFÁLTICA</v>
      </c>
      <c r="B32" s="144">
        <f t="shared" ref="B32" ca="1" si="39">OFFSET(B32,-3,0)+1</f>
        <v>7</v>
      </c>
      <c r="C32" s="144">
        <f ca="1">IF($R32&lt;&gt;2,0,IF($S32=0,1,IF(F33&gt;0,OFFSET(QCI!$M$13,SUBSTITUTE(F33,".",""),0),OFFSET(ORÇAMENTO!$AA$15,CRONO!$F32,0))/$S32))</f>
        <v>3.8911837529558228E-2</v>
      </c>
      <c r="D32" s="144">
        <f ca="1">IF($R32&lt;&gt;2,0,IF($S32=0,1,IF(F33&gt;0,OFFSET(QCI!$N$13,SUBSTITUTE(F33,".",""),0),OFFSET(ORÇAMENTO!$AB$15,CRONO!$F32,0))/$S32))</f>
        <v>0</v>
      </c>
      <c r="E32" s="147">
        <f ca="1">IF(AND($R32=2,ACOMPANHAMENTO="BM"),ROUND(E33,4),E34/$S32)</f>
        <v>0</v>
      </c>
      <c r="F32" s="144">
        <f ca="1">IF(B32&lt;=ORÇAMENTO.MáximoListaCrono,MATCH(B32,ORÇAMENTO.ListaCrono,0),NA())</f>
        <v>12</v>
      </c>
      <c r="G32" s="144" t="str">
        <f t="shared" ref="G32" ca="1" si="40">IF(AND($F33&lt;&gt;-1,$S32&gt;0),"F","")</f>
        <v>F</v>
      </c>
      <c r="H32" s="617">
        <f ca="1">IF(OR(S32=0,S32=""),"Linha",IF(AND(OR(ACOMPANHAMENTO="PLE",$R32&lt;&gt;2),$F33=0),"Linha",ROUND(1-SUM(U32:AG32),4)))</f>
        <v>0</v>
      </c>
      <c r="I32" s="148" t="str">
        <f ca="1">IF($F33=0,OFFSET(ORÇAMENTO!O$15,$F32,0),IF($F33&lt;&gt;-1,OFFSET(QCI!$D$13,$F33,0),""))</f>
        <v>1.5.1.</v>
      </c>
      <c r="J32" s="149" t="str">
        <f ca="1">IF($F33=0,OFFSET(ORÇAMENTO!R$15,$F32,0),IF($F33&lt;&gt;-1,OFFSET(QCI!$G$13,$F33,0),""))</f>
        <v>PAVIMENTAÇÃO ASFÁLTICA</v>
      </c>
      <c r="K32" s="149"/>
      <c r="L32" s="149"/>
      <c r="M32" s="150">
        <f ca="1">IF($F33=0,OFFSET(ORÇAMENTO!C$15,$F32,0),1)</f>
        <v>3</v>
      </c>
      <c r="N32" s="151">
        <f ca="1">IF($F33=-1,0,IF(N$13&lt;=$M32,IF(ISERROR(MATCH(N$13,OFFSET($M32,1,0,ROW($M$164)-ROW($M32)-1),0)),ROW($M$164)-ROW($M32)-1,MATCH(N$13,OFFSET($M32,1,0,ROW($M$164)-ROW($M32)-1),0)-1),0))</f>
        <v>5</v>
      </c>
      <c r="O32" s="151">
        <f ca="1">IF($F33=-1,0,IF(O$13&lt;=$M32,IF(ISERROR(MATCH(O$13,OFFSET($M32,1,0,ROW($M$164)-ROW($M32)-1),0)),ROW($M$164)-ROW($M32)-1,MATCH(O$13,OFFSET($M32,1,0,ROW($M$164)-ROW($M32)-1),0)-1),0))</f>
        <v>131</v>
      </c>
      <c r="P32" s="151">
        <f ca="1">IF($F33=-1,0,IF(P$13&lt;=$M32,IF(ISERROR(MATCH(P$13,OFFSET($M32,1,0,ROW($M$164)-ROW($M32)-1),0)),ROW($M$164)-ROW($M32)-1,MATCH(P$13,OFFSET($M32,1,0,ROW($M$164)-ROW($M32)-1),0)-1),0))</f>
        <v>2</v>
      </c>
      <c r="Q32" s="151">
        <f ca="1">IF($F33=-1,0,IF(Q$13&lt;=$M32,IF(ISERROR(MATCH(Q$13,OFFSET($M32,1,0,ROW($M$164)-ROW($M32)-1),0)),ROW($M$164)-ROW($M32)-1,MATCH(Q$13,OFFSET($M32,1,0,ROW($M$164)-ROW($M32)-1),0)-1),0))</f>
        <v>0</v>
      </c>
      <c r="R32" s="151">
        <f t="shared" ref="R32" ca="1" si="41">MIN(OFFSET(M32,0,1,,M32))</f>
        <v>2</v>
      </c>
      <c r="S32" s="152">
        <f ca="1">IF($F33=0,OFFSET(ORÇAMENTO!X$15,$F32,0),IF($F33&lt;&gt;-1,OFFSET(QCI!$O$13,$F33,0),""))</f>
        <v>5305998.9000000004</v>
      </c>
      <c r="T32" s="618" t="s">
        <v>809</v>
      </c>
      <c r="U32" s="147">
        <f ca="1">IF(AND($R32=2,ACOMPANHAMENTO="BM"),ROUND(U33,4),U34/$S32)</f>
        <v>0.08</v>
      </c>
      <c r="V32" s="147">
        <f ca="1">IF(AND($R32=2,ACOMPANHAMENTO="BM"),ROUND(V33,4),V34/$S32)</f>
        <v>0.12</v>
      </c>
      <c r="W32" s="147">
        <f ca="1">IF(AND($R32=2,ACOMPANHAMENTO="BM"),ROUND(W33,4),W34/$S32)</f>
        <v>0.1</v>
      </c>
      <c r="X32" s="147">
        <f ca="1">IF(AND($R32=2,ACOMPANHAMENTO="BM"),ROUND(X33,4),X34/$S32)</f>
        <v>0.12</v>
      </c>
      <c r="Y32" s="147">
        <f ca="1">IF(AND($R32=2,ACOMPANHAMENTO="BM"),ROUND(Y33,4),Y34/$S32)</f>
        <v>0.12</v>
      </c>
      <c r="Z32" s="147">
        <f ca="1">IF(AND($R32=2,ACOMPANHAMENTO="BM"),ROUND(Z33,4),Z34/$S32)</f>
        <v>0.1</v>
      </c>
      <c r="AA32" s="147">
        <f ca="1">IF(AND($R32=2,ACOMPANHAMENTO="BM"),ROUND(AA33,4),AA34/$S32)</f>
        <v>0.12</v>
      </c>
      <c r="AB32" s="147">
        <f ca="1">IF(AND($R32=2,ACOMPANHAMENTO="BM"),ROUND(AB33,4),AB34/$S32)</f>
        <v>0.12</v>
      </c>
      <c r="AC32" s="147">
        <f ca="1">IF(AND($R32=2,ACOMPANHAMENTO="BM"),ROUND(AC33,4),AC34/$S32)</f>
        <v>0.12</v>
      </c>
      <c r="AD32" s="147">
        <f ca="1">IF(AND($R32=2,ACOMPANHAMENTO="BM"),ROUND(AD33,4),AD34/$S32)</f>
        <v>0</v>
      </c>
      <c r="AE32" s="147">
        <f ca="1">IF(AND($R32=2,ACOMPANHAMENTO="BM"),ROUND(AE33,4),AE34/$S32)</f>
        <v>0</v>
      </c>
      <c r="AF32" s="147">
        <f ca="1">IF(AND($R32=2,ACOMPANHAMENTO="BM"),ROUND(AF33,4),AF34/$S32)</f>
        <v>0</v>
      </c>
      <c r="AG32" s="444"/>
    </row>
    <row r="33" spans="1:33" ht="12.75" customHeight="1" x14ac:dyDescent="0.25">
      <c r="E33" s="501"/>
      <c r="F33" s="144">
        <f ca="1">IF(ISERROR(F32),IF(1+COUNTIF($M$13:OFFSET(M32,-1,0),1)&lt;=MAX(QCI!$D$13:$D$24),1+COUNTIF($M$13:OFFSET(M32,-1,0),1),-1),0)</f>
        <v>0</v>
      </c>
      <c r="G33" s="144" t="str">
        <f ca="1">IF(ACOMPANHAMENTO="BM",OFFSET(G33,-1,0),"")</f>
        <v>F</v>
      </c>
      <c r="H33" s="153" t="str">
        <f ca="1">IF(OR(S32=0,S32=""),"vazia",IF(AND(OR(ACOMPANHAMENTO="PLE",$R32&lt;&gt;2),$F33=0),"calculada","--&gt;"))</f>
        <v>--&gt;</v>
      </c>
      <c r="I33" s="154"/>
      <c r="J33" s="155" t="str">
        <f t="shared" ref="J33" ca="1" si="42">IF(AND(H32&lt;&gt;0,ISNUMBER(H32)),"PREENCHA ESTA LINHA --&gt;","")</f>
        <v/>
      </c>
      <c r="K33" s="155"/>
      <c r="L33" s="155"/>
      <c r="M33" s="156"/>
      <c r="N33" s="156"/>
      <c r="O33" s="156"/>
      <c r="P33" s="156"/>
      <c r="Q33" s="156"/>
      <c r="R33" s="156"/>
      <c r="S33" s="157"/>
      <c r="T33" s="158"/>
      <c r="U33" s="501">
        <v>0.08</v>
      </c>
      <c r="V33" s="501">
        <v>0.12</v>
      </c>
      <c r="W33" s="501">
        <v>0.1</v>
      </c>
      <c r="X33" s="501">
        <v>0.12</v>
      </c>
      <c r="Y33" s="501">
        <v>0.12</v>
      </c>
      <c r="Z33" s="501">
        <v>0.1</v>
      </c>
      <c r="AA33" s="501">
        <v>0.12</v>
      </c>
      <c r="AB33" s="501">
        <v>0.12</v>
      </c>
      <c r="AC33" s="501">
        <v>0.12</v>
      </c>
      <c r="AD33" s="501"/>
      <c r="AE33" s="501"/>
      <c r="AF33" s="501"/>
      <c r="AG33" s="444"/>
    </row>
    <row r="34" spans="1:33" ht="12.75" hidden="1" customHeight="1" x14ac:dyDescent="0.25">
      <c r="D34" s="443"/>
      <c r="E34" s="159">
        <f ca="1">IF($R32=2,
         IF(AND(ACOMPANHAMENTO="PLE",ISNUMBER($F32)),
                SUMIF((OFFSET(CÁLCULO!$AM$15:$AW$15,$F32,0,OFFSET(ORÇAMENTO!$D$15,CRONO!$F32,0))),CRONO!E$12,OFFSET(CÁLCULO!$AB$15:$AL$15,$F32,0,OFFSET(ORÇAMENTO!$D$15,CRONO!$F32,0)))
                +IF(AND($F34&lt;&gt;"",$F34&lt;&gt;0),
                        SUMIF(CÁLCULO!$AM$15:$AW$36,CRONO!E$12,CÁLCULO!$AB$15:$AL$36)/(ORÇAMENTO!$X$15-CÁLCULO.TotalAdmLocal)*CRONO!$F34,
                        0),
                 E33*$S32),
          SUMIF(OFFSET($S34,1,0,$R32-2),($M32+1)&amp;"$",OFFSET(E34,1,0,$R32-2)))</f>
        <v>0</v>
      </c>
      <c r="F34" s="144" t="str">
        <f ca="1">IF(OR($R32&lt;&gt;2,AUTOEVENTO&lt;&gt;"manual",$F33&gt;0),"",
        IF(Import.TipoArredondamento="Tradicional",
              SUMIF(OFFSET(CÁLCULO!$M$15,CRONO!$F32,0,OFFSET(ORÇAMENTO!$D$15,CRONO!$F32,0)),1,OFFSET(ORÇAMENTO!$X$15,CRONO!$F32,0,OFFSET(ORÇAMENTO!$D$15,CRONO!$F32,0))),
              0))</f>
        <v/>
      </c>
      <c r="H34" s="530"/>
      <c r="S34" s="160" t="str">
        <f t="shared" ref="S34" ca="1" si="43">M32&amp;"$"</f>
        <v>3$</v>
      </c>
      <c r="T34" s="161"/>
      <c r="U34" s="159">
        <f ca="1">IF($R32=2,
         IF(AND(ACOMPANHAMENTO="PLE",ISNUMBER($F32)),
                SUMIF((OFFSET(CÁLCULO!$AM$15:$AW$15,$F32,0,OFFSET(ORÇAMENTO!$D$15,CRONO!$F32,0))),CRONO!U$12,OFFSET(CÁLCULO!$AB$15:$AL$15,$F32,0,OFFSET(ORÇAMENTO!$D$15,CRONO!$F32,0)))
                +IF(AND($F34&lt;&gt;"",$F34&lt;&gt;0),
                        SUMIF(CÁLCULO!$AM$15:$AW$36,CRONO!U$12,CÁLCULO!$AB$15:$AL$36)/(ORÇAMENTO!$X$15-CÁLCULO.TotalAdmLocal)*CRONO!$F34,
                        0),
                 U33*$S32),
          SUMIF(OFFSET($S34,1,0,$R32-2),($M32+1)&amp;"$",OFFSET(U34,1,0,$R32-2)))</f>
        <v>424479.91200000001</v>
      </c>
      <c r="V34" s="159">
        <f ca="1">IF($R32=2,
         IF(AND(ACOMPANHAMENTO="PLE",ISNUMBER($F32)),
                SUMIF((OFFSET(CÁLCULO!$AM$15:$AW$15,$F32,0,OFFSET(ORÇAMENTO!$D$15,CRONO!$F32,0))),CRONO!V$12,OFFSET(CÁLCULO!$AB$15:$AL$15,$F32,0,OFFSET(ORÇAMENTO!$D$15,CRONO!$F32,0)))
                +IF(AND($F34&lt;&gt;"",$F34&lt;&gt;0),
                        SUMIF(CÁLCULO!$AM$15:$AW$36,CRONO!V$12,CÁLCULO!$AB$15:$AL$36)/(ORÇAMENTO!$X$15-CÁLCULO.TotalAdmLocal)*CRONO!$F34,
                        0),
                 V33*$S32),
          SUMIF(OFFSET($S34,1,0,$R32-2),($M32+1)&amp;"$",OFFSET(V34,1,0,$R32-2)))</f>
        <v>636719.86800000002</v>
      </c>
      <c r="W34" s="159">
        <f ca="1">IF($R32=2,
         IF(AND(ACOMPANHAMENTO="PLE",ISNUMBER($F32)),
                SUMIF((OFFSET(CÁLCULO!$AM$15:$AW$15,$F32,0,OFFSET(ORÇAMENTO!$D$15,CRONO!$F32,0))),CRONO!W$12,OFFSET(CÁLCULO!$AB$15:$AL$15,$F32,0,OFFSET(ORÇAMENTO!$D$15,CRONO!$F32,0)))
                +IF(AND($F34&lt;&gt;"",$F34&lt;&gt;0),
                        SUMIF(CÁLCULO!$AM$15:$AW$36,CRONO!W$12,CÁLCULO!$AB$15:$AL$36)/(ORÇAMENTO!$X$15-CÁLCULO.TotalAdmLocal)*CRONO!$F34,
                        0),
                 W33*$S32),
          SUMIF(OFFSET($S34,1,0,$R32-2),($M32+1)&amp;"$",OFFSET(W34,1,0,$R32-2)))</f>
        <v>530599.89</v>
      </c>
      <c r="X34" s="159">
        <f ca="1">IF($R32=2,
         IF(AND(ACOMPANHAMENTO="PLE",ISNUMBER($F32)),
                SUMIF((OFFSET(CÁLCULO!$AM$15:$AW$15,$F32,0,OFFSET(ORÇAMENTO!$D$15,CRONO!$F32,0))),CRONO!X$12,OFFSET(CÁLCULO!$AB$15:$AL$15,$F32,0,OFFSET(ORÇAMENTO!$D$15,CRONO!$F32,0)))
                +IF(AND($F34&lt;&gt;"",$F34&lt;&gt;0),
                        SUMIF(CÁLCULO!$AM$15:$AW$36,CRONO!X$12,CÁLCULO!$AB$15:$AL$36)/(ORÇAMENTO!$X$15-CÁLCULO.TotalAdmLocal)*CRONO!$F34,
                        0),
                 X33*$S32),
          SUMIF(OFFSET($S34,1,0,$R32-2),($M32+1)&amp;"$",OFFSET(X34,1,0,$R32-2)))</f>
        <v>636719.86800000002</v>
      </c>
      <c r="Y34" s="159">
        <f ca="1">IF($R32=2,
         IF(AND(ACOMPANHAMENTO="PLE",ISNUMBER($F32)),
                SUMIF((OFFSET(CÁLCULO!$AM$15:$AW$15,$F32,0,OFFSET(ORÇAMENTO!$D$15,CRONO!$F32,0))),CRONO!Y$12,OFFSET(CÁLCULO!$AB$15:$AL$15,$F32,0,OFFSET(ORÇAMENTO!$D$15,CRONO!$F32,0)))
                +IF(AND($F34&lt;&gt;"",$F34&lt;&gt;0),
                        SUMIF(CÁLCULO!$AM$15:$AW$36,CRONO!Y$12,CÁLCULO!$AB$15:$AL$36)/(ORÇAMENTO!$X$15-CÁLCULO.TotalAdmLocal)*CRONO!$F34,
                        0),
                 Y33*$S32),
          SUMIF(OFFSET($S34,1,0,$R32-2),($M32+1)&amp;"$",OFFSET(Y34,1,0,$R32-2)))</f>
        <v>636719.86800000002</v>
      </c>
      <c r="Z34" s="159">
        <f ca="1">IF($R32=2,
         IF(AND(ACOMPANHAMENTO="PLE",ISNUMBER($F32)),
                SUMIF((OFFSET(CÁLCULO!$AM$15:$AW$15,$F32,0,OFFSET(ORÇAMENTO!$D$15,CRONO!$F32,0))),CRONO!Z$12,OFFSET(CÁLCULO!$AB$15:$AL$15,$F32,0,OFFSET(ORÇAMENTO!$D$15,CRONO!$F32,0)))
                +IF(AND($F34&lt;&gt;"",$F34&lt;&gt;0),
                        SUMIF(CÁLCULO!$AM$15:$AW$36,CRONO!Z$12,CÁLCULO!$AB$15:$AL$36)/(ORÇAMENTO!$X$15-CÁLCULO.TotalAdmLocal)*CRONO!$F34,
                        0),
                 Z33*$S32),
          SUMIF(OFFSET($S34,1,0,$R32-2),($M32+1)&amp;"$",OFFSET(Z34,1,0,$R32-2)))</f>
        <v>530599.89</v>
      </c>
      <c r="AA34" s="159">
        <f ca="1">IF($R32=2,
         IF(AND(ACOMPANHAMENTO="PLE",ISNUMBER($F32)),
                SUMIF((OFFSET(CÁLCULO!$AM$15:$AW$15,$F32,0,OFFSET(ORÇAMENTO!$D$15,CRONO!$F32,0))),CRONO!AA$12,OFFSET(CÁLCULO!$AB$15:$AL$15,$F32,0,OFFSET(ORÇAMENTO!$D$15,CRONO!$F32,0)))
                +IF(AND($F34&lt;&gt;"",$F34&lt;&gt;0),
                        SUMIF(CÁLCULO!$AM$15:$AW$36,CRONO!AA$12,CÁLCULO!$AB$15:$AL$36)/(ORÇAMENTO!$X$15-CÁLCULO.TotalAdmLocal)*CRONO!$F34,
                        0),
                 AA33*$S32),
          SUMIF(OFFSET($S34,1,0,$R32-2),($M32+1)&amp;"$",OFFSET(AA34,1,0,$R32-2)))</f>
        <v>636719.86800000002</v>
      </c>
      <c r="AB34" s="159">
        <f ca="1">IF($R32=2,
         IF(AND(ACOMPANHAMENTO="PLE",ISNUMBER($F32)),
                SUMIF((OFFSET(CÁLCULO!$AM$15:$AW$15,$F32,0,OFFSET(ORÇAMENTO!$D$15,CRONO!$F32,0))),CRONO!AB$12,OFFSET(CÁLCULO!$AB$15:$AL$15,$F32,0,OFFSET(ORÇAMENTO!$D$15,CRONO!$F32,0)))
                +IF(AND($F34&lt;&gt;"",$F34&lt;&gt;0),
                        SUMIF(CÁLCULO!$AM$15:$AW$36,CRONO!AB$12,CÁLCULO!$AB$15:$AL$36)/(ORÇAMENTO!$X$15-CÁLCULO.TotalAdmLocal)*CRONO!$F34,
                        0),
                 AB33*$S32),
          SUMIF(OFFSET($S34,1,0,$R32-2),($M32+1)&amp;"$",OFFSET(AB34,1,0,$R32-2)))</f>
        <v>636719.86800000002</v>
      </c>
      <c r="AC34" s="159">
        <f ca="1">IF($R32=2,
         IF(AND(ACOMPANHAMENTO="PLE",ISNUMBER($F32)),
                SUMIF((OFFSET(CÁLCULO!$AM$15:$AW$15,$F32,0,OFFSET(ORÇAMENTO!$D$15,CRONO!$F32,0))),CRONO!AC$12,OFFSET(CÁLCULO!$AB$15:$AL$15,$F32,0,OFFSET(ORÇAMENTO!$D$15,CRONO!$F32,0)))
                +IF(AND($F34&lt;&gt;"",$F34&lt;&gt;0),
                        SUMIF(CÁLCULO!$AM$15:$AW$36,CRONO!AC$12,CÁLCULO!$AB$15:$AL$36)/(ORÇAMENTO!$X$15-CÁLCULO.TotalAdmLocal)*CRONO!$F34,
                        0),
                 AC33*$S32),
          SUMIF(OFFSET($S34,1,0,$R32-2),($M32+1)&amp;"$",OFFSET(AC34,1,0,$R32-2)))</f>
        <v>636719.86800000002</v>
      </c>
      <c r="AD34" s="159">
        <f ca="1">IF($R32=2,
         IF(AND(ACOMPANHAMENTO="PLE",ISNUMBER($F32)),
                SUMIF((OFFSET(CÁLCULO!$AM$15:$AW$15,$F32,0,OFFSET(ORÇAMENTO!$D$15,CRONO!$F32,0))),CRONO!AD$12,OFFSET(CÁLCULO!$AB$15:$AL$15,$F32,0,OFFSET(ORÇAMENTO!$D$15,CRONO!$F32,0)))
                +IF(AND($F34&lt;&gt;"",$F34&lt;&gt;0),
                        SUMIF(CÁLCULO!$AM$15:$AW$36,CRONO!AD$12,CÁLCULO!$AB$15:$AL$36)/(ORÇAMENTO!$X$15-CÁLCULO.TotalAdmLocal)*CRONO!$F34,
                        0),
                 AD33*$S32),
          SUMIF(OFFSET($S34,1,0,$R32-2),($M32+1)&amp;"$",OFFSET(AD34,1,0,$R32-2)))</f>
        <v>0</v>
      </c>
      <c r="AE34" s="159">
        <f ca="1">IF($R32=2,
         IF(AND(ACOMPANHAMENTO="PLE",ISNUMBER($F32)),
                SUMIF((OFFSET(CÁLCULO!$AM$15:$AW$15,$F32,0,OFFSET(ORÇAMENTO!$D$15,CRONO!$F32,0))),CRONO!AE$12,OFFSET(CÁLCULO!$AB$15:$AL$15,$F32,0,OFFSET(ORÇAMENTO!$D$15,CRONO!$F32,0)))
                +IF(AND($F34&lt;&gt;"",$F34&lt;&gt;0),
                        SUMIF(CÁLCULO!$AM$15:$AW$36,CRONO!AE$12,CÁLCULO!$AB$15:$AL$36)/(ORÇAMENTO!$X$15-CÁLCULO.TotalAdmLocal)*CRONO!$F34,
                        0),
                 AE33*$S32),
          SUMIF(OFFSET($S34,1,0,$R32-2),($M32+1)&amp;"$",OFFSET(AE34,1,0,$R32-2)))</f>
        <v>0</v>
      </c>
      <c r="AF34" s="159">
        <f ca="1">IF($R32=2,
         IF(AND(ACOMPANHAMENTO="PLE",ISNUMBER($F32)),
                SUMIF((OFFSET(CÁLCULO!$AM$15:$AW$15,$F32,0,OFFSET(ORÇAMENTO!$D$15,CRONO!$F32,0))),CRONO!AF$12,OFFSET(CÁLCULO!$AB$15:$AL$15,$F32,0,OFFSET(ORÇAMENTO!$D$15,CRONO!$F32,0)))
                +IF(AND($F34&lt;&gt;"",$F34&lt;&gt;0),
                        SUMIF(CÁLCULO!$AM$15:$AW$36,CRONO!AF$12,CÁLCULO!$AB$15:$AL$36)/(ORÇAMENTO!$X$15-CÁLCULO.TotalAdmLocal)*CRONO!$F34,
                        0),
                 AF33*$S32),
          SUMIF(OFFSET($S34,1,0,$R32-2),($M32+1)&amp;"$",OFFSET(AF34,1,0,$R32-2)))</f>
        <v>0</v>
      </c>
      <c r="AG34" s="444"/>
    </row>
    <row r="35" spans="1:33" x14ac:dyDescent="0.25">
      <c r="A35" s="145" t="str">
        <f t="shared" ref="A35" ca="1" si="44">IF($M35&gt;1,CONCATENATE($I35," ",$J35),"")</f>
        <v>1.5.2. DRENAGEM SUPERFICIAL</v>
      </c>
      <c r="B35" s="144">
        <f t="shared" ref="B35" ca="1" si="45">OFFSET(B35,-3,0)+1</f>
        <v>8</v>
      </c>
      <c r="C35" s="144">
        <f ca="1">IF($R35&lt;&gt;2,0,IF($S35=0,1,IF(F36&gt;0,OFFSET(QCI!$M$13,SUBSTITUTE(F36,".",""),0),OFFSET(ORÇAMENTO!$AA$15,CRONO!$F35,0))/$S35))</f>
        <v>3.8911837529558228E-2</v>
      </c>
      <c r="D35" s="144">
        <f ca="1">IF($R35&lt;&gt;2,0,IF($S35=0,1,IF(F36&gt;0,OFFSET(QCI!$N$13,SUBSTITUTE(F36,".",""),0),OFFSET(ORÇAMENTO!$AB$15,CRONO!$F35,0))/$S35))</f>
        <v>0</v>
      </c>
      <c r="E35" s="147">
        <f ca="1">IF(AND($R35=2,ACOMPANHAMENTO="BM"),ROUND(E36,4),E37/$S35)</f>
        <v>0</v>
      </c>
      <c r="F35" s="144">
        <f ca="1">IF(B35&lt;=ORÇAMENTO.MáximoListaCrono,MATCH(B35,ORÇAMENTO.ListaCrono,0),NA())</f>
        <v>19</v>
      </c>
      <c r="G35" s="144" t="str">
        <f t="shared" ref="G35" ca="1" si="46">IF(AND($F36&lt;&gt;-1,$S35&gt;0),"F","")</f>
        <v>F</v>
      </c>
      <c r="H35" s="617">
        <f ca="1">IF(OR(S35=0,S35=""),"Linha",IF(AND(OR(ACOMPANHAMENTO="PLE",$R35&lt;&gt;2),$F36=0),"Linha",ROUND(1-SUM(U35:AG35),4)))</f>
        <v>0</v>
      </c>
      <c r="I35" s="148" t="str">
        <f ca="1">IF($F36=0,OFFSET(ORÇAMENTO!O$15,$F35,0),IF($F36&lt;&gt;-1,OFFSET(QCI!$D$13,$F36,0),""))</f>
        <v>1.5.2.</v>
      </c>
      <c r="J35" s="149" t="str">
        <f ca="1">IF($F36=0,OFFSET(ORÇAMENTO!R$15,$F35,0),IF($F36&lt;&gt;-1,OFFSET(QCI!$G$13,$F36,0),""))</f>
        <v>DRENAGEM SUPERFICIAL</v>
      </c>
      <c r="K35" s="149"/>
      <c r="L35" s="149"/>
      <c r="M35" s="150">
        <f ca="1">IF($F36=0,OFFSET(ORÇAMENTO!C$15,$F35,0),1)</f>
        <v>3</v>
      </c>
      <c r="N35" s="151">
        <f ca="1">IF($F36=-1,0,IF(N$13&lt;=$M35,IF(ISERROR(MATCH(N$13,OFFSET($M35,1,0,ROW($M$164)-ROW($M35)-1),0)),ROW($M$164)-ROW($M35)-1,MATCH(N$13,OFFSET($M35,1,0,ROW($M$164)-ROW($M35)-1),0)-1),0))</f>
        <v>2</v>
      </c>
      <c r="O35" s="151">
        <f ca="1">IF($F36=-1,0,IF(O$13&lt;=$M35,IF(ISERROR(MATCH(O$13,OFFSET($M35,1,0,ROW($M$164)-ROW($M35)-1),0)),ROW($M$164)-ROW($M35)-1,MATCH(O$13,OFFSET($M35,1,0,ROW($M$164)-ROW($M35)-1),0)-1),0))</f>
        <v>128</v>
      </c>
      <c r="P35" s="151">
        <f ca="1">IF($F36=-1,0,IF(P$13&lt;=$M35,IF(ISERROR(MATCH(P$13,OFFSET($M35,1,0,ROW($M$164)-ROW($M35)-1),0)),ROW($M$164)-ROW($M35)-1,MATCH(P$13,OFFSET($M35,1,0,ROW($M$164)-ROW($M35)-1),0)-1),0))</f>
        <v>128</v>
      </c>
      <c r="Q35" s="151">
        <f ca="1">IF($F36=-1,0,IF(Q$13&lt;=$M35,IF(ISERROR(MATCH(Q$13,OFFSET($M35,1,0,ROW($M$164)-ROW($M35)-1),0)),ROW($M$164)-ROW($M35)-1,MATCH(Q$13,OFFSET($M35,1,0,ROW($M$164)-ROW($M35)-1),0)-1),0))</f>
        <v>0</v>
      </c>
      <c r="R35" s="151">
        <f t="shared" ref="R35" ca="1" si="47">MIN(OFFSET(M35,0,1,,M35))</f>
        <v>2</v>
      </c>
      <c r="S35" s="152">
        <f ca="1">IF($F36=0,OFFSET(ORÇAMENTO!X$15,$F35,0),IF($F36&lt;&gt;-1,OFFSET(QCI!$O$13,$F36,0),""))</f>
        <v>773425.8</v>
      </c>
      <c r="T35" s="618" t="s">
        <v>809</v>
      </c>
      <c r="U35" s="147">
        <f ca="1">IF(AND($R35=2,ACOMPANHAMENTO="BM"),ROUND(U36,4),U37/$S35)</f>
        <v>0.35</v>
      </c>
      <c r="V35" s="147">
        <f ca="1">IF(AND($R35=2,ACOMPANHAMENTO="BM"),ROUND(V36,4),V37/$S35)</f>
        <v>0</v>
      </c>
      <c r="W35" s="147">
        <f ca="1">IF(AND($R35=2,ACOMPANHAMENTO="BM"),ROUND(W36,4),W37/$S35)</f>
        <v>0.15</v>
      </c>
      <c r="X35" s="147">
        <f ca="1">IF(AND($R35=2,ACOMPANHAMENTO="BM"),ROUND(X36,4),X37/$S35)</f>
        <v>0.15</v>
      </c>
      <c r="Y35" s="147">
        <f ca="1">IF(AND($R35=2,ACOMPANHAMENTO="BM"),ROUND(Y36,4),Y37/$S35)</f>
        <v>0.15</v>
      </c>
      <c r="Z35" s="147">
        <f ca="1">IF(AND($R35=2,ACOMPANHAMENTO="BM"),ROUND(Z36,4),Z37/$S35)</f>
        <v>0.15</v>
      </c>
      <c r="AA35" s="147">
        <f ca="1">IF(AND($R35=2,ACOMPANHAMENTO="BM"),ROUND(AA36,4),AA37/$S35)</f>
        <v>0.05</v>
      </c>
      <c r="AB35" s="147">
        <f ca="1">IF(AND($R35=2,ACOMPANHAMENTO="BM"),ROUND(AB36,4),AB37/$S35)</f>
        <v>0</v>
      </c>
      <c r="AC35" s="147">
        <f ca="1">IF(AND($R35=2,ACOMPANHAMENTO="BM"),ROUND(AC36,4),AC37/$S35)</f>
        <v>0</v>
      </c>
      <c r="AD35" s="147">
        <f ca="1">IF(AND($R35=2,ACOMPANHAMENTO="BM"),ROUND(AD36,4),AD37/$S35)</f>
        <v>0</v>
      </c>
      <c r="AE35" s="147">
        <f ca="1">IF(AND($R35=2,ACOMPANHAMENTO="BM"),ROUND(AE36,4),AE37/$S35)</f>
        <v>0</v>
      </c>
      <c r="AF35" s="147">
        <f ca="1">IF(AND($R35=2,ACOMPANHAMENTO="BM"),ROUND(AF36,4),AF37/$S35)</f>
        <v>0</v>
      </c>
      <c r="AG35" s="444"/>
    </row>
    <row r="36" spans="1:33" ht="12.75" customHeight="1" x14ac:dyDescent="0.25">
      <c r="E36" s="501"/>
      <c r="F36" s="144">
        <f ca="1">IF(ISERROR(F35),IF(1+COUNTIF($M$13:OFFSET(M35,-1,0),1)&lt;=MAX(QCI!$D$13:$D$24),1+COUNTIF($M$13:OFFSET(M35,-1,0),1),-1),0)</f>
        <v>0</v>
      </c>
      <c r="G36" s="144" t="str">
        <f ca="1">IF(ACOMPANHAMENTO="BM",OFFSET(G36,-1,0),"")</f>
        <v>F</v>
      </c>
      <c r="H36" s="153" t="str">
        <f ca="1">IF(OR(S35=0,S35=""),"vazia",IF(AND(OR(ACOMPANHAMENTO="PLE",$R35&lt;&gt;2),$F36=0),"calculada","--&gt;"))</f>
        <v>--&gt;</v>
      </c>
      <c r="I36" s="154"/>
      <c r="J36" s="155" t="str">
        <f t="shared" ref="J36" ca="1" si="48">IF(AND(H35&lt;&gt;0,ISNUMBER(H35)),"PREENCHA ESTA LINHA --&gt;","")</f>
        <v/>
      </c>
      <c r="K36" s="155"/>
      <c r="L36" s="155"/>
      <c r="M36" s="156"/>
      <c r="N36" s="156"/>
      <c r="O36" s="156"/>
      <c r="P36" s="156"/>
      <c r="Q36" s="156"/>
      <c r="R36" s="156"/>
      <c r="S36" s="157"/>
      <c r="T36" s="158"/>
      <c r="U36" s="501">
        <v>0.35</v>
      </c>
      <c r="V36" s="501"/>
      <c r="W36" s="501">
        <v>0.15</v>
      </c>
      <c r="X36" s="501">
        <v>0.15</v>
      </c>
      <c r="Y36" s="501">
        <v>0.15</v>
      </c>
      <c r="Z36" s="501">
        <v>0.15</v>
      </c>
      <c r="AA36" s="501">
        <v>0.05</v>
      </c>
      <c r="AB36" s="501"/>
      <c r="AC36" s="501"/>
      <c r="AD36" s="501"/>
      <c r="AE36" s="501"/>
      <c r="AF36" s="501"/>
      <c r="AG36" s="444"/>
    </row>
    <row r="37" spans="1:33" ht="12.75" hidden="1" customHeight="1" x14ac:dyDescent="0.25">
      <c r="D37" s="443"/>
      <c r="E37" s="159">
        <f ca="1">IF($R35=2,
         IF(AND(ACOMPANHAMENTO="PLE",ISNUMBER($F35)),
                SUMIF((OFFSET(CÁLCULO!$AM$15:$AW$15,$F35,0,OFFSET(ORÇAMENTO!$D$15,CRONO!$F35,0))),CRONO!E$12,OFFSET(CÁLCULO!$AB$15:$AL$15,$F35,0,OFFSET(ORÇAMENTO!$D$15,CRONO!$F35,0)))
                +IF(AND($F37&lt;&gt;"",$F37&lt;&gt;0),
                        SUMIF(CÁLCULO!$AM$15:$AW$36,CRONO!E$12,CÁLCULO!$AB$15:$AL$36)/(ORÇAMENTO!$X$15-CÁLCULO.TotalAdmLocal)*CRONO!$F37,
                        0),
                 E36*$S35),
          SUMIF(OFFSET($S37,1,0,$R35-2),($M35+1)&amp;"$",OFFSET(E37,1,0,$R35-2)))</f>
        <v>0</v>
      </c>
      <c r="F37" s="144" t="str">
        <f ca="1">IF(OR($R35&lt;&gt;2,AUTOEVENTO&lt;&gt;"manual",$F36&gt;0),"",
        IF(Import.TipoArredondamento="Tradicional",
              SUMIF(OFFSET(CÁLCULO!$M$15,CRONO!$F35,0,OFFSET(ORÇAMENTO!$D$15,CRONO!$F35,0)),1,OFFSET(ORÇAMENTO!$X$15,CRONO!$F35,0,OFFSET(ORÇAMENTO!$D$15,CRONO!$F35,0))),
              0))</f>
        <v/>
      </c>
      <c r="H37" s="530"/>
      <c r="S37" s="160" t="str">
        <f t="shared" ref="S37" ca="1" si="49">M35&amp;"$"</f>
        <v>3$</v>
      </c>
      <c r="T37" s="161"/>
      <c r="U37" s="159">
        <f ca="1">IF($R35=2,
         IF(AND(ACOMPANHAMENTO="PLE",ISNUMBER($F35)),
                SUMIF((OFFSET(CÁLCULO!$AM$15:$AW$15,$F35,0,OFFSET(ORÇAMENTO!$D$15,CRONO!$F35,0))),CRONO!U$12,OFFSET(CÁLCULO!$AB$15:$AL$15,$F35,0,OFFSET(ORÇAMENTO!$D$15,CRONO!$F35,0)))
                +IF(AND($F37&lt;&gt;"",$F37&lt;&gt;0),
                        SUMIF(CÁLCULO!$AM$15:$AW$36,CRONO!U$12,CÁLCULO!$AB$15:$AL$36)/(ORÇAMENTO!$X$15-CÁLCULO.TotalAdmLocal)*CRONO!$F37,
                        0),
                 U36*$S35),
          SUMIF(OFFSET($S37,1,0,$R35-2),($M35+1)&amp;"$",OFFSET(U37,1,0,$R35-2)))</f>
        <v>270699.03000000003</v>
      </c>
      <c r="V37" s="159">
        <f ca="1">IF($R35=2,
         IF(AND(ACOMPANHAMENTO="PLE",ISNUMBER($F35)),
                SUMIF((OFFSET(CÁLCULO!$AM$15:$AW$15,$F35,0,OFFSET(ORÇAMENTO!$D$15,CRONO!$F35,0))),CRONO!V$12,OFFSET(CÁLCULO!$AB$15:$AL$15,$F35,0,OFFSET(ORÇAMENTO!$D$15,CRONO!$F35,0)))
                +IF(AND($F37&lt;&gt;"",$F37&lt;&gt;0),
                        SUMIF(CÁLCULO!$AM$15:$AW$36,CRONO!V$12,CÁLCULO!$AB$15:$AL$36)/(ORÇAMENTO!$X$15-CÁLCULO.TotalAdmLocal)*CRONO!$F37,
                        0),
                 V36*$S35),
          SUMIF(OFFSET($S37,1,0,$R35-2),($M35+1)&amp;"$",OFFSET(V37,1,0,$R35-2)))</f>
        <v>0</v>
      </c>
      <c r="W37" s="159">
        <f ca="1">IF($R35=2,
         IF(AND(ACOMPANHAMENTO="PLE",ISNUMBER($F35)),
                SUMIF((OFFSET(CÁLCULO!$AM$15:$AW$15,$F35,0,OFFSET(ORÇAMENTO!$D$15,CRONO!$F35,0))),CRONO!W$12,OFFSET(CÁLCULO!$AB$15:$AL$15,$F35,0,OFFSET(ORÇAMENTO!$D$15,CRONO!$F35,0)))
                +IF(AND($F37&lt;&gt;"",$F37&lt;&gt;0),
                        SUMIF(CÁLCULO!$AM$15:$AW$36,CRONO!W$12,CÁLCULO!$AB$15:$AL$36)/(ORÇAMENTO!$X$15-CÁLCULO.TotalAdmLocal)*CRONO!$F37,
                        0),
                 W36*$S35),
          SUMIF(OFFSET($S37,1,0,$R35-2),($M35+1)&amp;"$",OFFSET(W37,1,0,$R35-2)))</f>
        <v>116013.87000000001</v>
      </c>
      <c r="X37" s="159">
        <f ca="1">IF($R35=2,
         IF(AND(ACOMPANHAMENTO="PLE",ISNUMBER($F35)),
                SUMIF((OFFSET(CÁLCULO!$AM$15:$AW$15,$F35,0,OFFSET(ORÇAMENTO!$D$15,CRONO!$F35,0))),CRONO!X$12,OFFSET(CÁLCULO!$AB$15:$AL$15,$F35,0,OFFSET(ORÇAMENTO!$D$15,CRONO!$F35,0)))
                +IF(AND($F37&lt;&gt;"",$F37&lt;&gt;0),
                        SUMIF(CÁLCULO!$AM$15:$AW$36,CRONO!X$12,CÁLCULO!$AB$15:$AL$36)/(ORÇAMENTO!$X$15-CÁLCULO.TotalAdmLocal)*CRONO!$F37,
                        0),
                 X36*$S35),
          SUMIF(OFFSET($S37,1,0,$R35-2),($M35+1)&amp;"$",OFFSET(X37,1,0,$R35-2)))</f>
        <v>116013.87000000001</v>
      </c>
      <c r="Y37" s="159">
        <f ca="1">IF($R35=2,
         IF(AND(ACOMPANHAMENTO="PLE",ISNUMBER($F35)),
                SUMIF((OFFSET(CÁLCULO!$AM$15:$AW$15,$F35,0,OFFSET(ORÇAMENTO!$D$15,CRONO!$F35,0))),CRONO!Y$12,OFFSET(CÁLCULO!$AB$15:$AL$15,$F35,0,OFFSET(ORÇAMENTO!$D$15,CRONO!$F35,0)))
                +IF(AND($F37&lt;&gt;"",$F37&lt;&gt;0),
                        SUMIF(CÁLCULO!$AM$15:$AW$36,CRONO!Y$12,CÁLCULO!$AB$15:$AL$36)/(ORÇAMENTO!$X$15-CÁLCULO.TotalAdmLocal)*CRONO!$F37,
                        0),
                 Y36*$S35),
          SUMIF(OFFSET($S37,1,0,$R35-2),($M35+1)&amp;"$",OFFSET(Y37,1,0,$R35-2)))</f>
        <v>116013.87000000001</v>
      </c>
      <c r="Z37" s="159">
        <f ca="1">IF($R35=2,
         IF(AND(ACOMPANHAMENTO="PLE",ISNUMBER($F35)),
                SUMIF((OFFSET(CÁLCULO!$AM$15:$AW$15,$F35,0,OFFSET(ORÇAMENTO!$D$15,CRONO!$F35,0))),CRONO!Z$12,OFFSET(CÁLCULO!$AB$15:$AL$15,$F35,0,OFFSET(ORÇAMENTO!$D$15,CRONO!$F35,0)))
                +IF(AND($F37&lt;&gt;"",$F37&lt;&gt;0),
                        SUMIF(CÁLCULO!$AM$15:$AW$36,CRONO!Z$12,CÁLCULO!$AB$15:$AL$36)/(ORÇAMENTO!$X$15-CÁLCULO.TotalAdmLocal)*CRONO!$F37,
                        0),
                 Z36*$S35),
          SUMIF(OFFSET($S37,1,0,$R35-2),($M35+1)&amp;"$",OFFSET(Z37,1,0,$R35-2)))</f>
        <v>116013.87000000001</v>
      </c>
      <c r="AA37" s="159">
        <f ca="1">IF($R35=2,
         IF(AND(ACOMPANHAMENTO="PLE",ISNUMBER($F35)),
                SUMIF((OFFSET(CÁLCULO!$AM$15:$AW$15,$F35,0,OFFSET(ORÇAMENTO!$D$15,CRONO!$F35,0))),CRONO!AA$12,OFFSET(CÁLCULO!$AB$15:$AL$15,$F35,0,OFFSET(ORÇAMENTO!$D$15,CRONO!$F35,0)))
                +IF(AND($F37&lt;&gt;"",$F37&lt;&gt;0),
                        SUMIF(CÁLCULO!$AM$15:$AW$36,CRONO!AA$12,CÁLCULO!$AB$15:$AL$36)/(ORÇAMENTO!$X$15-CÁLCULO.TotalAdmLocal)*CRONO!$F37,
                        0),
                 AA36*$S35),
          SUMIF(OFFSET($S37,1,0,$R35-2),($M35+1)&amp;"$",OFFSET(AA37,1,0,$R35-2)))</f>
        <v>38671.29</v>
      </c>
      <c r="AB37" s="159">
        <f ca="1">IF($R35=2,
         IF(AND(ACOMPANHAMENTO="PLE",ISNUMBER($F35)),
                SUMIF((OFFSET(CÁLCULO!$AM$15:$AW$15,$F35,0,OFFSET(ORÇAMENTO!$D$15,CRONO!$F35,0))),CRONO!AB$12,OFFSET(CÁLCULO!$AB$15:$AL$15,$F35,0,OFFSET(ORÇAMENTO!$D$15,CRONO!$F35,0)))
                +IF(AND($F37&lt;&gt;"",$F37&lt;&gt;0),
                        SUMIF(CÁLCULO!$AM$15:$AW$36,CRONO!AB$12,CÁLCULO!$AB$15:$AL$36)/(ORÇAMENTO!$X$15-CÁLCULO.TotalAdmLocal)*CRONO!$F37,
                        0),
                 AB36*$S35),
          SUMIF(OFFSET($S37,1,0,$R35-2),($M35+1)&amp;"$",OFFSET(AB37,1,0,$R35-2)))</f>
        <v>0</v>
      </c>
      <c r="AC37" s="159">
        <f ca="1">IF($R35=2,
         IF(AND(ACOMPANHAMENTO="PLE",ISNUMBER($F35)),
                SUMIF((OFFSET(CÁLCULO!$AM$15:$AW$15,$F35,0,OFFSET(ORÇAMENTO!$D$15,CRONO!$F35,0))),CRONO!AC$12,OFFSET(CÁLCULO!$AB$15:$AL$15,$F35,0,OFFSET(ORÇAMENTO!$D$15,CRONO!$F35,0)))
                +IF(AND($F37&lt;&gt;"",$F37&lt;&gt;0),
                        SUMIF(CÁLCULO!$AM$15:$AW$36,CRONO!AC$12,CÁLCULO!$AB$15:$AL$36)/(ORÇAMENTO!$X$15-CÁLCULO.TotalAdmLocal)*CRONO!$F37,
                        0),
                 AC36*$S35),
          SUMIF(OFFSET($S37,1,0,$R35-2),($M35+1)&amp;"$",OFFSET(AC37,1,0,$R35-2)))</f>
        <v>0</v>
      </c>
      <c r="AD37" s="159">
        <f ca="1">IF($R35=2,
         IF(AND(ACOMPANHAMENTO="PLE",ISNUMBER($F35)),
                SUMIF((OFFSET(CÁLCULO!$AM$15:$AW$15,$F35,0,OFFSET(ORÇAMENTO!$D$15,CRONO!$F35,0))),CRONO!AD$12,OFFSET(CÁLCULO!$AB$15:$AL$15,$F35,0,OFFSET(ORÇAMENTO!$D$15,CRONO!$F35,0)))
                +IF(AND($F37&lt;&gt;"",$F37&lt;&gt;0),
                        SUMIF(CÁLCULO!$AM$15:$AW$36,CRONO!AD$12,CÁLCULO!$AB$15:$AL$36)/(ORÇAMENTO!$X$15-CÁLCULO.TotalAdmLocal)*CRONO!$F37,
                        0),
                 AD36*$S35),
          SUMIF(OFFSET($S37,1,0,$R35-2),($M35+1)&amp;"$",OFFSET(AD37,1,0,$R35-2)))</f>
        <v>0</v>
      </c>
      <c r="AE37" s="159">
        <f ca="1">IF($R35=2,
         IF(AND(ACOMPANHAMENTO="PLE",ISNUMBER($F35)),
                SUMIF((OFFSET(CÁLCULO!$AM$15:$AW$15,$F35,0,OFFSET(ORÇAMENTO!$D$15,CRONO!$F35,0))),CRONO!AE$12,OFFSET(CÁLCULO!$AB$15:$AL$15,$F35,0,OFFSET(ORÇAMENTO!$D$15,CRONO!$F35,0)))
                +IF(AND($F37&lt;&gt;"",$F37&lt;&gt;0),
                        SUMIF(CÁLCULO!$AM$15:$AW$36,CRONO!AE$12,CÁLCULO!$AB$15:$AL$36)/(ORÇAMENTO!$X$15-CÁLCULO.TotalAdmLocal)*CRONO!$F37,
                        0),
                 AE36*$S35),
          SUMIF(OFFSET($S37,1,0,$R35-2),($M35+1)&amp;"$",OFFSET(AE37,1,0,$R35-2)))</f>
        <v>0</v>
      </c>
      <c r="AF37" s="159">
        <f ca="1">IF($R35=2,
         IF(AND(ACOMPANHAMENTO="PLE",ISNUMBER($F35)),
                SUMIF((OFFSET(CÁLCULO!$AM$15:$AW$15,$F35,0,OFFSET(ORÇAMENTO!$D$15,CRONO!$F35,0))),CRONO!AF$12,OFFSET(CÁLCULO!$AB$15:$AL$15,$F35,0,OFFSET(ORÇAMENTO!$D$15,CRONO!$F35,0)))
                +IF(AND($F37&lt;&gt;"",$F37&lt;&gt;0),
                        SUMIF(CÁLCULO!$AM$15:$AW$36,CRONO!AF$12,CÁLCULO!$AB$15:$AL$36)/(ORÇAMENTO!$X$15-CÁLCULO.TotalAdmLocal)*CRONO!$F37,
                        0),
                 AF36*$S35),
          SUMIF(OFFSET($S37,1,0,$R35-2),($M35+1)&amp;"$",OFFSET(AF37,1,0,$R35-2)))</f>
        <v>0</v>
      </c>
      <c r="AG37" s="444"/>
    </row>
    <row r="38" spans="1:33" hidden="1" x14ac:dyDescent="0.25">
      <c r="A38" s="145" t="str">
        <f t="shared" ref="A38" ca="1" si="50">IF($M38&gt;1,CONCATENATE($I38," ",$J38),"")</f>
        <v/>
      </c>
      <c r="B38" s="144">
        <f t="shared" ref="B38" ca="1" si="51">OFFSET(B38,-3,0)+1</f>
        <v>9</v>
      </c>
      <c r="C38" s="144">
        <f ca="1">IF($R38&lt;&gt;2,0,IF($S38=0,1,IF(F39&gt;0,OFFSET(QCI!$M$13,SUBSTITUTE(F39,".",""),0),OFFSET(ORÇAMENTO!$AA$15,CRONO!$F38,0))/$S38))</f>
        <v>1</v>
      </c>
      <c r="D38" s="144">
        <f ca="1">IF($R38&lt;&gt;2,0,IF($S38=0,1,IF(F39&gt;0,OFFSET(QCI!$N$13,SUBSTITUTE(F39,".",""),0),OFFSET(ORÇAMENTO!$AB$15,CRONO!$F38,0))/$S38))</f>
        <v>1</v>
      </c>
      <c r="E38" s="147">
        <f ca="1">IF(AND($R38=2,ACOMPANHAMENTO="BM"),ROUND(E39,4),E40/$S38)</f>
        <v>0</v>
      </c>
      <c r="F38" s="144" t="e">
        <f ca="1">IF(B38&lt;=ORÇAMENTO.MáximoListaCrono,MATCH(B38,ORÇAMENTO.ListaCrono,0),NA())</f>
        <v>#N/A</v>
      </c>
      <c r="G38" s="144" t="str">
        <f t="shared" ref="G38" ca="1" si="52">IF(AND($F39&lt;&gt;-1,$S38&gt;0),"F","")</f>
        <v/>
      </c>
      <c r="H38" s="617" t="str">
        <f ca="1">IF(OR(S38=0,S38=""),"Linha",IF(AND(OR(ACOMPANHAMENTO="PLE",$R38&lt;&gt;2),$F39=0),"Linha",ROUND(1-SUM(U38:AG38),4)))</f>
        <v>Linha</v>
      </c>
      <c r="I38" s="148">
        <f ca="1">IF($F39=0,OFFSET(ORÇAMENTO!O$15,$F38,0),IF($F39&lt;&gt;-1,OFFSET(QCI!$D$13,$F39,0),""))</f>
        <v>2</v>
      </c>
      <c r="J38" s="149" t="str">
        <f ca="1">IF($F39=0,OFFSET(ORÇAMENTO!R$15,$F38,0),IF($F39&lt;&gt;-1,OFFSET(QCI!$G$13,$F39,0),""))</f>
        <v/>
      </c>
      <c r="K38" s="149"/>
      <c r="L38" s="149"/>
      <c r="M38" s="150">
        <f ca="1">IF($F39=0,OFFSET(ORÇAMENTO!C$15,$F38,0),1)</f>
        <v>1</v>
      </c>
      <c r="N38" s="151">
        <f ca="1">IF($F39=-1,0,IF(N$13&lt;=$M38,IF(ISERROR(MATCH(N$13,OFFSET($M38,1,0,ROW($M$164)-ROW($M38)-1),0)),ROW($M$164)-ROW($M38)-1,MATCH(N$13,OFFSET($M38,1,0,ROW($M$164)-ROW($M38)-1),0)-1),0))</f>
        <v>2</v>
      </c>
      <c r="O38" s="151">
        <f ca="1">IF($F39=-1,0,IF(O$13&lt;=$M38,IF(ISERROR(MATCH(O$13,OFFSET($M38,1,0,ROW($M$164)-ROW($M38)-1),0)),ROW($M$164)-ROW($M38)-1,MATCH(O$13,OFFSET($M38,1,0,ROW($M$164)-ROW($M38)-1),0)-1),0))</f>
        <v>0</v>
      </c>
      <c r="P38" s="151">
        <f ca="1">IF($F39=-1,0,IF(P$13&lt;=$M38,IF(ISERROR(MATCH(P$13,OFFSET($M38,1,0,ROW($M$164)-ROW($M38)-1),0)),ROW($M$164)-ROW($M38)-1,MATCH(P$13,OFFSET($M38,1,0,ROW($M$164)-ROW($M38)-1),0)-1),0))</f>
        <v>0</v>
      </c>
      <c r="Q38" s="151">
        <f ca="1">IF($F39=-1,0,IF(Q$13&lt;=$M38,IF(ISERROR(MATCH(Q$13,OFFSET($M38,1,0,ROW($M$164)-ROW($M38)-1),0)),ROW($M$164)-ROW($M38)-1,MATCH(Q$13,OFFSET($M38,1,0,ROW($M$164)-ROW($M38)-1),0)-1),0))</f>
        <v>0</v>
      </c>
      <c r="R38" s="151">
        <f t="shared" ref="R38" ca="1" si="53">MIN(OFFSET(M38,0,1,,M38))</f>
        <v>2</v>
      </c>
      <c r="S38" s="152">
        <f ca="1">IF($F39=0,OFFSET(ORÇAMENTO!X$15,$F38,0),IF($F39&lt;&gt;-1,OFFSET(QCI!$O$13,$F39,0),""))</f>
        <v>0</v>
      </c>
      <c r="T38" s="618" t="s">
        <v>809</v>
      </c>
      <c r="U38" s="147">
        <f ca="1">IF(AND($R38=2,ACOMPANHAMENTO="BM"),ROUND(U39,4),U40/$S38)</f>
        <v>0.3</v>
      </c>
      <c r="V38" s="147">
        <f ca="1">IF(AND($R38=2,ACOMPANHAMENTO="BM"),ROUND(V39,4),V40/$S38)</f>
        <v>0</v>
      </c>
      <c r="W38" s="147">
        <f ca="1">IF(AND($R38=2,ACOMPANHAMENTO="BM"),ROUND(W39,4),W40/$S38)</f>
        <v>0</v>
      </c>
      <c r="X38" s="147">
        <f ca="1">IF(AND($R38=2,ACOMPANHAMENTO="BM"),ROUND(X39,4),X40/$S38)</f>
        <v>0.1</v>
      </c>
      <c r="Y38" s="147">
        <f ca="1">IF(AND($R38=2,ACOMPANHAMENTO="BM"),ROUND(Y39,4),Y40/$S38)</f>
        <v>0.15</v>
      </c>
      <c r="Z38" s="147">
        <f ca="1">IF(AND($R38=2,ACOMPANHAMENTO="BM"),ROUND(Z39,4),Z40/$S38)</f>
        <v>0.15</v>
      </c>
      <c r="AA38" s="147">
        <f ca="1">IF(AND($R38=2,ACOMPANHAMENTO="BM"),ROUND(AA39,4),AA40/$S38)</f>
        <v>0</v>
      </c>
      <c r="AB38" s="147">
        <f ca="1">IF(AND($R38=2,ACOMPANHAMENTO="BM"),ROUND(AB39,4),AB40/$S38)</f>
        <v>0.1</v>
      </c>
      <c r="AC38" s="147">
        <f ca="1">IF(AND($R38=2,ACOMPANHAMENTO="BM"),ROUND(AC39,4),AC40/$S38)</f>
        <v>0.2</v>
      </c>
      <c r="AD38" s="147">
        <f ca="1">IF(AND($R38=2,ACOMPANHAMENTO="BM"),ROUND(AD39,4),AD40/$S38)</f>
        <v>0</v>
      </c>
      <c r="AE38" s="147">
        <f ca="1">IF(AND($R38=2,ACOMPANHAMENTO="BM"),ROUND(AE39,4),AE40/$S38)</f>
        <v>0</v>
      </c>
      <c r="AF38" s="147">
        <f ca="1">IF(AND($R38=2,ACOMPANHAMENTO="BM"),ROUND(AF39,4),AF40/$S38)</f>
        <v>0</v>
      </c>
      <c r="AG38" s="444"/>
    </row>
    <row r="39" spans="1:33" ht="12.75" hidden="1" customHeight="1" x14ac:dyDescent="0.25">
      <c r="E39" s="501"/>
      <c r="F39" s="144">
        <f ca="1">IF(ISERROR(F38),IF(1+COUNTIF($M$13:OFFSET(M38,-1,0),1)&lt;=MAX(QCI!$D$13:$D$24),1+COUNTIF($M$13:OFFSET(M38,-1,0),1),-1),0)</f>
        <v>2</v>
      </c>
      <c r="G39" s="144" t="str">
        <f ca="1">IF(ACOMPANHAMENTO="BM",OFFSET(G39,-1,0),"")</f>
        <v/>
      </c>
      <c r="H39" s="153" t="str">
        <f ca="1">IF(OR(S38=0,S38=""),"vazia",IF(AND(OR(ACOMPANHAMENTO="PLE",$R38&lt;&gt;2),$F39=0),"calculada","--&gt;"))</f>
        <v>vazia</v>
      </c>
      <c r="I39" s="154"/>
      <c r="J39" s="155" t="str">
        <f t="shared" ref="J39" ca="1" si="54">IF(AND(H38&lt;&gt;0,ISNUMBER(H38)),"PREENCHA ESTA LINHA --&gt;","")</f>
        <v/>
      </c>
      <c r="K39" s="155"/>
      <c r="L39" s="155"/>
      <c r="M39" s="156"/>
      <c r="N39" s="156"/>
      <c r="O39" s="156"/>
      <c r="P39" s="156"/>
      <c r="Q39" s="156"/>
      <c r="R39" s="156"/>
      <c r="S39" s="157"/>
      <c r="T39" s="158"/>
      <c r="U39" s="501">
        <v>0.3</v>
      </c>
      <c r="V39" s="501"/>
      <c r="W39" s="501"/>
      <c r="X39" s="501">
        <v>0.1</v>
      </c>
      <c r="Y39" s="501">
        <v>0.15</v>
      </c>
      <c r="Z39" s="501">
        <v>0.15</v>
      </c>
      <c r="AA39" s="501"/>
      <c r="AB39" s="501">
        <v>0.1</v>
      </c>
      <c r="AC39" s="501">
        <v>0.2</v>
      </c>
      <c r="AD39" s="501"/>
      <c r="AE39" s="501"/>
      <c r="AF39" s="501"/>
      <c r="AG39" s="444"/>
    </row>
    <row r="40" spans="1:33" ht="12.75" hidden="1" customHeight="1" x14ac:dyDescent="0.25">
      <c r="D40" s="443"/>
      <c r="E40" s="159">
        <f ca="1">IF($R38=2,
         IF(AND(ACOMPANHAMENTO="PLE",ISNUMBER($F38)),
                SUMIF((OFFSET(CÁLCULO!$AM$15:$AW$15,$F38,0,OFFSET(ORÇAMENTO!$D$15,CRONO!$F38,0))),CRONO!E$12,OFFSET(CÁLCULO!$AB$15:$AL$15,$F38,0,OFFSET(ORÇAMENTO!$D$15,CRONO!$F38,0)))
                +IF(AND($F40&lt;&gt;"",$F40&lt;&gt;0),
                        SUMIF(CÁLCULO!$AM$15:$AW$36,CRONO!E$12,CÁLCULO!$AB$15:$AL$36)/(ORÇAMENTO!$X$15-CÁLCULO.TotalAdmLocal)*CRONO!$F40,
                        0),
                 E39*$S38),
          SUMIF(OFFSET($S40,1,0,$R38-2),($M38+1)&amp;"$",OFFSET(E40,1,0,$R38-2)))</f>
        <v>0</v>
      </c>
      <c r="F40" s="144" t="str">
        <f ca="1">IF(OR($R38&lt;&gt;2,AUTOEVENTO&lt;&gt;"manual",$F39&gt;0),"",
        IF(Import.TipoArredondamento="Tradicional",
              SUMIF(OFFSET(CÁLCULO!$M$15,CRONO!$F38,0,OFFSET(ORÇAMENTO!$D$15,CRONO!$F38,0)),1,OFFSET(ORÇAMENTO!$X$15,CRONO!$F38,0,OFFSET(ORÇAMENTO!$D$15,CRONO!$F38,0))),
              0))</f>
        <v/>
      </c>
      <c r="H40" s="530"/>
      <c r="S40" s="160" t="str">
        <f t="shared" ref="S40" ca="1" si="55">M38&amp;"$"</f>
        <v>1$</v>
      </c>
      <c r="T40" s="161"/>
      <c r="U40" s="159">
        <f ca="1">IF($R38=2,
         IF(AND(ACOMPANHAMENTO="PLE",ISNUMBER($F38)),
                SUMIF((OFFSET(CÁLCULO!$AM$15:$AW$15,$F38,0,OFFSET(ORÇAMENTO!$D$15,CRONO!$F38,0))),CRONO!U$12,OFFSET(CÁLCULO!$AB$15:$AL$15,$F38,0,OFFSET(ORÇAMENTO!$D$15,CRONO!$F38,0)))
                +IF(AND($F40&lt;&gt;"",$F40&lt;&gt;0),
                        SUMIF(CÁLCULO!$AM$15:$AW$36,CRONO!U$12,CÁLCULO!$AB$15:$AL$36)/(ORÇAMENTO!$X$15-CÁLCULO.TotalAdmLocal)*CRONO!$F40,
                        0),
                 U39*$S38),
          SUMIF(OFFSET($S40,1,0,$R38-2),($M38+1)&amp;"$",OFFSET(U40,1,0,$R38-2)))</f>
        <v>0</v>
      </c>
      <c r="V40" s="159">
        <f ca="1">IF($R38=2,
         IF(AND(ACOMPANHAMENTO="PLE",ISNUMBER($F38)),
                SUMIF((OFFSET(CÁLCULO!$AM$15:$AW$15,$F38,0,OFFSET(ORÇAMENTO!$D$15,CRONO!$F38,0))),CRONO!V$12,OFFSET(CÁLCULO!$AB$15:$AL$15,$F38,0,OFFSET(ORÇAMENTO!$D$15,CRONO!$F38,0)))
                +IF(AND($F40&lt;&gt;"",$F40&lt;&gt;0),
                        SUMIF(CÁLCULO!$AM$15:$AW$36,CRONO!V$12,CÁLCULO!$AB$15:$AL$36)/(ORÇAMENTO!$X$15-CÁLCULO.TotalAdmLocal)*CRONO!$F40,
                        0),
                 V39*$S38),
          SUMIF(OFFSET($S40,1,0,$R38-2),($M38+1)&amp;"$",OFFSET(V40,1,0,$R38-2)))</f>
        <v>0</v>
      </c>
      <c r="W40" s="159">
        <f ca="1">IF($R38=2,
         IF(AND(ACOMPANHAMENTO="PLE",ISNUMBER($F38)),
                SUMIF((OFFSET(CÁLCULO!$AM$15:$AW$15,$F38,0,OFFSET(ORÇAMENTO!$D$15,CRONO!$F38,0))),CRONO!W$12,OFFSET(CÁLCULO!$AB$15:$AL$15,$F38,0,OFFSET(ORÇAMENTO!$D$15,CRONO!$F38,0)))
                +IF(AND($F40&lt;&gt;"",$F40&lt;&gt;0),
                        SUMIF(CÁLCULO!$AM$15:$AW$36,CRONO!W$12,CÁLCULO!$AB$15:$AL$36)/(ORÇAMENTO!$X$15-CÁLCULO.TotalAdmLocal)*CRONO!$F40,
                        0),
                 W39*$S38),
          SUMIF(OFFSET($S40,1,0,$R38-2),($M38+1)&amp;"$",OFFSET(W40,1,0,$R38-2)))</f>
        <v>0</v>
      </c>
      <c r="X40" s="159">
        <f ca="1">IF($R38=2,
         IF(AND(ACOMPANHAMENTO="PLE",ISNUMBER($F38)),
                SUMIF((OFFSET(CÁLCULO!$AM$15:$AW$15,$F38,0,OFFSET(ORÇAMENTO!$D$15,CRONO!$F38,0))),CRONO!X$12,OFFSET(CÁLCULO!$AB$15:$AL$15,$F38,0,OFFSET(ORÇAMENTO!$D$15,CRONO!$F38,0)))
                +IF(AND($F40&lt;&gt;"",$F40&lt;&gt;0),
                        SUMIF(CÁLCULO!$AM$15:$AW$36,CRONO!X$12,CÁLCULO!$AB$15:$AL$36)/(ORÇAMENTO!$X$15-CÁLCULO.TotalAdmLocal)*CRONO!$F40,
                        0),
                 X39*$S38),
          SUMIF(OFFSET($S40,1,0,$R38-2),($M38+1)&amp;"$",OFFSET(X40,1,0,$R38-2)))</f>
        <v>0</v>
      </c>
      <c r="Y40" s="159">
        <f ca="1">IF($R38=2,
         IF(AND(ACOMPANHAMENTO="PLE",ISNUMBER($F38)),
                SUMIF((OFFSET(CÁLCULO!$AM$15:$AW$15,$F38,0,OFFSET(ORÇAMENTO!$D$15,CRONO!$F38,0))),CRONO!Y$12,OFFSET(CÁLCULO!$AB$15:$AL$15,$F38,0,OFFSET(ORÇAMENTO!$D$15,CRONO!$F38,0)))
                +IF(AND($F40&lt;&gt;"",$F40&lt;&gt;0),
                        SUMIF(CÁLCULO!$AM$15:$AW$36,CRONO!Y$12,CÁLCULO!$AB$15:$AL$36)/(ORÇAMENTO!$X$15-CÁLCULO.TotalAdmLocal)*CRONO!$F40,
                        0),
                 Y39*$S38),
          SUMIF(OFFSET($S40,1,0,$R38-2),($M38+1)&amp;"$",OFFSET(Y40,1,0,$R38-2)))</f>
        <v>0</v>
      </c>
      <c r="Z40" s="159">
        <f ca="1">IF($R38=2,
         IF(AND(ACOMPANHAMENTO="PLE",ISNUMBER($F38)),
                SUMIF((OFFSET(CÁLCULO!$AM$15:$AW$15,$F38,0,OFFSET(ORÇAMENTO!$D$15,CRONO!$F38,0))),CRONO!Z$12,OFFSET(CÁLCULO!$AB$15:$AL$15,$F38,0,OFFSET(ORÇAMENTO!$D$15,CRONO!$F38,0)))
                +IF(AND($F40&lt;&gt;"",$F40&lt;&gt;0),
                        SUMIF(CÁLCULO!$AM$15:$AW$36,CRONO!Z$12,CÁLCULO!$AB$15:$AL$36)/(ORÇAMENTO!$X$15-CÁLCULO.TotalAdmLocal)*CRONO!$F40,
                        0),
                 Z39*$S38),
          SUMIF(OFFSET($S40,1,0,$R38-2),($M38+1)&amp;"$",OFFSET(Z40,1,0,$R38-2)))</f>
        <v>0</v>
      </c>
      <c r="AA40" s="159">
        <f ca="1">IF($R38=2,
         IF(AND(ACOMPANHAMENTO="PLE",ISNUMBER($F38)),
                SUMIF((OFFSET(CÁLCULO!$AM$15:$AW$15,$F38,0,OFFSET(ORÇAMENTO!$D$15,CRONO!$F38,0))),CRONO!AA$12,OFFSET(CÁLCULO!$AB$15:$AL$15,$F38,0,OFFSET(ORÇAMENTO!$D$15,CRONO!$F38,0)))
                +IF(AND($F40&lt;&gt;"",$F40&lt;&gt;0),
                        SUMIF(CÁLCULO!$AM$15:$AW$36,CRONO!AA$12,CÁLCULO!$AB$15:$AL$36)/(ORÇAMENTO!$X$15-CÁLCULO.TotalAdmLocal)*CRONO!$F40,
                        0),
                 AA39*$S38),
          SUMIF(OFFSET($S40,1,0,$R38-2),($M38+1)&amp;"$",OFFSET(AA40,1,0,$R38-2)))</f>
        <v>0</v>
      </c>
      <c r="AB40" s="159">
        <f ca="1">IF($R38=2,
         IF(AND(ACOMPANHAMENTO="PLE",ISNUMBER($F38)),
                SUMIF((OFFSET(CÁLCULO!$AM$15:$AW$15,$F38,0,OFFSET(ORÇAMENTO!$D$15,CRONO!$F38,0))),CRONO!AB$12,OFFSET(CÁLCULO!$AB$15:$AL$15,$F38,0,OFFSET(ORÇAMENTO!$D$15,CRONO!$F38,0)))
                +IF(AND($F40&lt;&gt;"",$F40&lt;&gt;0),
                        SUMIF(CÁLCULO!$AM$15:$AW$36,CRONO!AB$12,CÁLCULO!$AB$15:$AL$36)/(ORÇAMENTO!$X$15-CÁLCULO.TotalAdmLocal)*CRONO!$F40,
                        0),
                 AB39*$S38),
          SUMIF(OFFSET($S40,1,0,$R38-2),($M38+1)&amp;"$",OFFSET(AB40,1,0,$R38-2)))</f>
        <v>0</v>
      </c>
      <c r="AC40" s="159">
        <f ca="1">IF($R38=2,
         IF(AND(ACOMPANHAMENTO="PLE",ISNUMBER($F38)),
                SUMIF((OFFSET(CÁLCULO!$AM$15:$AW$15,$F38,0,OFFSET(ORÇAMENTO!$D$15,CRONO!$F38,0))),CRONO!AC$12,OFFSET(CÁLCULO!$AB$15:$AL$15,$F38,0,OFFSET(ORÇAMENTO!$D$15,CRONO!$F38,0)))
                +IF(AND($F40&lt;&gt;"",$F40&lt;&gt;0),
                        SUMIF(CÁLCULO!$AM$15:$AW$36,CRONO!AC$12,CÁLCULO!$AB$15:$AL$36)/(ORÇAMENTO!$X$15-CÁLCULO.TotalAdmLocal)*CRONO!$F40,
                        0),
                 AC39*$S38),
          SUMIF(OFFSET($S40,1,0,$R38-2),($M38+1)&amp;"$",OFFSET(AC40,1,0,$R38-2)))</f>
        <v>0</v>
      </c>
      <c r="AD40" s="159">
        <f ca="1">IF($R38=2,
         IF(AND(ACOMPANHAMENTO="PLE",ISNUMBER($F38)),
                SUMIF((OFFSET(CÁLCULO!$AM$15:$AW$15,$F38,0,OFFSET(ORÇAMENTO!$D$15,CRONO!$F38,0))),CRONO!AD$12,OFFSET(CÁLCULO!$AB$15:$AL$15,$F38,0,OFFSET(ORÇAMENTO!$D$15,CRONO!$F38,0)))
                +IF(AND($F40&lt;&gt;"",$F40&lt;&gt;0),
                        SUMIF(CÁLCULO!$AM$15:$AW$36,CRONO!AD$12,CÁLCULO!$AB$15:$AL$36)/(ORÇAMENTO!$X$15-CÁLCULO.TotalAdmLocal)*CRONO!$F40,
                        0),
                 AD39*$S38),
          SUMIF(OFFSET($S40,1,0,$R38-2),($M38+1)&amp;"$",OFFSET(AD40,1,0,$R38-2)))</f>
        <v>0</v>
      </c>
      <c r="AE40" s="159">
        <f ca="1">IF($R38=2,
         IF(AND(ACOMPANHAMENTO="PLE",ISNUMBER($F38)),
                SUMIF((OFFSET(CÁLCULO!$AM$15:$AW$15,$F38,0,OFFSET(ORÇAMENTO!$D$15,CRONO!$F38,0))),CRONO!AE$12,OFFSET(CÁLCULO!$AB$15:$AL$15,$F38,0,OFFSET(ORÇAMENTO!$D$15,CRONO!$F38,0)))
                +IF(AND($F40&lt;&gt;"",$F40&lt;&gt;0),
                        SUMIF(CÁLCULO!$AM$15:$AW$36,CRONO!AE$12,CÁLCULO!$AB$15:$AL$36)/(ORÇAMENTO!$X$15-CÁLCULO.TotalAdmLocal)*CRONO!$F40,
                        0),
                 AE39*$S38),
          SUMIF(OFFSET($S40,1,0,$R38-2),($M38+1)&amp;"$",OFFSET(AE40,1,0,$R38-2)))</f>
        <v>0</v>
      </c>
      <c r="AF40" s="159">
        <f ca="1">IF($R38=2,
         IF(AND(ACOMPANHAMENTO="PLE",ISNUMBER($F38)),
                SUMIF((OFFSET(CÁLCULO!$AM$15:$AW$15,$F38,0,OFFSET(ORÇAMENTO!$D$15,CRONO!$F38,0))),CRONO!AF$12,OFFSET(CÁLCULO!$AB$15:$AL$15,$F38,0,OFFSET(ORÇAMENTO!$D$15,CRONO!$F38,0)))
                +IF(AND($F40&lt;&gt;"",$F40&lt;&gt;0),
                        SUMIF(CÁLCULO!$AM$15:$AW$36,CRONO!AF$12,CÁLCULO!$AB$15:$AL$36)/(ORÇAMENTO!$X$15-CÁLCULO.TotalAdmLocal)*CRONO!$F40,
                        0),
                 AF39*$S38),
          SUMIF(OFFSET($S40,1,0,$R38-2),($M38+1)&amp;"$",OFFSET(AF40,1,0,$R38-2)))</f>
        <v>0</v>
      </c>
      <c r="AG40" s="444"/>
    </row>
    <row r="41" spans="1:33" hidden="1" x14ac:dyDescent="0.25">
      <c r="A41" s="145" t="str">
        <f t="shared" ref="A41" ca="1" si="56">IF($M41&gt;1,CONCATENATE($I41," ",$J41),"")</f>
        <v/>
      </c>
      <c r="B41" s="144">
        <f t="shared" ref="B41" ca="1" si="57">OFFSET(B41,-3,0)+1</f>
        <v>10</v>
      </c>
      <c r="C41" s="144">
        <f ca="1">IF($R41&lt;&gt;2,0,IF($S41=0,1,IF(F42&gt;0,OFFSET(QCI!$M$13,SUBSTITUTE(F42,".",""),0),OFFSET(ORÇAMENTO!$AA$15,CRONO!$F41,0))/$S41))</f>
        <v>1</v>
      </c>
      <c r="D41" s="144">
        <f ca="1">IF($R41&lt;&gt;2,0,IF($S41=0,1,IF(F42&gt;0,OFFSET(QCI!$N$13,SUBSTITUTE(F42,".",""),0),OFFSET(ORÇAMENTO!$AB$15,CRONO!$F41,0))/$S41))</f>
        <v>1</v>
      </c>
      <c r="E41" s="147">
        <f ca="1">IF(AND($R41=2,ACOMPANHAMENTO="BM"),ROUND(E42,4),E43/$S41)</f>
        <v>0</v>
      </c>
      <c r="F41" s="144" t="e">
        <f ca="1">IF(B41&lt;=ORÇAMENTO.MáximoListaCrono,MATCH(B41,ORÇAMENTO.ListaCrono,0),NA())</f>
        <v>#N/A</v>
      </c>
      <c r="G41" s="144" t="str">
        <f t="shared" ref="G41" ca="1" si="58">IF(AND($F42&lt;&gt;-1,$S41&gt;0),"F","")</f>
        <v/>
      </c>
      <c r="H41" s="617" t="str">
        <f ca="1">IF(OR(S41=0,S41=""),"Linha",IF(AND(OR(ACOMPANHAMENTO="PLE",$R41&lt;&gt;2),$F42=0),"Linha",ROUND(1-SUM(U41:AG41),4)))</f>
        <v>Linha</v>
      </c>
      <c r="I41" s="148">
        <f ca="1">IF($F42=0,OFFSET(ORÇAMENTO!O$15,$F41,0),IF($F42&lt;&gt;-1,OFFSET(QCI!$D$13,$F42,0),""))</f>
        <v>3</v>
      </c>
      <c r="J41" s="149" t="str">
        <f ca="1">IF($F42=0,OFFSET(ORÇAMENTO!R$15,$F41,0),IF($F42&lt;&gt;-1,OFFSET(QCI!$G$13,$F42,0),""))</f>
        <v/>
      </c>
      <c r="K41" s="149"/>
      <c r="L41" s="149"/>
      <c r="M41" s="150">
        <f ca="1">IF($F42=0,OFFSET(ORÇAMENTO!C$15,$F41,0),1)</f>
        <v>1</v>
      </c>
      <c r="N41" s="151">
        <f ca="1">IF($F42=-1,0,IF(N$13&lt;=$M41,IF(ISERROR(MATCH(N$13,OFFSET($M41,1,0,ROW($M$164)-ROW($M41)-1),0)),ROW($M$164)-ROW($M41)-1,MATCH(N$13,OFFSET($M41,1,0,ROW($M$164)-ROW($M41)-1),0)-1),0))</f>
        <v>2</v>
      </c>
      <c r="O41" s="151">
        <f ca="1">IF($F42=-1,0,IF(O$13&lt;=$M41,IF(ISERROR(MATCH(O$13,OFFSET($M41,1,0,ROW($M$164)-ROW($M41)-1),0)),ROW($M$164)-ROW($M41)-1,MATCH(O$13,OFFSET($M41,1,0,ROW($M$164)-ROW($M41)-1),0)-1),0))</f>
        <v>0</v>
      </c>
      <c r="P41" s="151">
        <f ca="1">IF($F42=-1,0,IF(P$13&lt;=$M41,IF(ISERROR(MATCH(P$13,OFFSET($M41,1,0,ROW($M$164)-ROW($M41)-1),0)),ROW($M$164)-ROW($M41)-1,MATCH(P$13,OFFSET($M41,1,0,ROW($M$164)-ROW($M41)-1),0)-1),0))</f>
        <v>0</v>
      </c>
      <c r="Q41" s="151">
        <f ca="1">IF($F42=-1,0,IF(Q$13&lt;=$M41,IF(ISERROR(MATCH(Q$13,OFFSET($M41,1,0,ROW($M$164)-ROW($M41)-1),0)),ROW($M$164)-ROW($M41)-1,MATCH(Q$13,OFFSET($M41,1,0,ROW($M$164)-ROW($M41)-1),0)-1),0))</f>
        <v>0</v>
      </c>
      <c r="R41" s="151">
        <f t="shared" ref="R41" ca="1" si="59">MIN(OFFSET(M41,0,1,,M41))</f>
        <v>2</v>
      </c>
      <c r="S41" s="152">
        <f ca="1">IF($F42=0,OFFSET(ORÇAMENTO!X$15,$F41,0),IF($F42&lt;&gt;-1,OFFSET(QCI!$O$13,$F42,0),""))</f>
        <v>0</v>
      </c>
      <c r="T41" s="618" t="s">
        <v>809</v>
      </c>
      <c r="U41" s="147">
        <f ca="1">IF(AND($R41=2,ACOMPANHAMENTO="BM"),ROUND(U42,4),U43/$S41)</f>
        <v>0</v>
      </c>
      <c r="V41" s="147">
        <f ca="1">IF(AND($R41=2,ACOMPANHAMENTO="BM"),ROUND(V42,4),V43/$S41)</f>
        <v>0</v>
      </c>
      <c r="W41" s="147">
        <f ca="1">IF(AND($R41=2,ACOMPANHAMENTO="BM"),ROUND(W42,4),W43/$S41)</f>
        <v>0</v>
      </c>
      <c r="X41" s="147">
        <f ca="1">IF(AND($R41=2,ACOMPANHAMENTO="BM"),ROUND(X42,4),X43/$S41)</f>
        <v>0</v>
      </c>
      <c r="Y41" s="147">
        <f ca="1">IF(AND($R41=2,ACOMPANHAMENTO="BM"),ROUND(Y42,4),Y43/$S41)</f>
        <v>0</v>
      </c>
      <c r="Z41" s="147">
        <f ca="1">IF(AND($R41=2,ACOMPANHAMENTO="BM"),ROUND(Z42,4),Z43/$S41)</f>
        <v>0</v>
      </c>
      <c r="AA41" s="147">
        <f ca="1">IF(AND($R41=2,ACOMPANHAMENTO="BM"),ROUND(AA42,4),AA43/$S41)</f>
        <v>0</v>
      </c>
      <c r="AB41" s="147">
        <f ca="1">IF(AND($R41=2,ACOMPANHAMENTO="BM"),ROUND(AB42,4),AB43/$S41)</f>
        <v>0</v>
      </c>
      <c r="AC41" s="147">
        <f ca="1">IF(AND($R41=2,ACOMPANHAMENTO="BM"),ROUND(AC42,4),AC43/$S41)</f>
        <v>0</v>
      </c>
      <c r="AD41" s="147">
        <f ca="1">IF(AND($R41=2,ACOMPANHAMENTO="BM"),ROUND(AD42,4),AD43/$S41)</f>
        <v>0</v>
      </c>
      <c r="AE41" s="147">
        <f ca="1">IF(AND($R41=2,ACOMPANHAMENTO="BM"),ROUND(AE42,4),AE43/$S41)</f>
        <v>0</v>
      </c>
      <c r="AF41" s="147">
        <f ca="1">IF(AND($R41=2,ACOMPANHAMENTO="BM"),ROUND(AF42,4),AF43/$S41)</f>
        <v>0</v>
      </c>
      <c r="AG41" s="444"/>
    </row>
    <row r="42" spans="1:33" ht="12.75" hidden="1" customHeight="1" x14ac:dyDescent="0.25">
      <c r="E42" s="501"/>
      <c r="F42" s="144">
        <f ca="1">IF(ISERROR(F41),IF(1+COUNTIF($M$13:OFFSET(M41,-1,0),1)&lt;=MAX(QCI!$D$13:$D$24),1+COUNTIF($M$13:OFFSET(M41,-1,0),1),-1),0)</f>
        <v>3</v>
      </c>
      <c r="G42" s="144" t="str">
        <f ca="1">IF(ACOMPANHAMENTO="BM",OFFSET(G42,-1,0),"")</f>
        <v/>
      </c>
      <c r="H42" s="153" t="str">
        <f ca="1">IF(OR(S41=0,S41=""),"vazia",IF(AND(OR(ACOMPANHAMENTO="PLE",$R41&lt;&gt;2),$F42=0),"calculada","--&gt;"))</f>
        <v>vazia</v>
      </c>
      <c r="I42" s="154"/>
      <c r="J42" s="155" t="str">
        <f t="shared" ref="J42" ca="1" si="60">IF(AND(H41&lt;&gt;0,ISNUMBER(H41)),"PREENCHA ESTA LINHA --&gt;","")</f>
        <v/>
      </c>
      <c r="K42" s="155"/>
      <c r="L42" s="155"/>
      <c r="M42" s="156"/>
      <c r="N42" s="156"/>
      <c r="O42" s="156"/>
      <c r="P42" s="156"/>
      <c r="Q42" s="156"/>
      <c r="R42" s="156"/>
      <c r="S42" s="157"/>
      <c r="T42" s="158"/>
      <c r="U42" s="501"/>
      <c r="V42" s="501"/>
      <c r="W42" s="501"/>
      <c r="X42" s="501"/>
      <c r="Y42" s="501"/>
      <c r="Z42" s="501"/>
      <c r="AA42" s="501"/>
      <c r="AB42" s="501"/>
      <c r="AC42" s="501"/>
      <c r="AD42" s="501"/>
      <c r="AE42" s="501"/>
      <c r="AF42" s="501"/>
      <c r="AG42" s="444"/>
    </row>
    <row r="43" spans="1:33" ht="12.75" hidden="1" customHeight="1" x14ac:dyDescent="0.25">
      <c r="D43" s="443"/>
      <c r="E43" s="159">
        <f ca="1">IF($R41=2,
         IF(AND(ACOMPANHAMENTO="PLE",ISNUMBER($F41)),
                SUMIF((OFFSET(CÁLCULO!$AM$15:$AW$15,$F41,0,OFFSET(ORÇAMENTO!$D$15,CRONO!$F41,0))),CRONO!E$12,OFFSET(CÁLCULO!$AB$15:$AL$15,$F41,0,OFFSET(ORÇAMENTO!$D$15,CRONO!$F41,0)))
                +IF(AND($F43&lt;&gt;"",$F43&lt;&gt;0),
                        SUMIF(CÁLCULO!$AM$15:$AW$36,CRONO!E$12,CÁLCULO!$AB$15:$AL$36)/(ORÇAMENTO!$X$15-CÁLCULO.TotalAdmLocal)*CRONO!$F43,
                        0),
                 E42*$S41),
          SUMIF(OFFSET($S43,1,0,$R41-2),($M41+1)&amp;"$",OFFSET(E43,1,0,$R41-2)))</f>
        <v>0</v>
      </c>
      <c r="F43" s="144" t="str">
        <f ca="1">IF(OR($R41&lt;&gt;2,AUTOEVENTO&lt;&gt;"manual",$F42&gt;0),"",
        IF(Import.TipoArredondamento="Tradicional",
              SUMIF(OFFSET(CÁLCULO!$M$15,CRONO!$F41,0,OFFSET(ORÇAMENTO!$D$15,CRONO!$F41,0)),1,OFFSET(ORÇAMENTO!$X$15,CRONO!$F41,0,OFFSET(ORÇAMENTO!$D$15,CRONO!$F41,0))),
              0))</f>
        <v/>
      </c>
      <c r="H43" s="530"/>
      <c r="S43" s="160" t="str">
        <f t="shared" ref="S43" ca="1" si="61">M41&amp;"$"</f>
        <v>1$</v>
      </c>
      <c r="T43" s="161"/>
      <c r="U43" s="159">
        <f ca="1">IF($R41=2,
         IF(AND(ACOMPANHAMENTO="PLE",ISNUMBER($F41)),
                SUMIF((OFFSET(CÁLCULO!$AM$15:$AW$15,$F41,0,OFFSET(ORÇAMENTO!$D$15,CRONO!$F41,0))),CRONO!U$12,OFFSET(CÁLCULO!$AB$15:$AL$15,$F41,0,OFFSET(ORÇAMENTO!$D$15,CRONO!$F41,0)))
                +IF(AND($F43&lt;&gt;"",$F43&lt;&gt;0),
                        SUMIF(CÁLCULO!$AM$15:$AW$36,CRONO!U$12,CÁLCULO!$AB$15:$AL$36)/(ORÇAMENTO!$X$15-CÁLCULO.TotalAdmLocal)*CRONO!$F43,
                        0),
                 U42*$S41),
          SUMIF(OFFSET($S43,1,0,$R41-2),($M41+1)&amp;"$",OFFSET(U43,1,0,$R41-2)))</f>
        <v>0</v>
      </c>
      <c r="V43" s="159">
        <f ca="1">IF($R41=2,
         IF(AND(ACOMPANHAMENTO="PLE",ISNUMBER($F41)),
                SUMIF((OFFSET(CÁLCULO!$AM$15:$AW$15,$F41,0,OFFSET(ORÇAMENTO!$D$15,CRONO!$F41,0))),CRONO!V$12,OFFSET(CÁLCULO!$AB$15:$AL$15,$F41,0,OFFSET(ORÇAMENTO!$D$15,CRONO!$F41,0)))
                +IF(AND($F43&lt;&gt;"",$F43&lt;&gt;0),
                        SUMIF(CÁLCULO!$AM$15:$AW$36,CRONO!V$12,CÁLCULO!$AB$15:$AL$36)/(ORÇAMENTO!$X$15-CÁLCULO.TotalAdmLocal)*CRONO!$F43,
                        0),
                 V42*$S41),
          SUMIF(OFFSET($S43,1,0,$R41-2),($M41+1)&amp;"$",OFFSET(V43,1,0,$R41-2)))</f>
        <v>0</v>
      </c>
      <c r="W43" s="159">
        <f ca="1">IF($R41=2,
         IF(AND(ACOMPANHAMENTO="PLE",ISNUMBER($F41)),
                SUMIF((OFFSET(CÁLCULO!$AM$15:$AW$15,$F41,0,OFFSET(ORÇAMENTO!$D$15,CRONO!$F41,0))),CRONO!W$12,OFFSET(CÁLCULO!$AB$15:$AL$15,$F41,0,OFFSET(ORÇAMENTO!$D$15,CRONO!$F41,0)))
                +IF(AND($F43&lt;&gt;"",$F43&lt;&gt;0),
                        SUMIF(CÁLCULO!$AM$15:$AW$36,CRONO!W$12,CÁLCULO!$AB$15:$AL$36)/(ORÇAMENTO!$X$15-CÁLCULO.TotalAdmLocal)*CRONO!$F43,
                        0),
                 W42*$S41),
          SUMIF(OFFSET($S43,1,0,$R41-2),($M41+1)&amp;"$",OFFSET(W43,1,0,$R41-2)))</f>
        <v>0</v>
      </c>
      <c r="X43" s="159">
        <f ca="1">IF($R41=2,
         IF(AND(ACOMPANHAMENTO="PLE",ISNUMBER($F41)),
                SUMIF((OFFSET(CÁLCULO!$AM$15:$AW$15,$F41,0,OFFSET(ORÇAMENTO!$D$15,CRONO!$F41,0))),CRONO!X$12,OFFSET(CÁLCULO!$AB$15:$AL$15,$F41,0,OFFSET(ORÇAMENTO!$D$15,CRONO!$F41,0)))
                +IF(AND($F43&lt;&gt;"",$F43&lt;&gt;0),
                        SUMIF(CÁLCULO!$AM$15:$AW$36,CRONO!X$12,CÁLCULO!$AB$15:$AL$36)/(ORÇAMENTO!$X$15-CÁLCULO.TotalAdmLocal)*CRONO!$F43,
                        0),
                 X42*$S41),
          SUMIF(OFFSET($S43,1,0,$R41-2),($M41+1)&amp;"$",OFFSET(X43,1,0,$R41-2)))</f>
        <v>0</v>
      </c>
      <c r="Y43" s="159">
        <f ca="1">IF($R41=2,
         IF(AND(ACOMPANHAMENTO="PLE",ISNUMBER($F41)),
                SUMIF((OFFSET(CÁLCULO!$AM$15:$AW$15,$F41,0,OFFSET(ORÇAMENTO!$D$15,CRONO!$F41,0))),CRONO!Y$12,OFFSET(CÁLCULO!$AB$15:$AL$15,$F41,0,OFFSET(ORÇAMENTO!$D$15,CRONO!$F41,0)))
                +IF(AND($F43&lt;&gt;"",$F43&lt;&gt;0),
                        SUMIF(CÁLCULO!$AM$15:$AW$36,CRONO!Y$12,CÁLCULO!$AB$15:$AL$36)/(ORÇAMENTO!$X$15-CÁLCULO.TotalAdmLocal)*CRONO!$F43,
                        0),
                 Y42*$S41),
          SUMIF(OFFSET($S43,1,0,$R41-2),($M41+1)&amp;"$",OFFSET(Y43,1,0,$R41-2)))</f>
        <v>0</v>
      </c>
      <c r="Z43" s="159">
        <f ca="1">IF($R41=2,
         IF(AND(ACOMPANHAMENTO="PLE",ISNUMBER($F41)),
                SUMIF((OFFSET(CÁLCULO!$AM$15:$AW$15,$F41,0,OFFSET(ORÇAMENTO!$D$15,CRONO!$F41,0))),CRONO!Z$12,OFFSET(CÁLCULO!$AB$15:$AL$15,$F41,0,OFFSET(ORÇAMENTO!$D$15,CRONO!$F41,0)))
                +IF(AND($F43&lt;&gt;"",$F43&lt;&gt;0),
                        SUMIF(CÁLCULO!$AM$15:$AW$36,CRONO!Z$12,CÁLCULO!$AB$15:$AL$36)/(ORÇAMENTO!$X$15-CÁLCULO.TotalAdmLocal)*CRONO!$F43,
                        0),
                 Z42*$S41),
          SUMIF(OFFSET($S43,1,0,$R41-2),($M41+1)&amp;"$",OFFSET(Z43,1,0,$R41-2)))</f>
        <v>0</v>
      </c>
      <c r="AA43" s="159">
        <f ca="1">IF($R41=2,
         IF(AND(ACOMPANHAMENTO="PLE",ISNUMBER($F41)),
                SUMIF((OFFSET(CÁLCULO!$AM$15:$AW$15,$F41,0,OFFSET(ORÇAMENTO!$D$15,CRONO!$F41,0))),CRONO!AA$12,OFFSET(CÁLCULO!$AB$15:$AL$15,$F41,0,OFFSET(ORÇAMENTO!$D$15,CRONO!$F41,0)))
                +IF(AND($F43&lt;&gt;"",$F43&lt;&gt;0),
                        SUMIF(CÁLCULO!$AM$15:$AW$36,CRONO!AA$12,CÁLCULO!$AB$15:$AL$36)/(ORÇAMENTO!$X$15-CÁLCULO.TotalAdmLocal)*CRONO!$F43,
                        0),
                 AA42*$S41),
          SUMIF(OFFSET($S43,1,0,$R41-2),($M41+1)&amp;"$",OFFSET(AA43,1,0,$R41-2)))</f>
        <v>0</v>
      </c>
      <c r="AB43" s="159">
        <f ca="1">IF($R41=2,
         IF(AND(ACOMPANHAMENTO="PLE",ISNUMBER($F41)),
                SUMIF((OFFSET(CÁLCULO!$AM$15:$AW$15,$F41,0,OFFSET(ORÇAMENTO!$D$15,CRONO!$F41,0))),CRONO!AB$12,OFFSET(CÁLCULO!$AB$15:$AL$15,$F41,0,OFFSET(ORÇAMENTO!$D$15,CRONO!$F41,0)))
                +IF(AND($F43&lt;&gt;"",$F43&lt;&gt;0),
                        SUMIF(CÁLCULO!$AM$15:$AW$36,CRONO!AB$12,CÁLCULO!$AB$15:$AL$36)/(ORÇAMENTO!$X$15-CÁLCULO.TotalAdmLocal)*CRONO!$F43,
                        0),
                 AB42*$S41),
          SUMIF(OFFSET($S43,1,0,$R41-2),($M41+1)&amp;"$",OFFSET(AB43,1,0,$R41-2)))</f>
        <v>0</v>
      </c>
      <c r="AC43" s="159">
        <f ca="1">IF($R41=2,
         IF(AND(ACOMPANHAMENTO="PLE",ISNUMBER($F41)),
                SUMIF((OFFSET(CÁLCULO!$AM$15:$AW$15,$F41,0,OFFSET(ORÇAMENTO!$D$15,CRONO!$F41,0))),CRONO!AC$12,OFFSET(CÁLCULO!$AB$15:$AL$15,$F41,0,OFFSET(ORÇAMENTO!$D$15,CRONO!$F41,0)))
                +IF(AND($F43&lt;&gt;"",$F43&lt;&gt;0),
                        SUMIF(CÁLCULO!$AM$15:$AW$36,CRONO!AC$12,CÁLCULO!$AB$15:$AL$36)/(ORÇAMENTO!$X$15-CÁLCULO.TotalAdmLocal)*CRONO!$F43,
                        0),
                 AC42*$S41),
          SUMIF(OFFSET($S43,1,0,$R41-2),($M41+1)&amp;"$",OFFSET(AC43,1,0,$R41-2)))</f>
        <v>0</v>
      </c>
      <c r="AD43" s="159">
        <f ca="1">IF($R41=2,
         IF(AND(ACOMPANHAMENTO="PLE",ISNUMBER($F41)),
                SUMIF((OFFSET(CÁLCULO!$AM$15:$AW$15,$F41,0,OFFSET(ORÇAMENTO!$D$15,CRONO!$F41,0))),CRONO!AD$12,OFFSET(CÁLCULO!$AB$15:$AL$15,$F41,0,OFFSET(ORÇAMENTO!$D$15,CRONO!$F41,0)))
                +IF(AND($F43&lt;&gt;"",$F43&lt;&gt;0),
                        SUMIF(CÁLCULO!$AM$15:$AW$36,CRONO!AD$12,CÁLCULO!$AB$15:$AL$36)/(ORÇAMENTO!$X$15-CÁLCULO.TotalAdmLocal)*CRONO!$F43,
                        0),
                 AD42*$S41),
          SUMIF(OFFSET($S43,1,0,$R41-2),($M41+1)&amp;"$",OFFSET(AD43,1,0,$R41-2)))</f>
        <v>0</v>
      </c>
      <c r="AE43" s="159">
        <f ca="1">IF($R41=2,
         IF(AND(ACOMPANHAMENTO="PLE",ISNUMBER($F41)),
                SUMIF((OFFSET(CÁLCULO!$AM$15:$AW$15,$F41,0,OFFSET(ORÇAMENTO!$D$15,CRONO!$F41,0))),CRONO!AE$12,OFFSET(CÁLCULO!$AB$15:$AL$15,$F41,0,OFFSET(ORÇAMENTO!$D$15,CRONO!$F41,0)))
                +IF(AND($F43&lt;&gt;"",$F43&lt;&gt;0),
                        SUMIF(CÁLCULO!$AM$15:$AW$36,CRONO!AE$12,CÁLCULO!$AB$15:$AL$36)/(ORÇAMENTO!$X$15-CÁLCULO.TotalAdmLocal)*CRONO!$F43,
                        0),
                 AE42*$S41),
          SUMIF(OFFSET($S43,1,0,$R41-2),($M41+1)&amp;"$",OFFSET(AE43,1,0,$R41-2)))</f>
        <v>0</v>
      </c>
      <c r="AF43" s="159">
        <f ca="1">IF($R41=2,
         IF(AND(ACOMPANHAMENTO="PLE",ISNUMBER($F41)),
                SUMIF((OFFSET(CÁLCULO!$AM$15:$AW$15,$F41,0,OFFSET(ORÇAMENTO!$D$15,CRONO!$F41,0))),CRONO!AF$12,OFFSET(CÁLCULO!$AB$15:$AL$15,$F41,0,OFFSET(ORÇAMENTO!$D$15,CRONO!$F41,0)))
                +IF(AND($F43&lt;&gt;"",$F43&lt;&gt;0),
                        SUMIF(CÁLCULO!$AM$15:$AW$36,CRONO!AF$12,CÁLCULO!$AB$15:$AL$36)/(ORÇAMENTO!$X$15-CÁLCULO.TotalAdmLocal)*CRONO!$F43,
                        0),
                 AF42*$S41),
          SUMIF(OFFSET($S43,1,0,$R41-2),($M41+1)&amp;"$",OFFSET(AF43,1,0,$R41-2)))</f>
        <v>0</v>
      </c>
      <c r="AG43" s="444"/>
    </row>
    <row r="44" spans="1:33" hidden="1" x14ac:dyDescent="0.25">
      <c r="A44" s="145" t="str">
        <f t="shared" ref="A44" ca="1" si="62">IF($M44&gt;1,CONCATENATE($I44," ",$J44),"")</f>
        <v/>
      </c>
      <c r="B44" s="144">
        <f t="shared" ref="B44" ca="1" si="63">OFFSET(B44,-3,0)+1</f>
        <v>11</v>
      </c>
      <c r="C44" s="144">
        <f ca="1">IF($R44&lt;&gt;2,0,IF($S44=0,1,IF(F45&gt;0,OFFSET(QCI!$M$13,SUBSTITUTE(F45,".",""),0),OFFSET(ORÇAMENTO!$AA$15,CRONO!$F44,0))/$S44))</f>
        <v>1</v>
      </c>
      <c r="D44" s="144">
        <f ca="1">IF($R44&lt;&gt;2,0,IF($S44=0,1,IF(F45&gt;0,OFFSET(QCI!$N$13,SUBSTITUTE(F45,".",""),0),OFFSET(ORÇAMENTO!$AB$15,CRONO!$F44,0))/$S44))</f>
        <v>1</v>
      </c>
      <c r="E44" s="147">
        <f ca="1">IF(AND($R44=2,ACOMPANHAMENTO="BM"),ROUND(E45,4),E46/$S44)</f>
        <v>0</v>
      </c>
      <c r="F44" s="144" t="e">
        <f ca="1">IF(B44&lt;=ORÇAMENTO.MáximoListaCrono,MATCH(B44,ORÇAMENTO.ListaCrono,0),NA())</f>
        <v>#N/A</v>
      </c>
      <c r="G44" s="144" t="str">
        <f t="shared" ref="G44" ca="1" si="64">IF(AND($F45&lt;&gt;-1,$S44&gt;0),"F","")</f>
        <v/>
      </c>
      <c r="H44" s="617" t="str">
        <f ca="1">IF(OR(S44=0,S44=""),"Linha",IF(AND(OR(ACOMPANHAMENTO="PLE",$R44&lt;&gt;2),$F45=0),"Linha",ROUND(1-SUM(U44:AG44),4)))</f>
        <v>Linha</v>
      </c>
      <c r="I44" s="148">
        <f ca="1">IF($F45=0,OFFSET(ORÇAMENTO!O$15,$F44,0),IF($F45&lt;&gt;-1,OFFSET(QCI!$D$13,$F45,0),""))</f>
        <v>4</v>
      </c>
      <c r="J44" s="149" t="str">
        <f ca="1">IF($F45=0,OFFSET(ORÇAMENTO!R$15,$F44,0),IF($F45&lt;&gt;-1,OFFSET(QCI!$G$13,$F45,0),""))</f>
        <v/>
      </c>
      <c r="K44" s="149"/>
      <c r="L44" s="149"/>
      <c r="M44" s="150">
        <f ca="1">IF($F45=0,OFFSET(ORÇAMENTO!C$15,$F44,0),1)</f>
        <v>1</v>
      </c>
      <c r="N44" s="151">
        <f ca="1">IF($F45=-1,0,IF(N$13&lt;=$M44,IF(ISERROR(MATCH(N$13,OFFSET($M44,1,0,ROW($M$164)-ROW($M44)-1),0)),ROW($M$164)-ROW($M44)-1,MATCH(N$13,OFFSET($M44,1,0,ROW($M$164)-ROW($M44)-1),0)-1),0))</f>
        <v>2</v>
      </c>
      <c r="O44" s="151">
        <f ca="1">IF($F45=-1,0,IF(O$13&lt;=$M44,IF(ISERROR(MATCH(O$13,OFFSET($M44,1,0,ROW($M$164)-ROW($M44)-1),0)),ROW($M$164)-ROW($M44)-1,MATCH(O$13,OFFSET($M44,1,0,ROW($M$164)-ROW($M44)-1),0)-1),0))</f>
        <v>0</v>
      </c>
      <c r="P44" s="151">
        <f ca="1">IF($F45=-1,0,IF(P$13&lt;=$M44,IF(ISERROR(MATCH(P$13,OFFSET($M44,1,0,ROW($M$164)-ROW($M44)-1),0)),ROW($M$164)-ROW($M44)-1,MATCH(P$13,OFFSET($M44,1,0,ROW($M$164)-ROW($M44)-1),0)-1),0))</f>
        <v>0</v>
      </c>
      <c r="Q44" s="151">
        <f ca="1">IF($F45=-1,0,IF(Q$13&lt;=$M44,IF(ISERROR(MATCH(Q$13,OFFSET($M44,1,0,ROW($M$164)-ROW($M44)-1),0)),ROW($M$164)-ROW($M44)-1,MATCH(Q$13,OFFSET($M44,1,0,ROW($M$164)-ROW($M44)-1),0)-1),0))</f>
        <v>0</v>
      </c>
      <c r="R44" s="151">
        <f t="shared" ref="R44" ca="1" si="65">MIN(OFFSET(M44,0,1,,M44))</f>
        <v>2</v>
      </c>
      <c r="S44" s="152">
        <f ca="1">IF($F45=0,OFFSET(ORÇAMENTO!X$15,$F44,0),IF($F45&lt;&gt;-1,OFFSET(QCI!$O$13,$F45,0),""))</f>
        <v>0</v>
      </c>
      <c r="T44" s="618" t="s">
        <v>809</v>
      </c>
      <c r="U44" s="147">
        <f ca="1">IF(AND($R44=2,ACOMPANHAMENTO="BM"),ROUND(U45,4),U46/$S44)</f>
        <v>0</v>
      </c>
      <c r="V44" s="147">
        <f ca="1">IF(AND($R44=2,ACOMPANHAMENTO="BM"),ROUND(V45,4),V46/$S44)</f>
        <v>0</v>
      </c>
      <c r="W44" s="147">
        <f ca="1">IF(AND($R44=2,ACOMPANHAMENTO="BM"),ROUND(W45,4),W46/$S44)</f>
        <v>0</v>
      </c>
      <c r="X44" s="147">
        <f ca="1">IF(AND($R44=2,ACOMPANHAMENTO="BM"),ROUND(X45,4),X46/$S44)</f>
        <v>0</v>
      </c>
      <c r="Y44" s="147">
        <f ca="1">IF(AND($R44=2,ACOMPANHAMENTO="BM"),ROUND(Y45,4),Y46/$S44)</f>
        <v>0</v>
      </c>
      <c r="Z44" s="147">
        <f ca="1">IF(AND($R44=2,ACOMPANHAMENTO="BM"),ROUND(Z45,4),Z46/$S44)</f>
        <v>0</v>
      </c>
      <c r="AA44" s="147">
        <f ca="1">IF(AND($R44=2,ACOMPANHAMENTO="BM"),ROUND(AA45,4),AA46/$S44)</f>
        <v>0</v>
      </c>
      <c r="AB44" s="147">
        <f ca="1">IF(AND($R44=2,ACOMPANHAMENTO="BM"),ROUND(AB45,4),AB46/$S44)</f>
        <v>0</v>
      </c>
      <c r="AC44" s="147">
        <f ca="1">IF(AND($R44=2,ACOMPANHAMENTO="BM"),ROUND(AC45,4),AC46/$S44)</f>
        <v>0</v>
      </c>
      <c r="AD44" s="147">
        <f ca="1">IF(AND($R44=2,ACOMPANHAMENTO="BM"),ROUND(AD45,4),AD46/$S44)</f>
        <v>0</v>
      </c>
      <c r="AE44" s="147">
        <f ca="1">IF(AND($R44=2,ACOMPANHAMENTO="BM"),ROUND(AE45,4),AE46/$S44)</f>
        <v>0</v>
      </c>
      <c r="AF44" s="147">
        <f ca="1">IF(AND($R44=2,ACOMPANHAMENTO="BM"),ROUND(AF45,4),AF46/$S44)</f>
        <v>0</v>
      </c>
      <c r="AG44" s="444"/>
    </row>
    <row r="45" spans="1:33" ht="12.75" hidden="1" customHeight="1" x14ac:dyDescent="0.25">
      <c r="E45" s="501"/>
      <c r="F45" s="144">
        <f ca="1">IF(ISERROR(F44),IF(1+COUNTIF($M$13:OFFSET(M44,-1,0),1)&lt;=MAX(QCI!$D$13:$D$24),1+COUNTIF($M$13:OFFSET(M44,-1,0),1),-1),0)</f>
        <v>4</v>
      </c>
      <c r="G45" s="144" t="str">
        <f ca="1">IF(ACOMPANHAMENTO="BM",OFFSET(G45,-1,0),"")</f>
        <v/>
      </c>
      <c r="H45" s="153" t="str">
        <f ca="1">IF(OR(S44=0,S44=""),"vazia",IF(AND(OR(ACOMPANHAMENTO="PLE",$R44&lt;&gt;2),$F45=0),"calculada","--&gt;"))</f>
        <v>vazia</v>
      </c>
      <c r="I45" s="154"/>
      <c r="J45" s="155" t="str">
        <f t="shared" ref="J45" ca="1" si="66">IF(AND(H44&lt;&gt;0,ISNUMBER(H44)),"PREENCHA ESTA LINHA --&gt;","")</f>
        <v/>
      </c>
      <c r="K45" s="155"/>
      <c r="L45" s="155"/>
      <c r="M45" s="156"/>
      <c r="N45" s="156"/>
      <c r="O45" s="156"/>
      <c r="P45" s="156"/>
      <c r="Q45" s="156"/>
      <c r="R45" s="156"/>
      <c r="S45" s="157"/>
      <c r="T45" s="158"/>
      <c r="U45" s="501"/>
      <c r="V45" s="501"/>
      <c r="W45" s="501"/>
      <c r="X45" s="501"/>
      <c r="Y45" s="501"/>
      <c r="Z45" s="501"/>
      <c r="AA45" s="501"/>
      <c r="AB45" s="501"/>
      <c r="AC45" s="501"/>
      <c r="AD45" s="501"/>
      <c r="AE45" s="501"/>
      <c r="AF45" s="501"/>
      <c r="AG45" s="444"/>
    </row>
    <row r="46" spans="1:33" ht="12.75" hidden="1" customHeight="1" x14ac:dyDescent="0.25">
      <c r="D46" s="443"/>
      <c r="E46" s="159">
        <f ca="1">IF($R44=2,
         IF(AND(ACOMPANHAMENTO="PLE",ISNUMBER($F44)),
                SUMIF((OFFSET(CÁLCULO!$AM$15:$AW$15,$F44,0,OFFSET(ORÇAMENTO!$D$15,CRONO!$F44,0))),CRONO!E$12,OFFSET(CÁLCULO!$AB$15:$AL$15,$F44,0,OFFSET(ORÇAMENTO!$D$15,CRONO!$F44,0)))
                +IF(AND($F46&lt;&gt;"",$F46&lt;&gt;0),
                        SUMIF(CÁLCULO!$AM$15:$AW$36,CRONO!E$12,CÁLCULO!$AB$15:$AL$36)/(ORÇAMENTO!$X$15-CÁLCULO.TotalAdmLocal)*CRONO!$F46,
                        0),
                 E45*$S44),
          SUMIF(OFFSET($S46,1,0,$R44-2),($M44+1)&amp;"$",OFFSET(E46,1,0,$R44-2)))</f>
        <v>0</v>
      </c>
      <c r="F46" s="144" t="str">
        <f ca="1">IF(OR($R44&lt;&gt;2,AUTOEVENTO&lt;&gt;"manual",$F45&gt;0),"",
        IF(Import.TipoArredondamento="Tradicional",
              SUMIF(OFFSET(CÁLCULO!$M$15,CRONO!$F44,0,OFFSET(ORÇAMENTO!$D$15,CRONO!$F44,0)),1,OFFSET(ORÇAMENTO!$X$15,CRONO!$F44,0,OFFSET(ORÇAMENTO!$D$15,CRONO!$F44,0))),
              0))</f>
        <v/>
      </c>
      <c r="H46" s="530"/>
      <c r="S46" s="160" t="str">
        <f t="shared" ref="S46" ca="1" si="67">M44&amp;"$"</f>
        <v>1$</v>
      </c>
      <c r="T46" s="161"/>
      <c r="U46" s="159">
        <f ca="1">IF($R44=2,
         IF(AND(ACOMPANHAMENTO="PLE",ISNUMBER($F44)),
                SUMIF((OFFSET(CÁLCULO!$AM$15:$AW$15,$F44,0,OFFSET(ORÇAMENTO!$D$15,CRONO!$F44,0))),CRONO!U$12,OFFSET(CÁLCULO!$AB$15:$AL$15,$F44,0,OFFSET(ORÇAMENTO!$D$15,CRONO!$F44,0)))
                +IF(AND($F46&lt;&gt;"",$F46&lt;&gt;0),
                        SUMIF(CÁLCULO!$AM$15:$AW$36,CRONO!U$12,CÁLCULO!$AB$15:$AL$36)/(ORÇAMENTO!$X$15-CÁLCULO.TotalAdmLocal)*CRONO!$F46,
                        0),
                 U45*$S44),
          SUMIF(OFFSET($S46,1,0,$R44-2),($M44+1)&amp;"$",OFFSET(U46,1,0,$R44-2)))</f>
        <v>0</v>
      </c>
      <c r="V46" s="159">
        <f ca="1">IF($R44=2,
         IF(AND(ACOMPANHAMENTO="PLE",ISNUMBER($F44)),
                SUMIF((OFFSET(CÁLCULO!$AM$15:$AW$15,$F44,0,OFFSET(ORÇAMENTO!$D$15,CRONO!$F44,0))),CRONO!V$12,OFFSET(CÁLCULO!$AB$15:$AL$15,$F44,0,OFFSET(ORÇAMENTO!$D$15,CRONO!$F44,0)))
                +IF(AND($F46&lt;&gt;"",$F46&lt;&gt;0),
                        SUMIF(CÁLCULO!$AM$15:$AW$36,CRONO!V$12,CÁLCULO!$AB$15:$AL$36)/(ORÇAMENTO!$X$15-CÁLCULO.TotalAdmLocal)*CRONO!$F46,
                        0),
                 V45*$S44),
          SUMIF(OFFSET($S46,1,0,$R44-2),($M44+1)&amp;"$",OFFSET(V46,1,0,$R44-2)))</f>
        <v>0</v>
      </c>
      <c r="W46" s="159">
        <f ca="1">IF($R44=2,
         IF(AND(ACOMPANHAMENTO="PLE",ISNUMBER($F44)),
                SUMIF((OFFSET(CÁLCULO!$AM$15:$AW$15,$F44,0,OFFSET(ORÇAMENTO!$D$15,CRONO!$F44,0))),CRONO!W$12,OFFSET(CÁLCULO!$AB$15:$AL$15,$F44,0,OFFSET(ORÇAMENTO!$D$15,CRONO!$F44,0)))
                +IF(AND($F46&lt;&gt;"",$F46&lt;&gt;0),
                        SUMIF(CÁLCULO!$AM$15:$AW$36,CRONO!W$12,CÁLCULO!$AB$15:$AL$36)/(ORÇAMENTO!$X$15-CÁLCULO.TotalAdmLocal)*CRONO!$F46,
                        0),
                 W45*$S44),
          SUMIF(OFFSET($S46,1,0,$R44-2),($M44+1)&amp;"$",OFFSET(W46,1,0,$R44-2)))</f>
        <v>0</v>
      </c>
      <c r="X46" s="159">
        <f ca="1">IF($R44=2,
         IF(AND(ACOMPANHAMENTO="PLE",ISNUMBER($F44)),
                SUMIF((OFFSET(CÁLCULO!$AM$15:$AW$15,$F44,0,OFFSET(ORÇAMENTO!$D$15,CRONO!$F44,0))),CRONO!X$12,OFFSET(CÁLCULO!$AB$15:$AL$15,$F44,0,OFFSET(ORÇAMENTO!$D$15,CRONO!$F44,0)))
                +IF(AND($F46&lt;&gt;"",$F46&lt;&gt;0),
                        SUMIF(CÁLCULO!$AM$15:$AW$36,CRONO!X$12,CÁLCULO!$AB$15:$AL$36)/(ORÇAMENTO!$X$15-CÁLCULO.TotalAdmLocal)*CRONO!$F46,
                        0),
                 X45*$S44),
          SUMIF(OFFSET($S46,1,0,$R44-2),($M44+1)&amp;"$",OFFSET(X46,1,0,$R44-2)))</f>
        <v>0</v>
      </c>
      <c r="Y46" s="159">
        <f ca="1">IF($R44=2,
         IF(AND(ACOMPANHAMENTO="PLE",ISNUMBER($F44)),
                SUMIF((OFFSET(CÁLCULO!$AM$15:$AW$15,$F44,0,OFFSET(ORÇAMENTO!$D$15,CRONO!$F44,0))),CRONO!Y$12,OFFSET(CÁLCULO!$AB$15:$AL$15,$F44,0,OFFSET(ORÇAMENTO!$D$15,CRONO!$F44,0)))
                +IF(AND($F46&lt;&gt;"",$F46&lt;&gt;0),
                        SUMIF(CÁLCULO!$AM$15:$AW$36,CRONO!Y$12,CÁLCULO!$AB$15:$AL$36)/(ORÇAMENTO!$X$15-CÁLCULO.TotalAdmLocal)*CRONO!$F46,
                        0),
                 Y45*$S44),
          SUMIF(OFFSET($S46,1,0,$R44-2),($M44+1)&amp;"$",OFFSET(Y46,1,0,$R44-2)))</f>
        <v>0</v>
      </c>
      <c r="Z46" s="159">
        <f ca="1">IF($R44=2,
         IF(AND(ACOMPANHAMENTO="PLE",ISNUMBER($F44)),
                SUMIF((OFFSET(CÁLCULO!$AM$15:$AW$15,$F44,0,OFFSET(ORÇAMENTO!$D$15,CRONO!$F44,0))),CRONO!Z$12,OFFSET(CÁLCULO!$AB$15:$AL$15,$F44,0,OFFSET(ORÇAMENTO!$D$15,CRONO!$F44,0)))
                +IF(AND($F46&lt;&gt;"",$F46&lt;&gt;0),
                        SUMIF(CÁLCULO!$AM$15:$AW$36,CRONO!Z$12,CÁLCULO!$AB$15:$AL$36)/(ORÇAMENTO!$X$15-CÁLCULO.TotalAdmLocal)*CRONO!$F46,
                        0),
                 Z45*$S44),
          SUMIF(OFFSET($S46,1,0,$R44-2),($M44+1)&amp;"$",OFFSET(Z46,1,0,$R44-2)))</f>
        <v>0</v>
      </c>
      <c r="AA46" s="159">
        <f ca="1">IF($R44=2,
         IF(AND(ACOMPANHAMENTO="PLE",ISNUMBER($F44)),
                SUMIF((OFFSET(CÁLCULO!$AM$15:$AW$15,$F44,0,OFFSET(ORÇAMENTO!$D$15,CRONO!$F44,0))),CRONO!AA$12,OFFSET(CÁLCULO!$AB$15:$AL$15,$F44,0,OFFSET(ORÇAMENTO!$D$15,CRONO!$F44,0)))
                +IF(AND($F46&lt;&gt;"",$F46&lt;&gt;0),
                        SUMIF(CÁLCULO!$AM$15:$AW$36,CRONO!AA$12,CÁLCULO!$AB$15:$AL$36)/(ORÇAMENTO!$X$15-CÁLCULO.TotalAdmLocal)*CRONO!$F46,
                        0),
                 AA45*$S44),
          SUMIF(OFFSET($S46,1,0,$R44-2),($M44+1)&amp;"$",OFFSET(AA46,1,0,$R44-2)))</f>
        <v>0</v>
      </c>
      <c r="AB46" s="159">
        <f ca="1">IF($R44=2,
         IF(AND(ACOMPANHAMENTO="PLE",ISNUMBER($F44)),
                SUMIF((OFFSET(CÁLCULO!$AM$15:$AW$15,$F44,0,OFFSET(ORÇAMENTO!$D$15,CRONO!$F44,0))),CRONO!AB$12,OFFSET(CÁLCULO!$AB$15:$AL$15,$F44,0,OFFSET(ORÇAMENTO!$D$15,CRONO!$F44,0)))
                +IF(AND($F46&lt;&gt;"",$F46&lt;&gt;0),
                        SUMIF(CÁLCULO!$AM$15:$AW$36,CRONO!AB$12,CÁLCULO!$AB$15:$AL$36)/(ORÇAMENTO!$X$15-CÁLCULO.TotalAdmLocal)*CRONO!$F46,
                        0),
                 AB45*$S44),
          SUMIF(OFFSET($S46,1,0,$R44-2),($M44+1)&amp;"$",OFFSET(AB46,1,0,$R44-2)))</f>
        <v>0</v>
      </c>
      <c r="AC46" s="159">
        <f ca="1">IF($R44=2,
         IF(AND(ACOMPANHAMENTO="PLE",ISNUMBER($F44)),
                SUMIF((OFFSET(CÁLCULO!$AM$15:$AW$15,$F44,0,OFFSET(ORÇAMENTO!$D$15,CRONO!$F44,0))),CRONO!AC$12,OFFSET(CÁLCULO!$AB$15:$AL$15,$F44,0,OFFSET(ORÇAMENTO!$D$15,CRONO!$F44,0)))
                +IF(AND($F46&lt;&gt;"",$F46&lt;&gt;0),
                        SUMIF(CÁLCULO!$AM$15:$AW$36,CRONO!AC$12,CÁLCULO!$AB$15:$AL$36)/(ORÇAMENTO!$X$15-CÁLCULO.TotalAdmLocal)*CRONO!$F46,
                        0),
                 AC45*$S44),
          SUMIF(OFFSET($S46,1,0,$R44-2),($M44+1)&amp;"$",OFFSET(AC46,1,0,$R44-2)))</f>
        <v>0</v>
      </c>
      <c r="AD46" s="159">
        <f ca="1">IF($R44=2,
         IF(AND(ACOMPANHAMENTO="PLE",ISNUMBER($F44)),
                SUMIF((OFFSET(CÁLCULO!$AM$15:$AW$15,$F44,0,OFFSET(ORÇAMENTO!$D$15,CRONO!$F44,0))),CRONO!AD$12,OFFSET(CÁLCULO!$AB$15:$AL$15,$F44,0,OFFSET(ORÇAMENTO!$D$15,CRONO!$F44,0)))
                +IF(AND($F46&lt;&gt;"",$F46&lt;&gt;0),
                        SUMIF(CÁLCULO!$AM$15:$AW$36,CRONO!AD$12,CÁLCULO!$AB$15:$AL$36)/(ORÇAMENTO!$X$15-CÁLCULO.TotalAdmLocal)*CRONO!$F46,
                        0),
                 AD45*$S44),
          SUMIF(OFFSET($S46,1,0,$R44-2),($M44+1)&amp;"$",OFFSET(AD46,1,0,$R44-2)))</f>
        <v>0</v>
      </c>
      <c r="AE46" s="159">
        <f ca="1">IF($R44=2,
         IF(AND(ACOMPANHAMENTO="PLE",ISNUMBER($F44)),
                SUMIF((OFFSET(CÁLCULO!$AM$15:$AW$15,$F44,0,OFFSET(ORÇAMENTO!$D$15,CRONO!$F44,0))),CRONO!AE$12,OFFSET(CÁLCULO!$AB$15:$AL$15,$F44,0,OFFSET(ORÇAMENTO!$D$15,CRONO!$F44,0)))
                +IF(AND($F46&lt;&gt;"",$F46&lt;&gt;0),
                        SUMIF(CÁLCULO!$AM$15:$AW$36,CRONO!AE$12,CÁLCULO!$AB$15:$AL$36)/(ORÇAMENTO!$X$15-CÁLCULO.TotalAdmLocal)*CRONO!$F46,
                        0),
                 AE45*$S44),
          SUMIF(OFFSET($S46,1,0,$R44-2),($M44+1)&amp;"$",OFFSET(AE46,1,0,$R44-2)))</f>
        <v>0</v>
      </c>
      <c r="AF46" s="159">
        <f ca="1">IF($R44=2,
         IF(AND(ACOMPANHAMENTO="PLE",ISNUMBER($F44)),
                SUMIF((OFFSET(CÁLCULO!$AM$15:$AW$15,$F44,0,OFFSET(ORÇAMENTO!$D$15,CRONO!$F44,0))),CRONO!AF$12,OFFSET(CÁLCULO!$AB$15:$AL$15,$F44,0,OFFSET(ORÇAMENTO!$D$15,CRONO!$F44,0)))
                +IF(AND($F46&lt;&gt;"",$F46&lt;&gt;0),
                        SUMIF(CÁLCULO!$AM$15:$AW$36,CRONO!AF$12,CÁLCULO!$AB$15:$AL$36)/(ORÇAMENTO!$X$15-CÁLCULO.TotalAdmLocal)*CRONO!$F46,
                        0),
                 AF45*$S44),
          SUMIF(OFFSET($S46,1,0,$R44-2),($M44+1)&amp;"$",OFFSET(AF46,1,0,$R44-2)))</f>
        <v>0</v>
      </c>
      <c r="AG46" s="444"/>
    </row>
    <row r="47" spans="1:33" hidden="1" x14ac:dyDescent="0.25">
      <c r="A47" s="145" t="str">
        <f t="shared" ref="A47" ca="1" si="68">IF($M47&gt;1,CONCATENATE($I47," ",$J47),"")</f>
        <v/>
      </c>
      <c r="B47" s="144">
        <f t="shared" ref="B47" ca="1" si="69">OFFSET(B47,-3,0)+1</f>
        <v>12</v>
      </c>
      <c r="C47" s="144">
        <f ca="1">IF($R47&lt;&gt;2,0,IF($S47=0,1,IF(F48&gt;0,OFFSET(QCI!$M$13,SUBSTITUTE(F48,".",""),0),OFFSET(ORÇAMENTO!$AA$15,CRONO!$F47,0))/$S47))</f>
        <v>1</v>
      </c>
      <c r="D47" s="144">
        <f ca="1">IF($R47&lt;&gt;2,0,IF($S47=0,1,IF(F48&gt;0,OFFSET(QCI!$N$13,SUBSTITUTE(F48,".",""),0),OFFSET(ORÇAMENTO!$AB$15,CRONO!$F47,0))/$S47))</f>
        <v>1</v>
      </c>
      <c r="E47" s="147">
        <f ca="1">IF(AND($R47=2,ACOMPANHAMENTO="BM"),ROUND(E48,4),E49/$S47)</f>
        <v>0</v>
      </c>
      <c r="F47" s="144" t="e">
        <f ca="1">IF(B47&lt;=ORÇAMENTO.MáximoListaCrono,MATCH(B47,ORÇAMENTO.ListaCrono,0),NA())</f>
        <v>#N/A</v>
      </c>
      <c r="G47" s="144" t="str">
        <f t="shared" ref="G47" ca="1" si="70">IF(AND($F48&lt;&gt;-1,$S47&gt;0),"F","")</f>
        <v/>
      </c>
      <c r="H47" s="617" t="str">
        <f ca="1">IF(OR(S47=0,S47=""),"Linha",IF(AND(OR(ACOMPANHAMENTO="PLE",$R47&lt;&gt;2),$F48=0),"Linha",ROUND(1-SUM(U47:AG47),4)))</f>
        <v>Linha</v>
      </c>
      <c r="I47" s="148">
        <f ca="1">IF($F48=0,OFFSET(ORÇAMENTO!O$15,$F47,0),IF($F48&lt;&gt;-1,OFFSET(QCI!$D$13,$F48,0),""))</f>
        <v>5</v>
      </c>
      <c r="J47" s="149" t="str">
        <f ca="1">IF($F48=0,OFFSET(ORÇAMENTO!R$15,$F47,0),IF($F48&lt;&gt;-1,OFFSET(QCI!$G$13,$F48,0),""))</f>
        <v/>
      </c>
      <c r="K47" s="149"/>
      <c r="L47" s="149"/>
      <c r="M47" s="150">
        <f ca="1">IF($F48=0,OFFSET(ORÇAMENTO!C$15,$F47,0),1)</f>
        <v>1</v>
      </c>
      <c r="N47" s="151">
        <f ca="1">IF($F48=-1,0,IF(N$13&lt;=$M47,IF(ISERROR(MATCH(N$13,OFFSET($M47,1,0,ROW($M$164)-ROW($M47)-1),0)),ROW($M$164)-ROW($M47)-1,MATCH(N$13,OFFSET($M47,1,0,ROW($M$164)-ROW($M47)-1),0)-1),0))</f>
        <v>2</v>
      </c>
      <c r="O47" s="151">
        <f ca="1">IF($F48=-1,0,IF(O$13&lt;=$M47,IF(ISERROR(MATCH(O$13,OFFSET($M47,1,0,ROW($M$164)-ROW($M47)-1),0)),ROW($M$164)-ROW($M47)-1,MATCH(O$13,OFFSET($M47,1,0,ROW($M$164)-ROW($M47)-1),0)-1),0))</f>
        <v>0</v>
      </c>
      <c r="P47" s="151">
        <f ca="1">IF($F48=-1,0,IF(P$13&lt;=$M47,IF(ISERROR(MATCH(P$13,OFFSET($M47,1,0,ROW($M$164)-ROW($M47)-1),0)),ROW($M$164)-ROW($M47)-1,MATCH(P$13,OFFSET($M47,1,0,ROW($M$164)-ROW($M47)-1),0)-1),0))</f>
        <v>0</v>
      </c>
      <c r="Q47" s="151">
        <f ca="1">IF($F48=-1,0,IF(Q$13&lt;=$M47,IF(ISERROR(MATCH(Q$13,OFFSET($M47,1,0,ROW($M$164)-ROW($M47)-1),0)),ROW($M$164)-ROW($M47)-1,MATCH(Q$13,OFFSET($M47,1,0,ROW($M$164)-ROW($M47)-1),0)-1),0))</f>
        <v>0</v>
      </c>
      <c r="R47" s="151">
        <f t="shared" ref="R47" ca="1" si="71">MIN(OFFSET(M47,0,1,,M47))</f>
        <v>2</v>
      </c>
      <c r="S47" s="152">
        <f ca="1">IF($F48=0,OFFSET(ORÇAMENTO!X$15,$F47,0),IF($F48&lt;&gt;-1,OFFSET(QCI!$O$13,$F48,0),""))</f>
        <v>0</v>
      </c>
      <c r="T47" s="618" t="s">
        <v>809</v>
      </c>
      <c r="U47" s="147">
        <f ca="1">IF(AND($R47=2,ACOMPANHAMENTO="BM"),ROUND(U48,4),U49/$S47)</f>
        <v>0</v>
      </c>
      <c r="V47" s="147">
        <f ca="1">IF(AND($R47=2,ACOMPANHAMENTO="BM"),ROUND(V48,4),V49/$S47)</f>
        <v>0</v>
      </c>
      <c r="W47" s="147">
        <f ca="1">IF(AND($R47=2,ACOMPANHAMENTO="BM"),ROUND(W48,4),W49/$S47)</f>
        <v>0</v>
      </c>
      <c r="X47" s="147">
        <f ca="1">IF(AND($R47=2,ACOMPANHAMENTO="BM"),ROUND(X48,4),X49/$S47)</f>
        <v>0</v>
      </c>
      <c r="Y47" s="147">
        <f ca="1">IF(AND($R47=2,ACOMPANHAMENTO="BM"),ROUND(Y48,4),Y49/$S47)</f>
        <v>0</v>
      </c>
      <c r="Z47" s="147">
        <f ca="1">IF(AND($R47=2,ACOMPANHAMENTO="BM"),ROUND(Z48,4),Z49/$S47)</f>
        <v>0</v>
      </c>
      <c r="AA47" s="147">
        <f ca="1">IF(AND($R47=2,ACOMPANHAMENTO="BM"),ROUND(AA48,4),AA49/$S47)</f>
        <v>0</v>
      </c>
      <c r="AB47" s="147">
        <f ca="1">IF(AND($R47=2,ACOMPANHAMENTO="BM"),ROUND(AB48,4),AB49/$S47)</f>
        <v>0</v>
      </c>
      <c r="AC47" s="147">
        <f ca="1">IF(AND($R47=2,ACOMPANHAMENTO="BM"),ROUND(AC48,4),AC49/$S47)</f>
        <v>0</v>
      </c>
      <c r="AD47" s="147">
        <f ca="1">IF(AND($R47=2,ACOMPANHAMENTO="BM"),ROUND(AD48,4),AD49/$S47)</f>
        <v>0</v>
      </c>
      <c r="AE47" s="147">
        <f ca="1">IF(AND($R47=2,ACOMPANHAMENTO="BM"),ROUND(AE48,4),AE49/$S47)</f>
        <v>0</v>
      </c>
      <c r="AF47" s="147">
        <f ca="1">IF(AND($R47=2,ACOMPANHAMENTO="BM"),ROUND(AF48,4),AF49/$S47)</f>
        <v>0</v>
      </c>
      <c r="AG47" s="444"/>
    </row>
    <row r="48" spans="1:33" ht="12.75" hidden="1" customHeight="1" x14ac:dyDescent="0.25">
      <c r="E48" s="501"/>
      <c r="F48" s="144">
        <f ca="1">IF(ISERROR(F47),IF(1+COUNTIF($M$13:OFFSET(M47,-1,0),1)&lt;=MAX(QCI!$D$13:$D$24),1+COUNTIF($M$13:OFFSET(M47,-1,0),1),-1),0)</f>
        <v>5</v>
      </c>
      <c r="G48" s="144" t="str">
        <f ca="1">IF(ACOMPANHAMENTO="BM",OFFSET(G48,-1,0),"")</f>
        <v/>
      </c>
      <c r="H48" s="153" t="str">
        <f ca="1">IF(OR(S47=0,S47=""),"vazia",IF(AND(OR(ACOMPANHAMENTO="PLE",$R47&lt;&gt;2),$F48=0),"calculada","--&gt;"))</f>
        <v>vazia</v>
      </c>
      <c r="I48" s="154"/>
      <c r="J48" s="155" t="str">
        <f t="shared" ref="J48" ca="1" si="72">IF(AND(H47&lt;&gt;0,ISNUMBER(H47)),"PREENCHA ESTA LINHA --&gt;","")</f>
        <v/>
      </c>
      <c r="K48" s="155"/>
      <c r="L48" s="155"/>
      <c r="M48" s="156"/>
      <c r="N48" s="156"/>
      <c r="O48" s="156"/>
      <c r="P48" s="156"/>
      <c r="Q48" s="156"/>
      <c r="R48" s="156"/>
      <c r="S48" s="157"/>
      <c r="T48" s="158"/>
      <c r="U48" s="501"/>
      <c r="V48" s="501"/>
      <c r="W48" s="501"/>
      <c r="X48" s="501"/>
      <c r="Y48" s="501"/>
      <c r="Z48" s="501"/>
      <c r="AA48" s="501"/>
      <c r="AB48" s="501"/>
      <c r="AC48" s="501"/>
      <c r="AD48" s="501"/>
      <c r="AE48" s="501"/>
      <c r="AF48" s="501"/>
      <c r="AG48" s="444"/>
    </row>
    <row r="49" spans="1:33" ht="12.75" hidden="1" customHeight="1" x14ac:dyDescent="0.25">
      <c r="D49" s="443"/>
      <c r="E49" s="159">
        <f ca="1">IF($R47=2,
         IF(AND(ACOMPANHAMENTO="PLE",ISNUMBER($F47)),
                SUMIF((OFFSET(CÁLCULO!$AM$15:$AW$15,$F47,0,OFFSET(ORÇAMENTO!$D$15,CRONO!$F47,0))),CRONO!E$12,OFFSET(CÁLCULO!$AB$15:$AL$15,$F47,0,OFFSET(ORÇAMENTO!$D$15,CRONO!$F47,0)))
                +IF(AND($F49&lt;&gt;"",$F49&lt;&gt;0),
                        SUMIF(CÁLCULO!$AM$15:$AW$36,CRONO!E$12,CÁLCULO!$AB$15:$AL$36)/(ORÇAMENTO!$X$15-CÁLCULO.TotalAdmLocal)*CRONO!$F49,
                        0),
                 E48*$S47),
          SUMIF(OFFSET($S49,1,0,$R47-2),($M47+1)&amp;"$",OFFSET(E49,1,0,$R47-2)))</f>
        <v>0</v>
      </c>
      <c r="F49" s="144" t="str">
        <f ca="1">IF(OR($R47&lt;&gt;2,AUTOEVENTO&lt;&gt;"manual",$F48&gt;0),"",
        IF(Import.TipoArredondamento="Tradicional",
              SUMIF(OFFSET(CÁLCULO!$M$15,CRONO!$F47,0,OFFSET(ORÇAMENTO!$D$15,CRONO!$F47,0)),1,OFFSET(ORÇAMENTO!$X$15,CRONO!$F47,0,OFFSET(ORÇAMENTO!$D$15,CRONO!$F47,0))),
              0))</f>
        <v/>
      </c>
      <c r="H49" s="530"/>
      <c r="S49" s="160" t="str">
        <f t="shared" ref="S49" ca="1" si="73">M47&amp;"$"</f>
        <v>1$</v>
      </c>
      <c r="T49" s="161"/>
      <c r="U49" s="159">
        <f ca="1">IF($R47=2,
         IF(AND(ACOMPANHAMENTO="PLE",ISNUMBER($F47)),
                SUMIF((OFFSET(CÁLCULO!$AM$15:$AW$15,$F47,0,OFFSET(ORÇAMENTO!$D$15,CRONO!$F47,0))),CRONO!U$12,OFFSET(CÁLCULO!$AB$15:$AL$15,$F47,0,OFFSET(ORÇAMENTO!$D$15,CRONO!$F47,0)))
                +IF(AND($F49&lt;&gt;"",$F49&lt;&gt;0),
                        SUMIF(CÁLCULO!$AM$15:$AW$36,CRONO!U$12,CÁLCULO!$AB$15:$AL$36)/(ORÇAMENTO!$X$15-CÁLCULO.TotalAdmLocal)*CRONO!$F49,
                        0),
                 U48*$S47),
          SUMIF(OFFSET($S49,1,0,$R47-2),($M47+1)&amp;"$",OFFSET(U49,1,0,$R47-2)))</f>
        <v>0</v>
      </c>
      <c r="V49" s="159">
        <f ca="1">IF($R47=2,
         IF(AND(ACOMPANHAMENTO="PLE",ISNUMBER($F47)),
                SUMIF((OFFSET(CÁLCULO!$AM$15:$AW$15,$F47,0,OFFSET(ORÇAMENTO!$D$15,CRONO!$F47,0))),CRONO!V$12,OFFSET(CÁLCULO!$AB$15:$AL$15,$F47,0,OFFSET(ORÇAMENTO!$D$15,CRONO!$F47,0)))
                +IF(AND($F49&lt;&gt;"",$F49&lt;&gt;0),
                        SUMIF(CÁLCULO!$AM$15:$AW$36,CRONO!V$12,CÁLCULO!$AB$15:$AL$36)/(ORÇAMENTO!$X$15-CÁLCULO.TotalAdmLocal)*CRONO!$F49,
                        0),
                 V48*$S47),
          SUMIF(OFFSET($S49,1,0,$R47-2),($M47+1)&amp;"$",OFFSET(V49,1,0,$R47-2)))</f>
        <v>0</v>
      </c>
      <c r="W49" s="159">
        <f ca="1">IF($R47=2,
         IF(AND(ACOMPANHAMENTO="PLE",ISNUMBER($F47)),
                SUMIF((OFFSET(CÁLCULO!$AM$15:$AW$15,$F47,0,OFFSET(ORÇAMENTO!$D$15,CRONO!$F47,0))),CRONO!W$12,OFFSET(CÁLCULO!$AB$15:$AL$15,$F47,0,OFFSET(ORÇAMENTO!$D$15,CRONO!$F47,0)))
                +IF(AND($F49&lt;&gt;"",$F49&lt;&gt;0),
                        SUMIF(CÁLCULO!$AM$15:$AW$36,CRONO!W$12,CÁLCULO!$AB$15:$AL$36)/(ORÇAMENTO!$X$15-CÁLCULO.TotalAdmLocal)*CRONO!$F49,
                        0),
                 W48*$S47),
          SUMIF(OFFSET($S49,1,0,$R47-2),($M47+1)&amp;"$",OFFSET(W49,1,0,$R47-2)))</f>
        <v>0</v>
      </c>
      <c r="X49" s="159">
        <f ca="1">IF($R47=2,
         IF(AND(ACOMPANHAMENTO="PLE",ISNUMBER($F47)),
                SUMIF((OFFSET(CÁLCULO!$AM$15:$AW$15,$F47,0,OFFSET(ORÇAMENTO!$D$15,CRONO!$F47,0))),CRONO!X$12,OFFSET(CÁLCULO!$AB$15:$AL$15,$F47,0,OFFSET(ORÇAMENTO!$D$15,CRONO!$F47,0)))
                +IF(AND($F49&lt;&gt;"",$F49&lt;&gt;0),
                        SUMIF(CÁLCULO!$AM$15:$AW$36,CRONO!X$12,CÁLCULO!$AB$15:$AL$36)/(ORÇAMENTO!$X$15-CÁLCULO.TotalAdmLocal)*CRONO!$F49,
                        0),
                 X48*$S47),
          SUMIF(OFFSET($S49,1,0,$R47-2),($M47+1)&amp;"$",OFFSET(X49,1,0,$R47-2)))</f>
        <v>0</v>
      </c>
      <c r="Y49" s="159">
        <f ca="1">IF($R47=2,
         IF(AND(ACOMPANHAMENTO="PLE",ISNUMBER($F47)),
                SUMIF((OFFSET(CÁLCULO!$AM$15:$AW$15,$F47,0,OFFSET(ORÇAMENTO!$D$15,CRONO!$F47,0))),CRONO!Y$12,OFFSET(CÁLCULO!$AB$15:$AL$15,$F47,0,OFFSET(ORÇAMENTO!$D$15,CRONO!$F47,0)))
                +IF(AND($F49&lt;&gt;"",$F49&lt;&gt;0),
                        SUMIF(CÁLCULO!$AM$15:$AW$36,CRONO!Y$12,CÁLCULO!$AB$15:$AL$36)/(ORÇAMENTO!$X$15-CÁLCULO.TotalAdmLocal)*CRONO!$F49,
                        0),
                 Y48*$S47),
          SUMIF(OFFSET($S49,1,0,$R47-2),($M47+1)&amp;"$",OFFSET(Y49,1,0,$R47-2)))</f>
        <v>0</v>
      </c>
      <c r="Z49" s="159">
        <f ca="1">IF($R47=2,
         IF(AND(ACOMPANHAMENTO="PLE",ISNUMBER($F47)),
                SUMIF((OFFSET(CÁLCULO!$AM$15:$AW$15,$F47,0,OFFSET(ORÇAMENTO!$D$15,CRONO!$F47,0))),CRONO!Z$12,OFFSET(CÁLCULO!$AB$15:$AL$15,$F47,0,OFFSET(ORÇAMENTO!$D$15,CRONO!$F47,0)))
                +IF(AND($F49&lt;&gt;"",$F49&lt;&gt;0),
                        SUMIF(CÁLCULO!$AM$15:$AW$36,CRONO!Z$12,CÁLCULO!$AB$15:$AL$36)/(ORÇAMENTO!$X$15-CÁLCULO.TotalAdmLocal)*CRONO!$F49,
                        0),
                 Z48*$S47),
          SUMIF(OFFSET($S49,1,0,$R47-2),($M47+1)&amp;"$",OFFSET(Z49,1,0,$R47-2)))</f>
        <v>0</v>
      </c>
      <c r="AA49" s="159">
        <f ca="1">IF($R47=2,
         IF(AND(ACOMPANHAMENTO="PLE",ISNUMBER($F47)),
                SUMIF((OFFSET(CÁLCULO!$AM$15:$AW$15,$F47,0,OFFSET(ORÇAMENTO!$D$15,CRONO!$F47,0))),CRONO!AA$12,OFFSET(CÁLCULO!$AB$15:$AL$15,$F47,0,OFFSET(ORÇAMENTO!$D$15,CRONO!$F47,0)))
                +IF(AND($F49&lt;&gt;"",$F49&lt;&gt;0),
                        SUMIF(CÁLCULO!$AM$15:$AW$36,CRONO!AA$12,CÁLCULO!$AB$15:$AL$36)/(ORÇAMENTO!$X$15-CÁLCULO.TotalAdmLocal)*CRONO!$F49,
                        0),
                 AA48*$S47),
          SUMIF(OFFSET($S49,1,0,$R47-2),($M47+1)&amp;"$",OFFSET(AA49,1,0,$R47-2)))</f>
        <v>0</v>
      </c>
      <c r="AB49" s="159">
        <f ca="1">IF($R47=2,
         IF(AND(ACOMPANHAMENTO="PLE",ISNUMBER($F47)),
                SUMIF((OFFSET(CÁLCULO!$AM$15:$AW$15,$F47,0,OFFSET(ORÇAMENTO!$D$15,CRONO!$F47,0))),CRONO!AB$12,OFFSET(CÁLCULO!$AB$15:$AL$15,$F47,0,OFFSET(ORÇAMENTO!$D$15,CRONO!$F47,0)))
                +IF(AND($F49&lt;&gt;"",$F49&lt;&gt;0),
                        SUMIF(CÁLCULO!$AM$15:$AW$36,CRONO!AB$12,CÁLCULO!$AB$15:$AL$36)/(ORÇAMENTO!$X$15-CÁLCULO.TotalAdmLocal)*CRONO!$F49,
                        0),
                 AB48*$S47),
          SUMIF(OFFSET($S49,1,0,$R47-2),($M47+1)&amp;"$",OFFSET(AB49,1,0,$R47-2)))</f>
        <v>0</v>
      </c>
      <c r="AC49" s="159">
        <f ca="1">IF($R47=2,
         IF(AND(ACOMPANHAMENTO="PLE",ISNUMBER($F47)),
                SUMIF((OFFSET(CÁLCULO!$AM$15:$AW$15,$F47,0,OFFSET(ORÇAMENTO!$D$15,CRONO!$F47,0))),CRONO!AC$12,OFFSET(CÁLCULO!$AB$15:$AL$15,$F47,0,OFFSET(ORÇAMENTO!$D$15,CRONO!$F47,0)))
                +IF(AND($F49&lt;&gt;"",$F49&lt;&gt;0),
                        SUMIF(CÁLCULO!$AM$15:$AW$36,CRONO!AC$12,CÁLCULO!$AB$15:$AL$36)/(ORÇAMENTO!$X$15-CÁLCULO.TotalAdmLocal)*CRONO!$F49,
                        0),
                 AC48*$S47),
          SUMIF(OFFSET($S49,1,0,$R47-2),($M47+1)&amp;"$",OFFSET(AC49,1,0,$R47-2)))</f>
        <v>0</v>
      </c>
      <c r="AD49" s="159">
        <f ca="1">IF($R47=2,
         IF(AND(ACOMPANHAMENTO="PLE",ISNUMBER($F47)),
                SUMIF((OFFSET(CÁLCULO!$AM$15:$AW$15,$F47,0,OFFSET(ORÇAMENTO!$D$15,CRONO!$F47,0))),CRONO!AD$12,OFFSET(CÁLCULO!$AB$15:$AL$15,$F47,0,OFFSET(ORÇAMENTO!$D$15,CRONO!$F47,0)))
                +IF(AND($F49&lt;&gt;"",$F49&lt;&gt;0),
                        SUMIF(CÁLCULO!$AM$15:$AW$36,CRONO!AD$12,CÁLCULO!$AB$15:$AL$36)/(ORÇAMENTO!$X$15-CÁLCULO.TotalAdmLocal)*CRONO!$F49,
                        0),
                 AD48*$S47),
          SUMIF(OFFSET($S49,1,0,$R47-2),($M47+1)&amp;"$",OFFSET(AD49,1,0,$R47-2)))</f>
        <v>0</v>
      </c>
      <c r="AE49" s="159">
        <f ca="1">IF($R47=2,
         IF(AND(ACOMPANHAMENTO="PLE",ISNUMBER($F47)),
                SUMIF((OFFSET(CÁLCULO!$AM$15:$AW$15,$F47,0,OFFSET(ORÇAMENTO!$D$15,CRONO!$F47,0))),CRONO!AE$12,OFFSET(CÁLCULO!$AB$15:$AL$15,$F47,0,OFFSET(ORÇAMENTO!$D$15,CRONO!$F47,0)))
                +IF(AND($F49&lt;&gt;"",$F49&lt;&gt;0),
                        SUMIF(CÁLCULO!$AM$15:$AW$36,CRONO!AE$12,CÁLCULO!$AB$15:$AL$36)/(ORÇAMENTO!$X$15-CÁLCULO.TotalAdmLocal)*CRONO!$F49,
                        0),
                 AE48*$S47),
          SUMIF(OFFSET($S49,1,0,$R47-2),($M47+1)&amp;"$",OFFSET(AE49,1,0,$R47-2)))</f>
        <v>0</v>
      </c>
      <c r="AF49" s="159">
        <f ca="1">IF($R47=2,
         IF(AND(ACOMPANHAMENTO="PLE",ISNUMBER($F47)),
                SUMIF((OFFSET(CÁLCULO!$AM$15:$AW$15,$F47,0,OFFSET(ORÇAMENTO!$D$15,CRONO!$F47,0))),CRONO!AF$12,OFFSET(CÁLCULO!$AB$15:$AL$15,$F47,0,OFFSET(ORÇAMENTO!$D$15,CRONO!$F47,0)))
                +IF(AND($F49&lt;&gt;"",$F49&lt;&gt;0),
                        SUMIF(CÁLCULO!$AM$15:$AW$36,CRONO!AF$12,CÁLCULO!$AB$15:$AL$36)/(ORÇAMENTO!$X$15-CÁLCULO.TotalAdmLocal)*CRONO!$F49,
                        0),
                 AF48*$S47),
          SUMIF(OFFSET($S49,1,0,$R47-2),($M47+1)&amp;"$",OFFSET(AF49,1,0,$R47-2)))</f>
        <v>0</v>
      </c>
      <c r="AG49" s="444"/>
    </row>
    <row r="50" spans="1:33" hidden="1" x14ac:dyDescent="0.25">
      <c r="A50" s="145" t="str">
        <f t="shared" ref="A50" ca="1" si="74">IF($M50&gt;1,CONCATENATE($I50," ",$J50),"")</f>
        <v/>
      </c>
      <c r="B50" s="144">
        <f t="shared" ref="B50" ca="1" si="75">OFFSET(B50,-3,0)+1</f>
        <v>13</v>
      </c>
      <c r="C50" s="144">
        <f ca="1">IF($R50&lt;&gt;2,0,IF($S50=0,1,IF(F51&gt;0,OFFSET(QCI!$M$13,SUBSTITUTE(F51,".",""),0),OFFSET(ORÇAMENTO!$AA$15,CRONO!$F50,0))/$S50))</f>
        <v>1</v>
      </c>
      <c r="D50" s="144">
        <f ca="1">IF($R50&lt;&gt;2,0,IF($S50=0,1,IF(F51&gt;0,OFFSET(QCI!$N$13,SUBSTITUTE(F51,".",""),0),OFFSET(ORÇAMENTO!$AB$15,CRONO!$F50,0))/$S50))</f>
        <v>1</v>
      </c>
      <c r="E50" s="147">
        <f ca="1">IF(AND($R50=2,ACOMPANHAMENTO="BM"),ROUND(E51,4),E52/$S50)</f>
        <v>0</v>
      </c>
      <c r="F50" s="144" t="e">
        <f ca="1">IF(B50&lt;=ORÇAMENTO.MáximoListaCrono,MATCH(B50,ORÇAMENTO.ListaCrono,0),NA())</f>
        <v>#N/A</v>
      </c>
      <c r="G50" s="144" t="str">
        <f t="shared" ref="G50" ca="1" si="76">IF(AND($F51&lt;&gt;-1,$S50&gt;0),"F","")</f>
        <v/>
      </c>
      <c r="H50" s="617" t="str">
        <f ca="1">IF(OR(S50=0,S50=""),"Linha",IF(AND(OR(ACOMPANHAMENTO="PLE",$R50&lt;&gt;2),$F51=0),"Linha",ROUND(1-SUM(U50:AG50),4)))</f>
        <v>Linha</v>
      </c>
      <c r="I50" s="148">
        <f ca="1">IF($F51=0,OFFSET(ORÇAMENTO!O$15,$F50,0),IF($F51&lt;&gt;-1,OFFSET(QCI!$D$13,$F51,0),""))</f>
        <v>6</v>
      </c>
      <c r="J50" s="149" t="str">
        <f ca="1">IF($F51=0,OFFSET(ORÇAMENTO!R$15,$F50,0),IF($F51&lt;&gt;-1,OFFSET(QCI!$G$13,$F51,0),""))</f>
        <v/>
      </c>
      <c r="K50" s="149"/>
      <c r="L50" s="149"/>
      <c r="M50" s="150">
        <f ca="1">IF($F51=0,OFFSET(ORÇAMENTO!C$15,$F50,0),1)</f>
        <v>1</v>
      </c>
      <c r="N50" s="151">
        <f ca="1">IF($F51=-1,0,IF(N$13&lt;=$M50,IF(ISERROR(MATCH(N$13,OFFSET($M50,1,0,ROW($M$164)-ROW($M50)-1),0)),ROW($M$164)-ROW($M50)-1,MATCH(N$13,OFFSET($M50,1,0,ROW($M$164)-ROW($M50)-1),0)-1),0))</f>
        <v>2</v>
      </c>
      <c r="O50" s="151">
        <f ca="1">IF($F51=-1,0,IF(O$13&lt;=$M50,IF(ISERROR(MATCH(O$13,OFFSET($M50,1,0,ROW($M$164)-ROW($M50)-1),0)),ROW($M$164)-ROW($M50)-1,MATCH(O$13,OFFSET($M50,1,0,ROW($M$164)-ROW($M50)-1),0)-1),0))</f>
        <v>0</v>
      </c>
      <c r="P50" s="151">
        <f ca="1">IF($F51=-1,0,IF(P$13&lt;=$M50,IF(ISERROR(MATCH(P$13,OFFSET($M50,1,0,ROW($M$164)-ROW($M50)-1),0)),ROW($M$164)-ROW($M50)-1,MATCH(P$13,OFFSET($M50,1,0,ROW($M$164)-ROW($M50)-1),0)-1),0))</f>
        <v>0</v>
      </c>
      <c r="Q50" s="151">
        <f ca="1">IF($F51=-1,0,IF(Q$13&lt;=$M50,IF(ISERROR(MATCH(Q$13,OFFSET($M50,1,0,ROW($M$164)-ROW($M50)-1),0)),ROW($M$164)-ROW($M50)-1,MATCH(Q$13,OFFSET($M50,1,0,ROW($M$164)-ROW($M50)-1),0)-1),0))</f>
        <v>0</v>
      </c>
      <c r="R50" s="151">
        <f t="shared" ref="R50" ca="1" si="77">MIN(OFFSET(M50,0,1,,M50))</f>
        <v>2</v>
      </c>
      <c r="S50" s="152">
        <f ca="1">IF($F51=0,OFFSET(ORÇAMENTO!X$15,$F50,0),IF($F51&lt;&gt;-1,OFFSET(QCI!$O$13,$F51,0),""))</f>
        <v>0</v>
      </c>
      <c r="T50" s="618" t="s">
        <v>809</v>
      </c>
      <c r="U50" s="147">
        <f ca="1">IF(AND($R50=2,ACOMPANHAMENTO="BM"),ROUND(U51,4),U52/$S50)</f>
        <v>0</v>
      </c>
      <c r="V50" s="147">
        <f ca="1">IF(AND($R50=2,ACOMPANHAMENTO="BM"),ROUND(V51,4),V52/$S50)</f>
        <v>0</v>
      </c>
      <c r="W50" s="147">
        <f ca="1">IF(AND($R50=2,ACOMPANHAMENTO="BM"),ROUND(W51,4),W52/$S50)</f>
        <v>0</v>
      </c>
      <c r="X50" s="147">
        <f ca="1">IF(AND($R50=2,ACOMPANHAMENTO="BM"),ROUND(X51,4),X52/$S50)</f>
        <v>0</v>
      </c>
      <c r="Y50" s="147">
        <f ca="1">IF(AND($R50=2,ACOMPANHAMENTO="BM"),ROUND(Y51,4),Y52/$S50)</f>
        <v>0</v>
      </c>
      <c r="Z50" s="147">
        <f ca="1">IF(AND($R50=2,ACOMPANHAMENTO="BM"),ROUND(Z51,4),Z52/$S50)</f>
        <v>0</v>
      </c>
      <c r="AA50" s="147">
        <f ca="1">IF(AND($R50=2,ACOMPANHAMENTO="BM"),ROUND(AA51,4),AA52/$S50)</f>
        <v>0</v>
      </c>
      <c r="AB50" s="147">
        <f ca="1">IF(AND($R50=2,ACOMPANHAMENTO="BM"),ROUND(AB51,4),AB52/$S50)</f>
        <v>0</v>
      </c>
      <c r="AC50" s="147">
        <f ca="1">IF(AND($R50=2,ACOMPANHAMENTO="BM"),ROUND(AC51,4),AC52/$S50)</f>
        <v>0</v>
      </c>
      <c r="AD50" s="147">
        <f ca="1">IF(AND($R50=2,ACOMPANHAMENTO="BM"),ROUND(AD51,4),AD52/$S50)</f>
        <v>0</v>
      </c>
      <c r="AE50" s="147">
        <f ca="1">IF(AND($R50=2,ACOMPANHAMENTO="BM"),ROUND(AE51,4),AE52/$S50)</f>
        <v>0</v>
      </c>
      <c r="AF50" s="147">
        <f ca="1">IF(AND($R50=2,ACOMPANHAMENTO="BM"),ROUND(AF51,4),AF52/$S50)</f>
        <v>0</v>
      </c>
      <c r="AG50" s="444"/>
    </row>
    <row r="51" spans="1:33" ht="12.75" hidden="1" customHeight="1" x14ac:dyDescent="0.25">
      <c r="E51" s="501"/>
      <c r="F51" s="144">
        <f ca="1">IF(ISERROR(F50),IF(1+COUNTIF($M$13:OFFSET(M50,-1,0),1)&lt;=MAX(QCI!$D$13:$D$24),1+COUNTIF($M$13:OFFSET(M50,-1,0),1),-1),0)</f>
        <v>6</v>
      </c>
      <c r="G51" s="144" t="str">
        <f ca="1">IF(ACOMPANHAMENTO="BM",OFFSET(G51,-1,0),"")</f>
        <v/>
      </c>
      <c r="H51" s="153" t="str">
        <f ca="1">IF(OR(S50=0,S50=""),"vazia",IF(AND(OR(ACOMPANHAMENTO="PLE",$R50&lt;&gt;2),$F51=0),"calculada","--&gt;"))</f>
        <v>vazia</v>
      </c>
      <c r="I51" s="154"/>
      <c r="J51" s="155" t="str">
        <f t="shared" ref="J51" ca="1" si="78">IF(AND(H50&lt;&gt;0,ISNUMBER(H50)),"PREENCHA ESTA LINHA --&gt;","")</f>
        <v/>
      </c>
      <c r="K51" s="155"/>
      <c r="L51" s="155"/>
      <c r="M51" s="156"/>
      <c r="N51" s="156"/>
      <c r="O51" s="156"/>
      <c r="P51" s="156"/>
      <c r="Q51" s="156"/>
      <c r="R51" s="156"/>
      <c r="S51" s="157"/>
      <c r="T51" s="158"/>
      <c r="U51" s="501"/>
      <c r="V51" s="501"/>
      <c r="W51" s="501"/>
      <c r="X51" s="501"/>
      <c r="Y51" s="501"/>
      <c r="Z51" s="501"/>
      <c r="AA51" s="501"/>
      <c r="AB51" s="501"/>
      <c r="AC51" s="501"/>
      <c r="AD51" s="501"/>
      <c r="AE51" s="501"/>
      <c r="AF51" s="501"/>
      <c r="AG51" s="444"/>
    </row>
    <row r="52" spans="1:33" ht="12.75" hidden="1" customHeight="1" x14ac:dyDescent="0.25">
      <c r="D52" s="443"/>
      <c r="E52" s="159">
        <f ca="1">IF($R50=2,
         IF(AND(ACOMPANHAMENTO="PLE",ISNUMBER($F50)),
                SUMIF((OFFSET(CÁLCULO!$AM$15:$AW$15,$F50,0,OFFSET(ORÇAMENTO!$D$15,CRONO!$F50,0))),CRONO!E$12,OFFSET(CÁLCULO!$AB$15:$AL$15,$F50,0,OFFSET(ORÇAMENTO!$D$15,CRONO!$F50,0)))
                +IF(AND($F52&lt;&gt;"",$F52&lt;&gt;0),
                        SUMIF(CÁLCULO!$AM$15:$AW$36,CRONO!E$12,CÁLCULO!$AB$15:$AL$36)/(ORÇAMENTO!$X$15-CÁLCULO.TotalAdmLocal)*CRONO!$F52,
                        0),
                 E51*$S50),
          SUMIF(OFFSET($S52,1,0,$R50-2),($M50+1)&amp;"$",OFFSET(E52,1,0,$R50-2)))</f>
        <v>0</v>
      </c>
      <c r="F52" s="144" t="str">
        <f ca="1">IF(OR($R50&lt;&gt;2,AUTOEVENTO&lt;&gt;"manual",$F51&gt;0),"",
        IF(Import.TipoArredondamento="Tradicional",
              SUMIF(OFFSET(CÁLCULO!$M$15,CRONO!$F50,0,OFFSET(ORÇAMENTO!$D$15,CRONO!$F50,0)),1,OFFSET(ORÇAMENTO!$X$15,CRONO!$F50,0,OFFSET(ORÇAMENTO!$D$15,CRONO!$F50,0))),
              0))</f>
        <v/>
      </c>
      <c r="H52" s="530"/>
      <c r="S52" s="160" t="str">
        <f t="shared" ref="S52" ca="1" si="79">M50&amp;"$"</f>
        <v>1$</v>
      </c>
      <c r="T52" s="161"/>
      <c r="U52" s="159">
        <f ca="1">IF($R50=2,
         IF(AND(ACOMPANHAMENTO="PLE",ISNUMBER($F50)),
                SUMIF((OFFSET(CÁLCULO!$AM$15:$AW$15,$F50,0,OFFSET(ORÇAMENTO!$D$15,CRONO!$F50,0))),CRONO!U$12,OFFSET(CÁLCULO!$AB$15:$AL$15,$F50,0,OFFSET(ORÇAMENTO!$D$15,CRONO!$F50,0)))
                +IF(AND($F52&lt;&gt;"",$F52&lt;&gt;0),
                        SUMIF(CÁLCULO!$AM$15:$AW$36,CRONO!U$12,CÁLCULO!$AB$15:$AL$36)/(ORÇAMENTO!$X$15-CÁLCULO.TotalAdmLocal)*CRONO!$F52,
                        0),
                 U51*$S50),
          SUMIF(OFFSET($S52,1,0,$R50-2),($M50+1)&amp;"$",OFFSET(U52,1,0,$R50-2)))</f>
        <v>0</v>
      </c>
      <c r="V52" s="159">
        <f ca="1">IF($R50=2,
         IF(AND(ACOMPANHAMENTO="PLE",ISNUMBER($F50)),
                SUMIF((OFFSET(CÁLCULO!$AM$15:$AW$15,$F50,0,OFFSET(ORÇAMENTO!$D$15,CRONO!$F50,0))),CRONO!V$12,OFFSET(CÁLCULO!$AB$15:$AL$15,$F50,0,OFFSET(ORÇAMENTO!$D$15,CRONO!$F50,0)))
                +IF(AND($F52&lt;&gt;"",$F52&lt;&gt;0),
                        SUMIF(CÁLCULO!$AM$15:$AW$36,CRONO!V$12,CÁLCULO!$AB$15:$AL$36)/(ORÇAMENTO!$X$15-CÁLCULO.TotalAdmLocal)*CRONO!$F52,
                        0),
                 V51*$S50),
          SUMIF(OFFSET($S52,1,0,$R50-2),($M50+1)&amp;"$",OFFSET(V52,1,0,$R50-2)))</f>
        <v>0</v>
      </c>
      <c r="W52" s="159">
        <f ca="1">IF($R50=2,
         IF(AND(ACOMPANHAMENTO="PLE",ISNUMBER($F50)),
                SUMIF((OFFSET(CÁLCULO!$AM$15:$AW$15,$F50,0,OFFSET(ORÇAMENTO!$D$15,CRONO!$F50,0))),CRONO!W$12,OFFSET(CÁLCULO!$AB$15:$AL$15,$F50,0,OFFSET(ORÇAMENTO!$D$15,CRONO!$F50,0)))
                +IF(AND($F52&lt;&gt;"",$F52&lt;&gt;0),
                        SUMIF(CÁLCULO!$AM$15:$AW$36,CRONO!W$12,CÁLCULO!$AB$15:$AL$36)/(ORÇAMENTO!$X$15-CÁLCULO.TotalAdmLocal)*CRONO!$F52,
                        0),
                 W51*$S50),
          SUMIF(OFFSET($S52,1,0,$R50-2),($M50+1)&amp;"$",OFFSET(W52,1,0,$R50-2)))</f>
        <v>0</v>
      </c>
      <c r="X52" s="159">
        <f ca="1">IF($R50=2,
         IF(AND(ACOMPANHAMENTO="PLE",ISNUMBER($F50)),
                SUMIF((OFFSET(CÁLCULO!$AM$15:$AW$15,$F50,0,OFFSET(ORÇAMENTO!$D$15,CRONO!$F50,0))),CRONO!X$12,OFFSET(CÁLCULO!$AB$15:$AL$15,$F50,0,OFFSET(ORÇAMENTO!$D$15,CRONO!$F50,0)))
                +IF(AND($F52&lt;&gt;"",$F52&lt;&gt;0),
                        SUMIF(CÁLCULO!$AM$15:$AW$36,CRONO!X$12,CÁLCULO!$AB$15:$AL$36)/(ORÇAMENTO!$X$15-CÁLCULO.TotalAdmLocal)*CRONO!$F52,
                        0),
                 X51*$S50),
          SUMIF(OFFSET($S52,1,0,$R50-2),($M50+1)&amp;"$",OFFSET(X52,1,0,$R50-2)))</f>
        <v>0</v>
      </c>
      <c r="Y52" s="159">
        <f ca="1">IF($R50=2,
         IF(AND(ACOMPANHAMENTO="PLE",ISNUMBER($F50)),
                SUMIF((OFFSET(CÁLCULO!$AM$15:$AW$15,$F50,0,OFFSET(ORÇAMENTO!$D$15,CRONO!$F50,0))),CRONO!Y$12,OFFSET(CÁLCULO!$AB$15:$AL$15,$F50,0,OFFSET(ORÇAMENTO!$D$15,CRONO!$F50,0)))
                +IF(AND($F52&lt;&gt;"",$F52&lt;&gt;0),
                        SUMIF(CÁLCULO!$AM$15:$AW$36,CRONO!Y$12,CÁLCULO!$AB$15:$AL$36)/(ORÇAMENTO!$X$15-CÁLCULO.TotalAdmLocal)*CRONO!$F52,
                        0),
                 Y51*$S50),
          SUMIF(OFFSET($S52,1,0,$R50-2),($M50+1)&amp;"$",OFFSET(Y52,1,0,$R50-2)))</f>
        <v>0</v>
      </c>
      <c r="Z52" s="159">
        <f ca="1">IF($R50=2,
         IF(AND(ACOMPANHAMENTO="PLE",ISNUMBER($F50)),
                SUMIF((OFFSET(CÁLCULO!$AM$15:$AW$15,$F50,0,OFFSET(ORÇAMENTO!$D$15,CRONO!$F50,0))),CRONO!Z$12,OFFSET(CÁLCULO!$AB$15:$AL$15,$F50,0,OFFSET(ORÇAMENTO!$D$15,CRONO!$F50,0)))
                +IF(AND($F52&lt;&gt;"",$F52&lt;&gt;0),
                        SUMIF(CÁLCULO!$AM$15:$AW$36,CRONO!Z$12,CÁLCULO!$AB$15:$AL$36)/(ORÇAMENTO!$X$15-CÁLCULO.TotalAdmLocal)*CRONO!$F52,
                        0),
                 Z51*$S50),
          SUMIF(OFFSET($S52,1,0,$R50-2),($M50+1)&amp;"$",OFFSET(Z52,1,0,$R50-2)))</f>
        <v>0</v>
      </c>
      <c r="AA52" s="159">
        <f ca="1">IF($R50=2,
         IF(AND(ACOMPANHAMENTO="PLE",ISNUMBER($F50)),
                SUMIF((OFFSET(CÁLCULO!$AM$15:$AW$15,$F50,0,OFFSET(ORÇAMENTO!$D$15,CRONO!$F50,0))),CRONO!AA$12,OFFSET(CÁLCULO!$AB$15:$AL$15,$F50,0,OFFSET(ORÇAMENTO!$D$15,CRONO!$F50,0)))
                +IF(AND($F52&lt;&gt;"",$F52&lt;&gt;0),
                        SUMIF(CÁLCULO!$AM$15:$AW$36,CRONO!AA$12,CÁLCULO!$AB$15:$AL$36)/(ORÇAMENTO!$X$15-CÁLCULO.TotalAdmLocal)*CRONO!$F52,
                        0),
                 AA51*$S50),
          SUMIF(OFFSET($S52,1,0,$R50-2),($M50+1)&amp;"$",OFFSET(AA52,1,0,$R50-2)))</f>
        <v>0</v>
      </c>
      <c r="AB52" s="159">
        <f ca="1">IF($R50=2,
         IF(AND(ACOMPANHAMENTO="PLE",ISNUMBER($F50)),
                SUMIF((OFFSET(CÁLCULO!$AM$15:$AW$15,$F50,0,OFFSET(ORÇAMENTO!$D$15,CRONO!$F50,0))),CRONO!AB$12,OFFSET(CÁLCULO!$AB$15:$AL$15,$F50,0,OFFSET(ORÇAMENTO!$D$15,CRONO!$F50,0)))
                +IF(AND($F52&lt;&gt;"",$F52&lt;&gt;0),
                        SUMIF(CÁLCULO!$AM$15:$AW$36,CRONO!AB$12,CÁLCULO!$AB$15:$AL$36)/(ORÇAMENTO!$X$15-CÁLCULO.TotalAdmLocal)*CRONO!$F52,
                        0),
                 AB51*$S50),
          SUMIF(OFFSET($S52,1,0,$R50-2),($M50+1)&amp;"$",OFFSET(AB52,1,0,$R50-2)))</f>
        <v>0</v>
      </c>
      <c r="AC52" s="159">
        <f ca="1">IF($R50=2,
         IF(AND(ACOMPANHAMENTO="PLE",ISNUMBER($F50)),
                SUMIF((OFFSET(CÁLCULO!$AM$15:$AW$15,$F50,0,OFFSET(ORÇAMENTO!$D$15,CRONO!$F50,0))),CRONO!AC$12,OFFSET(CÁLCULO!$AB$15:$AL$15,$F50,0,OFFSET(ORÇAMENTO!$D$15,CRONO!$F50,0)))
                +IF(AND($F52&lt;&gt;"",$F52&lt;&gt;0),
                        SUMIF(CÁLCULO!$AM$15:$AW$36,CRONO!AC$12,CÁLCULO!$AB$15:$AL$36)/(ORÇAMENTO!$X$15-CÁLCULO.TotalAdmLocal)*CRONO!$F52,
                        0),
                 AC51*$S50),
          SUMIF(OFFSET($S52,1,0,$R50-2),($M50+1)&amp;"$",OFFSET(AC52,1,0,$R50-2)))</f>
        <v>0</v>
      </c>
      <c r="AD52" s="159">
        <f ca="1">IF($R50=2,
         IF(AND(ACOMPANHAMENTO="PLE",ISNUMBER($F50)),
                SUMIF((OFFSET(CÁLCULO!$AM$15:$AW$15,$F50,0,OFFSET(ORÇAMENTO!$D$15,CRONO!$F50,0))),CRONO!AD$12,OFFSET(CÁLCULO!$AB$15:$AL$15,$F50,0,OFFSET(ORÇAMENTO!$D$15,CRONO!$F50,0)))
                +IF(AND($F52&lt;&gt;"",$F52&lt;&gt;0),
                        SUMIF(CÁLCULO!$AM$15:$AW$36,CRONO!AD$12,CÁLCULO!$AB$15:$AL$36)/(ORÇAMENTO!$X$15-CÁLCULO.TotalAdmLocal)*CRONO!$F52,
                        0),
                 AD51*$S50),
          SUMIF(OFFSET($S52,1,0,$R50-2),($M50+1)&amp;"$",OFFSET(AD52,1,0,$R50-2)))</f>
        <v>0</v>
      </c>
      <c r="AE52" s="159">
        <f ca="1">IF($R50=2,
         IF(AND(ACOMPANHAMENTO="PLE",ISNUMBER($F50)),
                SUMIF((OFFSET(CÁLCULO!$AM$15:$AW$15,$F50,0,OFFSET(ORÇAMENTO!$D$15,CRONO!$F50,0))),CRONO!AE$12,OFFSET(CÁLCULO!$AB$15:$AL$15,$F50,0,OFFSET(ORÇAMENTO!$D$15,CRONO!$F50,0)))
                +IF(AND($F52&lt;&gt;"",$F52&lt;&gt;0),
                        SUMIF(CÁLCULO!$AM$15:$AW$36,CRONO!AE$12,CÁLCULO!$AB$15:$AL$36)/(ORÇAMENTO!$X$15-CÁLCULO.TotalAdmLocal)*CRONO!$F52,
                        0),
                 AE51*$S50),
          SUMIF(OFFSET($S52,1,0,$R50-2),($M50+1)&amp;"$",OFFSET(AE52,1,0,$R50-2)))</f>
        <v>0</v>
      </c>
      <c r="AF52" s="159">
        <f ca="1">IF($R50=2,
         IF(AND(ACOMPANHAMENTO="PLE",ISNUMBER($F50)),
                SUMIF((OFFSET(CÁLCULO!$AM$15:$AW$15,$F50,0,OFFSET(ORÇAMENTO!$D$15,CRONO!$F50,0))),CRONO!AF$12,OFFSET(CÁLCULO!$AB$15:$AL$15,$F50,0,OFFSET(ORÇAMENTO!$D$15,CRONO!$F50,0)))
                +IF(AND($F52&lt;&gt;"",$F52&lt;&gt;0),
                        SUMIF(CÁLCULO!$AM$15:$AW$36,CRONO!AF$12,CÁLCULO!$AB$15:$AL$36)/(ORÇAMENTO!$X$15-CÁLCULO.TotalAdmLocal)*CRONO!$F52,
                        0),
                 AF51*$S50),
          SUMIF(OFFSET($S52,1,0,$R50-2),($M50+1)&amp;"$",OFFSET(AF52,1,0,$R50-2)))</f>
        <v>0</v>
      </c>
      <c r="AG52" s="444"/>
    </row>
    <row r="53" spans="1:33" hidden="1" x14ac:dyDescent="0.25">
      <c r="A53" s="145" t="str">
        <f t="shared" ref="A53" ca="1" si="80">IF($M53&gt;1,CONCATENATE($I53," ",$J53),"")</f>
        <v/>
      </c>
      <c r="B53" s="144">
        <f t="shared" ref="B53" ca="1" si="81">OFFSET(B53,-3,0)+1</f>
        <v>14</v>
      </c>
      <c r="C53" s="144">
        <f ca="1">IF($R53&lt;&gt;2,0,IF($S53=0,1,IF(F54&gt;0,OFFSET(QCI!$M$13,SUBSTITUTE(F54,".",""),0),OFFSET(ORÇAMENTO!$AA$15,CRONO!$F53,0))/$S53))</f>
        <v>1</v>
      </c>
      <c r="D53" s="144">
        <f ca="1">IF($R53&lt;&gt;2,0,IF($S53=0,1,IF(F54&gt;0,OFFSET(QCI!$N$13,SUBSTITUTE(F54,".",""),0),OFFSET(ORÇAMENTO!$AB$15,CRONO!$F53,0))/$S53))</f>
        <v>1</v>
      </c>
      <c r="E53" s="147">
        <f ca="1">IF(AND($R53=2,ACOMPANHAMENTO="BM"),ROUND(E54,4),E55/$S53)</f>
        <v>0</v>
      </c>
      <c r="F53" s="144" t="e">
        <f ca="1">IF(B53&lt;=ORÇAMENTO.MáximoListaCrono,MATCH(B53,ORÇAMENTO.ListaCrono,0),NA())</f>
        <v>#N/A</v>
      </c>
      <c r="G53" s="144" t="str">
        <f t="shared" ref="G53" ca="1" si="82">IF(AND($F54&lt;&gt;-1,$S53&gt;0),"F","")</f>
        <v/>
      </c>
      <c r="H53" s="617" t="str">
        <f ca="1">IF(OR(S53=0,S53=""),"Linha",IF(AND(OR(ACOMPANHAMENTO="PLE",$R53&lt;&gt;2),$F54=0),"Linha",ROUND(1-SUM(U53:AG53),4)))</f>
        <v>Linha</v>
      </c>
      <c r="I53" s="148">
        <f ca="1">IF($F54=0,OFFSET(ORÇAMENTO!O$15,$F53,0),IF($F54&lt;&gt;-1,OFFSET(QCI!$D$13,$F54,0),""))</f>
        <v>7</v>
      </c>
      <c r="J53" s="149" t="str">
        <f ca="1">IF($F54=0,OFFSET(ORÇAMENTO!R$15,$F53,0),IF($F54&lt;&gt;-1,OFFSET(QCI!$G$13,$F54,0),""))</f>
        <v/>
      </c>
      <c r="K53" s="149"/>
      <c r="L53" s="149"/>
      <c r="M53" s="150">
        <f ca="1">IF($F54=0,OFFSET(ORÇAMENTO!C$15,$F53,0),1)</f>
        <v>1</v>
      </c>
      <c r="N53" s="151">
        <f ca="1">IF($F54=-1,0,IF(N$13&lt;=$M53,IF(ISERROR(MATCH(N$13,OFFSET($M53,1,0,ROW($M$164)-ROW($M53)-1),0)),ROW($M$164)-ROW($M53)-1,MATCH(N$13,OFFSET($M53,1,0,ROW($M$164)-ROW($M53)-1),0)-1),0))</f>
        <v>2</v>
      </c>
      <c r="O53" s="151">
        <f ca="1">IF($F54=-1,0,IF(O$13&lt;=$M53,IF(ISERROR(MATCH(O$13,OFFSET($M53,1,0,ROW($M$164)-ROW($M53)-1),0)),ROW($M$164)-ROW($M53)-1,MATCH(O$13,OFFSET($M53,1,0,ROW($M$164)-ROW($M53)-1),0)-1),0))</f>
        <v>0</v>
      </c>
      <c r="P53" s="151">
        <f ca="1">IF($F54=-1,0,IF(P$13&lt;=$M53,IF(ISERROR(MATCH(P$13,OFFSET($M53,1,0,ROW($M$164)-ROW($M53)-1),0)),ROW($M$164)-ROW($M53)-1,MATCH(P$13,OFFSET($M53,1,0,ROW($M$164)-ROW($M53)-1),0)-1),0))</f>
        <v>0</v>
      </c>
      <c r="Q53" s="151">
        <f ca="1">IF($F54=-1,0,IF(Q$13&lt;=$M53,IF(ISERROR(MATCH(Q$13,OFFSET($M53,1,0,ROW($M$164)-ROW($M53)-1),0)),ROW($M$164)-ROW($M53)-1,MATCH(Q$13,OFFSET($M53,1,0,ROW($M$164)-ROW($M53)-1),0)-1),0))</f>
        <v>0</v>
      </c>
      <c r="R53" s="151">
        <f t="shared" ref="R53" ca="1" si="83">MIN(OFFSET(M53,0,1,,M53))</f>
        <v>2</v>
      </c>
      <c r="S53" s="152">
        <f ca="1">IF($F54=0,OFFSET(ORÇAMENTO!X$15,$F53,0),IF($F54&lt;&gt;-1,OFFSET(QCI!$O$13,$F54,0),""))</f>
        <v>0</v>
      </c>
      <c r="T53" s="618" t="s">
        <v>809</v>
      </c>
      <c r="U53" s="147">
        <f ca="1">IF(AND($R53=2,ACOMPANHAMENTO="BM"),ROUND(U54,4),U55/$S53)</f>
        <v>0</v>
      </c>
      <c r="V53" s="147">
        <f ca="1">IF(AND($R53=2,ACOMPANHAMENTO="BM"),ROUND(V54,4),V55/$S53)</f>
        <v>0</v>
      </c>
      <c r="W53" s="147">
        <f ca="1">IF(AND($R53=2,ACOMPANHAMENTO="BM"),ROUND(W54,4),W55/$S53)</f>
        <v>0</v>
      </c>
      <c r="X53" s="147">
        <f ca="1">IF(AND($R53=2,ACOMPANHAMENTO="BM"),ROUND(X54,4),X55/$S53)</f>
        <v>0</v>
      </c>
      <c r="Y53" s="147">
        <f ca="1">IF(AND($R53=2,ACOMPANHAMENTO="BM"),ROUND(Y54,4),Y55/$S53)</f>
        <v>0</v>
      </c>
      <c r="Z53" s="147">
        <f ca="1">IF(AND($R53=2,ACOMPANHAMENTO="BM"),ROUND(Z54,4),Z55/$S53)</f>
        <v>0</v>
      </c>
      <c r="AA53" s="147">
        <f ca="1">IF(AND($R53=2,ACOMPANHAMENTO="BM"),ROUND(AA54,4),AA55/$S53)</f>
        <v>0</v>
      </c>
      <c r="AB53" s="147">
        <f ca="1">IF(AND($R53=2,ACOMPANHAMENTO="BM"),ROUND(AB54,4),AB55/$S53)</f>
        <v>0</v>
      </c>
      <c r="AC53" s="147">
        <f ca="1">IF(AND($R53=2,ACOMPANHAMENTO="BM"),ROUND(AC54,4),AC55/$S53)</f>
        <v>0</v>
      </c>
      <c r="AD53" s="147">
        <f ca="1">IF(AND($R53=2,ACOMPANHAMENTO="BM"),ROUND(AD54,4),AD55/$S53)</f>
        <v>0</v>
      </c>
      <c r="AE53" s="147">
        <f ca="1">IF(AND($R53=2,ACOMPANHAMENTO="BM"),ROUND(AE54,4),AE55/$S53)</f>
        <v>0</v>
      </c>
      <c r="AF53" s="147">
        <f ca="1">IF(AND($R53=2,ACOMPANHAMENTO="BM"),ROUND(AF54,4),AF55/$S53)</f>
        <v>0</v>
      </c>
      <c r="AG53" s="444"/>
    </row>
    <row r="54" spans="1:33" ht="12.75" hidden="1" customHeight="1" x14ac:dyDescent="0.25">
      <c r="E54" s="501"/>
      <c r="F54" s="144">
        <f ca="1">IF(ISERROR(F53),IF(1+COUNTIF($M$13:OFFSET(M53,-1,0),1)&lt;=MAX(QCI!$D$13:$D$24),1+COUNTIF($M$13:OFFSET(M53,-1,0),1),-1),0)</f>
        <v>7</v>
      </c>
      <c r="G54" s="144" t="str">
        <f ca="1">IF(ACOMPANHAMENTO="BM",OFFSET(G54,-1,0),"")</f>
        <v/>
      </c>
      <c r="H54" s="153" t="str">
        <f ca="1">IF(OR(S53=0,S53=""),"vazia",IF(AND(OR(ACOMPANHAMENTO="PLE",$R53&lt;&gt;2),$F54=0),"calculada","--&gt;"))</f>
        <v>vazia</v>
      </c>
      <c r="I54" s="154"/>
      <c r="J54" s="155" t="str">
        <f t="shared" ref="J54" ca="1" si="84">IF(AND(H53&lt;&gt;0,ISNUMBER(H53)),"PREENCHA ESTA LINHA --&gt;","")</f>
        <v/>
      </c>
      <c r="K54" s="155"/>
      <c r="L54" s="155"/>
      <c r="M54" s="156"/>
      <c r="N54" s="156"/>
      <c r="O54" s="156"/>
      <c r="P54" s="156"/>
      <c r="Q54" s="156"/>
      <c r="R54" s="156"/>
      <c r="S54" s="157"/>
      <c r="T54" s="158"/>
      <c r="U54" s="501"/>
      <c r="V54" s="501"/>
      <c r="W54" s="501"/>
      <c r="X54" s="501"/>
      <c r="Y54" s="501"/>
      <c r="Z54" s="501"/>
      <c r="AA54" s="501"/>
      <c r="AB54" s="501"/>
      <c r="AC54" s="501"/>
      <c r="AD54" s="501"/>
      <c r="AE54" s="501"/>
      <c r="AF54" s="501"/>
      <c r="AG54" s="444"/>
    </row>
    <row r="55" spans="1:33" ht="12.75" hidden="1" customHeight="1" x14ac:dyDescent="0.25">
      <c r="D55" s="443"/>
      <c r="E55" s="159">
        <f ca="1">IF($R53=2,
         IF(AND(ACOMPANHAMENTO="PLE",ISNUMBER($F53)),
                SUMIF((OFFSET(CÁLCULO!$AM$15:$AW$15,$F53,0,OFFSET(ORÇAMENTO!$D$15,CRONO!$F53,0))),CRONO!E$12,OFFSET(CÁLCULO!$AB$15:$AL$15,$F53,0,OFFSET(ORÇAMENTO!$D$15,CRONO!$F53,0)))
                +IF(AND($F55&lt;&gt;"",$F55&lt;&gt;0),
                        SUMIF(CÁLCULO!$AM$15:$AW$36,CRONO!E$12,CÁLCULO!$AB$15:$AL$36)/(ORÇAMENTO!$X$15-CÁLCULO.TotalAdmLocal)*CRONO!$F55,
                        0),
                 E54*$S53),
          SUMIF(OFFSET($S55,1,0,$R53-2),($M53+1)&amp;"$",OFFSET(E55,1,0,$R53-2)))</f>
        <v>0</v>
      </c>
      <c r="F55" s="144" t="str">
        <f ca="1">IF(OR($R53&lt;&gt;2,AUTOEVENTO&lt;&gt;"manual",$F54&gt;0),"",
        IF(Import.TipoArredondamento="Tradicional",
              SUMIF(OFFSET(CÁLCULO!$M$15,CRONO!$F53,0,OFFSET(ORÇAMENTO!$D$15,CRONO!$F53,0)),1,OFFSET(ORÇAMENTO!$X$15,CRONO!$F53,0,OFFSET(ORÇAMENTO!$D$15,CRONO!$F53,0))),
              0))</f>
        <v/>
      </c>
      <c r="H55" s="530"/>
      <c r="S55" s="160" t="str">
        <f t="shared" ref="S55" ca="1" si="85">M53&amp;"$"</f>
        <v>1$</v>
      </c>
      <c r="T55" s="161"/>
      <c r="U55" s="159">
        <f ca="1">IF($R53=2,
         IF(AND(ACOMPANHAMENTO="PLE",ISNUMBER($F53)),
                SUMIF((OFFSET(CÁLCULO!$AM$15:$AW$15,$F53,0,OFFSET(ORÇAMENTO!$D$15,CRONO!$F53,0))),CRONO!U$12,OFFSET(CÁLCULO!$AB$15:$AL$15,$F53,0,OFFSET(ORÇAMENTO!$D$15,CRONO!$F53,0)))
                +IF(AND($F55&lt;&gt;"",$F55&lt;&gt;0),
                        SUMIF(CÁLCULO!$AM$15:$AW$36,CRONO!U$12,CÁLCULO!$AB$15:$AL$36)/(ORÇAMENTO!$X$15-CÁLCULO.TotalAdmLocal)*CRONO!$F55,
                        0),
                 U54*$S53),
          SUMIF(OFFSET($S55,1,0,$R53-2),($M53+1)&amp;"$",OFFSET(U55,1,0,$R53-2)))</f>
        <v>0</v>
      </c>
      <c r="V55" s="159">
        <f ca="1">IF($R53=2,
         IF(AND(ACOMPANHAMENTO="PLE",ISNUMBER($F53)),
                SUMIF((OFFSET(CÁLCULO!$AM$15:$AW$15,$F53,0,OFFSET(ORÇAMENTO!$D$15,CRONO!$F53,0))),CRONO!V$12,OFFSET(CÁLCULO!$AB$15:$AL$15,$F53,0,OFFSET(ORÇAMENTO!$D$15,CRONO!$F53,0)))
                +IF(AND($F55&lt;&gt;"",$F55&lt;&gt;0),
                        SUMIF(CÁLCULO!$AM$15:$AW$36,CRONO!V$12,CÁLCULO!$AB$15:$AL$36)/(ORÇAMENTO!$X$15-CÁLCULO.TotalAdmLocal)*CRONO!$F55,
                        0),
                 V54*$S53),
          SUMIF(OFFSET($S55,1,0,$R53-2),($M53+1)&amp;"$",OFFSET(V55,1,0,$R53-2)))</f>
        <v>0</v>
      </c>
      <c r="W55" s="159">
        <f ca="1">IF($R53=2,
         IF(AND(ACOMPANHAMENTO="PLE",ISNUMBER($F53)),
                SUMIF((OFFSET(CÁLCULO!$AM$15:$AW$15,$F53,0,OFFSET(ORÇAMENTO!$D$15,CRONO!$F53,0))),CRONO!W$12,OFFSET(CÁLCULO!$AB$15:$AL$15,$F53,0,OFFSET(ORÇAMENTO!$D$15,CRONO!$F53,0)))
                +IF(AND($F55&lt;&gt;"",$F55&lt;&gt;0),
                        SUMIF(CÁLCULO!$AM$15:$AW$36,CRONO!W$12,CÁLCULO!$AB$15:$AL$36)/(ORÇAMENTO!$X$15-CÁLCULO.TotalAdmLocal)*CRONO!$F55,
                        0),
                 W54*$S53),
          SUMIF(OFFSET($S55,1,0,$R53-2),($M53+1)&amp;"$",OFFSET(W55,1,0,$R53-2)))</f>
        <v>0</v>
      </c>
      <c r="X55" s="159">
        <f ca="1">IF($R53=2,
         IF(AND(ACOMPANHAMENTO="PLE",ISNUMBER($F53)),
                SUMIF((OFFSET(CÁLCULO!$AM$15:$AW$15,$F53,0,OFFSET(ORÇAMENTO!$D$15,CRONO!$F53,0))),CRONO!X$12,OFFSET(CÁLCULO!$AB$15:$AL$15,$F53,0,OFFSET(ORÇAMENTO!$D$15,CRONO!$F53,0)))
                +IF(AND($F55&lt;&gt;"",$F55&lt;&gt;0),
                        SUMIF(CÁLCULO!$AM$15:$AW$36,CRONO!X$12,CÁLCULO!$AB$15:$AL$36)/(ORÇAMENTO!$X$15-CÁLCULO.TotalAdmLocal)*CRONO!$F55,
                        0),
                 X54*$S53),
          SUMIF(OFFSET($S55,1,0,$R53-2),($M53+1)&amp;"$",OFFSET(X55,1,0,$R53-2)))</f>
        <v>0</v>
      </c>
      <c r="Y55" s="159">
        <f ca="1">IF($R53=2,
         IF(AND(ACOMPANHAMENTO="PLE",ISNUMBER($F53)),
                SUMIF((OFFSET(CÁLCULO!$AM$15:$AW$15,$F53,0,OFFSET(ORÇAMENTO!$D$15,CRONO!$F53,0))),CRONO!Y$12,OFFSET(CÁLCULO!$AB$15:$AL$15,$F53,0,OFFSET(ORÇAMENTO!$D$15,CRONO!$F53,0)))
                +IF(AND($F55&lt;&gt;"",$F55&lt;&gt;0),
                        SUMIF(CÁLCULO!$AM$15:$AW$36,CRONO!Y$12,CÁLCULO!$AB$15:$AL$36)/(ORÇAMENTO!$X$15-CÁLCULO.TotalAdmLocal)*CRONO!$F55,
                        0),
                 Y54*$S53),
          SUMIF(OFFSET($S55,1,0,$R53-2),($M53+1)&amp;"$",OFFSET(Y55,1,0,$R53-2)))</f>
        <v>0</v>
      </c>
      <c r="Z55" s="159">
        <f ca="1">IF($R53=2,
         IF(AND(ACOMPANHAMENTO="PLE",ISNUMBER($F53)),
                SUMIF((OFFSET(CÁLCULO!$AM$15:$AW$15,$F53,0,OFFSET(ORÇAMENTO!$D$15,CRONO!$F53,0))),CRONO!Z$12,OFFSET(CÁLCULO!$AB$15:$AL$15,$F53,0,OFFSET(ORÇAMENTO!$D$15,CRONO!$F53,0)))
                +IF(AND($F55&lt;&gt;"",$F55&lt;&gt;0),
                        SUMIF(CÁLCULO!$AM$15:$AW$36,CRONO!Z$12,CÁLCULO!$AB$15:$AL$36)/(ORÇAMENTO!$X$15-CÁLCULO.TotalAdmLocal)*CRONO!$F55,
                        0),
                 Z54*$S53),
          SUMIF(OFFSET($S55,1,0,$R53-2),($M53+1)&amp;"$",OFFSET(Z55,1,0,$R53-2)))</f>
        <v>0</v>
      </c>
      <c r="AA55" s="159">
        <f ca="1">IF($R53=2,
         IF(AND(ACOMPANHAMENTO="PLE",ISNUMBER($F53)),
                SUMIF((OFFSET(CÁLCULO!$AM$15:$AW$15,$F53,0,OFFSET(ORÇAMENTO!$D$15,CRONO!$F53,0))),CRONO!AA$12,OFFSET(CÁLCULO!$AB$15:$AL$15,$F53,0,OFFSET(ORÇAMENTO!$D$15,CRONO!$F53,0)))
                +IF(AND($F55&lt;&gt;"",$F55&lt;&gt;0),
                        SUMIF(CÁLCULO!$AM$15:$AW$36,CRONO!AA$12,CÁLCULO!$AB$15:$AL$36)/(ORÇAMENTO!$X$15-CÁLCULO.TotalAdmLocal)*CRONO!$F55,
                        0),
                 AA54*$S53),
          SUMIF(OFFSET($S55,1,0,$R53-2),($M53+1)&amp;"$",OFFSET(AA55,1,0,$R53-2)))</f>
        <v>0</v>
      </c>
      <c r="AB55" s="159">
        <f ca="1">IF($R53=2,
         IF(AND(ACOMPANHAMENTO="PLE",ISNUMBER($F53)),
                SUMIF((OFFSET(CÁLCULO!$AM$15:$AW$15,$F53,0,OFFSET(ORÇAMENTO!$D$15,CRONO!$F53,0))),CRONO!AB$12,OFFSET(CÁLCULO!$AB$15:$AL$15,$F53,0,OFFSET(ORÇAMENTO!$D$15,CRONO!$F53,0)))
                +IF(AND($F55&lt;&gt;"",$F55&lt;&gt;0),
                        SUMIF(CÁLCULO!$AM$15:$AW$36,CRONO!AB$12,CÁLCULO!$AB$15:$AL$36)/(ORÇAMENTO!$X$15-CÁLCULO.TotalAdmLocal)*CRONO!$F55,
                        0),
                 AB54*$S53),
          SUMIF(OFFSET($S55,1,0,$R53-2),($M53+1)&amp;"$",OFFSET(AB55,1,0,$R53-2)))</f>
        <v>0</v>
      </c>
      <c r="AC55" s="159">
        <f ca="1">IF($R53=2,
         IF(AND(ACOMPANHAMENTO="PLE",ISNUMBER($F53)),
                SUMIF((OFFSET(CÁLCULO!$AM$15:$AW$15,$F53,0,OFFSET(ORÇAMENTO!$D$15,CRONO!$F53,0))),CRONO!AC$12,OFFSET(CÁLCULO!$AB$15:$AL$15,$F53,0,OFFSET(ORÇAMENTO!$D$15,CRONO!$F53,0)))
                +IF(AND($F55&lt;&gt;"",$F55&lt;&gt;0),
                        SUMIF(CÁLCULO!$AM$15:$AW$36,CRONO!AC$12,CÁLCULO!$AB$15:$AL$36)/(ORÇAMENTO!$X$15-CÁLCULO.TotalAdmLocal)*CRONO!$F55,
                        0),
                 AC54*$S53),
          SUMIF(OFFSET($S55,1,0,$R53-2),($M53+1)&amp;"$",OFFSET(AC55,1,0,$R53-2)))</f>
        <v>0</v>
      </c>
      <c r="AD55" s="159">
        <f ca="1">IF($R53=2,
         IF(AND(ACOMPANHAMENTO="PLE",ISNUMBER($F53)),
                SUMIF((OFFSET(CÁLCULO!$AM$15:$AW$15,$F53,0,OFFSET(ORÇAMENTO!$D$15,CRONO!$F53,0))),CRONO!AD$12,OFFSET(CÁLCULO!$AB$15:$AL$15,$F53,0,OFFSET(ORÇAMENTO!$D$15,CRONO!$F53,0)))
                +IF(AND($F55&lt;&gt;"",$F55&lt;&gt;0),
                        SUMIF(CÁLCULO!$AM$15:$AW$36,CRONO!AD$12,CÁLCULO!$AB$15:$AL$36)/(ORÇAMENTO!$X$15-CÁLCULO.TotalAdmLocal)*CRONO!$F55,
                        0),
                 AD54*$S53),
          SUMIF(OFFSET($S55,1,0,$R53-2),($M53+1)&amp;"$",OFFSET(AD55,1,0,$R53-2)))</f>
        <v>0</v>
      </c>
      <c r="AE55" s="159">
        <f ca="1">IF($R53=2,
         IF(AND(ACOMPANHAMENTO="PLE",ISNUMBER($F53)),
                SUMIF((OFFSET(CÁLCULO!$AM$15:$AW$15,$F53,0,OFFSET(ORÇAMENTO!$D$15,CRONO!$F53,0))),CRONO!AE$12,OFFSET(CÁLCULO!$AB$15:$AL$15,$F53,0,OFFSET(ORÇAMENTO!$D$15,CRONO!$F53,0)))
                +IF(AND($F55&lt;&gt;"",$F55&lt;&gt;0),
                        SUMIF(CÁLCULO!$AM$15:$AW$36,CRONO!AE$12,CÁLCULO!$AB$15:$AL$36)/(ORÇAMENTO!$X$15-CÁLCULO.TotalAdmLocal)*CRONO!$F55,
                        0),
                 AE54*$S53),
          SUMIF(OFFSET($S55,1,0,$R53-2),($M53+1)&amp;"$",OFFSET(AE55,1,0,$R53-2)))</f>
        <v>0</v>
      </c>
      <c r="AF55" s="159">
        <f ca="1">IF($R53=2,
         IF(AND(ACOMPANHAMENTO="PLE",ISNUMBER($F53)),
                SUMIF((OFFSET(CÁLCULO!$AM$15:$AW$15,$F53,0,OFFSET(ORÇAMENTO!$D$15,CRONO!$F53,0))),CRONO!AF$12,OFFSET(CÁLCULO!$AB$15:$AL$15,$F53,0,OFFSET(ORÇAMENTO!$D$15,CRONO!$F53,0)))
                +IF(AND($F55&lt;&gt;"",$F55&lt;&gt;0),
                        SUMIF(CÁLCULO!$AM$15:$AW$36,CRONO!AF$12,CÁLCULO!$AB$15:$AL$36)/(ORÇAMENTO!$X$15-CÁLCULO.TotalAdmLocal)*CRONO!$F55,
                        0),
                 AF54*$S53),
          SUMIF(OFFSET($S55,1,0,$R53-2),($M53+1)&amp;"$",OFFSET(AF55,1,0,$R53-2)))</f>
        <v>0</v>
      </c>
      <c r="AG55" s="444"/>
    </row>
    <row r="56" spans="1:33" hidden="1" x14ac:dyDescent="0.25">
      <c r="A56" s="145" t="str">
        <f t="shared" ref="A56" ca="1" si="86">IF($M56&gt;1,CONCATENATE($I56," ",$J56),"")</f>
        <v/>
      </c>
      <c r="B56" s="144">
        <f t="shared" ref="B56" ca="1" si="87">OFFSET(B56,-3,0)+1</f>
        <v>15</v>
      </c>
      <c r="C56" s="144">
        <f ca="1">IF($R56&lt;&gt;2,0,IF($S56=0,1,IF(F57&gt;0,OFFSET(QCI!$M$13,SUBSTITUTE(F57,".",""),0),OFFSET(ORÇAMENTO!$AA$15,CRONO!$F56,0))/$S56))</f>
        <v>1</v>
      </c>
      <c r="D56" s="144">
        <f ca="1">IF($R56&lt;&gt;2,0,IF($S56=0,1,IF(F57&gt;0,OFFSET(QCI!$N$13,SUBSTITUTE(F57,".",""),0),OFFSET(ORÇAMENTO!$AB$15,CRONO!$F56,0))/$S56))</f>
        <v>1</v>
      </c>
      <c r="E56" s="147">
        <f ca="1">IF(AND($R56=2,ACOMPANHAMENTO="BM"),ROUND(E57,4),E58/$S56)</f>
        <v>0</v>
      </c>
      <c r="F56" s="144" t="e">
        <f ca="1">IF(B56&lt;=ORÇAMENTO.MáximoListaCrono,MATCH(B56,ORÇAMENTO.ListaCrono,0),NA())</f>
        <v>#N/A</v>
      </c>
      <c r="G56" s="144" t="str">
        <f t="shared" ref="G56" ca="1" si="88">IF(AND($F57&lt;&gt;-1,$S56&gt;0),"F","")</f>
        <v/>
      </c>
      <c r="H56" s="617" t="str">
        <f ca="1">IF(OR(S56=0,S56=""),"Linha",IF(AND(OR(ACOMPANHAMENTO="PLE",$R56&lt;&gt;2),$F57=0),"Linha",ROUND(1-SUM(U56:AG56),4)))</f>
        <v>Linha</v>
      </c>
      <c r="I56" s="148">
        <f ca="1">IF($F57=0,OFFSET(ORÇAMENTO!O$15,$F56,0),IF($F57&lt;&gt;-1,OFFSET(QCI!$D$13,$F57,0),""))</f>
        <v>8</v>
      </c>
      <c r="J56" s="149" t="str">
        <f ca="1">IF($F57=0,OFFSET(ORÇAMENTO!R$15,$F56,0),IF($F57&lt;&gt;-1,OFFSET(QCI!$G$13,$F57,0),""))</f>
        <v/>
      </c>
      <c r="K56" s="149"/>
      <c r="L56" s="149"/>
      <c r="M56" s="150">
        <f ca="1">IF($F57=0,OFFSET(ORÇAMENTO!C$15,$F56,0),1)</f>
        <v>1</v>
      </c>
      <c r="N56" s="151">
        <f ca="1">IF($F57=-1,0,IF(N$13&lt;=$M56,IF(ISERROR(MATCH(N$13,OFFSET($M56,1,0,ROW($M$164)-ROW($M56)-1),0)),ROW($M$164)-ROW($M56)-1,MATCH(N$13,OFFSET($M56,1,0,ROW($M$164)-ROW($M56)-1),0)-1),0))</f>
        <v>2</v>
      </c>
      <c r="O56" s="151">
        <f ca="1">IF($F57=-1,0,IF(O$13&lt;=$M56,IF(ISERROR(MATCH(O$13,OFFSET($M56,1,0,ROW($M$164)-ROW($M56)-1),0)),ROW($M$164)-ROW($M56)-1,MATCH(O$13,OFFSET($M56,1,0,ROW($M$164)-ROW($M56)-1),0)-1),0))</f>
        <v>0</v>
      </c>
      <c r="P56" s="151">
        <f ca="1">IF($F57=-1,0,IF(P$13&lt;=$M56,IF(ISERROR(MATCH(P$13,OFFSET($M56,1,0,ROW($M$164)-ROW($M56)-1),0)),ROW($M$164)-ROW($M56)-1,MATCH(P$13,OFFSET($M56,1,0,ROW($M$164)-ROW($M56)-1),0)-1),0))</f>
        <v>0</v>
      </c>
      <c r="Q56" s="151">
        <f ca="1">IF($F57=-1,0,IF(Q$13&lt;=$M56,IF(ISERROR(MATCH(Q$13,OFFSET($M56,1,0,ROW($M$164)-ROW($M56)-1),0)),ROW($M$164)-ROW($M56)-1,MATCH(Q$13,OFFSET($M56,1,0,ROW($M$164)-ROW($M56)-1),0)-1),0))</f>
        <v>0</v>
      </c>
      <c r="R56" s="151">
        <f t="shared" ref="R56" ca="1" si="89">MIN(OFFSET(M56,0,1,,M56))</f>
        <v>2</v>
      </c>
      <c r="S56" s="152">
        <f ca="1">IF($F57=0,OFFSET(ORÇAMENTO!X$15,$F56,0),IF($F57&lt;&gt;-1,OFFSET(QCI!$O$13,$F57,0),""))</f>
        <v>0</v>
      </c>
      <c r="T56" s="618" t="s">
        <v>809</v>
      </c>
      <c r="U56" s="147">
        <f ca="1">IF(AND($R56=2,ACOMPANHAMENTO="BM"),ROUND(U57,4),U58/$S56)</f>
        <v>0</v>
      </c>
      <c r="V56" s="147">
        <f ca="1">IF(AND($R56=2,ACOMPANHAMENTO="BM"),ROUND(V57,4),V58/$S56)</f>
        <v>0</v>
      </c>
      <c r="W56" s="147">
        <f ca="1">IF(AND($R56=2,ACOMPANHAMENTO="BM"),ROUND(W57,4),W58/$S56)</f>
        <v>0</v>
      </c>
      <c r="X56" s="147">
        <f ca="1">IF(AND($R56=2,ACOMPANHAMENTO="BM"),ROUND(X57,4),X58/$S56)</f>
        <v>0</v>
      </c>
      <c r="Y56" s="147">
        <f ca="1">IF(AND($R56=2,ACOMPANHAMENTO="BM"),ROUND(Y57,4),Y58/$S56)</f>
        <v>0</v>
      </c>
      <c r="Z56" s="147">
        <f ca="1">IF(AND($R56=2,ACOMPANHAMENTO="BM"),ROUND(Z57,4),Z58/$S56)</f>
        <v>0</v>
      </c>
      <c r="AA56" s="147">
        <f ca="1">IF(AND($R56=2,ACOMPANHAMENTO="BM"),ROUND(AA57,4),AA58/$S56)</f>
        <v>0</v>
      </c>
      <c r="AB56" s="147">
        <f ca="1">IF(AND($R56=2,ACOMPANHAMENTO="BM"),ROUND(AB57,4),AB58/$S56)</f>
        <v>0</v>
      </c>
      <c r="AC56" s="147">
        <f ca="1">IF(AND($R56=2,ACOMPANHAMENTO="BM"),ROUND(AC57,4),AC58/$S56)</f>
        <v>0</v>
      </c>
      <c r="AD56" s="147">
        <f ca="1">IF(AND($R56=2,ACOMPANHAMENTO="BM"),ROUND(AD57,4),AD58/$S56)</f>
        <v>0</v>
      </c>
      <c r="AE56" s="147">
        <f ca="1">IF(AND($R56=2,ACOMPANHAMENTO="BM"),ROUND(AE57,4),AE58/$S56)</f>
        <v>0</v>
      </c>
      <c r="AF56" s="147">
        <f ca="1">IF(AND($R56=2,ACOMPANHAMENTO="BM"),ROUND(AF57,4),AF58/$S56)</f>
        <v>0</v>
      </c>
      <c r="AG56" s="444"/>
    </row>
    <row r="57" spans="1:33" ht="12.75" hidden="1" customHeight="1" x14ac:dyDescent="0.25">
      <c r="E57" s="501"/>
      <c r="F57" s="144">
        <f ca="1">IF(ISERROR(F56),IF(1+COUNTIF($M$13:OFFSET(M56,-1,0),1)&lt;=MAX(QCI!$D$13:$D$24),1+COUNTIF($M$13:OFFSET(M56,-1,0),1),-1),0)</f>
        <v>8</v>
      </c>
      <c r="G57" s="144" t="str">
        <f ca="1">IF(ACOMPANHAMENTO="BM",OFFSET(G57,-1,0),"")</f>
        <v/>
      </c>
      <c r="H57" s="153" t="str">
        <f ca="1">IF(OR(S56=0,S56=""),"vazia",IF(AND(OR(ACOMPANHAMENTO="PLE",$R56&lt;&gt;2),$F57=0),"calculada","--&gt;"))</f>
        <v>vazia</v>
      </c>
      <c r="I57" s="154"/>
      <c r="J57" s="155" t="str">
        <f t="shared" ref="J57" ca="1" si="90">IF(AND(H56&lt;&gt;0,ISNUMBER(H56)),"PREENCHA ESTA LINHA --&gt;","")</f>
        <v/>
      </c>
      <c r="K57" s="155"/>
      <c r="L57" s="155"/>
      <c r="M57" s="156"/>
      <c r="N57" s="156"/>
      <c r="O57" s="156"/>
      <c r="P57" s="156"/>
      <c r="Q57" s="156"/>
      <c r="R57" s="156"/>
      <c r="S57" s="157"/>
      <c r="T57" s="158"/>
      <c r="U57" s="501"/>
      <c r="V57" s="501"/>
      <c r="W57" s="501"/>
      <c r="X57" s="501"/>
      <c r="Y57" s="501"/>
      <c r="Z57" s="501"/>
      <c r="AA57" s="501"/>
      <c r="AB57" s="501"/>
      <c r="AC57" s="501"/>
      <c r="AD57" s="501"/>
      <c r="AE57" s="501"/>
      <c r="AF57" s="501"/>
      <c r="AG57" s="444"/>
    </row>
    <row r="58" spans="1:33" ht="12.75" hidden="1" customHeight="1" x14ac:dyDescent="0.25">
      <c r="D58" s="443"/>
      <c r="E58" s="159">
        <f ca="1">IF($R56=2,
         IF(AND(ACOMPANHAMENTO="PLE",ISNUMBER($F56)),
                SUMIF((OFFSET(CÁLCULO!$AM$15:$AW$15,$F56,0,OFFSET(ORÇAMENTO!$D$15,CRONO!$F56,0))),CRONO!E$12,OFFSET(CÁLCULO!$AB$15:$AL$15,$F56,0,OFFSET(ORÇAMENTO!$D$15,CRONO!$F56,0)))
                +IF(AND($F58&lt;&gt;"",$F58&lt;&gt;0),
                        SUMIF(CÁLCULO!$AM$15:$AW$36,CRONO!E$12,CÁLCULO!$AB$15:$AL$36)/(ORÇAMENTO!$X$15-CÁLCULO.TotalAdmLocal)*CRONO!$F58,
                        0),
                 E57*$S56),
          SUMIF(OFFSET($S58,1,0,$R56-2),($M56+1)&amp;"$",OFFSET(E58,1,0,$R56-2)))</f>
        <v>0</v>
      </c>
      <c r="F58" s="144" t="str">
        <f ca="1">IF(OR($R56&lt;&gt;2,AUTOEVENTO&lt;&gt;"manual",$F57&gt;0),"",
        IF(Import.TipoArredondamento="Tradicional",
              SUMIF(OFFSET(CÁLCULO!$M$15,CRONO!$F56,0,OFFSET(ORÇAMENTO!$D$15,CRONO!$F56,0)),1,OFFSET(ORÇAMENTO!$X$15,CRONO!$F56,0,OFFSET(ORÇAMENTO!$D$15,CRONO!$F56,0))),
              0))</f>
        <v/>
      </c>
      <c r="H58" s="530"/>
      <c r="S58" s="160" t="str">
        <f t="shared" ref="S58" ca="1" si="91">M56&amp;"$"</f>
        <v>1$</v>
      </c>
      <c r="T58" s="161"/>
      <c r="U58" s="159">
        <f ca="1">IF($R56=2,
         IF(AND(ACOMPANHAMENTO="PLE",ISNUMBER($F56)),
                SUMIF((OFFSET(CÁLCULO!$AM$15:$AW$15,$F56,0,OFFSET(ORÇAMENTO!$D$15,CRONO!$F56,0))),CRONO!U$12,OFFSET(CÁLCULO!$AB$15:$AL$15,$F56,0,OFFSET(ORÇAMENTO!$D$15,CRONO!$F56,0)))
                +IF(AND($F58&lt;&gt;"",$F58&lt;&gt;0),
                        SUMIF(CÁLCULO!$AM$15:$AW$36,CRONO!U$12,CÁLCULO!$AB$15:$AL$36)/(ORÇAMENTO!$X$15-CÁLCULO.TotalAdmLocal)*CRONO!$F58,
                        0),
                 U57*$S56),
          SUMIF(OFFSET($S58,1,0,$R56-2),($M56+1)&amp;"$",OFFSET(U58,1,0,$R56-2)))</f>
        <v>0</v>
      </c>
      <c r="V58" s="159">
        <f ca="1">IF($R56=2,
         IF(AND(ACOMPANHAMENTO="PLE",ISNUMBER($F56)),
                SUMIF((OFFSET(CÁLCULO!$AM$15:$AW$15,$F56,0,OFFSET(ORÇAMENTO!$D$15,CRONO!$F56,0))),CRONO!V$12,OFFSET(CÁLCULO!$AB$15:$AL$15,$F56,0,OFFSET(ORÇAMENTO!$D$15,CRONO!$F56,0)))
                +IF(AND($F58&lt;&gt;"",$F58&lt;&gt;0),
                        SUMIF(CÁLCULO!$AM$15:$AW$36,CRONO!V$12,CÁLCULO!$AB$15:$AL$36)/(ORÇAMENTO!$X$15-CÁLCULO.TotalAdmLocal)*CRONO!$F58,
                        0),
                 V57*$S56),
          SUMIF(OFFSET($S58,1,0,$R56-2),($M56+1)&amp;"$",OFFSET(V58,1,0,$R56-2)))</f>
        <v>0</v>
      </c>
      <c r="W58" s="159">
        <f ca="1">IF($R56=2,
         IF(AND(ACOMPANHAMENTO="PLE",ISNUMBER($F56)),
                SUMIF((OFFSET(CÁLCULO!$AM$15:$AW$15,$F56,0,OFFSET(ORÇAMENTO!$D$15,CRONO!$F56,0))),CRONO!W$12,OFFSET(CÁLCULO!$AB$15:$AL$15,$F56,0,OFFSET(ORÇAMENTO!$D$15,CRONO!$F56,0)))
                +IF(AND($F58&lt;&gt;"",$F58&lt;&gt;0),
                        SUMIF(CÁLCULO!$AM$15:$AW$36,CRONO!W$12,CÁLCULO!$AB$15:$AL$36)/(ORÇAMENTO!$X$15-CÁLCULO.TotalAdmLocal)*CRONO!$F58,
                        0),
                 W57*$S56),
          SUMIF(OFFSET($S58,1,0,$R56-2),($M56+1)&amp;"$",OFFSET(W58,1,0,$R56-2)))</f>
        <v>0</v>
      </c>
      <c r="X58" s="159">
        <f ca="1">IF($R56=2,
         IF(AND(ACOMPANHAMENTO="PLE",ISNUMBER($F56)),
                SUMIF((OFFSET(CÁLCULO!$AM$15:$AW$15,$F56,0,OFFSET(ORÇAMENTO!$D$15,CRONO!$F56,0))),CRONO!X$12,OFFSET(CÁLCULO!$AB$15:$AL$15,$F56,0,OFFSET(ORÇAMENTO!$D$15,CRONO!$F56,0)))
                +IF(AND($F58&lt;&gt;"",$F58&lt;&gt;0),
                        SUMIF(CÁLCULO!$AM$15:$AW$36,CRONO!X$12,CÁLCULO!$AB$15:$AL$36)/(ORÇAMENTO!$X$15-CÁLCULO.TotalAdmLocal)*CRONO!$F58,
                        0),
                 X57*$S56),
          SUMIF(OFFSET($S58,1,0,$R56-2),($M56+1)&amp;"$",OFFSET(X58,1,0,$R56-2)))</f>
        <v>0</v>
      </c>
      <c r="Y58" s="159">
        <f ca="1">IF($R56=2,
         IF(AND(ACOMPANHAMENTO="PLE",ISNUMBER($F56)),
                SUMIF((OFFSET(CÁLCULO!$AM$15:$AW$15,$F56,0,OFFSET(ORÇAMENTO!$D$15,CRONO!$F56,0))),CRONO!Y$12,OFFSET(CÁLCULO!$AB$15:$AL$15,$F56,0,OFFSET(ORÇAMENTO!$D$15,CRONO!$F56,0)))
                +IF(AND($F58&lt;&gt;"",$F58&lt;&gt;0),
                        SUMIF(CÁLCULO!$AM$15:$AW$36,CRONO!Y$12,CÁLCULO!$AB$15:$AL$36)/(ORÇAMENTO!$X$15-CÁLCULO.TotalAdmLocal)*CRONO!$F58,
                        0),
                 Y57*$S56),
          SUMIF(OFFSET($S58,1,0,$R56-2),($M56+1)&amp;"$",OFFSET(Y58,1,0,$R56-2)))</f>
        <v>0</v>
      </c>
      <c r="Z58" s="159">
        <f ca="1">IF($R56=2,
         IF(AND(ACOMPANHAMENTO="PLE",ISNUMBER($F56)),
                SUMIF((OFFSET(CÁLCULO!$AM$15:$AW$15,$F56,0,OFFSET(ORÇAMENTO!$D$15,CRONO!$F56,0))),CRONO!Z$12,OFFSET(CÁLCULO!$AB$15:$AL$15,$F56,0,OFFSET(ORÇAMENTO!$D$15,CRONO!$F56,0)))
                +IF(AND($F58&lt;&gt;"",$F58&lt;&gt;0),
                        SUMIF(CÁLCULO!$AM$15:$AW$36,CRONO!Z$12,CÁLCULO!$AB$15:$AL$36)/(ORÇAMENTO!$X$15-CÁLCULO.TotalAdmLocal)*CRONO!$F58,
                        0),
                 Z57*$S56),
          SUMIF(OFFSET($S58,1,0,$R56-2),($M56+1)&amp;"$",OFFSET(Z58,1,0,$R56-2)))</f>
        <v>0</v>
      </c>
      <c r="AA58" s="159">
        <f ca="1">IF($R56=2,
         IF(AND(ACOMPANHAMENTO="PLE",ISNUMBER($F56)),
                SUMIF((OFFSET(CÁLCULO!$AM$15:$AW$15,$F56,0,OFFSET(ORÇAMENTO!$D$15,CRONO!$F56,0))),CRONO!AA$12,OFFSET(CÁLCULO!$AB$15:$AL$15,$F56,0,OFFSET(ORÇAMENTO!$D$15,CRONO!$F56,0)))
                +IF(AND($F58&lt;&gt;"",$F58&lt;&gt;0),
                        SUMIF(CÁLCULO!$AM$15:$AW$36,CRONO!AA$12,CÁLCULO!$AB$15:$AL$36)/(ORÇAMENTO!$X$15-CÁLCULO.TotalAdmLocal)*CRONO!$F58,
                        0),
                 AA57*$S56),
          SUMIF(OFFSET($S58,1,0,$R56-2),($M56+1)&amp;"$",OFFSET(AA58,1,0,$R56-2)))</f>
        <v>0</v>
      </c>
      <c r="AB58" s="159">
        <f ca="1">IF($R56=2,
         IF(AND(ACOMPANHAMENTO="PLE",ISNUMBER($F56)),
                SUMIF((OFFSET(CÁLCULO!$AM$15:$AW$15,$F56,0,OFFSET(ORÇAMENTO!$D$15,CRONO!$F56,0))),CRONO!AB$12,OFFSET(CÁLCULO!$AB$15:$AL$15,$F56,0,OFFSET(ORÇAMENTO!$D$15,CRONO!$F56,0)))
                +IF(AND($F58&lt;&gt;"",$F58&lt;&gt;0),
                        SUMIF(CÁLCULO!$AM$15:$AW$36,CRONO!AB$12,CÁLCULO!$AB$15:$AL$36)/(ORÇAMENTO!$X$15-CÁLCULO.TotalAdmLocal)*CRONO!$F58,
                        0),
                 AB57*$S56),
          SUMIF(OFFSET($S58,1,0,$R56-2),($M56+1)&amp;"$",OFFSET(AB58,1,0,$R56-2)))</f>
        <v>0</v>
      </c>
      <c r="AC58" s="159">
        <f ca="1">IF($R56=2,
         IF(AND(ACOMPANHAMENTO="PLE",ISNUMBER($F56)),
                SUMIF((OFFSET(CÁLCULO!$AM$15:$AW$15,$F56,0,OFFSET(ORÇAMENTO!$D$15,CRONO!$F56,0))),CRONO!AC$12,OFFSET(CÁLCULO!$AB$15:$AL$15,$F56,0,OFFSET(ORÇAMENTO!$D$15,CRONO!$F56,0)))
                +IF(AND($F58&lt;&gt;"",$F58&lt;&gt;0),
                        SUMIF(CÁLCULO!$AM$15:$AW$36,CRONO!AC$12,CÁLCULO!$AB$15:$AL$36)/(ORÇAMENTO!$X$15-CÁLCULO.TotalAdmLocal)*CRONO!$F58,
                        0),
                 AC57*$S56),
          SUMIF(OFFSET($S58,1,0,$R56-2),($M56+1)&amp;"$",OFFSET(AC58,1,0,$R56-2)))</f>
        <v>0</v>
      </c>
      <c r="AD58" s="159">
        <f ca="1">IF($R56=2,
         IF(AND(ACOMPANHAMENTO="PLE",ISNUMBER($F56)),
                SUMIF((OFFSET(CÁLCULO!$AM$15:$AW$15,$F56,0,OFFSET(ORÇAMENTO!$D$15,CRONO!$F56,0))),CRONO!AD$12,OFFSET(CÁLCULO!$AB$15:$AL$15,$F56,0,OFFSET(ORÇAMENTO!$D$15,CRONO!$F56,0)))
                +IF(AND($F58&lt;&gt;"",$F58&lt;&gt;0),
                        SUMIF(CÁLCULO!$AM$15:$AW$36,CRONO!AD$12,CÁLCULO!$AB$15:$AL$36)/(ORÇAMENTO!$X$15-CÁLCULO.TotalAdmLocal)*CRONO!$F58,
                        0),
                 AD57*$S56),
          SUMIF(OFFSET($S58,1,0,$R56-2),($M56+1)&amp;"$",OFFSET(AD58,1,0,$R56-2)))</f>
        <v>0</v>
      </c>
      <c r="AE58" s="159">
        <f ca="1">IF($R56=2,
         IF(AND(ACOMPANHAMENTO="PLE",ISNUMBER($F56)),
                SUMIF((OFFSET(CÁLCULO!$AM$15:$AW$15,$F56,0,OFFSET(ORÇAMENTO!$D$15,CRONO!$F56,0))),CRONO!AE$12,OFFSET(CÁLCULO!$AB$15:$AL$15,$F56,0,OFFSET(ORÇAMENTO!$D$15,CRONO!$F56,0)))
                +IF(AND($F58&lt;&gt;"",$F58&lt;&gt;0),
                        SUMIF(CÁLCULO!$AM$15:$AW$36,CRONO!AE$12,CÁLCULO!$AB$15:$AL$36)/(ORÇAMENTO!$X$15-CÁLCULO.TotalAdmLocal)*CRONO!$F58,
                        0),
                 AE57*$S56),
          SUMIF(OFFSET($S58,1,0,$R56-2),($M56+1)&amp;"$",OFFSET(AE58,1,0,$R56-2)))</f>
        <v>0</v>
      </c>
      <c r="AF58" s="159">
        <f ca="1">IF($R56=2,
         IF(AND(ACOMPANHAMENTO="PLE",ISNUMBER($F56)),
                SUMIF((OFFSET(CÁLCULO!$AM$15:$AW$15,$F56,0,OFFSET(ORÇAMENTO!$D$15,CRONO!$F56,0))),CRONO!AF$12,OFFSET(CÁLCULO!$AB$15:$AL$15,$F56,0,OFFSET(ORÇAMENTO!$D$15,CRONO!$F56,0)))
                +IF(AND($F58&lt;&gt;"",$F58&lt;&gt;0),
                        SUMIF(CÁLCULO!$AM$15:$AW$36,CRONO!AF$12,CÁLCULO!$AB$15:$AL$36)/(ORÇAMENTO!$X$15-CÁLCULO.TotalAdmLocal)*CRONO!$F58,
                        0),
                 AF57*$S56),
          SUMIF(OFFSET($S58,1,0,$R56-2),($M56+1)&amp;"$",OFFSET(AF58,1,0,$R56-2)))</f>
        <v>0</v>
      </c>
      <c r="AG58" s="444"/>
    </row>
    <row r="59" spans="1:33" hidden="1" x14ac:dyDescent="0.25">
      <c r="A59" s="145" t="str">
        <f t="shared" ref="A59" ca="1" si="92">IF($M59&gt;1,CONCATENATE($I59," ",$J59),"")</f>
        <v/>
      </c>
      <c r="B59" s="144">
        <f t="shared" ref="B59" ca="1" si="93">OFFSET(B59,-3,0)+1</f>
        <v>16</v>
      </c>
      <c r="C59" s="144">
        <f ca="1">IF($R59&lt;&gt;2,0,IF($S59=0,1,IF(F60&gt;0,OFFSET(QCI!$M$13,SUBSTITUTE(F60,".",""),0),OFFSET(ORÇAMENTO!$AA$15,CRONO!$F59,0))/$S59))</f>
        <v>1</v>
      </c>
      <c r="D59" s="144">
        <f ca="1">IF($R59&lt;&gt;2,0,IF($S59=0,1,IF(F60&gt;0,OFFSET(QCI!$N$13,SUBSTITUTE(F60,".",""),0),OFFSET(ORÇAMENTO!$AB$15,CRONO!$F59,0))/$S59))</f>
        <v>1</v>
      </c>
      <c r="E59" s="147">
        <f ca="1">IF(AND($R59=2,ACOMPANHAMENTO="BM"),ROUND(E60,4),E61/$S59)</f>
        <v>0</v>
      </c>
      <c r="F59" s="144" t="e">
        <f ca="1">IF(B59&lt;=ORÇAMENTO.MáximoListaCrono,MATCH(B59,ORÇAMENTO.ListaCrono,0),NA())</f>
        <v>#N/A</v>
      </c>
      <c r="G59" s="144" t="str">
        <f t="shared" ref="G59" ca="1" si="94">IF(AND($F60&lt;&gt;-1,$S59&gt;0),"F","")</f>
        <v/>
      </c>
      <c r="H59" s="617" t="str">
        <f ca="1">IF(OR(S59=0,S59=""),"Linha",IF(AND(OR(ACOMPANHAMENTO="PLE",$R59&lt;&gt;2),$F60=0),"Linha",ROUND(1-SUM(U59:AG59),4)))</f>
        <v>Linha</v>
      </c>
      <c r="I59" s="148">
        <f ca="1">IF($F60=0,OFFSET(ORÇAMENTO!O$15,$F59,0),IF($F60&lt;&gt;-1,OFFSET(QCI!$D$13,$F60,0),""))</f>
        <v>9</v>
      </c>
      <c r="J59" s="149" t="str">
        <f ca="1">IF($F60=0,OFFSET(ORÇAMENTO!R$15,$F59,0),IF($F60&lt;&gt;-1,OFFSET(QCI!$G$13,$F60,0),""))</f>
        <v/>
      </c>
      <c r="K59" s="149"/>
      <c r="L59" s="149"/>
      <c r="M59" s="150">
        <f ca="1">IF($F60=0,OFFSET(ORÇAMENTO!C$15,$F59,0),1)</f>
        <v>1</v>
      </c>
      <c r="N59" s="151">
        <f ca="1">IF($F60=-1,0,IF(N$13&lt;=$M59,IF(ISERROR(MATCH(N$13,OFFSET($M59,1,0,ROW($M$164)-ROW($M59)-1),0)),ROW($M$164)-ROW($M59)-1,MATCH(N$13,OFFSET($M59,1,0,ROW($M$164)-ROW($M59)-1),0)-1),0))</f>
        <v>2</v>
      </c>
      <c r="O59" s="151">
        <f ca="1">IF($F60=-1,0,IF(O$13&lt;=$M59,IF(ISERROR(MATCH(O$13,OFFSET($M59,1,0,ROW($M$164)-ROW($M59)-1),0)),ROW($M$164)-ROW($M59)-1,MATCH(O$13,OFFSET($M59,1,0,ROW($M$164)-ROW($M59)-1),0)-1),0))</f>
        <v>0</v>
      </c>
      <c r="P59" s="151">
        <f ca="1">IF($F60=-1,0,IF(P$13&lt;=$M59,IF(ISERROR(MATCH(P$13,OFFSET($M59,1,0,ROW($M$164)-ROW($M59)-1),0)),ROW($M$164)-ROW($M59)-1,MATCH(P$13,OFFSET($M59,1,0,ROW($M$164)-ROW($M59)-1),0)-1),0))</f>
        <v>0</v>
      </c>
      <c r="Q59" s="151">
        <f ca="1">IF($F60=-1,0,IF(Q$13&lt;=$M59,IF(ISERROR(MATCH(Q$13,OFFSET($M59,1,0,ROW($M$164)-ROW($M59)-1),0)),ROW($M$164)-ROW($M59)-1,MATCH(Q$13,OFFSET($M59,1,0,ROW($M$164)-ROW($M59)-1),0)-1),0))</f>
        <v>0</v>
      </c>
      <c r="R59" s="151">
        <f t="shared" ref="R59" ca="1" si="95">MIN(OFFSET(M59,0,1,,M59))</f>
        <v>2</v>
      </c>
      <c r="S59" s="152">
        <f ca="1">IF($F60=0,OFFSET(ORÇAMENTO!X$15,$F59,0),IF($F60&lt;&gt;-1,OFFSET(QCI!$O$13,$F60,0),""))</f>
        <v>0</v>
      </c>
      <c r="T59" s="618" t="s">
        <v>809</v>
      </c>
      <c r="U59" s="147">
        <f ca="1">IF(AND($R59=2,ACOMPANHAMENTO="BM"),ROUND(U60,4),U61/$S59)</f>
        <v>0</v>
      </c>
      <c r="V59" s="147">
        <f ca="1">IF(AND($R59=2,ACOMPANHAMENTO="BM"),ROUND(V60,4),V61/$S59)</f>
        <v>0</v>
      </c>
      <c r="W59" s="147">
        <f ca="1">IF(AND($R59=2,ACOMPANHAMENTO="BM"),ROUND(W60,4),W61/$S59)</f>
        <v>0</v>
      </c>
      <c r="X59" s="147">
        <f ca="1">IF(AND($R59=2,ACOMPANHAMENTO="BM"),ROUND(X60,4),X61/$S59)</f>
        <v>0</v>
      </c>
      <c r="Y59" s="147">
        <f ca="1">IF(AND($R59=2,ACOMPANHAMENTO="BM"),ROUND(Y60,4),Y61/$S59)</f>
        <v>0</v>
      </c>
      <c r="Z59" s="147">
        <f ca="1">IF(AND($R59=2,ACOMPANHAMENTO="BM"),ROUND(Z60,4),Z61/$S59)</f>
        <v>0</v>
      </c>
      <c r="AA59" s="147">
        <f ca="1">IF(AND($R59=2,ACOMPANHAMENTO="BM"),ROUND(AA60,4),AA61/$S59)</f>
        <v>0</v>
      </c>
      <c r="AB59" s="147">
        <f ca="1">IF(AND($R59=2,ACOMPANHAMENTO="BM"),ROUND(AB60,4),AB61/$S59)</f>
        <v>0</v>
      </c>
      <c r="AC59" s="147">
        <f ca="1">IF(AND($R59=2,ACOMPANHAMENTO="BM"),ROUND(AC60,4),AC61/$S59)</f>
        <v>0</v>
      </c>
      <c r="AD59" s="147">
        <f ca="1">IF(AND($R59=2,ACOMPANHAMENTO="BM"),ROUND(AD60,4),AD61/$S59)</f>
        <v>0</v>
      </c>
      <c r="AE59" s="147">
        <f ca="1">IF(AND($R59=2,ACOMPANHAMENTO="BM"),ROUND(AE60,4),AE61/$S59)</f>
        <v>0</v>
      </c>
      <c r="AF59" s="147">
        <f ca="1">IF(AND($R59=2,ACOMPANHAMENTO="BM"),ROUND(AF60,4),AF61/$S59)</f>
        <v>0</v>
      </c>
      <c r="AG59" s="444"/>
    </row>
    <row r="60" spans="1:33" ht="12.75" hidden="1" customHeight="1" x14ac:dyDescent="0.25">
      <c r="E60" s="501"/>
      <c r="F60" s="144">
        <f ca="1">IF(ISERROR(F59),IF(1+COUNTIF($M$13:OFFSET(M59,-1,0),1)&lt;=MAX(QCI!$D$13:$D$24),1+COUNTIF($M$13:OFFSET(M59,-1,0),1),-1),0)</f>
        <v>9</v>
      </c>
      <c r="G60" s="144" t="str">
        <f ca="1">IF(ACOMPANHAMENTO="BM",OFFSET(G60,-1,0),"")</f>
        <v/>
      </c>
      <c r="H60" s="153" t="str">
        <f ca="1">IF(OR(S59=0,S59=""),"vazia",IF(AND(OR(ACOMPANHAMENTO="PLE",$R59&lt;&gt;2),$F60=0),"calculada","--&gt;"))</f>
        <v>vazia</v>
      </c>
      <c r="I60" s="154"/>
      <c r="J60" s="155" t="str">
        <f t="shared" ref="J60" ca="1" si="96">IF(AND(H59&lt;&gt;0,ISNUMBER(H59)),"PREENCHA ESTA LINHA --&gt;","")</f>
        <v/>
      </c>
      <c r="K60" s="155"/>
      <c r="L60" s="155"/>
      <c r="M60" s="156"/>
      <c r="N60" s="156"/>
      <c r="O60" s="156"/>
      <c r="P60" s="156"/>
      <c r="Q60" s="156"/>
      <c r="R60" s="156"/>
      <c r="S60" s="157"/>
      <c r="T60" s="158"/>
      <c r="U60" s="501"/>
      <c r="V60" s="501"/>
      <c r="W60" s="501"/>
      <c r="X60" s="501"/>
      <c r="Y60" s="501"/>
      <c r="Z60" s="501"/>
      <c r="AA60" s="501"/>
      <c r="AB60" s="501"/>
      <c r="AC60" s="501"/>
      <c r="AD60" s="501"/>
      <c r="AE60" s="501"/>
      <c r="AF60" s="501"/>
      <c r="AG60" s="444"/>
    </row>
    <row r="61" spans="1:33" ht="12.75" hidden="1" customHeight="1" x14ac:dyDescent="0.25">
      <c r="D61" s="443"/>
      <c r="E61" s="159">
        <f ca="1">IF($R59=2,
         IF(AND(ACOMPANHAMENTO="PLE",ISNUMBER($F59)),
                SUMIF((OFFSET(CÁLCULO!$AM$15:$AW$15,$F59,0,OFFSET(ORÇAMENTO!$D$15,CRONO!$F59,0))),CRONO!E$12,OFFSET(CÁLCULO!$AB$15:$AL$15,$F59,0,OFFSET(ORÇAMENTO!$D$15,CRONO!$F59,0)))
                +IF(AND($F61&lt;&gt;"",$F61&lt;&gt;0),
                        SUMIF(CÁLCULO!$AM$15:$AW$36,CRONO!E$12,CÁLCULO!$AB$15:$AL$36)/(ORÇAMENTO!$X$15-CÁLCULO.TotalAdmLocal)*CRONO!$F61,
                        0),
                 E60*$S59),
          SUMIF(OFFSET($S61,1,0,$R59-2),($M59+1)&amp;"$",OFFSET(E61,1,0,$R59-2)))</f>
        <v>0</v>
      </c>
      <c r="F61" s="144" t="str">
        <f ca="1">IF(OR($R59&lt;&gt;2,AUTOEVENTO&lt;&gt;"manual",$F60&gt;0),"",
        IF(Import.TipoArredondamento="Tradicional",
              SUMIF(OFFSET(CÁLCULO!$M$15,CRONO!$F59,0,OFFSET(ORÇAMENTO!$D$15,CRONO!$F59,0)),1,OFFSET(ORÇAMENTO!$X$15,CRONO!$F59,0,OFFSET(ORÇAMENTO!$D$15,CRONO!$F59,0))),
              0))</f>
        <v/>
      </c>
      <c r="H61" s="530"/>
      <c r="S61" s="160" t="str">
        <f t="shared" ref="S61" ca="1" si="97">M59&amp;"$"</f>
        <v>1$</v>
      </c>
      <c r="T61" s="161"/>
      <c r="U61" s="159">
        <f ca="1">IF($R59=2,
         IF(AND(ACOMPANHAMENTO="PLE",ISNUMBER($F59)),
                SUMIF((OFFSET(CÁLCULO!$AM$15:$AW$15,$F59,0,OFFSET(ORÇAMENTO!$D$15,CRONO!$F59,0))),CRONO!U$12,OFFSET(CÁLCULO!$AB$15:$AL$15,$F59,0,OFFSET(ORÇAMENTO!$D$15,CRONO!$F59,0)))
                +IF(AND($F61&lt;&gt;"",$F61&lt;&gt;0),
                        SUMIF(CÁLCULO!$AM$15:$AW$36,CRONO!U$12,CÁLCULO!$AB$15:$AL$36)/(ORÇAMENTO!$X$15-CÁLCULO.TotalAdmLocal)*CRONO!$F61,
                        0),
                 U60*$S59),
          SUMIF(OFFSET($S61,1,0,$R59-2),($M59+1)&amp;"$",OFFSET(U61,1,0,$R59-2)))</f>
        <v>0</v>
      </c>
      <c r="V61" s="159">
        <f ca="1">IF($R59=2,
         IF(AND(ACOMPANHAMENTO="PLE",ISNUMBER($F59)),
                SUMIF((OFFSET(CÁLCULO!$AM$15:$AW$15,$F59,0,OFFSET(ORÇAMENTO!$D$15,CRONO!$F59,0))),CRONO!V$12,OFFSET(CÁLCULO!$AB$15:$AL$15,$F59,0,OFFSET(ORÇAMENTO!$D$15,CRONO!$F59,0)))
                +IF(AND($F61&lt;&gt;"",$F61&lt;&gt;0),
                        SUMIF(CÁLCULO!$AM$15:$AW$36,CRONO!V$12,CÁLCULO!$AB$15:$AL$36)/(ORÇAMENTO!$X$15-CÁLCULO.TotalAdmLocal)*CRONO!$F61,
                        0),
                 V60*$S59),
          SUMIF(OFFSET($S61,1,0,$R59-2),($M59+1)&amp;"$",OFFSET(V61,1,0,$R59-2)))</f>
        <v>0</v>
      </c>
      <c r="W61" s="159">
        <f ca="1">IF($R59=2,
         IF(AND(ACOMPANHAMENTO="PLE",ISNUMBER($F59)),
                SUMIF((OFFSET(CÁLCULO!$AM$15:$AW$15,$F59,0,OFFSET(ORÇAMENTO!$D$15,CRONO!$F59,0))),CRONO!W$12,OFFSET(CÁLCULO!$AB$15:$AL$15,$F59,0,OFFSET(ORÇAMENTO!$D$15,CRONO!$F59,0)))
                +IF(AND($F61&lt;&gt;"",$F61&lt;&gt;0),
                        SUMIF(CÁLCULO!$AM$15:$AW$36,CRONO!W$12,CÁLCULO!$AB$15:$AL$36)/(ORÇAMENTO!$X$15-CÁLCULO.TotalAdmLocal)*CRONO!$F61,
                        0),
                 W60*$S59),
          SUMIF(OFFSET($S61,1,0,$R59-2),($M59+1)&amp;"$",OFFSET(W61,1,0,$R59-2)))</f>
        <v>0</v>
      </c>
      <c r="X61" s="159">
        <f ca="1">IF($R59=2,
         IF(AND(ACOMPANHAMENTO="PLE",ISNUMBER($F59)),
                SUMIF((OFFSET(CÁLCULO!$AM$15:$AW$15,$F59,0,OFFSET(ORÇAMENTO!$D$15,CRONO!$F59,0))),CRONO!X$12,OFFSET(CÁLCULO!$AB$15:$AL$15,$F59,0,OFFSET(ORÇAMENTO!$D$15,CRONO!$F59,0)))
                +IF(AND($F61&lt;&gt;"",$F61&lt;&gt;0),
                        SUMIF(CÁLCULO!$AM$15:$AW$36,CRONO!X$12,CÁLCULO!$AB$15:$AL$36)/(ORÇAMENTO!$X$15-CÁLCULO.TotalAdmLocal)*CRONO!$F61,
                        0),
                 X60*$S59),
          SUMIF(OFFSET($S61,1,0,$R59-2),($M59+1)&amp;"$",OFFSET(X61,1,0,$R59-2)))</f>
        <v>0</v>
      </c>
      <c r="Y61" s="159">
        <f ca="1">IF($R59=2,
         IF(AND(ACOMPANHAMENTO="PLE",ISNUMBER($F59)),
                SUMIF((OFFSET(CÁLCULO!$AM$15:$AW$15,$F59,0,OFFSET(ORÇAMENTO!$D$15,CRONO!$F59,0))),CRONO!Y$12,OFFSET(CÁLCULO!$AB$15:$AL$15,$F59,0,OFFSET(ORÇAMENTO!$D$15,CRONO!$F59,0)))
                +IF(AND($F61&lt;&gt;"",$F61&lt;&gt;0),
                        SUMIF(CÁLCULO!$AM$15:$AW$36,CRONO!Y$12,CÁLCULO!$AB$15:$AL$36)/(ORÇAMENTO!$X$15-CÁLCULO.TotalAdmLocal)*CRONO!$F61,
                        0),
                 Y60*$S59),
          SUMIF(OFFSET($S61,1,0,$R59-2),($M59+1)&amp;"$",OFFSET(Y61,1,0,$R59-2)))</f>
        <v>0</v>
      </c>
      <c r="Z61" s="159">
        <f ca="1">IF($R59=2,
         IF(AND(ACOMPANHAMENTO="PLE",ISNUMBER($F59)),
                SUMIF((OFFSET(CÁLCULO!$AM$15:$AW$15,$F59,0,OFFSET(ORÇAMENTO!$D$15,CRONO!$F59,0))),CRONO!Z$12,OFFSET(CÁLCULO!$AB$15:$AL$15,$F59,0,OFFSET(ORÇAMENTO!$D$15,CRONO!$F59,0)))
                +IF(AND($F61&lt;&gt;"",$F61&lt;&gt;0),
                        SUMIF(CÁLCULO!$AM$15:$AW$36,CRONO!Z$12,CÁLCULO!$AB$15:$AL$36)/(ORÇAMENTO!$X$15-CÁLCULO.TotalAdmLocal)*CRONO!$F61,
                        0),
                 Z60*$S59),
          SUMIF(OFFSET($S61,1,0,$R59-2),($M59+1)&amp;"$",OFFSET(Z61,1,0,$R59-2)))</f>
        <v>0</v>
      </c>
      <c r="AA61" s="159">
        <f ca="1">IF($R59=2,
         IF(AND(ACOMPANHAMENTO="PLE",ISNUMBER($F59)),
                SUMIF((OFFSET(CÁLCULO!$AM$15:$AW$15,$F59,0,OFFSET(ORÇAMENTO!$D$15,CRONO!$F59,0))),CRONO!AA$12,OFFSET(CÁLCULO!$AB$15:$AL$15,$F59,0,OFFSET(ORÇAMENTO!$D$15,CRONO!$F59,0)))
                +IF(AND($F61&lt;&gt;"",$F61&lt;&gt;0),
                        SUMIF(CÁLCULO!$AM$15:$AW$36,CRONO!AA$12,CÁLCULO!$AB$15:$AL$36)/(ORÇAMENTO!$X$15-CÁLCULO.TotalAdmLocal)*CRONO!$F61,
                        0),
                 AA60*$S59),
          SUMIF(OFFSET($S61,1,0,$R59-2),($M59+1)&amp;"$",OFFSET(AA61,1,0,$R59-2)))</f>
        <v>0</v>
      </c>
      <c r="AB61" s="159">
        <f ca="1">IF($R59=2,
         IF(AND(ACOMPANHAMENTO="PLE",ISNUMBER($F59)),
                SUMIF((OFFSET(CÁLCULO!$AM$15:$AW$15,$F59,0,OFFSET(ORÇAMENTO!$D$15,CRONO!$F59,0))),CRONO!AB$12,OFFSET(CÁLCULO!$AB$15:$AL$15,$F59,0,OFFSET(ORÇAMENTO!$D$15,CRONO!$F59,0)))
                +IF(AND($F61&lt;&gt;"",$F61&lt;&gt;0),
                        SUMIF(CÁLCULO!$AM$15:$AW$36,CRONO!AB$12,CÁLCULO!$AB$15:$AL$36)/(ORÇAMENTO!$X$15-CÁLCULO.TotalAdmLocal)*CRONO!$F61,
                        0),
                 AB60*$S59),
          SUMIF(OFFSET($S61,1,0,$R59-2),($M59+1)&amp;"$",OFFSET(AB61,1,0,$R59-2)))</f>
        <v>0</v>
      </c>
      <c r="AC61" s="159">
        <f ca="1">IF($R59=2,
         IF(AND(ACOMPANHAMENTO="PLE",ISNUMBER($F59)),
                SUMIF((OFFSET(CÁLCULO!$AM$15:$AW$15,$F59,0,OFFSET(ORÇAMENTO!$D$15,CRONO!$F59,0))),CRONO!AC$12,OFFSET(CÁLCULO!$AB$15:$AL$15,$F59,0,OFFSET(ORÇAMENTO!$D$15,CRONO!$F59,0)))
                +IF(AND($F61&lt;&gt;"",$F61&lt;&gt;0),
                        SUMIF(CÁLCULO!$AM$15:$AW$36,CRONO!AC$12,CÁLCULO!$AB$15:$AL$36)/(ORÇAMENTO!$X$15-CÁLCULO.TotalAdmLocal)*CRONO!$F61,
                        0),
                 AC60*$S59),
          SUMIF(OFFSET($S61,1,0,$R59-2),($M59+1)&amp;"$",OFFSET(AC61,1,0,$R59-2)))</f>
        <v>0</v>
      </c>
      <c r="AD61" s="159">
        <f ca="1">IF($R59=2,
         IF(AND(ACOMPANHAMENTO="PLE",ISNUMBER($F59)),
                SUMIF((OFFSET(CÁLCULO!$AM$15:$AW$15,$F59,0,OFFSET(ORÇAMENTO!$D$15,CRONO!$F59,0))),CRONO!AD$12,OFFSET(CÁLCULO!$AB$15:$AL$15,$F59,0,OFFSET(ORÇAMENTO!$D$15,CRONO!$F59,0)))
                +IF(AND($F61&lt;&gt;"",$F61&lt;&gt;0),
                        SUMIF(CÁLCULO!$AM$15:$AW$36,CRONO!AD$12,CÁLCULO!$AB$15:$AL$36)/(ORÇAMENTO!$X$15-CÁLCULO.TotalAdmLocal)*CRONO!$F61,
                        0),
                 AD60*$S59),
          SUMIF(OFFSET($S61,1,0,$R59-2),($M59+1)&amp;"$",OFFSET(AD61,1,0,$R59-2)))</f>
        <v>0</v>
      </c>
      <c r="AE61" s="159">
        <f ca="1">IF($R59=2,
         IF(AND(ACOMPANHAMENTO="PLE",ISNUMBER($F59)),
                SUMIF((OFFSET(CÁLCULO!$AM$15:$AW$15,$F59,0,OFFSET(ORÇAMENTO!$D$15,CRONO!$F59,0))),CRONO!AE$12,OFFSET(CÁLCULO!$AB$15:$AL$15,$F59,0,OFFSET(ORÇAMENTO!$D$15,CRONO!$F59,0)))
                +IF(AND($F61&lt;&gt;"",$F61&lt;&gt;0),
                        SUMIF(CÁLCULO!$AM$15:$AW$36,CRONO!AE$12,CÁLCULO!$AB$15:$AL$36)/(ORÇAMENTO!$X$15-CÁLCULO.TotalAdmLocal)*CRONO!$F61,
                        0),
                 AE60*$S59),
          SUMIF(OFFSET($S61,1,0,$R59-2),($M59+1)&amp;"$",OFFSET(AE61,1,0,$R59-2)))</f>
        <v>0</v>
      </c>
      <c r="AF61" s="159">
        <f ca="1">IF($R59=2,
         IF(AND(ACOMPANHAMENTO="PLE",ISNUMBER($F59)),
                SUMIF((OFFSET(CÁLCULO!$AM$15:$AW$15,$F59,0,OFFSET(ORÇAMENTO!$D$15,CRONO!$F59,0))),CRONO!AF$12,OFFSET(CÁLCULO!$AB$15:$AL$15,$F59,0,OFFSET(ORÇAMENTO!$D$15,CRONO!$F59,0)))
                +IF(AND($F61&lt;&gt;"",$F61&lt;&gt;0),
                        SUMIF(CÁLCULO!$AM$15:$AW$36,CRONO!AF$12,CÁLCULO!$AB$15:$AL$36)/(ORÇAMENTO!$X$15-CÁLCULO.TotalAdmLocal)*CRONO!$F61,
                        0),
                 AF60*$S59),
          SUMIF(OFFSET($S61,1,0,$R59-2),($M59+1)&amp;"$",OFFSET(AF61,1,0,$R59-2)))</f>
        <v>0</v>
      </c>
      <c r="AG61" s="444"/>
    </row>
    <row r="62" spans="1:33" hidden="1" x14ac:dyDescent="0.25">
      <c r="A62" s="145" t="str">
        <f t="shared" ref="A62" ca="1" si="98">IF($M62&gt;1,CONCATENATE($I62," ",$J62),"")</f>
        <v/>
      </c>
      <c r="B62" s="144">
        <f t="shared" ref="B62" ca="1" si="99">OFFSET(B62,-3,0)+1</f>
        <v>17</v>
      </c>
      <c r="C62" s="144">
        <f ca="1">IF($R62&lt;&gt;2,0,IF($S62=0,1,IF(F63&gt;0,OFFSET(QCI!$M$13,SUBSTITUTE(F63,".",""),0),OFFSET(ORÇAMENTO!$AA$15,CRONO!$F62,0))/$S62))</f>
        <v>1</v>
      </c>
      <c r="D62" s="144">
        <f ca="1">IF($R62&lt;&gt;2,0,IF($S62=0,1,IF(F63&gt;0,OFFSET(QCI!$N$13,SUBSTITUTE(F63,".",""),0),OFFSET(ORÇAMENTO!$AB$15,CRONO!$F62,0))/$S62))</f>
        <v>1</v>
      </c>
      <c r="E62" s="147">
        <f ca="1">IF(AND($R62=2,ACOMPANHAMENTO="BM"),ROUND(E63,4),E64/$S62)</f>
        <v>0</v>
      </c>
      <c r="F62" s="144" t="e">
        <f ca="1">IF(B62&lt;=ORÇAMENTO.MáximoListaCrono,MATCH(B62,ORÇAMENTO.ListaCrono,0),NA())</f>
        <v>#N/A</v>
      </c>
      <c r="G62" s="144" t="str">
        <f t="shared" ref="G62" ca="1" si="100">IF(AND($F63&lt;&gt;-1,$S62&gt;0),"F","")</f>
        <v/>
      </c>
      <c r="H62" s="617" t="str">
        <f ca="1">IF(OR(S62=0,S62=""),"Linha",IF(AND(OR(ACOMPANHAMENTO="PLE",$R62&lt;&gt;2),$F63=0),"Linha",ROUND(1-SUM(U62:AG62),4)))</f>
        <v>Linha</v>
      </c>
      <c r="I62" s="148">
        <f ca="1">IF($F63=0,OFFSET(ORÇAMENTO!O$15,$F62,0),IF($F63&lt;&gt;-1,OFFSET(QCI!$D$13,$F63,0),""))</f>
        <v>10</v>
      </c>
      <c r="J62" s="149" t="str">
        <f ca="1">IF($F63=0,OFFSET(ORÇAMENTO!R$15,$F62,0),IF($F63&lt;&gt;-1,OFFSET(QCI!$G$13,$F63,0),""))</f>
        <v/>
      </c>
      <c r="K62" s="149"/>
      <c r="L62" s="149"/>
      <c r="M62" s="150">
        <f ca="1">IF($F63=0,OFFSET(ORÇAMENTO!C$15,$F62,0),1)</f>
        <v>1</v>
      </c>
      <c r="N62" s="151">
        <f ca="1">IF($F63=-1,0,IF(N$13&lt;=$M62,IF(ISERROR(MATCH(N$13,OFFSET($M62,1,0,ROW($M$164)-ROW($M62)-1),0)),ROW($M$164)-ROW($M62)-1,MATCH(N$13,OFFSET($M62,1,0,ROW($M$164)-ROW($M62)-1),0)-1),0))</f>
        <v>2</v>
      </c>
      <c r="O62" s="151">
        <f ca="1">IF($F63=-1,0,IF(O$13&lt;=$M62,IF(ISERROR(MATCH(O$13,OFFSET($M62,1,0,ROW($M$164)-ROW($M62)-1),0)),ROW($M$164)-ROW($M62)-1,MATCH(O$13,OFFSET($M62,1,0,ROW($M$164)-ROW($M62)-1),0)-1),0))</f>
        <v>0</v>
      </c>
      <c r="P62" s="151">
        <f ca="1">IF($F63=-1,0,IF(P$13&lt;=$M62,IF(ISERROR(MATCH(P$13,OFFSET($M62,1,0,ROW($M$164)-ROW($M62)-1),0)),ROW($M$164)-ROW($M62)-1,MATCH(P$13,OFFSET($M62,1,0,ROW($M$164)-ROW($M62)-1),0)-1),0))</f>
        <v>0</v>
      </c>
      <c r="Q62" s="151">
        <f ca="1">IF($F63=-1,0,IF(Q$13&lt;=$M62,IF(ISERROR(MATCH(Q$13,OFFSET($M62,1,0,ROW($M$164)-ROW($M62)-1),0)),ROW($M$164)-ROW($M62)-1,MATCH(Q$13,OFFSET($M62,1,0,ROW($M$164)-ROW($M62)-1),0)-1),0))</f>
        <v>0</v>
      </c>
      <c r="R62" s="151">
        <f t="shared" ref="R62" ca="1" si="101">MIN(OFFSET(M62,0,1,,M62))</f>
        <v>2</v>
      </c>
      <c r="S62" s="152">
        <f ca="1">IF($F63=0,OFFSET(ORÇAMENTO!X$15,$F62,0),IF($F63&lt;&gt;-1,OFFSET(QCI!$O$13,$F63,0),""))</f>
        <v>0</v>
      </c>
      <c r="T62" s="618" t="s">
        <v>809</v>
      </c>
      <c r="U62" s="147">
        <f ca="1">IF(AND($R62=2,ACOMPANHAMENTO="BM"),ROUND(U63,4),U64/$S62)</f>
        <v>0</v>
      </c>
      <c r="V62" s="147">
        <f ca="1">IF(AND($R62=2,ACOMPANHAMENTO="BM"),ROUND(V63,4),V64/$S62)</f>
        <v>0</v>
      </c>
      <c r="W62" s="147">
        <f ca="1">IF(AND($R62=2,ACOMPANHAMENTO="BM"),ROUND(W63,4),W64/$S62)</f>
        <v>0</v>
      </c>
      <c r="X62" s="147">
        <f ca="1">IF(AND($R62=2,ACOMPANHAMENTO="BM"),ROUND(X63,4),X64/$S62)</f>
        <v>0</v>
      </c>
      <c r="Y62" s="147">
        <f ca="1">IF(AND($R62=2,ACOMPANHAMENTO="BM"),ROUND(Y63,4),Y64/$S62)</f>
        <v>0</v>
      </c>
      <c r="Z62" s="147">
        <f ca="1">IF(AND($R62=2,ACOMPANHAMENTO="BM"),ROUND(Z63,4),Z64/$S62)</f>
        <v>0</v>
      </c>
      <c r="AA62" s="147">
        <f ca="1">IF(AND($R62=2,ACOMPANHAMENTO="BM"),ROUND(AA63,4),AA64/$S62)</f>
        <v>0</v>
      </c>
      <c r="AB62" s="147">
        <f ca="1">IF(AND($R62=2,ACOMPANHAMENTO="BM"),ROUND(AB63,4),AB64/$S62)</f>
        <v>0</v>
      </c>
      <c r="AC62" s="147">
        <f ca="1">IF(AND($R62=2,ACOMPANHAMENTO="BM"),ROUND(AC63,4),AC64/$S62)</f>
        <v>0</v>
      </c>
      <c r="AD62" s="147">
        <f ca="1">IF(AND($R62=2,ACOMPANHAMENTO="BM"),ROUND(AD63,4),AD64/$S62)</f>
        <v>0</v>
      </c>
      <c r="AE62" s="147">
        <f ca="1">IF(AND($R62=2,ACOMPANHAMENTO="BM"),ROUND(AE63,4),AE64/$S62)</f>
        <v>0</v>
      </c>
      <c r="AF62" s="147">
        <f ca="1">IF(AND($R62=2,ACOMPANHAMENTO="BM"),ROUND(AF63,4),AF64/$S62)</f>
        <v>0</v>
      </c>
      <c r="AG62" s="444"/>
    </row>
    <row r="63" spans="1:33" ht="12.75" hidden="1" customHeight="1" x14ac:dyDescent="0.25">
      <c r="E63" s="501"/>
      <c r="F63" s="144">
        <f ca="1">IF(ISERROR(F62),IF(1+COUNTIF($M$13:OFFSET(M62,-1,0),1)&lt;=MAX(QCI!$D$13:$D$24),1+COUNTIF($M$13:OFFSET(M62,-1,0),1),-1),0)</f>
        <v>10</v>
      </c>
      <c r="G63" s="144" t="str">
        <f ca="1">IF(ACOMPANHAMENTO="BM",OFFSET(G63,-1,0),"")</f>
        <v/>
      </c>
      <c r="H63" s="153" t="str">
        <f ca="1">IF(OR(S62=0,S62=""),"vazia",IF(AND(OR(ACOMPANHAMENTO="PLE",$R62&lt;&gt;2),$F63=0),"calculada","--&gt;"))</f>
        <v>vazia</v>
      </c>
      <c r="I63" s="154"/>
      <c r="J63" s="155" t="str">
        <f t="shared" ref="J63" ca="1" si="102">IF(AND(H62&lt;&gt;0,ISNUMBER(H62)),"PREENCHA ESTA LINHA --&gt;","")</f>
        <v/>
      </c>
      <c r="K63" s="155"/>
      <c r="L63" s="155"/>
      <c r="M63" s="156"/>
      <c r="N63" s="156"/>
      <c r="O63" s="156"/>
      <c r="P63" s="156"/>
      <c r="Q63" s="156"/>
      <c r="R63" s="156"/>
      <c r="S63" s="157"/>
      <c r="T63" s="158"/>
      <c r="U63" s="501"/>
      <c r="V63" s="501"/>
      <c r="W63" s="501"/>
      <c r="X63" s="501"/>
      <c r="Y63" s="501"/>
      <c r="Z63" s="501"/>
      <c r="AA63" s="501"/>
      <c r="AB63" s="501"/>
      <c r="AC63" s="501"/>
      <c r="AD63" s="501"/>
      <c r="AE63" s="501"/>
      <c r="AF63" s="501"/>
      <c r="AG63" s="444"/>
    </row>
    <row r="64" spans="1:33" ht="12.75" hidden="1" customHeight="1" x14ac:dyDescent="0.25">
      <c r="D64" s="443"/>
      <c r="E64" s="159">
        <f ca="1">IF($R62=2,
         IF(AND(ACOMPANHAMENTO="PLE",ISNUMBER($F62)),
                SUMIF((OFFSET(CÁLCULO!$AM$15:$AW$15,$F62,0,OFFSET(ORÇAMENTO!$D$15,CRONO!$F62,0))),CRONO!E$12,OFFSET(CÁLCULO!$AB$15:$AL$15,$F62,0,OFFSET(ORÇAMENTO!$D$15,CRONO!$F62,0)))
                +IF(AND($F64&lt;&gt;"",$F64&lt;&gt;0),
                        SUMIF(CÁLCULO!$AM$15:$AW$36,CRONO!E$12,CÁLCULO!$AB$15:$AL$36)/(ORÇAMENTO!$X$15-CÁLCULO.TotalAdmLocal)*CRONO!$F64,
                        0),
                 E63*$S62),
          SUMIF(OFFSET($S64,1,0,$R62-2),($M62+1)&amp;"$",OFFSET(E64,1,0,$R62-2)))</f>
        <v>0</v>
      </c>
      <c r="F64" s="144" t="str">
        <f ca="1">IF(OR($R62&lt;&gt;2,AUTOEVENTO&lt;&gt;"manual",$F63&gt;0),"",
        IF(Import.TipoArredondamento="Tradicional",
              SUMIF(OFFSET(CÁLCULO!$M$15,CRONO!$F62,0,OFFSET(ORÇAMENTO!$D$15,CRONO!$F62,0)),1,OFFSET(ORÇAMENTO!$X$15,CRONO!$F62,0,OFFSET(ORÇAMENTO!$D$15,CRONO!$F62,0))),
              0))</f>
        <v/>
      </c>
      <c r="H64" s="530"/>
      <c r="S64" s="160" t="str">
        <f t="shared" ref="S64" ca="1" si="103">M62&amp;"$"</f>
        <v>1$</v>
      </c>
      <c r="T64" s="161"/>
      <c r="U64" s="159">
        <f ca="1">IF($R62=2,
         IF(AND(ACOMPANHAMENTO="PLE",ISNUMBER($F62)),
                SUMIF((OFFSET(CÁLCULO!$AM$15:$AW$15,$F62,0,OFFSET(ORÇAMENTO!$D$15,CRONO!$F62,0))),CRONO!U$12,OFFSET(CÁLCULO!$AB$15:$AL$15,$F62,0,OFFSET(ORÇAMENTO!$D$15,CRONO!$F62,0)))
                +IF(AND($F64&lt;&gt;"",$F64&lt;&gt;0),
                        SUMIF(CÁLCULO!$AM$15:$AW$36,CRONO!U$12,CÁLCULO!$AB$15:$AL$36)/(ORÇAMENTO!$X$15-CÁLCULO.TotalAdmLocal)*CRONO!$F64,
                        0),
                 U63*$S62),
          SUMIF(OFFSET($S64,1,0,$R62-2),($M62+1)&amp;"$",OFFSET(U64,1,0,$R62-2)))</f>
        <v>0</v>
      </c>
      <c r="V64" s="159">
        <f ca="1">IF($R62=2,
         IF(AND(ACOMPANHAMENTO="PLE",ISNUMBER($F62)),
                SUMIF((OFFSET(CÁLCULO!$AM$15:$AW$15,$F62,0,OFFSET(ORÇAMENTO!$D$15,CRONO!$F62,0))),CRONO!V$12,OFFSET(CÁLCULO!$AB$15:$AL$15,$F62,0,OFFSET(ORÇAMENTO!$D$15,CRONO!$F62,0)))
                +IF(AND($F64&lt;&gt;"",$F64&lt;&gt;0),
                        SUMIF(CÁLCULO!$AM$15:$AW$36,CRONO!V$12,CÁLCULO!$AB$15:$AL$36)/(ORÇAMENTO!$X$15-CÁLCULO.TotalAdmLocal)*CRONO!$F64,
                        0),
                 V63*$S62),
          SUMIF(OFFSET($S64,1,0,$R62-2),($M62+1)&amp;"$",OFFSET(V64,1,0,$R62-2)))</f>
        <v>0</v>
      </c>
      <c r="W64" s="159">
        <f ca="1">IF($R62=2,
         IF(AND(ACOMPANHAMENTO="PLE",ISNUMBER($F62)),
                SUMIF((OFFSET(CÁLCULO!$AM$15:$AW$15,$F62,0,OFFSET(ORÇAMENTO!$D$15,CRONO!$F62,0))),CRONO!W$12,OFFSET(CÁLCULO!$AB$15:$AL$15,$F62,0,OFFSET(ORÇAMENTO!$D$15,CRONO!$F62,0)))
                +IF(AND($F64&lt;&gt;"",$F64&lt;&gt;0),
                        SUMIF(CÁLCULO!$AM$15:$AW$36,CRONO!W$12,CÁLCULO!$AB$15:$AL$36)/(ORÇAMENTO!$X$15-CÁLCULO.TotalAdmLocal)*CRONO!$F64,
                        0),
                 W63*$S62),
          SUMIF(OFFSET($S64,1,0,$R62-2),($M62+1)&amp;"$",OFFSET(W64,1,0,$R62-2)))</f>
        <v>0</v>
      </c>
      <c r="X64" s="159">
        <f ca="1">IF($R62=2,
         IF(AND(ACOMPANHAMENTO="PLE",ISNUMBER($F62)),
                SUMIF((OFFSET(CÁLCULO!$AM$15:$AW$15,$F62,0,OFFSET(ORÇAMENTO!$D$15,CRONO!$F62,0))),CRONO!X$12,OFFSET(CÁLCULO!$AB$15:$AL$15,$F62,0,OFFSET(ORÇAMENTO!$D$15,CRONO!$F62,0)))
                +IF(AND($F64&lt;&gt;"",$F64&lt;&gt;0),
                        SUMIF(CÁLCULO!$AM$15:$AW$36,CRONO!X$12,CÁLCULO!$AB$15:$AL$36)/(ORÇAMENTO!$X$15-CÁLCULO.TotalAdmLocal)*CRONO!$F64,
                        0),
                 X63*$S62),
          SUMIF(OFFSET($S64,1,0,$R62-2),($M62+1)&amp;"$",OFFSET(X64,1,0,$R62-2)))</f>
        <v>0</v>
      </c>
      <c r="Y64" s="159">
        <f ca="1">IF($R62=2,
         IF(AND(ACOMPANHAMENTO="PLE",ISNUMBER($F62)),
                SUMIF((OFFSET(CÁLCULO!$AM$15:$AW$15,$F62,0,OFFSET(ORÇAMENTO!$D$15,CRONO!$F62,0))),CRONO!Y$12,OFFSET(CÁLCULO!$AB$15:$AL$15,$F62,0,OFFSET(ORÇAMENTO!$D$15,CRONO!$F62,0)))
                +IF(AND($F64&lt;&gt;"",$F64&lt;&gt;0),
                        SUMIF(CÁLCULO!$AM$15:$AW$36,CRONO!Y$12,CÁLCULO!$AB$15:$AL$36)/(ORÇAMENTO!$X$15-CÁLCULO.TotalAdmLocal)*CRONO!$F64,
                        0),
                 Y63*$S62),
          SUMIF(OFFSET($S64,1,0,$R62-2),($M62+1)&amp;"$",OFFSET(Y64,1,0,$R62-2)))</f>
        <v>0</v>
      </c>
      <c r="Z64" s="159">
        <f ca="1">IF($R62=2,
         IF(AND(ACOMPANHAMENTO="PLE",ISNUMBER($F62)),
                SUMIF((OFFSET(CÁLCULO!$AM$15:$AW$15,$F62,0,OFFSET(ORÇAMENTO!$D$15,CRONO!$F62,0))),CRONO!Z$12,OFFSET(CÁLCULO!$AB$15:$AL$15,$F62,0,OFFSET(ORÇAMENTO!$D$15,CRONO!$F62,0)))
                +IF(AND($F64&lt;&gt;"",$F64&lt;&gt;0),
                        SUMIF(CÁLCULO!$AM$15:$AW$36,CRONO!Z$12,CÁLCULO!$AB$15:$AL$36)/(ORÇAMENTO!$X$15-CÁLCULO.TotalAdmLocal)*CRONO!$F64,
                        0),
                 Z63*$S62),
          SUMIF(OFFSET($S64,1,0,$R62-2),($M62+1)&amp;"$",OFFSET(Z64,1,0,$R62-2)))</f>
        <v>0</v>
      </c>
      <c r="AA64" s="159">
        <f ca="1">IF($R62=2,
         IF(AND(ACOMPANHAMENTO="PLE",ISNUMBER($F62)),
                SUMIF((OFFSET(CÁLCULO!$AM$15:$AW$15,$F62,0,OFFSET(ORÇAMENTO!$D$15,CRONO!$F62,0))),CRONO!AA$12,OFFSET(CÁLCULO!$AB$15:$AL$15,$F62,0,OFFSET(ORÇAMENTO!$D$15,CRONO!$F62,0)))
                +IF(AND($F64&lt;&gt;"",$F64&lt;&gt;0),
                        SUMIF(CÁLCULO!$AM$15:$AW$36,CRONO!AA$12,CÁLCULO!$AB$15:$AL$36)/(ORÇAMENTO!$X$15-CÁLCULO.TotalAdmLocal)*CRONO!$F64,
                        0),
                 AA63*$S62),
          SUMIF(OFFSET($S64,1,0,$R62-2),($M62+1)&amp;"$",OFFSET(AA64,1,0,$R62-2)))</f>
        <v>0</v>
      </c>
      <c r="AB64" s="159">
        <f ca="1">IF($R62=2,
         IF(AND(ACOMPANHAMENTO="PLE",ISNUMBER($F62)),
                SUMIF((OFFSET(CÁLCULO!$AM$15:$AW$15,$F62,0,OFFSET(ORÇAMENTO!$D$15,CRONO!$F62,0))),CRONO!AB$12,OFFSET(CÁLCULO!$AB$15:$AL$15,$F62,0,OFFSET(ORÇAMENTO!$D$15,CRONO!$F62,0)))
                +IF(AND($F64&lt;&gt;"",$F64&lt;&gt;0),
                        SUMIF(CÁLCULO!$AM$15:$AW$36,CRONO!AB$12,CÁLCULO!$AB$15:$AL$36)/(ORÇAMENTO!$X$15-CÁLCULO.TotalAdmLocal)*CRONO!$F64,
                        0),
                 AB63*$S62),
          SUMIF(OFFSET($S64,1,0,$R62-2),($M62+1)&amp;"$",OFFSET(AB64,1,0,$R62-2)))</f>
        <v>0</v>
      </c>
      <c r="AC64" s="159">
        <f ca="1">IF($R62=2,
         IF(AND(ACOMPANHAMENTO="PLE",ISNUMBER($F62)),
                SUMIF((OFFSET(CÁLCULO!$AM$15:$AW$15,$F62,0,OFFSET(ORÇAMENTO!$D$15,CRONO!$F62,0))),CRONO!AC$12,OFFSET(CÁLCULO!$AB$15:$AL$15,$F62,0,OFFSET(ORÇAMENTO!$D$15,CRONO!$F62,0)))
                +IF(AND($F64&lt;&gt;"",$F64&lt;&gt;0),
                        SUMIF(CÁLCULO!$AM$15:$AW$36,CRONO!AC$12,CÁLCULO!$AB$15:$AL$36)/(ORÇAMENTO!$X$15-CÁLCULO.TotalAdmLocal)*CRONO!$F64,
                        0),
                 AC63*$S62),
          SUMIF(OFFSET($S64,1,0,$R62-2),($M62+1)&amp;"$",OFFSET(AC64,1,0,$R62-2)))</f>
        <v>0</v>
      </c>
      <c r="AD64" s="159">
        <f ca="1">IF($R62=2,
         IF(AND(ACOMPANHAMENTO="PLE",ISNUMBER($F62)),
                SUMIF((OFFSET(CÁLCULO!$AM$15:$AW$15,$F62,0,OFFSET(ORÇAMENTO!$D$15,CRONO!$F62,0))),CRONO!AD$12,OFFSET(CÁLCULO!$AB$15:$AL$15,$F62,0,OFFSET(ORÇAMENTO!$D$15,CRONO!$F62,0)))
                +IF(AND($F64&lt;&gt;"",$F64&lt;&gt;0),
                        SUMIF(CÁLCULO!$AM$15:$AW$36,CRONO!AD$12,CÁLCULO!$AB$15:$AL$36)/(ORÇAMENTO!$X$15-CÁLCULO.TotalAdmLocal)*CRONO!$F64,
                        0),
                 AD63*$S62),
          SUMIF(OFFSET($S64,1,0,$R62-2),($M62+1)&amp;"$",OFFSET(AD64,1,0,$R62-2)))</f>
        <v>0</v>
      </c>
      <c r="AE64" s="159">
        <f ca="1">IF($R62=2,
         IF(AND(ACOMPANHAMENTO="PLE",ISNUMBER($F62)),
                SUMIF((OFFSET(CÁLCULO!$AM$15:$AW$15,$F62,0,OFFSET(ORÇAMENTO!$D$15,CRONO!$F62,0))),CRONO!AE$12,OFFSET(CÁLCULO!$AB$15:$AL$15,$F62,0,OFFSET(ORÇAMENTO!$D$15,CRONO!$F62,0)))
                +IF(AND($F64&lt;&gt;"",$F64&lt;&gt;0),
                        SUMIF(CÁLCULO!$AM$15:$AW$36,CRONO!AE$12,CÁLCULO!$AB$15:$AL$36)/(ORÇAMENTO!$X$15-CÁLCULO.TotalAdmLocal)*CRONO!$F64,
                        0),
                 AE63*$S62),
          SUMIF(OFFSET($S64,1,0,$R62-2),($M62+1)&amp;"$",OFFSET(AE64,1,0,$R62-2)))</f>
        <v>0</v>
      </c>
      <c r="AF64" s="159">
        <f ca="1">IF($R62=2,
         IF(AND(ACOMPANHAMENTO="PLE",ISNUMBER($F62)),
                SUMIF((OFFSET(CÁLCULO!$AM$15:$AW$15,$F62,0,OFFSET(ORÇAMENTO!$D$15,CRONO!$F62,0))),CRONO!AF$12,OFFSET(CÁLCULO!$AB$15:$AL$15,$F62,0,OFFSET(ORÇAMENTO!$D$15,CRONO!$F62,0)))
                +IF(AND($F64&lt;&gt;"",$F64&lt;&gt;0),
                        SUMIF(CÁLCULO!$AM$15:$AW$36,CRONO!AF$12,CÁLCULO!$AB$15:$AL$36)/(ORÇAMENTO!$X$15-CÁLCULO.TotalAdmLocal)*CRONO!$F64,
                        0),
                 AF63*$S62),
          SUMIF(OFFSET($S64,1,0,$R62-2),($M62+1)&amp;"$",OFFSET(AF64,1,0,$R62-2)))</f>
        <v>0</v>
      </c>
      <c r="AG64" s="444"/>
    </row>
    <row r="65" spans="1:33" hidden="1" x14ac:dyDescent="0.25">
      <c r="A65" s="145" t="str">
        <f t="shared" ref="A65" ca="1" si="104">IF($M65&gt;1,CONCATENATE($I65," ",$J65),"")</f>
        <v/>
      </c>
      <c r="B65" s="144">
        <f t="shared" ref="B65" ca="1" si="105">OFFSET(B65,-3,0)+1</f>
        <v>18</v>
      </c>
      <c r="C65" s="144">
        <f ca="1">IF($R65&lt;&gt;2,0,IF($S65=0,1,IF(F66&gt;0,OFFSET(QCI!$M$13,SUBSTITUTE(F66,".",""),0),OFFSET(ORÇAMENTO!$AA$15,CRONO!$F65,0))/$S65))</f>
        <v>0</v>
      </c>
      <c r="D65" s="144">
        <f ca="1">IF($R65&lt;&gt;2,0,IF($S65=0,1,IF(F66&gt;0,OFFSET(QCI!$N$13,SUBSTITUTE(F66,".",""),0),OFFSET(ORÇAMENTO!$AB$15,CRONO!$F65,0))/$S65))</f>
        <v>0</v>
      </c>
      <c r="E65" s="147" t="e">
        <f ca="1">IF(AND($R65=2,ACOMPANHAMENTO="BM"),ROUND(E66,4),E67/$S65)</f>
        <v>#VALUE!</v>
      </c>
      <c r="F65" s="144" t="e">
        <f ca="1">IF(B65&lt;=ORÇAMENTO.MáximoListaCrono,MATCH(B65,ORÇAMENTO.ListaCrono,0),NA())</f>
        <v>#N/A</v>
      </c>
      <c r="G65" s="144" t="str">
        <f t="shared" ref="G65" ca="1" si="106">IF(AND($F66&lt;&gt;-1,$S65&gt;0),"F","")</f>
        <v/>
      </c>
      <c r="H65" s="617" t="str">
        <f ca="1">IF(OR(S65=0,S65=""),"Linha",IF(AND(OR(ACOMPANHAMENTO="PLE",$R65&lt;&gt;2),$F66=0),"Linha",ROUND(1-SUM(U65:AG65),4)))</f>
        <v>Linha</v>
      </c>
      <c r="I65" s="148" t="str">
        <f ca="1">IF($F66=0,OFFSET(ORÇAMENTO!O$15,$F65,0),IF($F66&lt;&gt;-1,OFFSET(QCI!$D$13,$F66,0),""))</f>
        <v/>
      </c>
      <c r="J65" s="149" t="str">
        <f ca="1">IF($F66=0,OFFSET(ORÇAMENTO!R$15,$F65,0),IF($F66&lt;&gt;-1,OFFSET(QCI!$G$13,$F66,0),""))</f>
        <v/>
      </c>
      <c r="K65" s="149"/>
      <c r="L65" s="149"/>
      <c r="M65" s="150">
        <f ca="1">IF($F66=0,OFFSET(ORÇAMENTO!C$15,$F65,0),1)</f>
        <v>1</v>
      </c>
      <c r="N65" s="151">
        <f ca="1">IF($F66=-1,0,IF(N$13&lt;=$M65,IF(ISERROR(MATCH(N$13,OFFSET($M65,1,0,ROW($M$164)-ROW($M65)-1),0)),ROW($M$164)-ROW($M65)-1,MATCH(N$13,OFFSET($M65,1,0,ROW($M$164)-ROW($M65)-1),0)-1),0))</f>
        <v>0</v>
      </c>
      <c r="O65" s="151">
        <f ca="1">IF($F66=-1,0,IF(O$13&lt;=$M65,IF(ISERROR(MATCH(O$13,OFFSET($M65,1,0,ROW($M$164)-ROW($M65)-1),0)),ROW($M$164)-ROW($M65)-1,MATCH(O$13,OFFSET($M65,1,0,ROW($M$164)-ROW($M65)-1),0)-1),0))</f>
        <v>0</v>
      </c>
      <c r="P65" s="151">
        <f ca="1">IF($F66=-1,0,IF(P$13&lt;=$M65,IF(ISERROR(MATCH(P$13,OFFSET($M65,1,0,ROW($M$164)-ROW($M65)-1),0)),ROW($M$164)-ROW($M65)-1,MATCH(P$13,OFFSET($M65,1,0,ROW($M$164)-ROW($M65)-1),0)-1),0))</f>
        <v>0</v>
      </c>
      <c r="Q65" s="151">
        <f ca="1">IF($F66=-1,0,IF(Q$13&lt;=$M65,IF(ISERROR(MATCH(Q$13,OFFSET($M65,1,0,ROW($M$164)-ROW($M65)-1),0)),ROW($M$164)-ROW($M65)-1,MATCH(Q$13,OFFSET($M65,1,0,ROW($M$164)-ROW($M65)-1),0)-1),0))</f>
        <v>0</v>
      </c>
      <c r="R65" s="151">
        <f t="shared" ref="R65" ca="1" si="107">MIN(OFFSET(M65,0,1,,M65))</f>
        <v>0</v>
      </c>
      <c r="S65" s="152" t="str">
        <f ca="1">IF($F66=0,OFFSET(ORÇAMENTO!X$15,$F65,0),IF($F66&lt;&gt;-1,OFFSET(QCI!$O$13,$F66,0),""))</f>
        <v/>
      </c>
      <c r="T65" s="618" t="s">
        <v>809</v>
      </c>
      <c r="U65" s="147" t="e">
        <f ca="1">IF(AND($R65=2,ACOMPANHAMENTO="BM"),ROUND(U66,4),U67/$S65)</f>
        <v>#VALUE!</v>
      </c>
      <c r="V65" s="147" t="e">
        <f ca="1">IF(AND($R65=2,ACOMPANHAMENTO="BM"),ROUND(V66,4),V67/$S65)</f>
        <v>#VALUE!</v>
      </c>
      <c r="W65" s="147" t="e">
        <f ca="1">IF(AND($R65=2,ACOMPANHAMENTO="BM"),ROUND(W66,4),W67/$S65)</f>
        <v>#VALUE!</v>
      </c>
      <c r="X65" s="147" t="e">
        <f ca="1">IF(AND($R65=2,ACOMPANHAMENTO="BM"),ROUND(X66,4),X67/$S65)</f>
        <v>#VALUE!</v>
      </c>
      <c r="Y65" s="147" t="e">
        <f ca="1">IF(AND($R65=2,ACOMPANHAMENTO="BM"),ROUND(Y66,4),Y67/$S65)</f>
        <v>#VALUE!</v>
      </c>
      <c r="Z65" s="147" t="e">
        <f ca="1">IF(AND($R65=2,ACOMPANHAMENTO="BM"),ROUND(Z66,4),Z67/$S65)</f>
        <v>#VALUE!</v>
      </c>
      <c r="AA65" s="147" t="e">
        <f ca="1">IF(AND($R65=2,ACOMPANHAMENTO="BM"),ROUND(AA66,4),AA67/$S65)</f>
        <v>#VALUE!</v>
      </c>
      <c r="AB65" s="147" t="e">
        <f ca="1">IF(AND($R65=2,ACOMPANHAMENTO="BM"),ROUND(AB66,4),AB67/$S65)</f>
        <v>#VALUE!</v>
      </c>
      <c r="AC65" s="147" t="e">
        <f ca="1">IF(AND($R65=2,ACOMPANHAMENTO="BM"),ROUND(AC66,4),AC67/$S65)</f>
        <v>#VALUE!</v>
      </c>
      <c r="AD65" s="147" t="e">
        <f ca="1">IF(AND($R65=2,ACOMPANHAMENTO="BM"),ROUND(AD66,4),AD67/$S65)</f>
        <v>#VALUE!</v>
      </c>
      <c r="AE65" s="147" t="e">
        <f ca="1">IF(AND($R65=2,ACOMPANHAMENTO="BM"),ROUND(AE66,4),AE67/$S65)</f>
        <v>#VALUE!</v>
      </c>
      <c r="AF65" s="147" t="e">
        <f ca="1">IF(AND($R65=2,ACOMPANHAMENTO="BM"),ROUND(AF66,4),AF67/$S65)</f>
        <v>#VALUE!</v>
      </c>
      <c r="AG65" s="444"/>
    </row>
    <row r="66" spans="1:33" ht="12.75" hidden="1" customHeight="1" x14ac:dyDescent="0.25">
      <c r="E66" s="501"/>
      <c r="F66" s="144">
        <f ca="1">IF(ISERROR(F65),IF(1+COUNTIF($M$13:OFFSET(M65,-1,0),1)&lt;=MAX(QCI!$D$13:$D$24),1+COUNTIF($M$13:OFFSET(M65,-1,0),1),-1),0)</f>
        <v>-1</v>
      </c>
      <c r="G66" s="144" t="str">
        <f ca="1">IF(ACOMPANHAMENTO="BM",OFFSET(G66,-1,0),"")</f>
        <v/>
      </c>
      <c r="H66" s="153" t="str">
        <f ca="1">IF(OR(S65=0,S65=""),"vazia",IF(AND(OR(ACOMPANHAMENTO="PLE",$R65&lt;&gt;2),$F66=0),"calculada","--&gt;"))</f>
        <v>vazia</v>
      </c>
      <c r="I66" s="154"/>
      <c r="J66" s="155" t="str">
        <f t="shared" ref="J66" ca="1" si="108">IF(AND(H65&lt;&gt;0,ISNUMBER(H65)),"PREENCHA ESTA LINHA --&gt;","")</f>
        <v/>
      </c>
      <c r="K66" s="155"/>
      <c r="L66" s="155"/>
      <c r="M66" s="156"/>
      <c r="N66" s="156"/>
      <c r="O66" s="156"/>
      <c r="P66" s="156"/>
      <c r="Q66" s="156"/>
      <c r="R66" s="156"/>
      <c r="S66" s="157"/>
      <c r="T66" s="158"/>
      <c r="U66" s="501"/>
      <c r="V66" s="501"/>
      <c r="W66" s="501"/>
      <c r="X66" s="501"/>
      <c r="Y66" s="501"/>
      <c r="Z66" s="501"/>
      <c r="AA66" s="501"/>
      <c r="AB66" s="501"/>
      <c r="AC66" s="501"/>
      <c r="AD66" s="501"/>
      <c r="AE66" s="501"/>
      <c r="AF66" s="501"/>
      <c r="AG66" s="444"/>
    </row>
    <row r="67" spans="1:33" ht="12.75" hidden="1" customHeight="1" x14ac:dyDescent="0.25">
      <c r="D67" s="443"/>
      <c r="E67" s="159">
        <f ca="1">IF($R65=2,
         IF(AND(ACOMPANHAMENTO="PLE",ISNUMBER($F65)),
                SUMIF((OFFSET(CÁLCULO!$AM$15:$AW$15,$F65,0,OFFSET(ORÇAMENTO!$D$15,CRONO!$F65,0))),CRONO!E$12,OFFSET(CÁLCULO!$AB$15:$AL$15,$F65,0,OFFSET(ORÇAMENTO!$D$15,CRONO!$F65,0)))
                +IF(AND($F67&lt;&gt;"",$F67&lt;&gt;0),
                        SUMIF(CÁLCULO!$AM$15:$AW$36,CRONO!E$12,CÁLCULO!$AB$15:$AL$36)/(ORÇAMENTO!$X$15-CÁLCULO.TotalAdmLocal)*CRONO!$F67,
                        0),
                 E66*$S65),
          SUMIF(OFFSET($S67,1,0,$R65-2),($M65+1)&amp;"$",OFFSET(E67,1,0,$R65-2)))</f>
        <v>0</v>
      </c>
      <c r="F67" s="144" t="str">
        <f ca="1">IF(OR($R65&lt;&gt;2,AUTOEVENTO&lt;&gt;"manual",$F66&gt;0),"",
        IF(Import.TipoArredondamento="Tradicional",
              SUMIF(OFFSET(CÁLCULO!$M$15,CRONO!$F65,0,OFFSET(ORÇAMENTO!$D$15,CRONO!$F65,0)),1,OFFSET(ORÇAMENTO!$X$15,CRONO!$F65,0,OFFSET(ORÇAMENTO!$D$15,CRONO!$F65,0))),
              0))</f>
        <v/>
      </c>
      <c r="H67" s="530"/>
      <c r="S67" s="160" t="str">
        <f t="shared" ref="S67" ca="1" si="109">M65&amp;"$"</f>
        <v>1$</v>
      </c>
      <c r="T67" s="161"/>
      <c r="U67" s="159">
        <f ca="1">IF($R65=2,
         IF(AND(ACOMPANHAMENTO="PLE",ISNUMBER($F65)),
                SUMIF((OFFSET(CÁLCULO!$AM$15:$AW$15,$F65,0,OFFSET(ORÇAMENTO!$D$15,CRONO!$F65,0))),CRONO!U$12,OFFSET(CÁLCULO!$AB$15:$AL$15,$F65,0,OFFSET(ORÇAMENTO!$D$15,CRONO!$F65,0)))
                +IF(AND($F67&lt;&gt;"",$F67&lt;&gt;0),
                        SUMIF(CÁLCULO!$AM$15:$AW$36,CRONO!U$12,CÁLCULO!$AB$15:$AL$36)/(ORÇAMENTO!$X$15-CÁLCULO.TotalAdmLocal)*CRONO!$F67,
                        0),
                 U66*$S65),
          SUMIF(OFFSET($S67,1,0,$R65-2),($M65+1)&amp;"$",OFFSET(U67,1,0,$R65-2)))</f>
        <v>0</v>
      </c>
      <c r="V67" s="159">
        <f ca="1">IF($R65=2,
         IF(AND(ACOMPANHAMENTO="PLE",ISNUMBER($F65)),
                SUMIF((OFFSET(CÁLCULO!$AM$15:$AW$15,$F65,0,OFFSET(ORÇAMENTO!$D$15,CRONO!$F65,0))),CRONO!V$12,OFFSET(CÁLCULO!$AB$15:$AL$15,$F65,0,OFFSET(ORÇAMENTO!$D$15,CRONO!$F65,0)))
                +IF(AND($F67&lt;&gt;"",$F67&lt;&gt;0),
                        SUMIF(CÁLCULO!$AM$15:$AW$36,CRONO!V$12,CÁLCULO!$AB$15:$AL$36)/(ORÇAMENTO!$X$15-CÁLCULO.TotalAdmLocal)*CRONO!$F67,
                        0),
                 V66*$S65),
          SUMIF(OFFSET($S67,1,0,$R65-2),($M65+1)&amp;"$",OFFSET(V67,1,0,$R65-2)))</f>
        <v>0</v>
      </c>
      <c r="W67" s="159">
        <f ca="1">IF($R65=2,
         IF(AND(ACOMPANHAMENTO="PLE",ISNUMBER($F65)),
                SUMIF((OFFSET(CÁLCULO!$AM$15:$AW$15,$F65,0,OFFSET(ORÇAMENTO!$D$15,CRONO!$F65,0))),CRONO!W$12,OFFSET(CÁLCULO!$AB$15:$AL$15,$F65,0,OFFSET(ORÇAMENTO!$D$15,CRONO!$F65,0)))
                +IF(AND($F67&lt;&gt;"",$F67&lt;&gt;0),
                        SUMIF(CÁLCULO!$AM$15:$AW$36,CRONO!W$12,CÁLCULO!$AB$15:$AL$36)/(ORÇAMENTO!$X$15-CÁLCULO.TotalAdmLocal)*CRONO!$F67,
                        0),
                 W66*$S65),
          SUMIF(OFFSET($S67,1,0,$R65-2),($M65+1)&amp;"$",OFFSET(W67,1,0,$R65-2)))</f>
        <v>0</v>
      </c>
      <c r="X67" s="159">
        <f ca="1">IF($R65=2,
         IF(AND(ACOMPANHAMENTO="PLE",ISNUMBER($F65)),
                SUMIF((OFFSET(CÁLCULO!$AM$15:$AW$15,$F65,0,OFFSET(ORÇAMENTO!$D$15,CRONO!$F65,0))),CRONO!X$12,OFFSET(CÁLCULO!$AB$15:$AL$15,$F65,0,OFFSET(ORÇAMENTO!$D$15,CRONO!$F65,0)))
                +IF(AND($F67&lt;&gt;"",$F67&lt;&gt;0),
                        SUMIF(CÁLCULO!$AM$15:$AW$36,CRONO!X$12,CÁLCULO!$AB$15:$AL$36)/(ORÇAMENTO!$X$15-CÁLCULO.TotalAdmLocal)*CRONO!$F67,
                        0),
                 X66*$S65),
          SUMIF(OFFSET($S67,1,0,$R65-2),($M65+1)&amp;"$",OFFSET(X67,1,0,$R65-2)))</f>
        <v>0</v>
      </c>
      <c r="Y67" s="159">
        <f ca="1">IF($R65=2,
         IF(AND(ACOMPANHAMENTO="PLE",ISNUMBER($F65)),
                SUMIF((OFFSET(CÁLCULO!$AM$15:$AW$15,$F65,0,OFFSET(ORÇAMENTO!$D$15,CRONO!$F65,0))),CRONO!Y$12,OFFSET(CÁLCULO!$AB$15:$AL$15,$F65,0,OFFSET(ORÇAMENTO!$D$15,CRONO!$F65,0)))
                +IF(AND($F67&lt;&gt;"",$F67&lt;&gt;0),
                        SUMIF(CÁLCULO!$AM$15:$AW$36,CRONO!Y$12,CÁLCULO!$AB$15:$AL$36)/(ORÇAMENTO!$X$15-CÁLCULO.TotalAdmLocal)*CRONO!$F67,
                        0),
                 Y66*$S65),
          SUMIF(OFFSET($S67,1,0,$R65-2),($M65+1)&amp;"$",OFFSET(Y67,1,0,$R65-2)))</f>
        <v>0</v>
      </c>
      <c r="Z67" s="159">
        <f ca="1">IF($R65=2,
         IF(AND(ACOMPANHAMENTO="PLE",ISNUMBER($F65)),
                SUMIF((OFFSET(CÁLCULO!$AM$15:$AW$15,$F65,0,OFFSET(ORÇAMENTO!$D$15,CRONO!$F65,0))),CRONO!Z$12,OFFSET(CÁLCULO!$AB$15:$AL$15,$F65,0,OFFSET(ORÇAMENTO!$D$15,CRONO!$F65,0)))
                +IF(AND($F67&lt;&gt;"",$F67&lt;&gt;0),
                        SUMIF(CÁLCULO!$AM$15:$AW$36,CRONO!Z$12,CÁLCULO!$AB$15:$AL$36)/(ORÇAMENTO!$X$15-CÁLCULO.TotalAdmLocal)*CRONO!$F67,
                        0),
                 Z66*$S65),
          SUMIF(OFFSET($S67,1,0,$R65-2),($M65+1)&amp;"$",OFFSET(Z67,1,0,$R65-2)))</f>
        <v>0</v>
      </c>
      <c r="AA67" s="159">
        <f ca="1">IF($R65=2,
         IF(AND(ACOMPANHAMENTO="PLE",ISNUMBER($F65)),
                SUMIF((OFFSET(CÁLCULO!$AM$15:$AW$15,$F65,0,OFFSET(ORÇAMENTO!$D$15,CRONO!$F65,0))),CRONO!AA$12,OFFSET(CÁLCULO!$AB$15:$AL$15,$F65,0,OFFSET(ORÇAMENTO!$D$15,CRONO!$F65,0)))
                +IF(AND($F67&lt;&gt;"",$F67&lt;&gt;0),
                        SUMIF(CÁLCULO!$AM$15:$AW$36,CRONO!AA$12,CÁLCULO!$AB$15:$AL$36)/(ORÇAMENTO!$X$15-CÁLCULO.TotalAdmLocal)*CRONO!$F67,
                        0),
                 AA66*$S65),
          SUMIF(OFFSET($S67,1,0,$R65-2),($M65+1)&amp;"$",OFFSET(AA67,1,0,$R65-2)))</f>
        <v>0</v>
      </c>
      <c r="AB67" s="159">
        <f ca="1">IF($R65=2,
         IF(AND(ACOMPANHAMENTO="PLE",ISNUMBER($F65)),
                SUMIF((OFFSET(CÁLCULO!$AM$15:$AW$15,$F65,0,OFFSET(ORÇAMENTO!$D$15,CRONO!$F65,0))),CRONO!AB$12,OFFSET(CÁLCULO!$AB$15:$AL$15,$F65,0,OFFSET(ORÇAMENTO!$D$15,CRONO!$F65,0)))
                +IF(AND($F67&lt;&gt;"",$F67&lt;&gt;0),
                        SUMIF(CÁLCULO!$AM$15:$AW$36,CRONO!AB$12,CÁLCULO!$AB$15:$AL$36)/(ORÇAMENTO!$X$15-CÁLCULO.TotalAdmLocal)*CRONO!$F67,
                        0),
                 AB66*$S65),
          SUMIF(OFFSET($S67,1,0,$R65-2),($M65+1)&amp;"$",OFFSET(AB67,1,0,$R65-2)))</f>
        <v>0</v>
      </c>
      <c r="AC67" s="159">
        <f ca="1">IF($R65=2,
         IF(AND(ACOMPANHAMENTO="PLE",ISNUMBER($F65)),
                SUMIF((OFFSET(CÁLCULO!$AM$15:$AW$15,$F65,0,OFFSET(ORÇAMENTO!$D$15,CRONO!$F65,0))),CRONO!AC$12,OFFSET(CÁLCULO!$AB$15:$AL$15,$F65,0,OFFSET(ORÇAMENTO!$D$15,CRONO!$F65,0)))
                +IF(AND($F67&lt;&gt;"",$F67&lt;&gt;0),
                        SUMIF(CÁLCULO!$AM$15:$AW$36,CRONO!AC$12,CÁLCULO!$AB$15:$AL$36)/(ORÇAMENTO!$X$15-CÁLCULO.TotalAdmLocal)*CRONO!$F67,
                        0),
                 AC66*$S65),
          SUMIF(OFFSET($S67,1,0,$R65-2),($M65+1)&amp;"$",OFFSET(AC67,1,0,$R65-2)))</f>
        <v>0</v>
      </c>
      <c r="AD67" s="159">
        <f ca="1">IF($R65=2,
         IF(AND(ACOMPANHAMENTO="PLE",ISNUMBER($F65)),
                SUMIF((OFFSET(CÁLCULO!$AM$15:$AW$15,$F65,0,OFFSET(ORÇAMENTO!$D$15,CRONO!$F65,0))),CRONO!AD$12,OFFSET(CÁLCULO!$AB$15:$AL$15,$F65,0,OFFSET(ORÇAMENTO!$D$15,CRONO!$F65,0)))
                +IF(AND($F67&lt;&gt;"",$F67&lt;&gt;0),
                        SUMIF(CÁLCULO!$AM$15:$AW$36,CRONO!AD$12,CÁLCULO!$AB$15:$AL$36)/(ORÇAMENTO!$X$15-CÁLCULO.TotalAdmLocal)*CRONO!$F67,
                        0),
                 AD66*$S65),
          SUMIF(OFFSET($S67,1,0,$R65-2),($M65+1)&amp;"$",OFFSET(AD67,1,0,$R65-2)))</f>
        <v>0</v>
      </c>
      <c r="AE67" s="159">
        <f ca="1">IF($R65=2,
         IF(AND(ACOMPANHAMENTO="PLE",ISNUMBER($F65)),
                SUMIF((OFFSET(CÁLCULO!$AM$15:$AW$15,$F65,0,OFFSET(ORÇAMENTO!$D$15,CRONO!$F65,0))),CRONO!AE$12,OFFSET(CÁLCULO!$AB$15:$AL$15,$F65,0,OFFSET(ORÇAMENTO!$D$15,CRONO!$F65,0)))
                +IF(AND($F67&lt;&gt;"",$F67&lt;&gt;0),
                        SUMIF(CÁLCULO!$AM$15:$AW$36,CRONO!AE$12,CÁLCULO!$AB$15:$AL$36)/(ORÇAMENTO!$X$15-CÁLCULO.TotalAdmLocal)*CRONO!$F67,
                        0),
                 AE66*$S65),
          SUMIF(OFFSET($S67,1,0,$R65-2),($M65+1)&amp;"$",OFFSET(AE67,1,0,$R65-2)))</f>
        <v>0</v>
      </c>
      <c r="AF67" s="159">
        <f ca="1">IF($R65=2,
         IF(AND(ACOMPANHAMENTO="PLE",ISNUMBER($F65)),
                SUMIF((OFFSET(CÁLCULO!$AM$15:$AW$15,$F65,0,OFFSET(ORÇAMENTO!$D$15,CRONO!$F65,0))),CRONO!AF$12,OFFSET(CÁLCULO!$AB$15:$AL$15,$F65,0,OFFSET(ORÇAMENTO!$D$15,CRONO!$F65,0)))
                +IF(AND($F67&lt;&gt;"",$F67&lt;&gt;0),
                        SUMIF(CÁLCULO!$AM$15:$AW$36,CRONO!AF$12,CÁLCULO!$AB$15:$AL$36)/(ORÇAMENTO!$X$15-CÁLCULO.TotalAdmLocal)*CRONO!$F67,
                        0),
                 AF66*$S65),
          SUMIF(OFFSET($S67,1,0,$R65-2),($M65+1)&amp;"$",OFFSET(AF67,1,0,$R65-2)))</f>
        <v>0</v>
      </c>
      <c r="AG67" s="444"/>
    </row>
    <row r="68" spans="1:33" hidden="1" x14ac:dyDescent="0.25">
      <c r="A68" s="145" t="str">
        <f t="shared" ref="A68" ca="1" si="110">IF($M68&gt;1,CONCATENATE($I68," ",$J68),"")</f>
        <v/>
      </c>
      <c r="B68" s="144">
        <f t="shared" ref="B68" ca="1" si="111">OFFSET(B68,-3,0)+1</f>
        <v>19</v>
      </c>
      <c r="C68" s="144">
        <f ca="1">IF($R68&lt;&gt;2,0,IF($S68=0,1,IF(F69&gt;0,OFFSET(QCI!$M$13,SUBSTITUTE(F69,".",""),0),OFFSET(ORÇAMENTO!$AA$15,CRONO!$F68,0))/$S68))</f>
        <v>0</v>
      </c>
      <c r="D68" s="144">
        <f ca="1">IF($R68&lt;&gt;2,0,IF($S68=0,1,IF(F69&gt;0,OFFSET(QCI!$N$13,SUBSTITUTE(F69,".",""),0),OFFSET(ORÇAMENTO!$AB$15,CRONO!$F68,0))/$S68))</f>
        <v>0</v>
      </c>
      <c r="E68" s="147" t="e">
        <f ca="1">IF(AND($R68=2,ACOMPANHAMENTO="BM"),ROUND(E69,4),E70/$S68)</f>
        <v>#VALUE!</v>
      </c>
      <c r="F68" s="144" t="e">
        <f ca="1">IF(B68&lt;=ORÇAMENTO.MáximoListaCrono,MATCH(B68,ORÇAMENTO.ListaCrono,0),NA())</f>
        <v>#N/A</v>
      </c>
      <c r="G68" s="144" t="str">
        <f t="shared" ref="G68" ca="1" si="112">IF(AND($F69&lt;&gt;-1,$S68&gt;0),"F","")</f>
        <v/>
      </c>
      <c r="H68" s="617" t="str">
        <f ca="1">IF(OR(S68=0,S68=""),"Linha",IF(AND(OR(ACOMPANHAMENTO="PLE",$R68&lt;&gt;2),$F69=0),"Linha",ROUND(1-SUM(U68:AG68),4)))</f>
        <v>Linha</v>
      </c>
      <c r="I68" s="148" t="str">
        <f ca="1">IF($F69=0,OFFSET(ORÇAMENTO!O$15,$F68,0),IF($F69&lt;&gt;-1,OFFSET(QCI!$D$13,$F69,0),""))</f>
        <v/>
      </c>
      <c r="J68" s="149" t="str">
        <f ca="1">IF($F69=0,OFFSET(ORÇAMENTO!R$15,$F68,0),IF($F69&lt;&gt;-1,OFFSET(QCI!$G$13,$F69,0),""))</f>
        <v/>
      </c>
      <c r="K68" s="149"/>
      <c r="L68" s="149"/>
      <c r="M68" s="150">
        <f ca="1">IF($F69=0,OFFSET(ORÇAMENTO!C$15,$F68,0),1)</f>
        <v>1</v>
      </c>
      <c r="N68" s="151">
        <f ca="1">IF($F69=-1,0,IF(N$13&lt;=$M68,IF(ISERROR(MATCH(N$13,OFFSET($M68,1,0,ROW($M$164)-ROW($M68)-1),0)),ROW($M$164)-ROW($M68)-1,MATCH(N$13,OFFSET($M68,1,0,ROW($M$164)-ROW($M68)-1),0)-1),0))</f>
        <v>0</v>
      </c>
      <c r="O68" s="151">
        <f ca="1">IF($F69=-1,0,IF(O$13&lt;=$M68,IF(ISERROR(MATCH(O$13,OFFSET($M68,1,0,ROW($M$164)-ROW($M68)-1),0)),ROW($M$164)-ROW($M68)-1,MATCH(O$13,OFFSET($M68,1,0,ROW($M$164)-ROW($M68)-1),0)-1),0))</f>
        <v>0</v>
      </c>
      <c r="P68" s="151">
        <f ca="1">IF($F69=-1,0,IF(P$13&lt;=$M68,IF(ISERROR(MATCH(P$13,OFFSET($M68,1,0,ROW($M$164)-ROW($M68)-1),0)),ROW($M$164)-ROW($M68)-1,MATCH(P$13,OFFSET($M68,1,0,ROW($M$164)-ROW($M68)-1),0)-1),0))</f>
        <v>0</v>
      </c>
      <c r="Q68" s="151">
        <f ca="1">IF($F69=-1,0,IF(Q$13&lt;=$M68,IF(ISERROR(MATCH(Q$13,OFFSET($M68,1,0,ROW($M$164)-ROW($M68)-1),0)),ROW($M$164)-ROW($M68)-1,MATCH(Q$13,OFFSET($M68,1,0,ROW($M$164)-ROW($M68)-1),0)-1),0))</f>
        <v>0</v>
      </c>
      <c r="R68" s="151">
        <f t="shared" ref="R68" ca="1" si="113">MIN(OFFSET(M68,0,1,,M68))</f>
        <v>0</v>
      </c>
      <c r="S68" s="152" t="str">
        <f ca="1">IF($F69=0,OFFSET(ORÇAMENTO!X$15,$F68,0),IF($F69&lt;&gt;-1,OFFSET(QCI!$O$13,$F69,0),""))</f>
        <v/>
      </c>
      <c r="T68" s="618" t="s">
        <v>809</v>
      </c>
      <c r="U68" s="147" t="e">
        <f ca="1">IF(AND($R68=2,ACOMPANHAMENTO="BM"),ROUND(U69,4),U70/$S68)</f>
        <v>#VALUE!</v>
      </c>
      <c r="V68" s="147" t="e">
        <f ca="1">IF(AND($R68=2,ACOMPANHAMENTO="BM"),ROUND(V69,4),V70/$S68)</f>
        <v>#VALUE!</v>
      </c>
      <c r="W68" s="147" t="e">
        <f ca="1">IF(AND($R68=2,ACOMPANHAMENTO="BM"),ROUND(W69,4),W70/$S68)</f>
        <v>#VALUE!</v>
      </c>
      <c r="X68" s="147" t="e">
        <f ca="1">IF(AND($R68=2,ACOMPANHAMENTO="BM"),ROUND(X69,4),X70/$S68)</f>
        <v>#VALUE!</v>
      </c>
      <c r="Y68" s="147" t="e">
        <f ca="1">IF(AND($R68=2,ACOMPANHAMENTO="BM"),ROUND(Y69,4),Y70/$S68)</f>
        <v>#VALUE!</v>
      </c>
      <c r="Z68" s="147" t="e">
        <f ca="1">IF(AND($R68=2,ACOMPANHAMENTO="BM"),ROUND(Z69,4),Z70/$S68)</f>
        <v>#VALUE!</v>
      </c>
      <c r="AA68" s="147" t="e">
        <f ca="1">IF(AND($R68=2,ACOMPANHAMENTO="BM"),ROUND(AA69,4),AA70/$S68)</f>
        <v>#VALUE!</v>
      </c>
      <c r="AB68" s="147" t="e">
        <f ca="1">IF(AND($R68=2,ACOMPANHAMENTO="BM"),ROUND(AB69,4),AB70/$S68)</f>
        <v>#VALUE!</v>
      </c>
      <c r="AC68" s="147" t="e">
        <f ca="1">IF(AND($R68=2,ACOMPANHAMENTO="BM"),ROUND(AC69,4),AC70/$S68)</f>
        <v>#VALUE!</v>
      </c>
      <c r="AD68" s="147" t="e">
        <f ca="1">IF(AND($R68=2,ACOMPANHAMENTO="BM"),ROUND(AD69,4),AD70/$S68)</f>
        <v>#VALUE!</v>
      </c>
      <c r="AE68" s="147" t="e">
        <f ca="1">IF(AND($R68=2,ACOMPANHAMENTO="BM"),ROUND(AE69,4),AE70/$S68)</f>
        <v>#VALUE!</v>
      </c>
      <c r="AF68" s="147" t="e">
        <f ca="1">IF(AND($R68=2,ACOMPANHAMENTO="BM"),ROUND(AF69,4),AF70/$S68)</f>
        <v>#VALUE!</v>
      </c>
      <c r="AG68" s="444"/>
    </row>
    <row r="69" spans="1:33" ht="12.75" hidden="1" customHeight="1" x14ac:dyDescent="0.25">
      <c r="E69" s="501"/>
      <c r="F69" s="144">
        <f ca="1">IF(ISERROR(F68),IF(1+COUNTIF($M$13:OFFSET(M68,-1,0),1)&lt;=MAX(QCI!$D$13:$D$24),1+COUNTIF($M$13:OFFSET(M68,-1,0),1),-1),0)</f>
        <v>-1</v>
      </c>
      <c r="G69" s="144" t="str">
        <f ca="1">IF(ACOMPANHAMENTO="BM",OFFSET(G69,-1,0),"")</f>
        <v/>
      </c>
      <c r="H69" s="153" t="str">
        <f ca="1">IF(OR(S68=0,S68=""),"vazia",IF(AND(OR(ACOMPANHAMENTO="PLE",$R68&lt;&gt;2),$F69=0),"calculada","--&gt;"))</f>
        <v>vazia</v>
      </c>
      <c r="I69" s="154"/>
      <c r="J69" s="155" t="str">
        <f t="shared" ref="J69" ca="1" si="114">IF(AND(H68&lt;&gt;0,ISNUMBER(H68)),"PREENCHA ESTA LINHA --&gt;","")</f>
        <v/>
      </c>
      <c r="K69" s="155"/>
      <c r="L69" s="155"/>
      <c r="M69" s="156"/>
      <c r="N69" s="156"/>
      <c r="O69" s="156"/>
      <c r="P69" s="156"/>
      <c r="Q69" s="156"/>
      <c r="R69" s="156"/>
      <c r="S69" s="157"/>
      <c r="T69" s="158"/>
      <c r="U69" s="501"/>
      <c r="V69" s="501"/>
      <c r="W69" s="501"/>
      <c r="X69" s="501"/>
      <c r="Y69" s="501"/>
      <c r="Z69" s="501"/>
      <c r="AA69" s="501"/>
      <c r="AB69" s="501"/>
      <c r="AC69" s="501"/>
      <c r="AD69" s="501"/>
      <c r="AE69" s="501"/>
      <c r="AF69" s="501"/>
      <c r="AG69" s="444"/>
    </row>
    <row r="70" spans="1:33" ht="12.75" hidden="1" customHeight="1" x14ac:dyDescent="0.25">
      <c r="D70" s="443"/>
      <c r="E70" s="159">
        <f ca="1">IF($R68=2,
         IF(AND(ACOMPANHAMENTO="PLE",ISNUMBER($F68)),
                SUMIF((OFFSET(CÁLCULO!$AM$15:$AW$15,$F68,0,OFFSET(ORÇAMENTO!$D$15,CRONO!$F68,0))),CRONO!E$12,OFFSET(CÁLCULO!$AB$15:$AL$15,$F68,0,OFFSET(ORÇAMENTO!$D$15,CRONO!$F68,0)))
                +IF(AND($F70&lt;&gt;"",$F70&lt;&gt;0),
                        SUMIF(CÁLCULO!$AM$15:$AW$36,CRONO!E$12,CÁLCULO!$AB$15:$AL$36)/(ORÇAMENTO!$X$15-CÁLCULO.TotalAdmLocal)*CRONO!$F70,
                        0),
                 E69*$S68),
          SUMIF(OFFSET($S70,1,0,$R68-2),($M68+1)&amp;"$",OFFSET(E70,1,0,$R68-2)))</f>
        <v>0</v>
      </c>
      <c r="F70" s="144" t="str">
        <f ca="1">IF(OR($R68&lt;&gt;2,AUTOEVENTO&lt;&gt;"manual",$F69&gt;0),"",
        IF(Import.TipoArredondamento="Tradicional",
              SUMIF(OFFSET(CÁLCULO!$M$15,CRONO!$F68,0,OFFSET(ORÇAMENTO!$D$15,CRONO!$F68,0)),1,OFFSET(ORÇAMENTO!$X$15,CRONO!$F68,0,OFFSET(ORÇAMENTO!$D$15,CRONO!$F68,0))),
              0))</f>
        <v/>
      </c>
      <c r="H70" s="530"/>
      <c r="S70" s="160" t="str">
        <f t="shared" ref="S70" ca="1" si="115">M68&amp;"$"</f>
        <v>1$</v>
      </c>
      <c r="T70" s="161"/>
      <c r="U70" s="159">
        <f ca="1">IF($R68=2,
         IF(AND(ACOMPANHAMENTO="PLE",ISNUMBER($F68)),
                SUMIF((OFFSET(CÁLCULO!$AM$15:$AW$15,$F68,0,OFFSET(ORÇAMENTO!$D$15,CRONO!$F68,0))),CRONO!U$12,OFFSET(CÁLCULO!$AB$15:$AL$15,$F68,0,OFFSET(ORÇAMENTO!$D$15,CRONO!$F68,0)))
                +IF(AND($F70&lt;&gt;"",$F70&lt;&gt;0),
                        SUMIF(CÁLCULO!$AM$15:$AW$36,CRONO!U$12,CÁLCULO!$AB$15:$AL$36)/(ORÇAMENTO!$X$15-CÁLCULO.TotalAdmLocal)*CRONO!$F70,
                        0),
                 U69*$S68),
          SUMIF(OFFSET($S70,1,0,$R68-2),($M68+1)&amp;"$",OFFSET(U70,1,0,$R68-2)))</f>
        <v>0</v>
      </c>
      <c r="V70" s="159">
        <f ca="1">IF($R68=2,
         IF(AND(ACOMPANHAMENTO="PLE",ISNUMBER($F68)),
                SUMIF((OFFSET(CÁLCULO!$AM$15:$AW$15,$F68,0,OFFSET(ORÇAMENTO!$D$15,CRONO!$F68,0))),CRONO!V$12,OFFSET(CÁLCULO!$AB$15:$AL$15,$F68,0,OFFSET(ORÇAMENTO!$D$15,CRONO!$F68,0)))
                +IF(AND($F70&lt;&gt;"",$F70&lt;&gt;0),
                        SUMIF(CÁLCULO!$AM$15:$AW$36,CRONO!V$12,CÁLCULO!$AB$15:$AL$36)/(ORÇAMENTO!$X$15-CÁLCULO.TotalAdmLocal)*CRONO!$F70,
                        0),
                 V69*$S68),
          SUMIF(OFFSET($S70,1,0,$R68-2),($M68+1)&amp;"$",OFFSET(V70,1,0,$R68-2)))</f>
        <v>0</v>
      </c>
      <c r="W70" s="159">
        <f ca="1">IF($R68=2,
         IF(AND(ACOMPANHAMENTO="PLE",ISNUMBER($F68)),
                SUMIF((OFFSET(CÁLCULO!$AM$15:$AW$15,$F68,0,OFFSET(ORÇAMENTO!$D$15,CRONO!$F68,0))),CRONO!W$12,OFFSET(CÁLCULO!$AB$15:$AL$15,$F68,0,OFFSET(ORÇAMENTO!$D$15,CRONO!$F68,0)))
                +IF(AND($F70&lt;&gt;"",$F70&lt;&gt;0),
                        SUMIF(CÁLCULO!$AM$15:$AW$36,CRONO!W$12,CÁLCULO!$AB$15:$AL$36)/(ORÇAMENTO!$X$15-CÁLCULO.TotalAdmLocal)*CRONO!$F70,
                        0),
                 W69*$S68),
          SUMIF(OFFSET($S70,1,0,$R68-2),($M68+1)&amp;"$",OFFSET(W70,1,0,$R68-2)))</f>
        <v>0</v>
      </c>
      <c r="X70" s="159">
        <f ca="1">IF($R68=2,
         IF(AND(ACOMPANHAMENTO="PLE",ISNUMBER($F68)),
                SUMIF((OFFSET(CÁLCULO!$AM$15:$AW$15,$F68,0,OFFSET(ORÇAMENTO!$D$15,CRONO!$F68,0))),CRONO!X$12,OFFSET(CÁLCULO!$AB$15:$AL$15,$F68,0,OFFSET(ORÇAMENTO!$D$15,CRONO!$F68,0)))
                +IF(AND($F70&lt;&gt;"",$F70&lt;&gt;0),
                        SUMIF(CÁLCULO!$AM$15:$AW$36,CRONO!X$12,CÁLCULO!$AB$15:$AL$36)/(ORÇAMENTO!$X$15-CÁLCULO.TotalAdmLocal)*CRONO!$F70,
                        0),
                 X69*$S68),
          SUMIF(OFFSET($S70,1,0,$R68-2),($M68+1)&amp;"$",OFFSET(X70,1,0,$R68-2)))</f>
        <v>0</v>
      </c>
      <c r="Y70" s="159">
        <f ca="1">IF($R68=2,
         IF(AND(ACOMPANHAMENTO="PLE",ISNUMBER($F68)),
                SUMIF((OFFSET(CÁLCULO!$AM$15:$AW$15,$F68,0,OFFSET(ORÇAMENTO!$D$15,CRONO!$F68,0))),CRONO!Y$12,OFFSET(CÁLCULO!$AB$15:$AL$15,$F68,0,OFFSET(ORÇAMENTO!$D$15,CRONO!$F68,0)))
                +IF(AND($F70&lt;&gt;"",$F70&lt;&gt;0),
                        SUMIF(CÁLCULO!$AM$15:$AW$36,CRONO!Y$12,CÁLCULO!$AB$15:$AL$36)/(ORÇAMENTO!$X$15-CÁLCULO.TotalAdmLocal)*CRONO!$F70,
                        0),
                 Y69*$S68),
          SUMIF(OFFSET($S70,1,0,$R68-2),($M68+1)&amp;"$",OFFSET(Y70,1,0,$R68-2)))</f>
        <v>0</v>
      </c>
      <c r="Z70" s="159">
        <f ca="1">IF($R68=2,
         IF(AND(ACOMPANHAMENTO="PLE",ISNUMBER($F68)),
                SUMIF((OFFSET(CÁLCULO!$AM$15:$AW$15,$F68,0,OFFSET(ORÇAMENTO!$D$15,CRONO!$F68,0))),CRONO!Z$12,OFFSET(CÁLCULO!$AB$15:$AL$15,$F68,0,OFFSET(ORÇAMENTO!$D$15,CRONO!$F68,0)))
                +IF(AND($F70&lt;&gt;"",$F70&lt;&gt;0),
                        SUMIF(CÁLCULO!$AM$15:$AW$36,CRONO!Z$12,CÁLCULO!$AB$15:$AL$36)/(ORÇAMENTO!$X$15-CÁLCULO.TotalAdmLocal)*CRONO!$F70,
                        0),
                 Z69*$S68),
          SUMIF(OFFSET($S70,1,0,$R68-2),($M68+1)&amp;"$",OFFSET(Z70,1,0,$R68-2)))</f>
        <v>0</v>
      </c>
      <c r="AA70" s="159">
        <f ca="1">IF($R68=2,
         IF(AND(ACOMPANHAMENTO="PLE",ISNUMBER($F68)),
                SUMIF((OFFSET(CÁLCULO!$AM$15:$AW$15,$F68,0,OFFSET(ORÇAMENTO!$D$15,CRONO!$F68,0))),CRONO!AA$12,OFFSET(CÁLCULO!$AB$15:$AL$15,$F68,0,OFFSET(ORÇAMENTO!$D$15,CRONO!$F68,0)))
                +IF(AND($F70&lt;&gt;"",$F70&lt;&gt;0),
                        SUMIF(CÁLCULO!$AM$15:$AW$36,CRONO!AA$12,CÁLCULO!$AB$15:$AL$36)/(ORÇAMENTO!$X$15-CÁLCULO.TotalAdmLocal)*CRONO!$F70,
                        0),
                 AA69*$S68),
          SUMIF(OFFSET($S70,1,0,$R68-2),($M68+1)&amp;"$",OFFSET(AA70,1,0,$R68-2)))</f>
        <v>0</v>
      </c>
      <c r="AB70" s="159">
        <f ca="1">IF($R68=2,
         IF(AND(ACOMPANHAMENTO="PLE",ISNUMBER($F68)),
                SUMIF((OFFSET(CÁLCULO!$AM$15:$AW$15,$F68,0,OFFSET(ORÇAMENTO!$D$15,CRONO!$F68,0))),CRONO!AB$12,OFFSET(CÁLCULO!$AB$15:$AL$15,$F68,0,OFFSET(ORÇAMENTO!$D$15,CRONO!$F68,0)))
                +IF(AND($F70&lt;&gt;"",$F70&lt;&gt;0),
                        SUMIF(CÁLCULO!$AM$15:$AW$36,CRONO!AB$12,CÁLCULO!$AB$15:$AL$36)/(ORÇAMENTO!$X$15-CÁLCULO.TotalAdmLocal)*CRONO!$F70,
                        0),
                 AB69*$S68),
          SUMIF(OFFSET($S70,1,0,$R68-2),($M68+1)&amp;"$",OFFSET(AB70,1,0,$R68-2)))</f>
        <v>0</v>
      </c>
      <c r="AC70" s="159">
        <f ca="1">IF($R68=2,
         IF(AND(ACOMPANHAMENTO="PLE",ISNUMBER($F68)),
                SUMIF((OFFSET(CÁLCULO!$AM$15:$AW$15,$F68,0,OFFSET(ORÇAMENTO!$D$15,CRONO!$F68,0))),CRONO!AC$12,OFFSET(CÁLCULO!$AB$15:$AL$15,$F68,0,OFFSET(ORÇAMENTO!$D$15,CRONO!$F68,0)))
                +IF(AND($F70&lt;&gt;"",$F70&lt;&gt;0),
                        SUMIF(CÁLCULO!$AM$15:$AW$36,CRONO!AC$12,CÁLCULO!$AB$15:$AL$36)/(ORÇAMENTO!$X$15-CÁLCULO.TotalAdmLocal)*CRONO!$F70,
                        0),
                 AC69*$S68),
          SUMIF(OFFSET($S70,1,0,$R68-2),($M68+1)&amp;"$",OFFSET(AC70,1,0,$R68-2)))</f>
        <v>0</v>
      </c>
      <c r="AD70" s="159">
        <f ca="1">IF($R68=2,
         IF(AND(ACOMPANHAMENTO="PLE",ISNUMBER($F68)),
                SUMIF((OFFSET(CÁLCULO!$AM$15:$AW$15,$F68,0,OFFSET(ORÇAMENTO!$D$15,CRONO!$F68,0))),CRONO!AD$12,OFFSET(CÁLCULO!$AB$15:$AL$15,$F68,0,OFFSET(ORÇAMENTO!$D$15,CRONO!$F68,0)))
                +IF(AND($F70&lt;&gt;"",$F70&lt;&gt;0),
                        SUMIF(CÁLCULO!$AM$15:$AW$36,CRONO!AD$12,CÁLCULO!$AB$15:$AL$36)/(ORÇAMENTO!$X$15-CÁLCULO.TotalAdmLocal)*CRONO!$F70,
                        0),
                 AD69*$S68),
          SUMIF(OFFSET($S70,1,0,$R68-2),($M68+1)&amp;"$",OFFSET(AD70,1,0,$R68-2)))</f>
        <v>0</v>
      </c>
      <c r="AE70" s="159">
        <f ca="1">IF($R68=2,
         IF(AND(ACOMPANHAMENTO="PLE",ISNUMBER($F68)),
                SUMIF((OFFSET(CÁLCULO!$AM$15:$AW$15,$F68,0,OFFSET(ORÇAMENTO!$D$15,CRONO!$F68,0))),CRONO!AE$12,OFFSET(CÁLCULO!$AB$15:$AL$15,$F68,0,OFFSET(ORÇAMENTO!$D$15,CRONO!$F68,0)))
                +IF(AND($F70&lt;&gt;"",$F70&lt;&gt;0),
                        SUMIF(CÁLCULO!$AM$15:$AW$36,CRONO!AE$12,CÁLCULO!$AB$15:$AL$36)/(ORÇAMENTO!$X$15-CÁLCULO.TotalAdmLocal)*CRONO!$F70,
                        0),
                 AE69*$S68),
          SUMIF(OFFSET($S70,1,0,$R68-2),($M68+1)&amp;"$",OFFSET(AE70,1,0,$R68-2)))</f>
        <v>0</v>
      </c>
      <c r="AF70" s="159">
        <f ca="1">IF($R68=2,
         IF(AND(ACOMPANHAMENTO="PLE",ISNUMBER($F68)),
                SUMIF((OFFSET(CÁLCULO!$AM$15:$AW$15,$F68,0,OFFSET(ORÇAMENTO!$D$15,CRONO!$F68,0))),CRONO!AF$12,OFFSET(CÁLCULO!$AB$15:$AL$15,$F68,0,OFFSET(ORÇAMENTO!$D$15,CRONO!$F68,0)))
                +IF(AND($F70&lt;&gt;"",$F70&lt;&gt;0),
                        SUMIF(CÁLCULO!$AM$15:$AW$36,CRONO!AF$12,CÁLCULO!$AB$15:$AL$36)/(ORÇAMENTO!$X$15-CÁLCULO.TotalAdmLocal)*CRONO!$F70,
                        0),
                 AF69*$S68),
          SUMIF(OFFSET($S70,1,0,$R68-2),($M68+1)&amp;"$",OFFSET(AF70,1,0,$R68-2)))</f>
        <v>0</v>
      </c>
      <c r="AG70" s="444"/>
    </row>
    <row r="71" spans="1:33" hidden="1" x14ac:dyDescent="0.25">
      <c r="A71" s="145" t="str">
        <f t="shared" ref="A71" ca="1" si="116">IF($M71&gt;1,CONCATENATE($I71," ",$J71),"")</f>
        <v/>
      </c>
      <c r="B71" s="144">
        <f t="shared" ref="B71" ca="1" si="117">OFFSET(B71,-3,0)+1</f>
        <v>20</v>
      </c>
      <c r="C71" s="144">
        <f ca="1">IF($R71&lt;&gt;2,0,IF($S71=0,1,IF(F72&gt;0,OFFSET(QCI!$M$13,SUBSTITUTE(F72,".",""),0),OFFSET(ORÇAMENTO!$AA$15,CRONO!$F71,0))/$S71))</f>
        <v>0</v>
      </c>
      <c r="D71" s="144">
        <f ca="1">IF($R71&lt;&gt;2,0,IF($S71=0,1,IF(F72&gt;0,OFFSET(QCI!$N$13,SUBSTITUTE(F72,".",""),0),OFFSET(ORÇAMENTO!$AB$15,CRONO!$F71,0))/$S71))</f>
        <v>0</v>
      </c>
      <c r="E71" s="147" t="e">
        <f ca="1">IF(AND($R71=2,ACOMPANHAMENTO="BM"),ROUND(E72,4),E73/$S71)</f>
        <v>#VALUE!</v>
      </c>
      <c r="F71" s="144" t="e">
        <f ca="1">IF(B71&lt;=ORÇAMENTO.MáximoListaCrono,MATCH(B71,ORÇAMENTO.ListaCrono,0),NA())</f>
        <v>#N/A</v>
      </c>
      <c r="G71" s="144" t="str">
        <f t="shared" ref="G71" ca="1" si="118">IF(AND($F72&lt;&gt;-1,$S71&gt;0),"F","")</f>
        <v/>
      </c>
      <c r="H71" s="617" t="str">
        <f ca="1">IF(OR(S71=0,S71=""),"Linha",IF(AND(OR(ACOMPANHAMENTO="PLE",$R71&lt;&gt;2),$F72=0),"Linha",ROUND(1-SUM(U71:AG71),4)))</f>
        <v>Linha</v>
      </c>
      <c r="I71" s="148" t="str">
        <f ca="1">IF($F72=0,OFFSET(ORÇAMENTO!O$15,$F71,0),IF($F72&lt;&gt;-1,OFFSET(QCI!$D$13,$F72,0),""))</f>
        <v/>
      </c>
      <c r="J71" s="149" t="str">
        <f ca="1">IF($F72=0,OFFSET(ORÇAMENTO!R$15,$F71,0),IF($F72&lt;&gt;-1,OFFSET(QCI!$G$13,$F72,0),""))</f>
        <v/>
      </c>
      <c r="K71" s="149"/>
      <c r="L71" s="149"/>
      <c r="M71" s="150">
        <f ca="1">IF($F72=0,OFFSET(ORÇAMENTO!C$15,$F71,0),1)</f>
        <v>1</v>
      </c>
      <c r="N71" s="151">
        <f ca="1">IF($F72=-1,0,IF(N$13&lt;=$M71,IF(ISERROR(MATCH(N$13,OFFSET($M71,1,0,ROW($M$164)-ROW($M71)-1),0)),ROW($M$164)-ROW($M71)-1,MATCH(N$13,OFFSET($M71,1,0,ROW($M$164)-ROW($M71)-1),0)-1),0))</f>
        <v>0</v>
      </c>
      <c r="O71" s="151">
        <f ca="1">IF($F72=-1,0,IF(O$13&lt;=$M71,IF(ISERROR(MATCH(O$13,OFFSET($M71,1,0,ROW($M$164)-ROW($M71)-1),0)),ROW($M$164)-ROW($M71)-1,MATCH(O$13,OFFSET($M71,1,0,ROW($M$164)-ROW($M71)-1),0)-1),0))</f>
        <v>0</v>
      </c>
      <c r="P71" s="151">
        <f ca="1">IF($F72=-1,0,IF(P$13&lt;=$M71,IF(ISERROR(MATCH(P$13,OFFSET($M71,1,0,ROW($M$164)-ROW($M71)-1),0)),ROW($M$164)-ROW($M71)-1,MATCH(P$13,OFFSET($M71,1,0,ROW($M$164)-ROW($M71)-1),0)-1),0))</f>
        <v>0</v>
      </c>
      <c r="Q71" s="151">
        <f ca="1">IF($F72=-1,0,IF(Q$13&lt;=$M71,IF(ISERROR(MATCH(Q$13,OFFSET($M71,1,0,ROW($M$164)-ROW($M71)-1),0)),ROW($M$164)-ROW($M71)-1,MATCH(Q$13,OFFSET($M71,1,0,ROW($M$164)-ROW($M71)-1),0)-1),0))</f>
        <v>0</v>
      </c>
      <c r="R71" s="151">
        <f t="shared" ref="R71" ca="1" si="119">MIN(OFFSET(M71,0,1,,M71))</f>
        <v>0</v>
      </c>
      <c r="S71" s="152" t="str">
        <f ca="1">IF($F72=0,OFFSET(ORÇAMENTO!X$15,$F71,0),IF($F72&lt;&gt;-1,OFFSET(QCI!$O$13,$F72,0),""))</f>
        <v/>
      </c>
      <c r="T71" s="618" t="s">
        <v>809</v>
      </c>
      <c r="U71" s="147" t="e">
        <f ca="1">IF(AND($R71=2,ACOMPANHAMENTO="BM"),ROUND(U72,4),U73/$S71)</f>
        <v>#VALUE!</v>
      </c>
      <c r="V71" s="147" t="e">
        <f ca="1">IF(AND($R71=2,ACOMPANHAMENTO="BM"),ROUND(V72,4),V73/$S71)</f>
        <v>#VALUE!</v>
      </c>
      <c r="W71" s="147" t="e">
        <f ca="1">IF(AND($R71=2,ACOMPANHAMENTO="BM"),ROUND(W72,4),W73/$S71)</f>
        <v>#VALUE!</v>
      </c>
      <c r="X71" s="147" t="e">
        <f ca="1">IF(AND($R71=2,ACOMPANHAMENTO="BM"),ROUND(X72,4),X73/$S71)</f>
        <v>#VALUE!</v>
      </c>
      <c r="Y71" s="147" t="e">
        <f ca="1">IF(AND($R71=2,ACOMPANHAMENTO="BM"),ROUND(Y72,4),Y73/$S71)</f>
        <v>#VALUE!</v>
      </c>
      <c r="Z71" s="147" t="e">
        <f ca="1">IF(AND($R71=2,ACOMPANHAMENTO="BM"),ROUND(Z72,4),Z73/$S71)</f>
        <v>#VALUE!</v>
      </c>
      <c r="AA71" s="147" t="e">
        <f ca="1">IF(AND($R71=2,ACOMPANHAMENTO="BM"),ROUND(AA72,4),AA73/$S71)</f>
        <v>#VALUE!</v>
      </c>
      <c r="AB71" s="147" t="e">
        <f ca="1">IF(AND($R71=2,ACOMPANHAMENTO="BM"),ROUND(AB72,4),AB73/$S71)</f>
        <v>#VALUE!</v>
      </c>
      <c r="AC71" s="147" t="e">
        <f ca="1">IF(AND($R71=2,ACOMPANHAMENTO="BM"),ROUND(AC72,4),AC73/$S71)</f>
        <v>#VALUE!</v>
      </c>
      <c r="AD71" s="147" t="e">
        <f ca="1">IF(AND($R71=2,ACOMPANHAMENTO="BM"),ROUND(AD72,4),AD73/$S71)</f>
        <v>#VALUE!</v>
      </c>
      <c r="AE71" s="147" t="e">
        <f ca="1">IF(AND($R71=2,ACOMPANHAMENTO="BM"),ROUND(AE72,4),AE73/$S71)</f>
        <v>#VALUE!</v>
      </c>
      <c r="AF71" s="147" t="e">
        <f ca="1">IF(AND($R71=2,ACOMPANHAMENTO="BM"),ROUND(AF72,4),AF73/$S71)</f>
        <v>#VALUE!</v>
      </c>
      <c r="AG71" s="444"/>
    </row>
    <row r="72" spans="1:33" ht="12.75" hidden="1" customHeight="1" x14ac:dyDescent="0.25">
      <c r="E72" s="501"/>
      <c r="F72" s="144">
        <f ca="1">IF(ISERROR(F71),IF(1+COUNTIF($M$13:OFFSET(M71,-1,0),1)&lt;=MAX(QCI!$D$13:$D$24),1+COUNTIF($M$13:OFFSET(M71,-1,0),1),-1),0)</f>
        <v>-1</v>
      </c>
      <c r="G72" s="144" t="str">
        <f ca="1">IF(ACOMPANHAMENTO="BM",OFFSET(G72,-1,0),"")</f>
        <v/>
      </c>
      <c r="H72" s="153" t="str">
        <f ca="1">IF(OR(S71=0,S71=""),"vazia",IF(AND(OR(ACOMPANHAMENTO="PLE",$R71&lt;&gt;2),$F72=0),"calculada","--&gt;"))</f>
        <v>vazia</v>
      </c>
      <c r="I72" s="154"/>
      <c r="J72" s="155" t="str">
        <f t="shared" ref="J72" ca="1" si="120">IF(AND(H71&lt;&gt;0,ISNUMBER(H71)),"PREENCHA ESTA LINHA --&gt;","")</f>
        <v/>
      </c>
      <c r="K72" s="155"/>
      <c r="L72" s="155"/>
      <c r="M72" s="156"/>
      <c r="N72" s="156"/>
      <c r="O72" s="156"/>
      <c r="P72" s="156"/>
      <c r="Q72" s="156"/>
      <c r="R72" s="156"/>
      <c r="S72" s="157"/>
      <c r="T72" s="158"/>
      <c r="U72" s="501"/>
      <c r="V72" s="501"/>
      <c r="W72" s="501"/>
      <c r="X72" s="501"/>
      <c r="Y72" s="501"/>
      <c r="Z72" s="501"/>
      <c r="AA72" s="501"/>
      <c r="AB72" s="501"/>
      <c r="AC72" s="501"/>
      <c r="AD72" s="501"/>
      <c r="AE72" s="501"/>
      <c r="AF72" s="501"/>
      <c r="AG72" s="444"/>
    </row>
    <row r="73" spans="1:33" ht="12.75" hidden="1" customHeight="1" x14ac:dyDescent="0.25">
      <c r="D73" s="443"/>
      <c r="E73" s="159">
        <f ca="1">IF($R71=2,
         IF(AND(ACOMPANHAMENTO="PLE",ISNUMBER($F71)),
                SUMIF((OFFSET(CÁLCULO!$AM$15:$AW$15,$F71,0,OFFSET(ORÇAMENTO!$D$15,CRONO!$F71,0))),CRONO!E$12,OFFSET(CÁLCULO!$AB$15:$AL$15,$F71,0,OFFSET(ORÇAMENTO!$D$15,CRONO!$F71,0)))
                +IF(AND($F73&lt;&gt;"",$F73&lt;&gt;0),
                        SUMIF(CÁLCULO!$AM$15:$AW$36,CRONO!E$12,CÁLCULO!$AB$15:$AL$36)/(ORÇAMENTO!$X$15-CÁLCULO.TotalAdmLocal)*CRONO!$F73,
                        0),
                 E72*$S71),
          SUMIF(OFFSET($S73,1,0,$R71-2),($M71+1)&amp;"$",OFFSET(E73,1,0,$R71-2)))</f>
        <v>0</v>
      </c>
      <c r="F73" s="144" t="str">
        <f ca="1">IF(OR($R71&lt;&gt;2,AUTOEVENTO&lt;&gt;"manual",$F72&gt;0),"",
        IF(Import.TipoArredondamento="Tradicional",
              SUMIF(OFFSET(CÁLCULO!$M$15,CRONO!$F71,0,OFFSET(ORÇAMENTO!$D$15,CRONO!$F71,0)),1,OFFSET(ORÇAMENTO!$X$15,CRONO!$F71,0,OFFSET(ORÇAMENTO!$D$15,CRONO!$F71,0))),
              0))</f>
        <v/>
      </c>
      <c r="H73" s="530"/>
      <c r="S73" s="160" t="str">
        <f t="shared" ref="S73" ca="1" si="121">M71&amp;"$"</f>
        <v>1$</v>
      </c>
      <c r="T73" s="161"/>
      <c r="U73" s="159">
        <f ca="1">IF($R71=2,
         IF(AND(ACOMPANHAMENTO="PLE",ISNUMBER($F71)),
                SUMIF((OFFSET(CÁLCULO!$AM$15:$AW$15,$F71,0,OFFSET(ORÇAMENTO!$D$15,CRONO!$F71,0))),CRONO!U$12,OFFSET(CÁLCULO!$AB$15:$AL$15,$F71,0,OFFSET(ORÇAMENTO!$D$15,CRONO!$F71,0)))
                +IF(AND($F73&lt;&gt;"",$F73&lt;&gt;0),
                        SUMIF(CÁLCULO!$AM$15:$AW$36,CRONO!U$12,CÁLCULO!$AB$15:$AL$36)/(ORÇAMENTO!$X$15-CÁLCULO.TotalAdmLocal)*CRONO!$F73,
                        0),
                 U72*$S71),
          SUMIF(OFFSET($S73,1,0,$R71-2),($M71+1)&amp;"$",OFFSET(U73,1,0,$R71-2)))</f>
        <v>0</v>
      </c>
      <c r="V73" s="159">
        <f ca="1">IF($R71=2,
         IF(AND(ACOMPANHAMENTO="PLE",ISNUMBER($F71)),
                SUMIF((OFFSET(CÁLCULO!$AM$15:$AW$15,$F71,0,OFFSET(ORÇAMENTO!$D$15,CRONO!$F71,0))),CRONO!V$12,OFFSET(CÁLCULO!$AB$15:$AL$15,$F71,0,OFFSET(ORÇAMENTO!$D$15,CRONO!$F71,0)))
                +IF(AND($F73&lt;&gt;"",$F73&lt;&gt;0),
                        SUMIF(CÁLCULO!$AM$15:$AW$36,CRONO!V$12,CÁLCULO!$AB$15:$AL$36)/(ORÇAMENTO!$X$15-CÁLCULO.TotalAdmLocal)*CRONO!$F73,
                        0),
                 V72*$S71),
          SUMIF(OFFSET($S73,1,0,$R71-2),($M71+1)&amp;"$",OFFSET(V73,1,0,$R71-2)))</f>
        <v>0</v>
      </c>
      <c r="W73" s="159">
        <f ca="1">IF($R71=2,
         IF(AND(ACOMPANHAMENTO="PLE",ISNUMBER($F71)),
                SUMIF((OFFSET(CÁLCULO!$AM$15:$AW$15,$F71,0,OFFSET(ORÇAMENTO!$D$15,CRONO!$F71,0))),CRONO!W$12,OFFSET(CÁLCULO!$AB$15:$AL$15,$F71,0,OFFSET(ORÇAMENTO!$D$15,CRONO!$F71,0)))
                +IF(AND($F73&lt;&gt;"",$F73&lt;&gt;0),
                        SUMIF(CÁLCULO!$AM$15:$AW$36,CRONO!W$12,CÁLCULO!$AB$15:$AL$36)/(ORÇAMENTO!$X$15-CÁLCULO.TotalAdmLocal)*CRONO!$F73,
                        0),
                 W72*$S71),
          SUMIF(OFFSET($S73,1,0,$R71-2),($M71+1)&amp;"$",OFFSET(W73,1,0,$R71-2)))</f>
        <v>0</v>
      </c>
      <c r="X73" s="159">
        <f ca="1">IF($R71=2,
         IF(AND(ACOMPANHAMENTO="PLE",ISNUMBER($F71)),
                SUMIF((OFFSET(CÁLCULO!$AM$15:$AW$15,$F71,0,OFFSET(ORÇAMENTO!$D$15,CRONO!$F71,0))),CRONO!X$12,OFFSET(CÁLCULO!$AB$15:$AL$15,$F71,0,OFFSET(ORÇAMENTO!$D$15,CRONO!$F71,0)))
                +IF(AND($F73&lt;&gt;"",$F73&lt;&gt;0),
                        SUMIF(CÁLCULO!$AM$15:$AW$36,CRONO!X$12,CÁLCULO!$AB$15:$AL$36)/(ORÇAMENTO!$X$15-CÁLCULO.TotalAdmLocal)*CRONO!$F73,
                        0),
                 X72*$S71),
          SUMIF(OFFSET($S73,1,0,$R71-2),($M71+1)&amp;"$",OFFSET(X73,1,0,$R71-2)))</f>
        <v>0</v>
      </c>
      <c r="Y73" s="159">
        <f ca="1">IF($R71=2,
         IF(AND(ACOMPANHAMENTO="PLE",ISNUMBER($F71)),
                SUMIF((OFFSET(CÁLCULO!$AM$15:$AW$15,$F71,0,OFFSET(ORÇAMENTO!$D$15,CRONO!$F71,0))),CRONO!Y$12,OFFSET(CÁLCULO!$AB$15:$AL$15,$F71,0,OFFSET(ORÇAMENTO!$D$15,CRONO!$F71,0)))
                +IF(AND($F73&lt;&gt;"",$F73&lt;&gt;0),
                        SUMIF(CÁLCULO!$AM$15:$AW$36,CRONO!Y$12,CÁLCULO!$AB$15:$AL$36)/(ORÇAMENTO!$X$15-CÁLCULO.TotalAdmLocal)*CRONO!$F73,
                        0),
                 Y72*$S71),
          SUMIF(OFFSET($S73,1,0,$R71-2),($M71+1)&amp;"$",OFFSET(Y73,1,0,$R71-2)))</f>
        <v>0</v>
      </c>
      <c r="Z73" s="159">
        <f ca="1">IF($R71=2,
         IF(AND(ACOMPANHAMENTO="PLE",ISNUMBER($F71)),
                SUMIF((OFFSET(CÁLCULO!$AM$15:$AW$15,$F71,0,OFFSET(ORÇAMENTO!$D$15,CRONO!$F71,0))),CRONO!Z$12,OFFSET(CÁLCULO!$AB$15:$AL$15,$F71,0,OFFSET(ORÇAMENTO!$D$15,CRONO!$F71,0)))
                +IF(AND($F73&lt;&gt;"",$F73&lt;&gt;0),
                        SUMIF(CÁLCULO!$AM$15:$AW$36,CRONO!Z$12,CÁLCULO!$AB$15:$AL$36)/(ORÇAMENTO!$X$15-CÁLCULO.TotalAdmLocal)*CRONO!$F73,
                        0),
                 Z72*$S71),
          SUMIF(OFFSET($S73,1,0,$R71-2),($M71+1)&amp;"$",OFFSET(Z73,1,0,$R71-2)))</f>
        <v>0</v>
      </c>
      <c r="AA73" s="159">
        <f ca="1">IF($R71=2,
         IF(AND(ACOMPANHAMENTO="PLE",ISNUMBER($F71)),
                SUMIF((OFFSET(CÁLCULO!$AM$15:$AW$15,$F71,0,OFFSET(ORÇAMENTO!$D$15,CRONO!$F71,0))),CRONO!AA$12,OFFSET(CÁLCULO!$AB$15:$AL$15,$F71,0,OFFSET(ORÇAMENTO!$D$15,CRONO!$F71,0)))
                +IF(AND($F73&lt;&gt;"",$F73&lt;&gt;0),
                        SUMIF(CÁLCULO!$AM$15:$AW$36,CRONO!AA$12,CÁLCULO!$AB$15:$AL$36)/(ORÇAMENTO!$X$15-CÁLCULO.TotalAdmLocal)*CRONO!$F73,
                        0),
                 AA72*$S71),
          SUMIF(OFFSET($S73,1,0,$R71-2),($M71+1)&amp;"$",OFFSET(AA73,1,0,$R71-2)))</f>
        <v>0</v>
      </c>
      <c r="AB73" s="159">
        <f ca="1">IF($R71=2,
         IF(AND(ACOMPANHAMENTO="PLE",ISNUMBER($F71)),
                SUMIF((OFFSET(CÁLCULO!$AM$15:$AW$15,$F71,0,OFFSET(ORÇAMENTO!$D$15,CRONO!$F71,0))),CRONO!AB$12,OFFSET(CÁLCULO!$AB$15:$AL$15,$F71,0,OFFSET(ORÇAMENTO!$D$15,CRONO!$F71,0)))
                +IF(AND($F73&lt;&gt;"",$F73&lt;&gt;0),
                        SUMIF(CÁLCULO!$AM$15:$AW$36,CRONO!AB$12,CÁLCULO!$AB$15:$AL$36)/(ORÇAMENTO!$X$15-CÁLCULO.TotalAdmLocal)*CRONO!$F73,
                        0),
                 AB72*$S71),
          SUMIF(OFFSET($S73,1,0,$R71-2),($M71+1)&amp;"$",OFFSET(AB73,1,0,$R71-2)))</f>
        <v>0</v>
      </c>
      <c r="AC73" s="159">
        <f ca="1">IF($R71=2,
         IF(AND(ACOMPANHAMENTO="PLE",ISNUMBER($F71)),
                SUMIF((OFFSET(CÁLCULO!$AM$15:$AW$15,$F71,0,OFFSET(ORÇAMENTO!$D$15,CRONO!$F71,0))),CRONO!AC$12,OFFSET(CÁLCULO!$AB$15:$AL$15,$F71,0,OFFSET(ORÇAMENTO!$D$15,CRONO!$F71,0)))
                +IF(AND($F73&lt;&gt;"",$F73&lt;&gt;0),
                        SUMIF(CÁLCULO!$AM$15:$AW$36,CRONO!AC$12,CÁLCULO!$AB$15:$AL$36)/(ORÇAMENTO!$X$15-CÁLCULO.TotalAdmLocal)*CRONO!$F73,
                        0),
                 AC72*$S71),
          SUMIF(OFFSET($S73,1,0,$R71-2),($M71+1)&amp;"$",OFFSET(AC73,1,0,$R71-2)))</f>
        <v>0</v>
      </c>
      <c r="AD73" s="159">
        <f ca="1">IF($R71=2,
         IF(AND(ACOMPANHAMENTO="PLE",ISNUMBER($F71)),
                SUMIF((OFFSET(CÁLCULO!$AM$15:$AW$15,$F71,0,OFFSET(ORÇAMENTO!$D$15,CRONO!$F71,0))),CRONO!AD$12,OFFSET(CÁLCULO!$AB$15:$AL$15,$F71,0,OFFSET(ORÇAMENTO!$D$15,CRONO!$F71,0)))
                +IF(AND($F73&lt;&gt;"",$F73&lt;&gt;0),
                        SUMIF(CÁLCULO!$AM$15:$AW$36,CRONO!AD$12,CÁLCULO!$AB$15:$AL$36)/(ORÇAMENTO!$X$15-CÁLCULO.TotalAdmLocal)*CRONO!$F73,
                        0),
                 AD72*$S71),
          SUMIF(OFFSET($S73,1,0,$R71-2),($M71+1)&amp;"$",OFFSET(AD73,1,0,$R71-2)))</f>
        <v>0</v>
      </c>
      <c r="AE73" s="159">
        <f ca="1">IF($R71=2,
         IF(AND(ACOMPANHAMENTO="PLE",ISNUMBER($F71)),
                SUMIF((OFFSET(CÁLCULO!$AM$15:$AW$15,$F71,0,OFFSET(ORÇAMENTO!$D$15,CRONO!$F71,0))),CRONO!AE$12,OFFSET(CÁLCULO!$AB$15:$AL$15,$F71,0,OFFSET(ORÇAMENTO!$D$15,CRONO!$F71,0)))
                +IF(AND($F73&lt;&gt;"",$F73&lt;&gt;0),
                        SUMIF(CÁLCULO!$AM$15:$AW$36,CRONO!AE$12,CÁLCULO!$AB$15:$AL$36)/(ORÇAMENTO!$X$15-CÁLCULO.TotalAdmLocal)*CRONO!$F73,
                        0),
                 AE72*$S71),
          SUMIF(OFFSET($S73,1,0,$R71-2),($M71+1)&amp;"$",OFFSET(AE73,1,0,$R71-2)))</f>
        <v>0</v>
      </c>
      <c r="AF73" s="159">
        <f ca="1">IF($R71=2,
         IF(AND(ACOMPANHAMENTO="PLE",ISNUMBER($F71)),
                SUMIF((OFFSET(CÁLCULO!$AM$15:$AW$15,$F71,0,OFFSET(ORÇAMENTO!$D$15,CRONO!$F71,0))),CRONO!AF$12,OFFSET(CÁLCULO!$AB$15:$AL$15,$F71,0,OFFSET(ORÇAMENTO!$D$15,CRONO!$F71,0)))
                +IF(AND($F73&lt;&gt;"",$F73&lt;&gt;0),
                        SUMIF(CÁLCULO!$AM$15:$AW$36,CRONO!AF$12,CÁLCULO!$AB$15:$AL$36)/(ORÇAMENTO!$X$15-CÁLCULO.TotalAdmLocal)*CRONO!$F73,
                        0),
                 AF72*$S71),
          SUMIF(OFFSET($S73,1,0,$R71-2),($M71+1)&amp;"$",OFFSET(AF73,1,0,$R71-2)))</f>
        <v>0</v>
      </c>
      <c r="AG73" s="444"/>
    </row>
    <row r="74" spans="1:33" hidden="1" x14ac:dyDescent="0.25">
      <c r="A74" s="145" t="str">
        <f t="shared" ref="A74" ca="1" si="122">IF($M74&gt;1,CONCATENATE($I74," ",$J74),"")</f>
        <v/>
      </c>
      <c r="B74" s="144">
        <f t="shared" ref="B74" ca="1" si="123">OFFSET(B74,-3,0)+1</f>
        <v>21</v>
      </c>
      <c r="C74" s="144">
        <f ca="1">IF($R74&lt;&gt;2,0,IF($S74=0,1,IF(F75&gt;0,OFFSET(QCI!$M$13,SUBSTITUTE(F75,".",""),0),OFFSET(ORÇAMENTO!$AA$15,CRONO!$F74,0))/$S74))</f>
        <v>0</v>
      </c>
      <c r="D74" s="144">
        <f ca="1">IF($R74&lt;&gt;2,0,IF($S74=0,1,IF(F75&gt;0,OFFSET(QCI!$N$13,SUBSTITUTE(F75,".",""),0),OFFSET(ORÇAMENTO!$AB$15,CRONO!$F74,0))/$S74))</f>
        <v>0</v>
      </c>
      <c r="E74" s="147" t="e">
        <f ca="1">IF(AND($R74=2,ACOMPANHAMENTO="BM"),ROUND(E75,4),E76/$S74)</f>
        <v>#VALUE!</v>
      </c>
      <c r="F74" s="144" t="e">
        <f ca="1">IF(B74&lt;=ORÇAMENTO.MáximoListaCrono,MATCH(B74,ORÇAMENTO.ListaCrono,0),NA())</f>
        <v>#N/A</v>
      </c>
      <c r="G74" s="144" t="str">
        <f t="shared" ref="G74" ca="1" si="124">IF(AND($F75&lt;&gt;-1,$S74&gt;0),"F","")</f>
        <v/>
      </c>
      <c r="H74" s="617" t="str">
        <f ca="1">IF(OR(S74=0,S74=""),"Linha",IF(AND(OR(ACOMPANHAMENTO="PLE",$R74&lt;&gt;2),$F75=0),"Linha",ROUND(1-SUM(U74:AG74),4)))</f>
        <v>Linha</v>
      </c>
      <c r="I74" s="148" t="str">
        <f ca="1">IF($F75=0,OFFSET(ORÇAMENTO!O$15,$F74,0),IF($F75&lt;&gt;-1,OFFSET(QCI!$D$13,$F75,0),""))</f>
        <v/>
      </c>
      <c r="J74" s="149" t="str">
        <f ca="1">IF($F75=0,OFFSET(ORÇAMENTO!R$15,$F74,0),IF($F75&lt;&gt;-1,OFFSET(QCI!$G$13,$F75,0),""))</f>
        <v/>
      </c>
      <c r="K74" s="149"/>
      <c r="L74" s="149"/>
      <c r="M74" s="150">
        <f ca="1">IF($F75=0,OFFSET(ORÇAMENTO!C$15,$F74,0),1)</f>
        <v>1</v>
      </c>
      <c r="N74" s="151">
        <f ca="1">IF($F75=-1,0,IF(N$13&lt;=$M74,IF(ISERROR(MATCH(N$13,OFFSET($M74,1,0,ROW($M$164)-ROW($M74)-1),0)),ROW($M$164)-ROW($M74)-1,MATCH(N$13,OFFSET($M74,1,0,ROW($M$164)-ROW($M74)-1),0)-1),0))</f>
        <v>0</v>
      </c>
      <c r="O74" s="151">
        <f ca="1">IF($F75=-1,0,IF(O$13&lt;=$M74,IF(ISERROR(MATCH(O$13,OFFSET($M74,1,0,ROW($M$164)-ROW($M74)-1),0)),ROW($M$164)-ROW($M74)-1,MATCH(O$13,OFFSET($M74,1,0,ROW($M$164)-ROW($M74)-1),0)-1),0))</f>
        <v>0</v>
      </c>
      <c r="P74" s="151">
        <f ca="1">IF($F75=-1,0,IF(P$13&lt;=$M74,IF(ISERROR(MATCH(P$13,OFFSET($M74,1,0,ROW($M$164)-ROW($M74)-1),0)),ROW($M$164)-ROW($M74)-1,MATCH(P$13,OFFSET($M74,1,0,ROW($M$164)-ROW($M74)-1),0)-1),0))</f>
        <v>0</v>
      </c>
      <c r="Q74" s="151">
        <f ca="1">IF($F75=-1,0,IF(Q$13&lt;=$M74,IF(ISERROR(MATCH(Q$13,OFFSET($M74,1,0,ROW($M$164)-ROW($M74)-1),0)),ROW($M$164)-ROW($M74)-1,MATCH(Q$13,OFFSET($M74,1,0,ROW($M$164)-ROW($M74)-1),0)-1),0))</f>
        <v>0</v>
      </c>
      <c r="R74" s="151">
        <f t="shared" ref="R74" ca="1" si="125">MIN(OFFSET(M74,0,1,,M74))</f>
        <v>0</v>
      </c>
      <c r="S74" s="152" t="str">
        <f ca="1">IF($F75=0,OFFSET(ORÇAMENTO!X$15,$F74,0),IF($F75&lt;&gt;-1,OFFSET(QCI!$O$13,$F75,0),""))</f>
        <v/>
      </c>
      <c r="T74" s="618" t="s">
        <v>809</v>
      </c>
      <c r="U74" s="147" t="e">
        <f ca="1">IF(AND($R74=2,ACOMPANHAMENTO="BM"),ROUND(U75,4),U76/$S74)</f>
        <v>#VALUE!</v>
      </c>
      <c r="V74" s="147" t="e">
        <f ca="1">IF(AND($R74=2,ACOMPANHAMENTO="BM"),ROUND(V75,4),V76/$S74)</f>
        <v>#VALUE!</v>
      </c>
      <c r="W74" s="147" t="e">
        <f ca="1">IF(AND($R74=2,ACOMPANHAMENTO="BM"),ROUND(W75,4),W76/$S74)</f>
        <v>#VALUE!</v>
      </c>
      <c r="X74" s="147" t="e">
        <f ca="1">IF(AND($R74=2,ACOMPANHAMENTO="BM"),ROUND(X75,4),X76/$S74)</f>
        <v>#VALUE!</v>
      </c>
      <c r="Y74" s="147" t="e">
        <f ca="1">IF(AND($R74=2,ACOMPANHAMENTO="BM"),ROUND(Y75,4),Y76/$S74)</f>
        <v>#VALUE!</v>
      </c>
      <c r="Z74" s="147" t="e">
        <f ca="1">IF(AND($R74=2,ACOMPANHAMENTO="BM"),ROUND(Z75,4),Z76/$S74)</f>
        <v>#VALUE!</v>
      </c>
      <c r="AA74" s="147" t="e">
        <f ca="1">IF(AND($R74=2,ACOMPANHAMENTO="BM"),ROUND(AA75,4),AA76/$S74)</f>
        <v>#VALUE!</v>
      </c>
      <c r="AB74" s="147" t="e">
        <f ca="1">IF(AND($R74=2,ACOMPANHAMENTO="BM"),ROUND(AB75,4),AB76/$S74)</f>
        <v>#VALUE!</v>
      </c>
      <c r="AC74" s="147" t="e">
        <f ca="1">IF(AND($R74=2,ACOMPANHAMENTO="BM"),ROUND(AC75,4),AC76/$S74)</f>
        <v>#VALUE!</v>
      </c>
      <c r="AD74" s="147" t="e">
        <f ca="1">IF(AND($R74=2,ACOMPANHAMENTO="BM"),ROUND(AD75,4),AD76/$S74)</f>
        <v>#VALUE!</v>
      </c>
      <c r="AE74" s="147" t="e">
        <f ca="1">IF(AND($R74=2,ACOMPANHAMENTO="BM"),ROUND(AE75,4),AE76/$S74)</f>
        <v>#VALUE!</v>
      </c>
      <c r="AF74" s="147" t="e">
        <f ca="1">IF(AND($R74=2,ACOMPANHAMENTO="BM"),ROUND(AF75,4),AF76/$S74)</f>
        <v>#VALUE!</v>
      </c>
      <c r="AG74" s="444"/>
    </row>
    <row r="75" spans="1:33" ht="12.75" hidden="1" customHeight="1" x14ac:dyDescent="0.25">
      <c r="E75" s="501"/>
      <c r="F75" s="144">
        <f ca="1">IF(ISERROR(F74),IF(1+COUNTIF($M$13:OFFSET(M74,-1,0),1)&lt;=MAX(QCI!$D$13:$D$24),1+COUNTIF($M$13:OFFSET(M74,-1,0),1),-1),0)</f>
        <v>-1</v>
      </c>
      <c r="G75" s="144" t="str">
        <f ca="1">IF(ACOMPANHAMENTO="BM",OFFSET(G75,-1,0),"")</f>
        <v/>
      </c>
      <c r="H75" s="153" t="str">
        <f ca="1">IF(OR(S74=0,S74=""),"vazia",IF(AND(OR(ACOMPANHAMENTO="PLE",$R74&lt;&gt;2),$F75=0),"calculada","--&gt;"))</f>
        <v>vazia</v>
      </c>
      <c r="I75" s="154"/>
      <c r="J75" s="155" t="str">
        <f t="shared" ref="J75" ca="1" si="126">IF(AND(H74&lt;&gt;0,ISNUMBER(H74)),"PREENCHA ESTA LINHA --&gt;","")</f>
        <v/>
      </c>
      <c r="K75" s="155"/>
      <c r="L75" s="155"/>
      <c r="M75" s="156"/>
      <c r="N75" s="156"/>
      <c r="O75" s="156"/>
      <c r="P75" s="156"/>
      <c r="Q75" s="156"/>
      <c r="R75" s="156"/>
      <c r="S75" s="157"/>
      <c r="T75" s="158"/>
      <c r="U75" s="501"/>
      <c r="V75" s="501"/>
      <c r="W75" s="501"/>
      <c r="X75" s="501"/>
      <c r="Y75" s="501"/>
      <c r="Z75" s="501"/>
      <c r="AA75" s="501"/>
      <c r="AB75" s="501"/>
      <c r="AC75" s="501"/>
      <c r="AD75" s="501"/>
      <c r="AE75" s="501"/>
      <c r="AF75" s="501"/>
      <c r="AG75" s="444"/>
    </row>
    <row r="76" spans="1:33" ht="12.75" hidden="1" customHeight="1" x14ac:dyDescent="0.25">
      <c r="D76" s="443"/>
      <c r="E76" s="159">
        <f ca="1">IF($R74=2,
         IF(AND(ACOMPANHAMENTO="PLE",ISNUMBER($F74)),
                SUMIF((OFFSET(CÁLCULO!$AM$15:$AW$15,$F74,0,OFFSET(ORÇAMENTO!$D$15,CRONO!$F74,0))),CRONO!E$12,OFFSET(CÁLCULO!$AB$15:$AL$15,$F74,0,OFFSET(ORÇAMENTO!$D$15,CRONO!$F74,0)))
                +IF(AND($F76&lt;&gt;"",$F76&lt;&gt;0),
                        SUMIF(CÁLCULO!$AM$15:$AW$36,CRONO!E$12,CÁLCULO!$AB$15:$AL$36)/(ORÇAMENTO!$X$15-CÁLCULO.TotalAdmLocal)*CRONO!$F76,
                        0),
                 E75*$S74),
          SUMIF(OFFSET($S76,1,0,$R74-2),($M74+1)&amp;"$",OFFSET(E76,1,0,$R74-2)))</f>
        <v>0</v>
      </c>
      <c r="F76" s="144" t="str">
        <f ca="1">IF(OR($R74&lt;&gt;2,AUTOEVENTO&lt;&gt;"manual",$F75&gt;0),"",
        IF(Import.TipoArredondamento="Tradicional",
              SUMIF(OFFSET(CÁLCULO!$M$15,CRONO!$F74,0,OFFSET(ORÇAMENTO!$D$15,CRONO!$F74,0)),1,OFFSET(ORÇAMENTO!$X$15,CRONO!$F74,0,OFFSET(ORÇAMENTO!$D$15,CRONO!$F74,0))),
              0))</f>
        <v/>
      </c>
      <c r="H76" s="530"/>
      <c r="S76" s="160" t="str">
        <f t="shared" ref="S76" ca="1" si="127">M74&amp;"$"</f>
        <v>1$</v>
      </c>
      <c r="T76" s="161"/>
      <c r="U76" s="159">
        <f ca="1">IF($R74=2,
         IF(AND(ACOMPANHAMENTO="PLE",ISNUMBER($F74)),
                SUMIF((OFFSET(CÁLCULO!$AM$15:$AW$15,$F74,0,OFFSET(ORÇAMENTO!$D$15,CRONO!$F74,0))),CRONO!U$12,OFFSET(CÁLCULO!$AB$15:$AL$15,$F74,0,OFFSET(ORÇAMENTO!$D$15,CRONO!$F74,0)))
                +IF(AND($F76&lt;&gt;"",$F76&lt;&gt;0),
                        SUMIF(CÁLCULO!$AM$15:$AW$36,CRONO!U$12,CÁLCULO!$AB$15:$AL$36)/(ORÇAMENTO!$X$15-CÁLCULO.TotalAdmLocal)*CRONO!$F76,
                        0),
                 U75*$S74),
          SUMIF(OFFSET($S76,1,0,$R74-2),($M74+1)&amp;"$",OFFSET(U76,1,0,$R74-2)))</f>
        <v>0</v>
      </c>
      <c r="V76" s="159">
        <f ca="1">IF($R74=2,
         IF(AND(ACOMPANHAMENTO="PLE",ISNUMBER($F74)),
                SUMIF((OFFSET(CÁLCULO!$AM$15:$AW$15,$F74,0,OFFSET(ORÇAMENTO!$D$15,CRONO!$F74,0))),CRONO!V$12,OFFSET(CÁLCULO!$AB$15:$AL$15,$F74,0,OFFSET(ORÇAMENTO!$D$15,CRONO!$F74,0)))
                +IF(AND($F76&lt;&gt;"",$F76&lt;&gt;0),
                        SUMIF(CÁLCULO!$AM$15:$AW$36,CRONO!V$12,CÁLCULO!$AB$15:$AL$36)/(ORÇAMENTO!$X$15-CÁLCULO.TotalAdmLocal)*CRONO!$F76,
                        0),
                 V75*$S74),
          SUMIF(OFFSET($S76,1,0,$R74-2),($M74+1)&amp;"$",OFFSET(V76,1,0,$R74-2)))</f>
        <v>0</v>
      </c>
      <c r="W76" s="159">
        <f ca="1">IF($R74=2,
         IF(AND(ACOMPANHAMENTO="PLE",ISNUMBER($F74)),
                SUMIF((OFFSET(CÁLCULO!$AM$15:$AW$15,$F74,0,OFFSET(ORÇAMENTO!$D$15,CRONO!$F74,0))),CRONO!W$12,OFFSET(CÁLCULO!$AB$15:$AL$15,$F74,0,OFFSET(ORÇAMENTO!$D$15,CRONO!$F74,0)))
                +IF(AND($F76&lt;&gt;"",$F76&lt;&gt;0),
                        SUMIF(CÁLCULO!$AM$15:$AW$36,CRONO!W$12,CÁLCULO!$AB$15:$AL$36)/(ORÇAMENTO!$X$15-CÁLCULO.TotalAdmLocal)*CRONO!$F76,
                        0),
                 W75*$S74),
          SUMIF(OFFSET($S76,1,0,$R74-2),($M74+1)&amp;"$",OFFSET(W76,1,0,$R74-2)))</f>
        <v>0</v>
      </c>
      <c r="X76" s="159">
        <f ca="1">IF($R74=2,
         IF(AND(ACOMPANHAMENTO="PLE",ISNUMBER($F74)),
                SUMIF((OFFSET(CÁLCULO!$AM$15:$AW$15,$F74,0,OFFSET(ORÇAMENTO!$D$15,CRONO!$F74,0))),CRONO!X$12,OFFSET(CÁLCULO!$AB$15:$AL$15,$F74,0,OFFSET(ORÇAMENTO!$D$15,CRONO!$F74,0)))
                +IF(AND($F76&lt;&gt;"",$F76&lt;&gt;0),
                        SUMIF(CÁLCULO!$AM$15:$AW$36,CRONO!X$12,CÁLCULO!$AB$15:$AL$36)/(ORÇAMENTO!$X$15-CÁLCULO.TotalAdmLocal)*CRONO!$F76,
                        0),
                 X75*$S74),
          SUMIF(OFFSET($S76,1,0,$R74-2),($M74+1)&amp;"$",OFFSET(X76,1,0,$R74-2)))</f>
        <v>0</v>
      </c>
      <c r="Y76" s="159">
        <f ca="1">IF($R74=2,
         IF(AND(ACOMPANHAMENTO="PLE",ISNUMBER($F74)),
                SUMIF((OFFSET(CÁLCULO!$AM$15:$AW$15,$F74,0,OFFSET(ORÇAMENTO!$D$15,CRONO!$F74,0))),CRONO!Y$12,OFFSET(CÁLCULO!$AB$15:$AL$15,$F74,0,OFFSET(ORÇAMENTO!$D$15,CRONO!$F74,0)))
                +IF(AND($F76&lt;&gt;"",$F76&lt;&gt;0),
                        SUMIF(CÁLCULO!$AM$15:$AW$36,CRONO!Y$12,CÁLCULO!$AB$15:$AL$36)/(ORÇAMENTO!$X$15-CÁLCULO.TotalAdmLocal)*CRONO!$F76,
                        0),
                 Y75*$S74),
          SUMIF(OFFSET($S76,1,0,$R74-2),($M74+1)&amp;"$",OFFSET(Y76,1,0,$R74-2)))</f>
        <v>0</v>
      </c>
      <c r="Z76" s="159">
        <f ca="1">IF($R74=2,
         IF(AND(ACOMPANHAMENTO="PLE",ISNUMBER($F74)),
                SUMIF((OFFSET(CÁLCULO!$AM$15:$AW$15,$F74,0,OFFSET(ORÇAMENTO!$D$15,CRONO!$F74,0))),CRONO!Z$12,OFFSET(CÁLCULO!$AB$15:$AL$15,$F74,0,OFFSET(ORÇAMENTO!$D$15,CRONO!$F74,0)))
                +IF(AND($F76&lt;&gt;"",$F76&lt;&gt;0),
                        SUMIF(CÁLCULO!$AM$15:$AW$36,CRONO!Z$12,CÁLCULO!$AB$15:$AL$36)/(ORÇAMENTO!$X$15-CÁLCULO.TotalAdmLocal)*CRONO!$F76,
                        0),
                 Z75*$S74),
          SUMIF(OFFSET($S76,1,0,$R74-2),($M74+1)&amp;"$",OFFSET(Z76,1,0,$R74-2)))</f>
        <v>0</v>
      </c>
      <c r="AA76" s="159">
        <f ca="1">IF($R74=2,
         IF(AND(ACOMPANHAMENTO="PLE",ISNUMBER($F74)),
                SUMIF((OFFSET(CÁLCULO!$AM$15:$AW$15,$F74,0,OFFSET(ORÇAMENTO!$D$15,CRONO!$F74,0))),CRONO!AA$12,OFFSET(CÁLCULO!$AB$15:$AL$15,$F74,0,OFFSET(ORÇAMENTO!$D$15,CRONO!$F74,0)))
                +IF(AND($F76&lt;&gt;"",$F76&lt;&gt;0),
                        SUMIF(CÁLCULO!$AM$15:$AW$36,CRONO!AA$12,CÁLCULO!$AB$15:$AL$36)/(ORÇAMENTO!$X$15-CÁLCULO.TotalAdmLocal)*CRONO!$F76,
                        0),
                 AA75*$S74),
          SUMIF(OFFSET($S76,1,0,$R74-2),($M74+1)&amp;"$",OFFSET(AA76,1,0,$R74-2)))</f>
        <v>0</v>
      </c>
      <c r="AB76" s="159">
        <f ca="1">IF($R74=2,
         IF(AND(ACOMPANHAMENTO="PLE",ISNUMBER($F74)),
                SUMIF((OFFSET(CÁLCULO!$AM$15:$AW$15,$F74,0,OFFSET(ORÇAMENTO!$D$15,CRONO!$F74,0))),CRONO!AB$12,OFFSET(CÁLCULO!$AB$15:$AL$15,$F74,0,OFFSET(ORÇAMENTO!$D$15,CRONO!$F74,0)))
                +IF(AND($F76&lt;&gt;"",$F76&lt;&gt;0),
                        SUMIF(CÁLCULO!$AM$15:$AW$36,CRONO!AB$12,CÁLCULO!$AB$15:$AL$36)/(ORÇAMENTO!$X$15-CÁLCULO.TotalAdmLocal)*CRONO!$F76,
                        0),
                 AB75*$S74),
          SUMIF(OFFSET($S76,1,0,$R74-2),($M74+1)&amp;"$",OFFSET(AB76,1,0,$R74-2)))</f>
        <v>0</v>
      </c>
      <c r="AC76" s="159">
        <f ca="1">IF($R74=2,
         IF(AND(ACOMPANHAMENTO="PLE",ISNUMBER($F74)),
                SUMIF((OFFSET(CÁLCULO!$AM$15:$AW$15,$F74,0,OFFSET(ORÇAMENTO!$D$15,CRONO!$F74,0))),CRONO!AC$12,OFFSET(CÁLCULO!$AB$15:$AL$15,$F74,0,OFFSET(ORÇAMENTO!$D$15,CRONO!$F74,0)))
                +IF(AND($F76&lt;&gt;"",$F76&lt;&gt;0),
                        SUMIF(CÁLCULO!$AM$15:$AW$36,CRONO!AC$12,CÁLCULO!$AB$15:$AL$36)/(ORÇAMENTO!$X$15-CÁLCULO.TotalAdmLocal)*CRONO!$F76,
                        0),
                 AC75*$S74),
          SUMIF(OFFSET($S76,1,0,$R74-2),($M74+1)&amp;"$",OFFSET(AC76,1,0,$R74-2)))</f>
        <v>0</v>
      </c>
      <c r="AD76" s="159">
        <f ca="1">IF($R74=2,
         IF(AND(ACOMPANHAMENTO="PLE",ISNUMBER($F74)),
                SUMIF((OFFSET(CÁLCULO!$AM$15:$AW$15,$F74,0,OFFSET(ORÇAMENTO!$D$15,CRONO!$F74,0))),CRONO!AD$12,OFFSET(CÁLCULO!$AB$15:$AL$15,$F74,0,OFFSET(ORÇAMENTO!$D$15,CRONO!$F74,0)))
                +IF(AND($F76&lt;&gt;"",$F76&lt;&gt;0),
                        SUMIF(CÁLCULO!$AM$15:$AW$36,CRONO!AD$12,CÁLCULO!$AB$15:$AL$36)/(ORÇAMENTO!$X$15-CÁLCULO.TotalAdmLocal)*CRONO!$F76,
                        0),
                 AD75*$S74),
          SUMIF(OFFSET($S76,1,0,$R74-2),($M74+1)&amp;"$",OFFSET(AD76,1,0,$R74-2)))</f>
        <v>0</v>
      </c>
      <c r="AE76" s="159">
        <f ca="1">IF($R74=2,
         IF(AND(ACOMPANHAMENTO="PLE",ISNUMBER($F74)),
                SUMIF((OFFSET(CÁLCULO!$AM$15:$AW$15,$F74,0,OFFSET(ORÇAMENTO!$D$15,CRONO!$F74,0))),CRONO!AE$12,OFFSET(CÁLCULO!$AB$15:$AL$15,$F74,0,OFFSET(ORÇAMENTO!$D$15,CRONO!$F74,0)))
                +IF(AND($F76&lt;&gt;"",$F76&lt;&gt;0),
                        SUMIF(CÁLCULO!$AM$15:$AW$36,CRONO!AE$12,CÁLCULO!$AB$15:$AL$36)/(ORÇAMENTO!$X$15-CÁLCULO.TotalAdmLocal)*CRONO!$F76,
                        0),
                 AE75*$S74),
          SUMIF(OFFSET($S76,1,0,$R74-2),($M74+1)&amp;"$",OFFSET(AE76,1,0,$R74-2)))</f>
        <v>0</v>
      </c>
      <c r="AF76" s="159">
        <f ca="1">IF($R74=2,
         IF(AND(ACOMPANHAMENTO="PLE",ISNUMBER($F74)),
                SUMIF((OFFSET(CÁLCULO!$AM$15:$AW$15,$F74,0,OFFSET(ORÇAMENTO!$D$15,CRONO!$F74,0))),CRONO!AF$12,OFFSET(CÁLCULO!$AB$15:$AL$15,$F74,0,OFFSET(ORÇAMENTO!$D$15,CRONO!$F74,0)))
                +IF(AND($F76&lt;&gt;"",$F76&lt;&gt;0),
                        SUMIF(CÁLCULO!$AM$15:$AW$36,CRONO!AF$12,CÁLCULO!$AB$15:$AL$36)/(ORÇAMENTO!$X$15-CÁLCULO.TotalAdmLocal)*CRONO!$F76,
                        0),
                 AF75*$S74),
          SUMIF(OFFSET($S76,1,0,$R74-2),($M74+1)&amp;"$",OFFSET(AF76,1,0,$R74-2)))</f>
        <v>0</v>
      </c>
      <c r="AG76" s="444"/>
    </row>
    <row r="77" spans="1:33" hidden="1" x14ac:dyDescent="0.25">
      <c r="A77" s="145" t="str">
        <f t="shared" ref="A77" ca="1" si="128">IF($M77&gt;1,CONCATENATE($I77," ",$J77),"")</f>
        <v/>
      </c>
      <c r="B77" s="144">
        <f t="shared" ref="B77" ca="1" si="129">OFFSET(B77,-3,0)+1</f>
        <v>22</v>
      </c>
      <c r="C77" s="144">
        <f ca="1">IF($R77&lt;&gt;2,0,IF($S77=0,1,IF(F78&gt;0,OFFSET(QCI!$M$13,SUBSTITUTE(F78,".",""),0),OFFSET(ORÇAMENTO!$AA$15,CRONO!$F77,0))/$S77))</f>
        <v>0</v>
      </c>
      <c r="D77" s="144">
        <f ca="1">IF($R77&lt;&gt;2,0,IF($S77=0,1,IF(F78&gt;0,OFFSET(QCI!$N$13,SUBSTITUTE(F78,".",""),0),OFFSET(ORÇAMENTO!$AB$15,CRONO!$F77,0))/$S77))</f>
        <v>0</v>
      </c>
      <c r="E77" s="147" t="e">
        <f ca="1">IF(AND($R77=2,ACOMPANHAMENTO="BM"),ROUND(E78,4),E79/$S77)</f>
        <v>#VALUE!</v>
      </c>
      <c r="F77" s="144" t="e">
        <f ca="1">IF(B77&lt;=ORÇAMENTO.MáximoListaCrono,MATCH(B77,ORÇAMENTO.ListaCrono,0),NA())</f>
        <v>#N/A</v>
      </c>
      <c r="G77" s="144" t="str">
        <f t="shared" ref="G77" ca="1" si="130">IF(AND($F78&lt;&gt;-1,$S77&gt;0),"F","")</f>
        <v/>
      </c>
      <c r="H77" s="617" t="str">
        <f ca="1">IF(OR(S77=0,S77=""),"Linha",IF(AND(OR(ACOMPANHAMENTO="PLE",$R77&lt;&gt;2),$F78=0),"Linha",ROUND(1-SUM(U77:AG77),4)))</f>
        <v>Linha</v>
      </c>
      <c r="I77" s="148" t="str">
        <f ca="1">IF($F78=0,OFFSET(ORÇAMENTO!O$15,$F77,0),IF($F78&lt;&gt;-1,OFFSET(QCI!$D$13,$F78,0),""))</f>
        <v/>
      </c>
      <c r="J77" s="149" t="str">
        <f ca="1">IF($F78=0,OFFSET(ORÇAMENTO!R$15,$F77,0),IF($F78&lt;&gt;-1,OFFSET(QCI!$G$13,$F78,0),""))</f>
        <v/>
      </c>
      <c r="K77" s="149"/>
      <c r="L77" s="149"/>
      <c r="M77" s="150">
        <f ca="1">IF($F78=0,OFFSET(ORÇAMENTO!C$15,$F77,0),1)</f>
        <v>1</v>
      </c>
      <c r="N77" s="151">
        <f ca="1">IF($F78=-1,0,IF(N$13&lt;=$M77,IF(ISERROR(MATCH(N$13,OFFSET($M77,1,0,ROW($M$164)-ROW($M77)-1),0)),ROW($M$164)-ROW($M77)-1,MATCH(N$13,OFFSET($M77,1,0,ROW($M$164)-ROW($M77)-1),0)-1),0))</f>
        <v>0</v>
      </c>
      <c r="O77" s="151">
        <f ca="1">IF($F78=-1,0,IF(O$13&lt;=$M77,IF(ISERROR(MATCH(O$13,OFFSET($M77,1,0,ROW($M$164)-ROW($M77)-1),0)),ROW($M$164)-ROW($M77)-1,MATCH(O$13,OFFSET($M77,1,0,ROW($M$164)-ROW($M77)-1),0)-1),0))</f>
        <v>0</v>
      </c>
      <c r="P77" s="151">
        <f ca="1">IF($F78=-1,0,IF(P$13&lt;=$M77,IF(ISERROR(MATCH(P$13,OFFSET($M77,1,0,ROW($M$164)-ROW($M77)-1),0)),ROW($M$164)-ROW($M77)-1,MATCH(P$13,OFFSET($M77,1,0,ROW($M$164)-ROW($M77)-1),0)-1),0))</f>
        <v>0</v>
      </c>
      <c r="Q77" s="151">
        <f ca="1">IF($F78=-1,0,IF(Q$13&lt;=$M77,IF(ISERROR(MATCH(Q$13,OFFSET($M77,1,0,ROW($M$164)-ROW($M77)-1),0)),ROW($M$164)-ROW($M77)-1,MATCH(Q$13,OFFSET($M77,1,0,ROW($M$164)-ROW($M77)-1),0)-1),0))</f>
        <v>0</v>
      </c>
      <c r="R77" s="151">
        <f t="shared" ref="R77" ca="1" si="131">MIN(OFFSET(M77,0,1,,M77))</f>
        <v>0</v>
      </c>
      <c r="S77" s="152" t="str">
        <f ca="1">IF($F78=0,OFFSET(ORÇAMENTO!X$15,$F77,0),IF($F78&lt;&gt;-1,OFFSET(QCI!$O$13,$F78,0),""))</f>
        <v/>
      </c>
      <c r="T77" s="618" t="s">
        <v>809</v>
      </c>
      <c r="U77" s="147" t="e">
        <f ca="1">IF(AND($R77=2,ACOMPANHAMENTO="BM"),ROUND(U78,4),U79/$S77)</f>
        <v>#VALUE!</v>
      </c>
      <c r="V77" s="147" t="e">
        <f ca="1">IF(AND($R77=2,ACOMPANHAMENTO="BM"),ROUND(V78,4),V79/$S77)</f>
        <v>#VALUE!</v>
      </c>
      <c r="W77" s="147" t="e">
        <f ca="1">IF(AND($R77=2,ACOMPANHAMENTO="BM"),ROUND(W78,4),W79/$S77)</f>
        <v>#VALUE!</v>
      </c>
      <c r="X77" s="147" t="e">
        <f ca="1">IF(AND($R77=2,ACOMPANHAMENTO="BM"),ROUND(X78,4),X79/$S77)</f>
        <v>#VALUE!</v>
      </c>
      <c r="Y77" s="147" t="e">
        <f ca="1">IF(AND($R77=2,ACOMPANHAMENTO="BM"),ROUND(Y78,4),Y79/$S77)</f>
        <v>#VALUE!</v>
      </c>
      <c r="Z77" s="147" t="e">
        <f ca="1">IF(AND($R77=2,ACOMPANHAMENTO="BM"),ROUND(Z78,4),Z79/$S77)</f>
        <v>#VALUE!</v>
      </c>
      <c r="AA77" s="147" t="e">
        <f ca="1">IF(AND($R77=2,ACOMPANHAMENTO="BM"),ROUND(AA78,4),AA79/$S77)</f>
        <v>#VALUE!</v>
      </c>
      <c r="AB77" s="147" t="e">
        <f ca="1">IF(AND($R77=2,ACOMPANHAMENTO="BM"),ROUND(AB78,4),AB79/$S77)</f>
        <v>#VALUE!</v>
      </c>
      <c r="AC77" s="147" t="e">
        <f ca="1">IF(AND($R77=2,ACOMPANHAMENTO="BM"),ROUND(AC78,4),AC79/$S77)</f>
        <v>#VALUE!</v>
      </c>
      <c r="AD77" s="147" t="e">
        <f ca="1">IF(AND($R77=2,ACOMPANHAMENTO="BM"),ROUND(AD78,4),AD79/$S77)</f>
        <v>#VALUE!</v>
      </c>
      <c r="AE77" s="147" t="e">
        <f ca="1">IF(AND($R77=2,ACOMPANHAMENTO="BM"),ROUND(AE78,4),AE79/$S77)</f>
        <v>#VALUE!</v>
      </c>
      <c r="AF77" s="147" t="e">
        <f ca="1">IF(AND($R77=2,ACOMPANHAMENTO="BM"),ROUND(AF78,4),AF79/$S77)</f>
        <v>#VALUE!</v>
      </c>
      <c r="AG77" s="444"/>
    </row>
    <row r="78" spans="1:33" ht="12.75" hidden="1" customHeight="1" x14ac:dyDescent="0.25">
      <c r="E78" s="501"/>
      <c r="F78" s="144">
        <f ca="1">IF(ISERROR(F77),IF(1+COUNTIF($M$13:OFFSET(M77,-1,0),1)&lt;=MAX(QCI!$D$13:$D$24),1+COUNTIF($M$13:OFFSET(M77,-1,0),1),-1),0)</f>
        <v>-1</v>
      </c>
      <c r="G78" s="144" t="str">
        <f ca="1">IF(ACOMPANHAMENTO="BM",OFFSET(G78,-1,0),"")</f>
        <v/>
      </c>
      <c r="H78" s="153" t="str">
        <f ca="1">IF(OR(S77=0,S77=""),"vazia",IF(AND(OR(ACOMPANHAMENTO="PLE",$R77&lt;&gt;2),$F78=0),"calculada","--&gt;"))</f>
        <v>vazia</v>
      </c>
      <c r="I78" s="154"/>
      <c r="J78" s="155" t="str">
        <f t="shared" ref="J78" ca="1" si="132">IF(AND(H77&lt;&gt;0,ISNUMBER(H77)),"PREENCHA ESTA LINHA --&gt;","")</f>
        <v/>
      </c>
      <c r="K78" s="155"/>
      <c r="L78" s="155"/>
      <c r="M78" s="156"/>
      <c r="N78" s="156"/>
      <c r="O78" s="156"/>
      <c r="P78" s="156"/>
      <c r="Q78" s="156"/>
      <c r="R78" s="156"/>
      <c r="S78" s="157"/>
      <c r="T78" s="158"/>
      <c r="U78" s="501"/>
      <c r="V78" s="501"/>
      <c r="W78" s="501"/>
      <c r="X78" s="501"/>
      <c r="Y78" s="501"/>
      <c r="Z78" s="501"/>
      <c r="AA78" s="501"/>
      <c r="AB78" s="501"/>
      <c r="AC78" s="501"/>
      <c r="AD78" s="501"/>
      <c r="AE78" s="501"/>
      <c r="AF78" s="501"/>
      <c r="AG78" s="444"/>
    </row>
    <row r="79" spans="1:33" ht="12.75" hidden="1" customHeight="1" x14ac:dyDescent="0.25">
      <c r="D79" s="443"/>
      <c r="E79" s="159">
        <f ca="1">IF($R77=2,
         IF(AND(ACOMPANHAMENTO="PLE",ISNUMBER($F77)),
                SUMIF((OFFSET(CÁLCULO!$AM$15:$AW$15,$F77,0,OFFSET(ORÇAMENTO!$D$15,CRONO!$F77,0))),CRONO!E$12,OFFSET(CÁLCULO!$AB$15:$AL$15,$F77,0,OFFSET(ORÇAMENTO!$D$15,CRONO!$F77,0)))
                +IF(AND($F79&lt;&gt;"",$F79&lt;&gt;0),
                        SUMIF(CÁLCULO!$AM$15:$AW$36,CRONO!E$12,CÁLCULO!$AB$15:$AL$36)/(ORÇAMENTO!$X$15-CÁLCULO.TotalAdmLocal)*CRONO!$F79,
                        0),
                 E78*$S77),
          SUMIF(OFFSET($S79,1,0,$R77-2),($M77+1)&amp;"$",OFFSET(E79,1,0,$R77-2)))</f>
        <v>0</v>
      </c>
      <c r="F79" s="144" t="str">
        <f ca="1">IF(OR($R77&lt;&gt;2,AUTOEVENTO&lt;&gt;"manual",$F78&gt;0),"",
        IF(Import.TipoArredondamento="Tradicional",
              SUMIF(OFFSET(CÁLCULO!$M$15,CRONO!$F77,0,OFFSET(ORÇAMENTO!$D$15,CRONO!$F77,0)),1,OFFSET(ORÇAMENTO!$X$15,CRONO!$F77,0,OFFSET(ORÇAMENTO!$D$15,CRONO!$F77,0))),
              0))</f>
        <v/>
      </c>
      <c r="H79" s="530"/>
      <c r="S79" s="160" t="str">
        <f t="shared" ref="S79" ca="1" si="133">M77&amp;"$"</f>
        <v>1$</v>
      </c>
      <c r="T79" s="161"/>
      <c r="U79" s="159">
        <f ca="1">IF($R77=2,
         IF(AND(ACOMPANHAMENTO="PLE",ISNUMBER($F77)),
                SUMIF((OFFSET(CÁLCULO!$AM$15:$AW$15,$F77,0,OFFSET(ORÇAMENTO!$D$15,CRONO!$F77,0))),CRONO!U$12,OFFSET(CÁLCULO!$AB$15:$AL$15,$F77,0,OFFSET(ORÇAMENTO!$D$15,CRONO!$F77,0)))
                +IF(AND($F79&lt;&gt;"",$F79&lt;&gt;0),
                        SUMIF(CÁLCULO!$AM$15:$AW$36,CRONO!U$12,CÁLCULO!$AB$15:$AL$36)/(ORÇAMENTO!$X$15-CÁLCULO.TotalAdmLocal)*CRONO!$F79,
                        0),
                 U78*$S77),
          SUMIF(OFFSET($S79,1,0,$R77-2),($M77+1)&amp;"$",OFFSET(U79,1,0,$R77-2)))</f>
        <v>0</v>
      </c>
      <c r="V79" s="159">
        <f ca="1">IF($R77=2,
         IF(AND(ACOMPANHAMENTO="PLE",ISNUMBER($F77)),
                SUMIF((OFFSET(CÁLCULO!$AM$15:$AW$15,$F77,0,OFFSET(ORÇAMENTO!$D$15,CRONO!$F77,0))),CRONO!V$12,OFFSET(CÁLCULO!$AB$15:$AL$15,$F77,0,OFFSET(ORÇAMENTO!$D$15,CRONO!$F77,0)))
                +IF(AND($F79&lt;&gt;"",$F79&lt;&gt;0),
                        SUMIF(CÁLCULO!$AM$15:$AW$36,CRONO!V$12,CÁLCULO!$AB$15:$AL$36)/(ORÇAMENTO!$X$15-CÁLCULO.TotalAdmLocal)*CRONO!$F79,
                        0),
                 V78*$S77),
          SUMIF(OFFSET($S79,1,0,$R77-2),($M77+1)&amp;"$",OFFSET(V79,1,0,$R77-2)))</f>
        <v>0</v>
      </c>
      <c r="W79" s="159">
        <f ca="1">IF($R77=2,
         IF(AND(ACOMPANHAMENTO="PLE",ISNUMBER($F77)),
                SUMIF((OFFSET(CÁLCULO!$AM$15:$AW$15,$F77,0,OFFSET(ORÇAMENTO!$D$15,CRONO!$F77,0))),CRONO!W$12,OFFSET(CÁLCULO!$AB$15:$AL$15,$F77,0,OFFSET(ORÇAMENTO!$D$15,CRONO!$F77,0)))
                +IF(AND($F79&lt;&gt;"",$F79&lt;&gt;0),
                        SUMIF(CÁLCULO!$AM$15:$AW$36,CRONO!W$12,CÁLCULO!$AB$15:$AL$36)/(ORÇAMENTO!$X$15-CÁLCULO.TotalAdmLocal)*CRONO!$F79,
                        0),
                 W78*$S77),
          SUMIF(OFFSET($S79,1,0,$R77-2),($M77+1)&amp;"$",OFFSET(W79,1,0,$R77-2)))</f>
        <v>0</v>
      </c>
      <c r="X79" s="159">
        <f ca="1">IF($R77=2,
         IF(AND(ACOMPANHAMENTO="PLE",ISNUMBER($F77)),
                SUMIF((OFFSET(CÁLCULO!$AM$15:$AW$15,$F77,0,OFFSET(ORÇAMENTO!$D$15,CRONO!$F77,0))),CRONO!X$12,OFFSET(CÁLCULO!$AB$15:$AL$15,$F77,0,OFFSET(ORÇAMENTO!$D$15,CRONO!$F77,0)))
                +IF(AND($F79&lt;&gt;"",$F79&lt;&gt;0),
                        SUMIF(CÁLCULO!$AM$15:$AW$36,CRONO!X$12,CÁLCULO!$AB$15:$AL$36)/(ORÇAMENTO!$X$15-CÁLCULO.TotalAdmLocal)*CRONO!$F79,
                        0),
                 X78*$S77),
          SUMIF(OFFSET($S79,1,0,$R77-2),($M77+1)&amp;"$",OFFSET(X79,1,0,$R77-2)))</f>
        <v>0</v>
      </c>
      <c r="Y79" s="159">
        <f ca="1">IF($R77=2,
         IF(AND(ACOMPANHAMENTO="PLE",ISNUMBER($F77)),
                SUMIF((OFFSET(CÁLCULO!$AM$15:$AW$15,$F77,0,OFFSET(ORÇAMENTO!$D$15,CRONO!$F77,0))),CRONO!Y$12,OFFSET(CÁLCULO!$AB$15:$AL$15,$F77,0,OFFSET(ORÇAMENTO!$D$15,CRONO!$F77,0)))
                +IF(AND($F79&lt;&gt;"",$F79&lt;&gt;0),
                        SUMIF(CÁLCULO!$AM$15:$AW$36,CRONO!Y$12,CÁLCULO!$AB$15:$AL$36)/(ORÇAMENTO!$X$15-CÁLCULO.TotalAdmLocal)*CRONO!$F79,
                        0),
                 Y78*$S77),
          SUMIF(OFFSET($S79,1,0,$R77-2),($M77+1)&amp;"$",OFFSET(Y79,1,0,$R77-2)))</f>
        <v>0</v>
      </c>
      <c r="Z79" s="159">
        <f ca="1">IF($R77=2,
         IF(AND(ACOMPANHAMENTO="PLE",ISNUMBER($F77)),
                SUMIF((OFFSET(CÁLCULO!$AM$15:$AW$15,$F77,0,OFFSET(ORÇAMENTO!$D$15,CRONO!$F77,0))),CRONO!Z$12,OFFSET(CÁLCULO!$AB$15:$AL$15,$F77,0,OFFSET(ORÇAMENTO!$D$15,CRONO!$F77,0)))
                +IF(AND($F79&lt;&gt;"",$F79&lt;&gt;0),
                        SUMIF(CÁLCULO!$AM$15:$AW$36,CRONO!Z$12,CÁLCULO!$AB$15:$AL$36)/(ORÇAMENTO!$X$15-CÁLCULO.TotalAdmLocal)*CRONO!$F79,
                        0),
                 Z78*$S77),
          SUMIF(OFFSET($S79,1,0,$R77-2),($M77+1)&amp;"$",OFFSET(Z79,1,0,$R77-2)))</f>
        <v>0</v>
      </c>
      <c r="AA79" s="159">
        <f ca="1">IF($R77=2,
         IF(AND(ACOMPANHAMENTO="PLE",ISNUMBER($F77)),
                SUMIF((OFFSET(CÁLCULO!$AM$15:$AW$15,$F77,0,OFFSET(ORÇAMENTO!$D$15,CRONO!$F77,0))),CRONO!AA$12,OFFSET(CÁLCULO!$AB$15:$AL$15,$F77,0,OFFSET(ORÇAMENTO!$D$15,CRONO!$F77,0)))
                +IF(AND($F79&lt;&gt;"",$F79&lt;&gt;0),
                        SUMIF(CÁLCULO!$AM$15:$AW$36,CRONO!AA$12,CÁLCULO!$AB$15:$AL$36)/(ORÇAMENTO!$X$15-CÁLCULO.TotalAdmLocal)*CRONO!$F79,
                        0),
                 AA78*$S77),
          SUMIF(OFFSET($S79,1,0,$R77-2),($M77+1)&amp;"$",OFFSET(AA79,1,0,$R77-2)))</f>
        <v>0</v>
      </c>
      <c r="AB79" s="159">
        <f ca="1">IF($R77=2,
         IF(AND(ACOMPANHAMENTO="PLE",ISNUMBER($F77)),
                SUMIF((OFFSET(CÁLCULO!$AM$15:$AW$15,$F77,0,OFFSET(ORÇAMENTO!$D$15,CRONO!$F77,0))),CRONO!AB$12,OFFSET(CÁLCULO!$AB$15:$AL$15,$F77,0,OFFSET(ORÇAMENTO!$D$15,CRONO!$F77,0)))
                +IF(AND($F79&lt;&gt;"",$F79&lt;&gt;0),
                        SUMIF(CÁLCULO!$AM$15:$AW$36,CRONO!AB$12,CÁLCULO!$AB$15:$AL$36)/(ORÇAMENTO!$X$15-CÁLCULO.TotalAdmLocal)*CRONO!$F79,
                        0),
                 AB78*$S77),
          SUMIF(OFFSET($S79,1,0,$R77-2),($M77+1)&amp;"$",OFFSET(AB79,1,0,$R77-2)))</f>
        <v>0</v>
      </c>
      <c r="AC79" s="159">
        <f ca="1">IF($R77=2,
         IF(AND(ACOMPANHAMENTO="PLE",ISNUMBER($F77)),
                SUMIF((OFFSET(CÁLCULO!$AM$15:$AW$15,$F77,0,OFFSET(ORÇAMENTO!$D$15,CRONO!$F77,0))),CRONO!AC$12,OFFSET(CÁLCULO!$AB$15:$AL$15,$F77,0,OFFSET(ORÇAMENTO!$D$15,CRONO!$F77,0)))
                +IF(AND($F79&lt;&gt;"",$F79&lt;&gt;0),
                        SUMIF(CÁLCULO!$AM$15:$AW$36,CRONO!AC$12,CÁLCULO!$AB$15:$AL$36)/(ORÇAMENTO!$X$15-CÁLCULO.TotalAdmLocal)*CRONO!$F79,
                        0),
                 AC78*$S77),
          SUMIF(OFFSET($S79,1,0,$R77-2),($M77+1)&amp;"$",OFFSET(AC79,1,0,$R77-2)))</f>
        <v>0</v>
      </c>
      <c r="AD79" s="159">
        <f ca="1">IF($R77=2,
         IF(AND(ACOMPANHAMENTO="PLE",ISNUMBER($F77)),
                SUMIF((OFFSET(CÁLCULO!$AM$15:$AW$15,$F77,0,OFFSET(ORÇAMENTO!$D$15,CRONO!$F77,0))),CRONO!AD$12,OFFSET(CÁLCULO!$AB$15:$AL$15,$F77,0,OFFSET(ORÇAMENTO!$D$15,CRONO!$F77,0)))
                +IF(AND($F79&lt;&gt;"",$F79&lt;&gt;0),
                        SUMIF(CÁLCULO!$AM$15:$AW$36,CRONO!AD$12,CÁLCULO!$AB$15:$AL$36)/(ORÇAMENTO!$X$15-CÁLCULO.TotalAdmLocal)*CRONO!$F79,
                        0),
                 AD78*$S77),
          SUMIF(OFFSET($S79,1,0,$R77-2),($M77+1)&amp;"$",OFFSET(AD79,1,0,$R77-2)))</f>
        <v>0</v>
      </c>
      <c r="AE79" s="159">
        <f ca="1">IF($R77=2,
         IF(AND(ACOMPANHAMENTO="PLE",ISNUMBER($F77)),
                SUMIF((OFFSET(CÁLCULO!$AM$15:$AW$15,$F77,0,OFFSET(ORÇAMENTO!$D$15,CRONO!$F77,0))),CRONO!AE$12,OFFSET(CÁLCULO!$AB$15:$AL$15,$F77,0,OFFSET(ORÇAMENTO!$D$15,CRONO!$F77,0)))
                +IF(AND($F79&lt;&gt;"",$F79&lt;&gt;0),
                        SUMIF(CÁLCULO!$AM$15:$AW$36,CRONO!AE$12,CÁLCULO!$AB$15:$AL$36)/(ORÇAMENTO!$X$15-CÁLCULO.TotalAdmLocal)*CRONO!$F79,
                        0),
                 AE78*$S77),
          SUMIF(OFFSET($S79,1,0,$R77-2),($M77+1)&amp;"$",OFFSET(AE79,1,0,$R77-2)))</f>
        <v>0</v>
      </c>
      <c r="AF79" s="159">
        <f ca="1">IF($R77=2,
         IF(AND(ACOMPANHAMENTO="PLE",ISNUMBER($F77)),
                SUMIF((OFFSET(CÁLCULO!$AM$15:$AW$15,$F77,0,OFFSET(ORÇAMENTO!$D$15,CRONO!$F77,0))),CRONO!AF$12,OFFSET(CÁLCULO!$AB$15:$AL$15,$F77,0,OFFSET(ORÇAMENTO!$D$15,CRONO!$F77,0)))
                +IF(AND($F79&lt;&gt;"",$F79&lt;&gt;0),
                        SUMIF(CÁLCULO!$AM$15:$AW$36,CRONO!AF$12,CÁLCULO!$AB$15:$AL$36)/(ORÇAMENTO!$X$15-CÁLCULO.TotalAdmLocal)*CRONO!$F79,
                        0),
                 AF78*$S77),
          SUMIF(OFFSET($S79,1,0,$R77-2),($M77+1)&amp;"$",OFFSET(AF79,1,0,$R77-2)))</f>
        <v>0</v>
      </c>
      <c r="AG79" s="444"/>
    </row>
    <row r="80" spans="1:33" hidden="1" x14ac:dyDescent="0.25">
      <c r="A80" s="145" t="str">
        <f t="shared" ref="A80" ca="1" si="134">IF($M80&gt;1,CONCATENATE($I80," ",$J80),"")</f>
        <v/>
      </c>
      <c r="B80" s="144">
        <f t="shared" ref="B80" ca="1" si="135">OFFSET(B80,-3,0)+1</f>
        <v>23</v>
      </c>
      <c r="C80" s="144">
        <f ca="1">IF($R80&lt;&gt;2,0,IF($S80=0,1,IF(F81&gt;0,OFFSET(QCI!$M$13,SUBSTITUTE(F81,".",""),0),OFFSET(ORÇAMENTO!$AA$15,CRONO!$F80,0))/$S80))</f>
        <v>0</v>
      </c>
      <c r="D80" s="144">
        <f ca="1">IF($R80&lt;&gt;2,0,IF($S80=0,1,IF(F81&gt;0,OFFSET(QCI!$N$13,SUBSTITUTE(F81,".",""),0),OFFSET(ORÇAMENTO!$AB$15,CRONO!$F80,0))/$S80))</f>
        <v>0</v>
      </c>
      <c r="E80" s="147" t="e">
        <f ca="1">IF(AND($R80=2,ACOMPANHAMENTO="BM"),ROUND(E81,4),E82/$S80)</f>
        <v>#VALUE!</v>
      </c>
      <c r="F80" s="144" t="e">
        <f ca="1">IF(B80&lt;=ORÇAMENTO.MáximoListaCrono,MATCH(B80,ORÇAMENTO.ListaCrono,0),NA())</f>
        <v>#N/A</v>
      </c>
      <c r="G80" s="144" t="str">
        <f t="shared" ref="G80" ca="1" si="136">IF(AND($F81&lt;&gt;-1,$S80&gt;0),"F","")</f>
        <v/>
      </c>
      <c r="H80" s="617" t="str">
        <f ca="1">IF(OR(S80=0,S80=""),"Linha",IF(AND(OR(ACOMPANHAMENTO="PLE",$R80&lt;&gt;2),$F81=0),"Linha",ROUND(1-SUM(U80:AG80),4)))</f>
        <v>Linha</v>
      </c>
      <c r="I80" s="148" t="str">
        <f ca="1">IF($F81=0,OFFSET(ORÇAMENTO!O$15,$F80,0),IF($F81&lt;&gt;-1,OFFSET(QCI!$D$13,$F81,0),""))</f>
        <v/>
      </c>
      <c r="J80" s="149" t="str">
        <f ca="1">IF($F81=0,OFFSET(ORÇAMENTO!R$15,$F80,0),IF($F81&lt;&gt;-1,OFFSET(QCI!$G$13,$F81,0),""))</f>
        <v/>
      </c>
      <c r="K80" s="149"/>
      <c r="L80" s="149"/>
      <c r="M80" s="150">
        <f ca="1">IF($F81=0,OFFSET(ORÇAMENTO!C$15,$F80,0),1)</f>
        <v>1</v>
      </c>
      <c r="N80" s="151">
        <f ca="1">IF($F81=-1,0,IF(N$13&lt;=$M80,IF(ISERROR(MATCH(N$13,OFFSET($M80,1,0,ROW($M$164)-ROW($M80)-1),0)),ROW($M$164)-ROW($M80)-1,MATCH(N$13,OFFSET($M80,1,0,ROW($M$164)-ROW($M80)-1),0)-1),0))</f>
        <v>0</v>
      </c>
      <c r="O80" s="151">
        <f ca="1">IF($F81=-1,0,IF(O$13&lt;=$M80,IF(ISERROR(MATCH(O$13,OFFSET($M80,1,0,ROW($M$164)-ROW($M80)-1),0)),ROW($M$164)-ROW($M80)-1,MATCH(O$13,OFFSET($M80,1,0,ROW($M$164)-ROW($M80)-1),0)-1),0))</f>
        <v>0</v>
      </c>
      <c r="P80" s="151">
        <f ca="1">IF($F81=-1,0,IF(P$13&lt;=$M80,IF(ISERROR(MATCH(P$13,OFFSET($M80,1,0,ROW($M$164)-ROW($M80)-1),0)),ROW($M$164)-ROW($M80)-1,MATCH(P$13,OFFSET($M80,1,0,ROW($M$164)-ROW($M80)-1),0)-1),0))</f>
        <v>0</v>
      </c>
      <c r="Q80" s="151">
        <f ca="1">IF($F81=-1,0,IF(Q$13&lt;=$M80,IF(ISERROR(MATCH(Q$13,OFFSET($M80,1,0,ROW($M$164)-ROW($M80)-1),0)),ROW($M$164)-ROW($M80)-1,MATCH(Q$13,OFFSET($M80,1,0,ROW($M$164)-ROW($M80)-1),0)-1),0))</f>
        <v>0</v>
      </c>
      <c r="R80" s="151">
        <f t="shared" ref="R80" ca="1" si="137">MIN(OFFSET(M80,0,1,,M80))</f>
        <v>0</v>
      </c>
      <c r="S80" s="152" t="str">
        <f ca="1">IF($F81=0,OFFSET(ORÇAMENTO!X$15,$F80,0),IF($F81&lt;&gt;-1,OFFSET(QCI!$O$13,$F81,0),""))</f>
        <v/>
      </c>
      <c r="T80" s="618" t="s">
        <v>809</v>
      </c>
      <c r="U80" s="147" t="e">
        <f ca="1">IF(AND($R80=2,ACOMPANHAMENTO="BM"),ROUND(U81,4),U82/$S80)</f>
        <v>#VALUE!</v>
      </c>
      <c r="V80" s="147" t="e">
        <f ca="1">IF(AND($R80=2,ACOMPANHAMENTO="BM"),ROUND(V81,4),V82/$S80)</f>
        <v>#VALUE!</v>
      </c>
      <c r="W80" s="147" t="e">
        <f ca="1">IF(AND($R80=2,ACOMPANHAMENTO="BM"),ROUND(W81,4),W82/$S80)</f>
        <v>#VALUE!</v>
      </c>
      <c r="X80" s="147" t="e">
        <f ca="1">IF(AND($R80=2,ACOMPANHAMENTO="BM"),ROUND(X81,4),X82/$S80)</f>
        <v>#VALUE!</v>
      </c>
      <c r="Y80" s="147" t="e">
        <f ca="1">IF(AND($R80=2,ACOMPANHAMENTO="BM"),ROUND(Y81,4),Y82/$S80)</f>
        <v>#VALUE!</v>
      </c>
      <c r="Z80" s="147" t="e">
        <f ca="1">IF(AND($R80=2,ACOMPANHAMENTO="BM"),ROUND(Z81,4),Z82/$S80)</f>
        <v>#VALUE!</v>
      </c>
      <c r="AA80" s="147" t="e">
        <f ca="1">IF(AND($R80=2,ACOMPANHAMENTO="BM"),ROUND(AA81,4),AA82/$S80)</f>
        <v>#VALUE!</v>
      </c>
      <c r="AB80" s="147" t="e">
        <f ca="1">IF(AND($R80=2,ACOMPANHAMENTO="BM"),ROUND(AB81,4),AB82/$S80)</f>
        <v>#VALUE!</v>
      </c>
      <c r="AC80" s="147" t="e">
        <f ca="1">IF(AND($R80=2,ACOMPANHAMENTO="BM"),ROUND(AC81,4),AC82/$S80)</f>
        <v>#VALUE!</v>
      </c>
      <c r="AD80" s="147" t="e">
        <f ca="1">IF(AND($R80=2,ACOMPANHAMENTO="BM"),ROUND(AD81,4),AD82/$S80)</f>
        <v>#VALUE!</v>
      </c>
      <c r="AE80" s="147" t="e">
        <f ca="1">IF(AND($R80=2,ACOMPANHAMENTO="BM"),ROUND(AE81,4),AE82/$S80)</f>
        <v>#VALUE!</v>
      </c>
      <c r="AF80" s="147" t="e">
        <f ca="1">IF(AND($R80=2,ACOMPANHAMENTO="BM"),ROUND(AF81,4),AF82/$S80)</f>
        <v>#VALUE!</v>
      </c>
      <c r="AG80" s="444"/>
    </row>
    <row r="81" spans="1:33" ht="12.75" hidden="1" customHeight="1" x14ac:dyDescent="0.25">
      <c r="E81" s="501"/>
      <c r="F81" s="144">
        <f ca="1">IF(ISERROR(F80),IF(1+COUNTIF($M$13:OFFSET(M80,-1,0),1)&lt;=MAX(QCI!$D$13:$D$24),1+COUNTIF($M$13:OFFSET(M80,-1,0),1),-1),0)</f>
        <v>-1</v>
      </c>
      <c r="G81" s="144" t="str">
        <f ca="1">IF(ACOMPANHAMENTO="BM",OFFSET(G81,-1,0),"")</f>
        <v/>
      </c>
      <c r="H81" s="153" t="str">
        <f ca="1">IF(OR(S80=0,S80=""),"vazia",IF(AND(OR(ACOMPANHAMENTO="PLE",$R80&lt;&gt;2),$F81=0),"calculada","--&gt;"))</f>
        <v>vazia</v>
      </c>
      <c r="I81" s="154"/>
      <c r="J81" s="155" t="str">
        <f t="shared" ref="J81" ca="1" si="138">IF(AND(H80&lt;&gt;0,ISNUMBER(H80)),"PREENCHA ESTA LINHA --&gt;","")</f>
        <v/>
      </c>
      <c r="K81" s="155"/>
      <c r="L81" s="155"/>
      <c r="M81" s="156"/>
      <c r="N81" s="156"/>
      <c r="O81" s="156"/>
      <c r="P81" s="156"/>
      <c r="Q81" s="156"/>
      <c r="R81" s="156"/>
      <c r="S81" s="157"/>
      <c r="T81" s="158"/>
      <c r="U81" s="501"/>
      <c r="V81" s="501"/>
      <c r="W81" s="501"/>
      <c r="X81" s="501"/>
      <c r="Y81" s="501"/>
      <c r="Z81" s="501"/>
      <c r="AA81" s="501"/>
      <c r="AB81" s="501"/>
      <c r="AC81" s="501"/>
      <c r="AD81" s="501"/>
      <c r="AE81" s="501"/>
      <c r="AF81" s="501"/>
      <c r="AG81" s="444"/>
    </row>
    <row r="82" spans="1:33" ht="12.75" hidden="1" customHeight="1" x14ac:dyDescent="0.25">
      <c r="D82" s="443"/>
      <c r="E82" s="159">
        <f ca="1">IF($R80=2,
         IF(AND(ACOMPANHAMENTO="PLE",ISNUMBER($F80)),
                SUMIF((OFFSET(CÁLCULO!$AM$15:$AW$15,$F80,0,OFFSET(ORÇAMENTO!$D$15,CRONO!$F80,0))),CRONO!E$12,OFFSET(CÁLCULO!$AB$15:$AL$15,$F80,0,OFFSET(ORÇAMENTO!$D$15,CRONO!$F80,0)))
                +IF(AND($F82&lt;&gt;"",$F82&lt;&gt;0),
                        SUMIF(CÁLCULO!$AM$15:$AW$36,CRONO!E$12,CÁLCULO!$AB$15:$AL$36)/(ORÇAMENTO!$X$15-CÁLCULO.TotalAdmLocal)*CRONO!$F82,
                        0),
                 E81*$S80),
          SUMIF(OFFSET($S82,1,0,$R80-2),($M80+1)&amp;"$",OFFSET(E82,1,0,$R80-2)))</f>
        <v>0</v>
      </c>
      <c r="F82" s="144" t="str">
        <f ca="1">IF(OR($R80&lt;&gt;2,AUTOEVENTO&lt;&gt;"manual",$F81&gt;0),"",
        IF(Import.TipoArredondamento="Tradicional",
              SUMIF(OFFSET(CÁLCULO!$M$15,CRONO!$F80,0,OFFSET(ORÇAMENTO!$D$15,CRONO!$F80,0)),1,OFFSET(ORÇAMENTO!$X$15,CRONO!$F80,0,OFFSET(ORÇAMENTO!$D$15,CRONO!$F80,0))),
              0))</f>
        <v/>
      </c>
      <c r="H82" s="530"/>
      <c r="S82" s="160" t="str">
        <f t="shared" ref="S82" ca="1" si="139">M80&amp;"$"</f>
        <v>1$</v>
      </c>
      <c r="T82" s="161"/>
      <c r="U82" s="159">
        <f ca="1">IF($R80=2,
         IF(AND(ACOMPANHAMENTO="PLE",ISNUMBER($F80)),
                SUMIF((OFFSET(CÁLCULO!$AM$15:$AW$15,$F80,0,OFFSET(ORÇAMENTO!$D$15,CRONO!$F80,0))),CRONO!U$12,OFFSET(CÁLCULO!$AB$15:$AL$15,$F80,0,OFFSET(ORÇAMENTO!$D$15,CRONO!$F80,0)))
                +IF(AND($F82&lt;&gt;"",$F82&lt;&gt;0),
                        SUMIF(CÁLCULO!$AM$15:$AW$36,CRONO!U$12,CÁLCULO!$AB$15:$AL$36)/(ORÇAMENTO!$X$15-CÁLCULO.TotalAdmLocal)*CRONO!$F82,
                        0),
                 U81*$S80),
          SUMIF(OFFSET($S82,1,0,$R80-2),($M80+1)&amp;"$",OFFSET(U82,1,0,$R80-2)))</f>
        <v>0</v>
      </c>
      <c r="V82" s="159">
        <f ca="1">IF($R80=2,
         IF(AND(ACOMPANHAMENTO="PLE",ISNUMBER($F80)),
                SUMIF((OFFSET(CÁLCULO!$AM$15:$AW$15,$F80,0,OFFSET(ORÇAMENTO!$D$15,CRONO!$F80,0))),CRONO!V$12,OFFSET(CÁLCULO!$AB$15:$AL$15,$F80,0,OFFSET(ORÇAMENTO!$D$15,CRONO!$F80,0)))
                +IF(AND($F82&lt;&gt;"",$F82&lt;&gt;0),
                        SUMIF(CÁLCULO!$AM$15:$AW$36,CRONO!V$12,CÁLCULO!$AB$15:$AL$36)/(ORÇAMENTO!$X$15-CÁLCULO.TotalAdmLocal)*CRONO!$F82,
                        0),
                 V81*$S80),
          SUMIF(OFFSET($S82,1,0,$R80-2),($M80+1)&amp;"$",OFFSET(V82,1,0,$R80-2)))</f>
        <v>0</v>
      </c>
      <c r="W82" s="159">
        <f ca="1">IF($R80=2,
         IF(AND(ACOMPANHAMENTO="PLE",ISNUMBER($F80)),
                SUMIF((OFFSET(CÁLCULO!$AM$15:$AW$15,$F80,0,OFFSET(ORÇAMENTO!$D$15,CRONO!$F80,0))),CRONO!W$12,OFFSET(CÁLCULO!$AB$15:$AL$15,$F80,0,OFFSET(ORÇAMENTO!$D$15,CRONO!$F80,0)))
                +IF(AND($F82&lt;&gt;"",$F82&lt;&gt;0),
                        SUMIF(CÁLCULO!$AM$15:$AW$36,CRONO!W$12,CÁLCULO!$AB$15:$AL$36)/(ORÇAMENTO!$X$15-CÁLCULO.TotalAdmLocal)*CRONO!$F82,
                        0),
                 W81*$S80),
          SUMIF(OFFSET($S82,1,0,$R80-2),($M80+1)&amp;"$",OFFSET(W82,1,0,$R80-2)))</f>
        <v>0</v>
      </c>
      <c r="X82" s="159">
        <f ca="1">IF($R80=2,
         IF(AND(ACOMPANHAMENTO="PLE",ISNUMBER($F80)),
                SUMIF((OFFSET(CÁLCULO!$AM$15:$AW$15,$F80,0,OFFSET(ORÇAMENTO!$D$15,CRONO!$F80,0))),CRONO!X$12,OFFSET(CÁLCULO!$AB$15:$AL$15,$F80,0,OFFSET(ORÇAMENTO!$D$15,CRONO!$F80,0)))
                +IF(AND($F82&lt;&gt;"",$F82&lt;&gt;0),
                        SUMIF(CÁLCULO!$AM$15:$AW$36,CRONO!X$12,CÁLCULO!$AB$15:$AL$36)/(ORÇAMENTO!$X$15-CÁLCULO.TotalAdmLocal)*CRONO!$F82,
                        0),
                 X81*$S80),
          SUMIF(OFFSET($S82,1,0,$R80-2),($M80+1)&amp;"$",OFFSET(X82,1,0,$R80-2)))</f>
        <v>0</v>
      </c>
      <c r="Y82" s="159">
        <f ca="1">IF($R80=2,
         IF(AND(ACOMPANHAMENTO="PLE",ISNUMBER($F80)),
                SUMIF((OFFSET(CÁLCULO!$AM$15:$AW$15,$F80,0,OFFSET(ORÇAMENTO!$D$15,CRONO!$F80,0))),CRONO!Y$12,OFFSET(CÁLCULO!$AB$15:$AL$15,$F80,0,OFFSET(ORÇAMENTO!$D$15,CRONO!$F80,0)))
                +IF(AND($F82&lt;&gt;"",$F82&lt;&gt;0),
                        SUMIF(CÁLCULO!$AM$15:$AW$36,CRONO!Y$12,CÁLCULO!$AB$15:$AL$36)/(ORÇAMENTO!$X$15-CÁLCULO.TotalAdmLocal)*CRONO!$F82,
                        0),
                 Y81*$S80),
          SUMIF(OFFSET($S82,1,0,$R80-2),($M80+1)&amp;"$",OFFSET(Y82,1,0,$R80-2)))</f>
        <v>0</v>
      </c>
      <c r="Z82" s="159">
        <f ca="1">IF($R80=2,
         IF(AND(ACOMPANHAMENTO="PLE",ISNUMBER($F80)),
                SUMIF((OFFSET(CÁLCULO!$AM$15:$AW$15,$F80,0,OFFSET(ORÇAMENTO!$D$15,CRONO!$F80,0))),CRONO!Z$12,OFFSET(CÁLCULO!$AB$15:$AL$15,$F80,0,OFFSET(ORÇAMENTO!$D$15,CRONO!$F80,0)))
                +IF(AND($F82&lt;&gt;"",$F82&lt;&gt;0),
                        SUMIF(CÁLCULO!$AM$15:$AW$36,CRONO!Z$12,CÁLCULO!$AB$15:$AL$36)/(ORÇAMENTO!$X$15-CÁLCULO.TotalAdmLocal)*CRONO!$F82,
                        0),
                 Z81*$S80),
          SUMIF(OFFSET($S82,1,0,$R80-2),($M80+1)&amp;"$",OFFSET(Z82,1,0,$R80-2)))</f>
        <v>0</v>
      </c>
      <c r="AA82" s="159">
        <f ca="1">IF($R80=2,
         IF(AND(ACOMPANHAMENTO="PLE",ISNUMBER($F80)),
                SUMIF((OFFSET(CÁLCULO!$AM$15:$AW$15,$F80,0,OFFSET(ORÇAMENTO!$D$15,CRONO!$F80,0))),CRONO!AA$12,OFFSET(CÁLCULO!$AB$15:$AL$15,$F80,0,OFFSET(ORÇAMENTO!$D$15,CRONO!$F80,0)))
                +IF(AND($F82&lt;&gt;"",$F82&lt;&gt;0),
                        SUMIF(CÁLCULO!$AM$15:$AW$36,CRONO!AA$12,CÁLCULO!$AB$15:$AL$36)/(ORÇAMENTO!$X$15-CÁLCULO.TotalAdmLocal)*CRONO!$F82,
                        0),
                 AA81*$S80),
          SUMIF(OFFSET($S82,1,0,$R80-2),($M80+1)&amp;"$",OFFSET(AA82,1,0,$R80-2)))</f>
        <v>0</v>
      </c>
      <c r="AB82" s="159">
        <f ca="1">IF($R80=2,
         IF(AND(ACOMPANHAMENTO="PLE",ISNUMBER($F80)),
                SUMIF((OFFSET(CÁLCULO!$AM$15:$AW$15,$F80,0,OFFSET(ORÇAMENTO!$D$15,CRONO!$F80,0))),CRONO!AB$12,OFFSET(CÁLCULO!$AB$15:$AL$15,$F80,0,OFFSET(ORÇAMENTO!$D$15,CRONO!$F80,0)))
                +IF(AND($F82&lt;&gt;"",$F82&lt;&gt;0),
                        SUMIF(CÁLCULO!$AM$15:$AW$36,CRONO!AB$12,CÁLCULO!$AB$15:$AL$36)/(ORÇAMENTO!$X$15-CÁLCULO.TotalAdmLocal)*CRONO!$F82,
                        0),
                 AB81*$S80),
          SUMIF(OFFSET($S82,1,0,$R80-2),($M80+1)&amp;"$",OFFSET(AB82,1,0,$R80-2)))</f>
        <v>0</v>
      </c>
      <c r="AC82" s="159">
        <f ca="1">IF($R80=2,
         IF(AND(ACOMPANHAMENTO="PLE",ISNUMBER($F80)),
                SUMIF((OFFSET(CÁLCULO!$AM$15:$AW$15,$F80,0,OFFSET(ORÇAMENTO!$D$15,CRONO!$F80,0))),CRONO!AC$12,OFFSET(CÁLCULO!$AB$15:$AL$15,$F80,0,OFFSET(ORÇAMENTO!$D$15,CRONO!$F80,0)))
                +IF(AND($F82&lt;&gt;"",$F82&lt;&gt;0),
                        SUMIF(CÁLCULO!$AM$15:$AW$36,CRONO!AC$12,CÁLCULO!$AB$15:$AL$36)/(ORÇAMENTO!$X$15-CÁLCULO.TotalAdmLocal)*CRONO!$F82,
                        0),
                 AC81*$S80),
          SUMIF(OFFSET($S82,1,0,$R80-2),($M80+1)&amp;"$",OFFSET(AC82,1,0,$R80-2)))</f>
        <v>0</v>
      </c>
      <c r="AD82" s="159">
        <f ca="1">IF($R80=2,
         IF(AND(ACOMPANHAMENTO="PLE",ISNUMBER($F80)),
                SUMIF((OFFSET(CÁLCULO!$AM$15:$AW$15,$F80,0,OFFSET(ORÇAMENTO!$D$15,CRONO!$F80,0))),CRONO!AD$12,OFFSET(CÁLCULO!$AB$15:$AL$15,$F80,0,OFFSET(ORÇAMENTO!$D$15,CRONO!$F80,0)))
                +IF(AND($F82&lt;&gt;"",$F82&lt;&gt;0),
                        SUMIF(CÁLCULO!$AM$15:$AW$36,CRONO!AD$12,CÁLCULO!$AB$15:$AL$36)/(ORÇAMENTO!$X$15-CÁLCULO.TotalAdmLocal)*CRONO!$F82,
                        0),
                 AD81*$S80),
          SUMIF(OFFSET($S82,1,0,$R80-2),($M80+1)&amp;"$",OFFSET(AD82,1,0,$R80-2)))</f>
        <v>0</v>
      </c>
      <c r="AE82" s="159">
        <f ca="1">IF($R80=2,
         IF(AND(ACOMPANHAMENTO="PLE",ISNUMBER($F80)),
                SUMIF((OFFSET(CÁLCULO!$AM$15:$AW$15,$F80,0,OFFSET(ORÇAMENTO!$D$15,CRONO!$F80,0))),CRONO!AE$12,OFFSET(CÁLCULO!$AB$15:$AL$15,$F80,0,OFFSET(ORÇAMENTO!$D$15,CRONO!$F80,0)))
                +IF(AND($F82&lt;&gt;"",$F82&lt;&gt;0),
                        SUMIF(CÁLCULO!$AM$15:$AW$36,CRONO!AE$12,CÁLCULO!$AB$15:$AL$36)/(ORÇAMENTO!$X$15-CÁLCULO.TotalAdmLocal)*CRONO!$F82,
                        0),
                 AE81*$S80),
          SUMIF(OFFSET($S82,1,0,$R80-2),($M80+1)&amp;"$",OFFSET(AE82,1,0,$R80-2)))</f>
        <v>0</v>
      </c>
      <c r="AF82" s="159">
        <f ca="1">IF($R80=2,
         IF(AND(ACOMPANHAMENTO="PLE",ISNUMBER($F80)),
                SUMIF((OFFSET(CÁLCULO!$AM$15:$AW$15,$F80,0,OFFSET(ORÇAMENTO!$D$15,CRONO!$F80,0))),CRONO!AF$12,OFFSET(CÁLCULO!$AB$15:$AL$15,$F80,0,OFFSET(ORÇAMENTO!$D$15,CRONO!$F80,0)))
                +IF(AND($F82&lt;&gt;"",$F82&lt;&gt;0),
                        SUMIF(CÁLCULO!$AM$15:$AW$36,CRONO!AF$12,CÁLCULO!$AB$15:$AL$36)/(ORÇAMENTO!$X$15-CÁLCULO.TotalAdmLocal)*CRONO!$F82,
                        0),
                 AF81*$S80),
          SUMIF(OFFSET($S82,1,0,$R80-2),($M80+1)&amp;"$",OFFSET(AF82,1,0,$R80-2)))</f>
        <v>0</v>
      </c>
      <c r="AG82" s="444"/>
    </row>
    <row r="83" spans="1:33" hidden="1" x14ac:dyDescent="0.25">
      <c r="A83" s="145" t="str">
        <f t="shared" ref="A83" ca="1" si="140">IF($M83&gt;1,CONCATENATE($I83," ",$J83),"")</f>
        <v/>
      </c>
      <c r="B83" s="144">
        <f t="shared" ref="B83" ca="1" si="141">OFFSET(B83,-3,0)+1</f>
        <v>24</v>
      </c>
      <c r="C83" s="144">
        <f ca="1">IF($R83&lt;&gt;2,0,IF($S83=0,1,IF(F84&gt;0,OFFSET(QCI!$M$13,SUBSTITUTE(F84,".",""),0),OFFSET(ORÇAMENTO!$AA$15,CRONO!$F83,0))/$S83))</f>
        <v>0</v>
      </c>
      <c r="D83" s="144">
        <f ca="1">IF($R83&lt;&gt;2,0,IF($S83=0,1,IF(F84&gt;0,OFFSET(QCI!$N$13,SUBSTITUTE(F84,".",""),0),OFFSET(ORÇAMENTO!$AB$15,CRONO!$F83,0))/$S83))</f>
        <v>0</v>
      </c>
      <c r="E83" s="147" t="e">
        <f ca="1">IF(AND($R83=2,ACOMPANHAMENTO="BM"),ROUND(E84,4),E85/$S83)</f>
        <v>#VALUE!</v>
      </c>
      <c r="F83" s="144" t="e">
        <f ca="1">IF(B83&lt;=ORÇAMENTO.MáximoListaCrono,MATCH(B83,ORÇAMENTO.ListaCrono,0),NA())</f>
        <v>#N/A</v>
      </c>
      <c r="G83" s="144" t="str">
        <f t="shared" ref="G83" ca="1" si="142">IF(AND($F84&lt;&gt;-1,$S83&gt;0),"F","")</f>
        <v/>
      </c>
      <c r="H83" s="617" t="str">
        <f ca="1">IF(OR(S83=0,S83=""),"Linha",IF(AND(OR(ACOMPANHAMENTO="PLE",$R83&lt;&gt;2),$F84=0),"Linha",ROUND(1-SUM(U83:AG83),4)))</f>
        <v>Linha</v>
      </c>
      <c r="I83" s="148" t="str">
        <f ca="1">IF($F84=0,OFFSET(ORÇAMENTO!O$15,$F83,0),IF($F84&lt;&gt;-1,OFFSET(QCI!$D$13,$F84,0),""))</f>
        <v/>
      </c>
      <c r="J83" s="149" t="str">
        <f ca="1">IF($F84=0,OFFSET(ORÇAMENTO!R$15,$F83,0),IF($F84&lt;&gt;-1,OFFSET(QCI!$G$13,$F84,0),""))</f>
        <v/>
      </c>
      <c r="K83" s="149"/>
      <c r="L83" s="149"/>
      <c r="M83" s="150">
        <f ca="1">IF($F84=0,OFFSET(ORÇAMENTO!C$15,$F83,0),1)</f>
        <v>1</v>
      </c>
      <c r="N83" s="151">
        <f ca="1">IF($F84=-1,0,IF(N$13&lt;=$M83,IF(ISERROR(MATCH(N$13,OFFSET($M83,1,0,ROW($M$164)-ROW($M83)-1),0)),ROW($M$164)-ROW($M83)-1,MATCH(N$13,OFFSET($M83,1,0,ROW($M$164)-ROW($M83)-1),0)-1),0))</f>
        <v>0</v>
      </c>
      <c r="O83" s="151">
        <f ca="1">IF($F84=-1,0,IF(O$13&lt;=$M83,IF(ISERROR(MATCH(O$13,OFFSET($M83,1,0,ROW($M$164)-ROW($M83)-1),0)),ROW($M$164)-ROW($M83)-1,MATCH(O$13,OFFSET($M83,1,0,ROW($M$164)-ROW($M83)-1),0)-1),0))</f>
        <v>0</v>
      </c>
      <c r="P83" s="151">
        <f ca="1">IF($F84=-1,0,IF(P$13&lt;=$M83,IF(ISERROR(MATCH(P$13,OFFSET($M83,1,0,ROW($M$164)-ROW($M83)-1),0)),ROW($M$164)-ROW($M83)-1,MATCH(P$13,OFFSET($M83,1,0,ROW($M$164)-ROW($M83)-1),0)-1),0))</f>
        <v>0</v>
      </c>
      <c r="Q83" s="151">
        <f ca="1">IF($F84=-1,0,IF(Q$13&lt;=$M83,IF(ISERROR(MATCH(Q$13,OFFSET($M83,1,0,ROW($M$164)-ROW($M83)-1),0)),ROW($M$164)-ROW($M83)-1,MATCH(Q$13,OFFSET($M83,1,0,ROW($M$164)-ROW($M83)-1),0)-1),0))</f>
        <v>0</v>
      </c>
      <c r="R83" s="151">
        <f t="shared" ref="R83" ca="1" si="143">MIN(OFFSET(M83,0,1,,M83))</f>
        <v>0</v>
      </c>
      <c r="S83" s="152" t="str">
        <f ca="1">IF($F84=0,OFFSET(ORÇAMENTO!X$15,$F83,0),IF($F84&lt;&gt;-1,OFFSET(QCI!$O$13,$F84,0),""))</f>
        <v/>
      </c>
      <c r="T83" s="618" t="s">
        <v>809</v>
      </c>
      <c r="U83" s="147" t="e">
        <f ca="1">IF(AND($R83=2,ACOMPANHAMENTO="BM"),ROUND(U84,4),U85/$S83)</f>
        <v>#VALUE!</v>
      </c>
      <c r="V83" s="147" t="e">
        <f ca="1">IF(AND($R83=2,ACOMPANHAMENTO="BM"),ROUND(V84,4),V85/$S83)</f>
        <v>#VALUE!</v>
      </c>
      <c r="W83" s="147" t="e">
        <f ca="1">IF(AND($R83=2,ACOMPANHAMENTO="BM"),ROUND(W84,4),W85/$S83)</f>
        <v>#VALUE!</v>
      </c>
      <c r="X83" s="147" t="e">
        <f ca="1">IF(AND($R83=2,ACOMPANHAMENTO="BM"),ROUND(X84,4),X85/$S83)</f>
        <v>#VALUE!</v>
      </c>
      <c r="Y83" s="147" t="e">
        <f ca="1">IF(AND($R83=2,ACOMPANHAMENTO="BM"),ROUND(Y84,4),Y85/$S83)</f>
        <v>#VALUE!</v>
      </c>
      <c r="Z83" s="147" t="e">
        <f ca="1">IF(AND($R83=2,ACOMPANHAMENTO="BM"),ROUND(Z84,4),Z85/$S83)</f>
        <v>#VALUE!</v>
      </c>
      <c r="AA83" s="147" t="e">
        <f ca="1">IF(AND($R83=2,ACOMPANHAMENTO="BM"),ROUND(AA84,4),AA85/$S83)</f>
        <v>#VALUE!</v>
      </c>
      <c r="AB83" s="147" t="e">
        <f ca="1">IF(AND($R83=2,ACOMPANHAMENTO="BM"),ROUND(AB84,4),AB85/$S83)</f>
        <v>#VALUE!</v>
      </c>
      <c r="AC83" s="147" t="e">
        <f ca="1">IF(AND($R83=2,ACOMPANHAMENTO="BM"),ROUND(AC84,4),AC85/$S83)</f>
        <v>#VALUE!</v>
      </c>
      <c r="AD83" s="147" t="e">
        <f ca="1">IF(AND($R83=2,ACOMPANHAMENTO="BM"),ROUND(AD84,4),AD85/$S83)</f>
        <v>#VALUE!</v>
      </c>
      <c r="AE83" s="147" t="e">
        <f ca="1">IF(AND($R83=2,ACOMPANHAMENTO="BM"),ROUND(AE84,4),AE85/$S83)</f>
        <v>#VALUE!</v>
      </c>
      <c r="AF83" s="147" t="e">
        <f ca="1">IF(AND($R83=2,ACOMPANHAMENTO="BM"),ROUND(AF84,4),AF85/$S83)</f>
        <v>#VALUE!</v>
      </c>
      <c r="AG83" s="444"/>
    </row>
    <row r="84" spans="1:33" ht="12.75" hidden="1" customHeight="1" x14ac:dyDescent="0.25">
      <c r="E84" s="501"/>
      <c r="F84" s="144">
        <f ca="1">IF(ISERROR(F83),IF(1+COUNTIF($M$13:OFFSET(M83,-1,0),1)&lt;=MAX(QCI!$D$13:$D$24),1+COUNTIF($M$13:OFFSET(M83,-1,0),1),-1),0)</f>
        <v>-1</v>
      </c>
      <c r="G84" s="144" t="str">
        <f ca="1">IF(ACOMPANHAMENTO="BM",OFFSET(G84,-1,0),"")</f>
        <v/>
      </c>
      <c r="H84" s="153" t="str">
        <f ca="1">IF(OR(S83=0,S83=""),"vazia",IF(AND(OR(ACOMPANHAMENTO="PLE",$R83&lt;&gt;2),$F84=0),"calculada","--&gt;"))</f>
        <v>vazia</v>
      </c>
      <c r="I84" s="154"/>
      <c r="J84" s="155" t="str">
        <f t="shared" ref="J84" ca="1" si="144">IF(AND(H83&lt;&gt;0,ISNUMBER(H83)),"PREENCHA ESTA LINHA --&gt;","")</f>
        <v/>
      </c>
      <c r="K84" s="155"/>
      <c r="L84" s="155"/>
      <c r="M84" s="156"/>
      <c r="N84" s="156"/>
      <c r="O84" s="156"/>
      <c r="P84" s="156"/>
      <c r="Q84" s="156"/>
      <c r="R84" s="156"/>
      <c r="S84" s="157"/>
      <c r="T84" s="158"/>
      <c r="U84" s="501"/>
      <c r="V84" s="501"/>
      <c r="W84" s="501"/>
      <c r="X84" s="501"/>
      <c r="Y84" s="501"/>
      <c r="Z84" s="501"/>
      <c r="AA84" s="501"/>
      <c r="AB84" s="501"/>
      <c r="AC84" s="501"/>
      <c r="AD84" s="501"/>
      <c r="AE84" s="501"/>
      <c r="AF84" s="501"/>
      <c r="AG84" s="444"/>
    </row>
    <row r="85" spans="1:33" ht="12.75" hidden="1" customHeight="1" x14ac:dyDescent="0.25">
      <c r="D85" s="443"/>
      <c r="E85" s="159">
        <f ca="1">IF($R83=2,
         IF(AND(ACOMPANHAMENTO="PLE",ISNUMBER($F83)),
                SUMIF((OFFSET(CÁLCULO!$AM$15:$AW$15,$F83,0,OFFSET(ORÇAMENTO!$D$15,CRONO!$F83,0))),CRONO!E$12,OFFSET(CÁLCULO!$AB$15:$AL$15,$F83,0,OFFSET(ORÇAMENTO!$D$15,CRONO!$F83,0)))
                +IF(AND($F85&lt;&gt;"",$F85&lt;&gt;0),
                        SUMIF(CÁLCULO!$AM$15:$AW$36,CRONO!E$12,CÁLCULO!$AB$15:$AL$36)/(ORÇAMENTO!$X$15-CÁLCULO.TotalAdmLocal)*CRONO!$F85,
                        0),
                 E84*$S83),
          SUMIF(OFFSET($S85,1,0,$R83-2),($M83+1)&amp;"$",OFFSET(E85,1,0,$R83-2)))</f>
        <v>0</v>
      </c>
      <c r="F85" s="144" t="str">
        <f ca="1">IF(OR($R83&lt;&gt;2,AUTOEVENTO&lt;&gt;"manual",$F84&gt;0),"",
        IF(Import.TipoArredondamento="Tradicional",
              SUMIF(OFFSET(CÁLCULO!$M$15,CRONO!$F83,0,OFFSET(ORÇAMENTO!$D$15,CRONO!$F83,0)),1,OFFSET(ORÇAMENTO!$X$15,CRONO!$F83,0,OFFSET(ORÇAMENTO!$D$15,CRONO!$F83,0))),
              0))</f>
        <v/>
      </c>
      <c r="H85" s="530"/>
      <c r="S85" s="160" t="str">
        <f t="shared" ref="S85" ca="1" si="145">M83&amp;"$"</f>
        <v>1$</v>
      </c>
      <c r="T85" s="161"/>
      <c r="U85" s="159">
        <f ca="1">IF($R83=2,
         IF(AND(ACOMPANHAMENTO="PLE",ISNUMBER($F83)),
                SUMIF((OFFSET(CÁLCULO!$AM$15:$AW$15,$F83,0,OFFSET(ORÇAMENTO!$D$15,CRONO!$F83,0))),CRONO!U$12,OFFSET(CÁLCULO!$AB$15:$AL$15,$F83,0,OFFSET(ORÇAMENTO!$D$15,CRONO!$F83,0)))
                +IF(AND($F85&lt;&gt;"",$F85&lt;&gt;0),
                        SUMIF(CÁLCULO!$AM$15:$AW$36,CRONO!U$12,CÁLCULO!$AB$15:$AL$36)/(ORÇAMENTO!$X$15-CÁLCULO.TotalAdmLocal)*CRONO!$F85,
                        0),
                 U84*$S83),
          SUMIF(OFFSET($S85,1,0,$R83-2),($M83+1)&amp;"$",OFFSET(U85,1,0,$R83-2)))</f>
        <v>0</v>
      </c>
      <c r="V85" s="159">
        <f ca="1">IF($R83=2,
         IF(AND(ACOMPANHAMENTO="PLE",ISNUMBER($F83)),
                SUMIF((OFFSET(CÁLCULO!$AM$15:$AW$15,$F83,0,OFFSET(ORÇAMENTO!$D$15,CRONO!$F83,0))),CRONO!V$12,OFFSET(CÁLCULO!$AB$15:$AL$15,$F83,0,OFFSET(ORÇAMENTO!$D$15,CRONO!$F83,0)))
                +IF(AND($F85&lt;&gt;"",$F85&lt;&gt;0),
                        SUMIF(CÁLCULO!$AM$15:$AW$36,CRONO!V$12,CÁLCULO!$AB$15:$AL$36)/(ORÇAMENTO!$X$15-CÁLCULO.TotalAdmLocal)*CRONO!$F85,
                        0),
                 V84*$S83),
          SUMIF(OFFSET($S85,1,0,$R83-2),($M83+1)&amp;"$",OFFSET(V85,1,0,$R83-2)))</f>
        <v>0</v>
      </c>
      <c r="W85" s="159">
        <f ca="1">IF($R83=2,
         IF(AND(ACOMPANHAMENTO="PLE",ISNUMBER($F83)),
                SUMIF((OFFSET(CÁLCULO!$AM$15:$AW$15,$F83,0,OFFSET(ORÇAMENTO!$D$15,CRONO!$F83,0))),CRONO!W$12,OFFSET(CÁLCULO!$AB$15:$AL$15,$F83,0,OFFSET(ORÇAMENTO!$D$15,CRONO!$F83,0)))
                +IF(AND($F85&lt;&gt;"",$F85&lt;&gt;0),
                        SUMIF(CÁLCULO!$AM$15:$AW$36,CRONO!W$12,CÁLCULO!$AB$15:$AL$36)/(ORÇAMENTO!$X$15-CÁLCULO.TotalAdmLocal)*CRONO!$F85,
                        0),
                 W84*$S83),
          SUMIF(OFFSET($S85,1,0,$R83-2),($M83+1)&amp;"$",OFFSET(W85,1,0,$R83-2)))</f>
        <v>0</v>
      </c>
      <c r="X85" s="159">
        <f ca="1">IF($R83=2,
         IF(AND(ACOMPANHAMENTO="PLE",ISNUMBER($F83)),
                SUMIF((OFFSET(CÁLCULO!$AM$15:$AW$15,$F83,0,OFFSET(ORÇAMENTO!$D$15,CRONO!$F83,0))),CRONO!X$12,OFFSET(CÁLCULO!$AB$15:$AL$15,$F83,0,OFFSET(ORÇAMENTO!$D$15,CRONO!$F83,0)))
                +IF(AND($F85&lt;&gt;"",$F85&lt;&gt;0),
                        SUMIF(CÁLCULO!$AM$15:$AW$36,CRONO!X$12,CÁLCULO!$AB$15:$AL$36)/(ORÇAMENTO!$X$15-CÁLCULO.TotalAdmLocal)*CRONO!$F85,
                        0),
                 X84*$S83),
          SUMIF(OFFSET($S85,1,0,$R83-2),($M83+1)&amp;"$",OFFSET(X85,1,0,$R83-2)))</f>
        <v>0</v>
      </c>
      <c r="Y85" s="159">
        <f ca="1">IF($R83=2,
         IF(AND(ACOMPANHAMENTO="PLE",ISNUMBER($F83)),
                SUMIF((OFFSET(CÁLCULO!$AM$15:$AW$15,$F83,0,OFFSET(ORÇAMENTO!$D$15,CRONO!$F83,0))),CRONO!Y$12,OFFSET(CÁLCULO!$AB$15:$AL$15,$F83,0,OFFSET(ORÇAMENTO!$D$15,CRONO!$F83,0)))
                +IF(AND($F85&lt;&gt;"",$F85&lt;&gt;0),
                        SUMIF(CÁLCULO!$AM$15:$AW$36,CRONO!Y$12,CÁLCULO!$AB$15:$AL$36)/(ORÇAMENTO!$X$15-CÁLCULO.TotalAdmLocal)*CRONO!$F85,
                        0),
                 Y84*$S83),
          SUMIF(OFFSET($S85,1,0,$R83-2),($M83+1)&amp;"$",OFFSET(Y85,1,0,$R83-2)))</f>
        <v>0</v>
      </c>
      <c r="Z85" s="159">
        <f ca="1">IF($R83=2,
         IF(AND(ACOMPANHAMENTO="PLE",ISNUMBER($F83)),
                SUMIF((OFFSET(CÁLCULO!$AM$15:$AW$15,$F83,0,OFFSET(ORÇAMENTO!$D$15,CRONO!$F83,0))),CRONO!Z$12,OFFSET(CÁLCULO!$AB$15:$AL$15,$F83,0,OFFSET(ORÇAMENTO!$D$15,CRONO!$F83,0)))
                +IF(AND($F85&lt;&gt;"",$F85&lt;&gt;0),
                        SUMIF(CÁLCULO!$AM$15:$AW$36,CRONO!Z$12,CÁLCULO!$AB$15:$AL$36)/(ORÇAMENTO!$X$15-CÁLCULO.TotalAdmLocal)*CRONO!$F85,
                        0),
                 Z84*$S83),
          SUMIF(OFFSET($S85,1,0,$R83-2),($M83+1)&amp;"$",OFFSET(Z85,1,0,$R83-2)))</f>
        <v>0</v>
      </c>
      <c r="AA85" s="159">
        <f ca="1">IF($R83=2,
         IF(AND(ACOMPANHAMENTO="PLE",ISNUMBER($F83)),
                SUMIF((OFFSET(CÁLCULO!$AM$15:$AW$15,$F83,0,OFFSET(ORÇAMENTO!$D$15,CRONO!$F83,0))),CRONO!AA$12,OFFSET(CÁLCULO!$AB$15:$AL$15,$F83,0,OFFSET(ORÇAMENTO!$D$15,CRONO!$F83,0)))
                +IF(AND($F85&lt;&gt;"",$F85&lt;&gt;0),
                        SUMIF(CÁLCULO!$AM$15:$AW$36,CRONO!AA$12,CÁLCULO!$AB$15:$AL$36)/(ORÇAMENTO!$X$15-CÁLCULO.TotalAdmLocal)*CRONO!$F85,
                        0),
                 AA84*$S83),
          SUMIF(OFFSET($S85,1,0,$R83-2),($M83+1)&amp;"$",OFFSET(AA85,1,0,$R83-2)))</f>
        <v>0</v>
      </c>
      <c r="AB85" s="159">
        <f ca="1">IF($R83=2,
         IF(AND(ACOMPANHAMENTO="PLE",ISNUMBER($F83)),
                SUMIF((OFFSET(CÁLCULO!$AM$15:$AW$15,$F83,0,OFFSET(ORÇAMENTO!$D$15,CRONO!$F83,0))),CRONO!AB$12,OFFSET(CÁLCULO!$AB$15:$AL$15,$F83,0,OFFSET(ORÇAMENTO!$D$15,CRONO!$F83,0)))
                +IF(AND($F85&lt;&gt;"",$F85&lt;&gt;0),
                        SUMIF(CÁLCULO!$AM$15:$AW$36,CRONO!AB$12,CÁLCULO!$AB$15:$AL$36)/(ORÇAMENTO!$X$15-CÁLCULO.TotalAdmLocal)*CRONO!$F85,
                        0),
                 AB84*$S83),
          SUMIF(OFFSET($S85,1,0,$R83-2),($M83+1)&amp;"$",OFFSET(AB85,1,0,$R83-2)))</f>
        <v>0</v>
      </c>
      <c r="AC85" s="159">
        <f ca="1">IF($R83=2,
         IF(AND(ACOMPANHAMENTO="PLE",ISNUMBER($F83)),
                SUMIF((OFFSET(CÁLCULO!$AM$15:$AW$15,$F83,0,OFFSET(ORÇAMENTO!$D$15,CRONO!$F83,0))),CRONO!AC$12,OFFSET(CÁLCULO!$AB$15:$AL$15,$F83,0,OFFSET(ORÇAMENTO!$D$15,CRONO!$F83,0)))
                +IF(AND($F85&lt;&gt;"",$F85&lt;&gt;0),
                        SUMIF(CÁLCULO!$AM$15:$AW$36,CRONO!AC$12,CÁLCULO!$AB$15:$AL$36)/(ORÇAMENTO!$X$15-CÁLCULO.TotalAdmLocal)*CRONO!$F85,
                        0),
                 AC84*$S83),
          SUMIF(OFFSET($S85,1,0,$R83-2),($M83+1)&amp;"$",OFFSET(AC85,1,0,$R83-2)))</f>
        <v>0</v>
      </c>
      <c r="AD85" s="159">
        <f ca="1">IF($R83=2,
         IF(AND(ACOMPANHAMENTO="PLE",ISNUMBER($F83)),
                SUMIF((OFFSET(CÁLCULO!$AM$15:$AW$15,$F83,0,OFFSET(ORÇAMENTO!$D$15,CRONO!$F83,0))),CRONO!AD$12,OFFSET(CÁLCULO!$AB$15:$AL$15,$F83,0,OFFSET(ORÇAMENTO!$D$15,CRONO!$F83,0)))
                +IF(AND($F85&lt;&gt;"",$F85&lt;&gt;0),
                        SUMIF(CÁLCULO!$AM$15:$AW$36,CRONO!AD$12,CÁLCULO!$AB$15:$AL$36)/(ORÇAMENTO!$X$15-CÁLCULO.TotalAdmLocal)*CRONO!$F85,
                        0),
                 AD84*$S83),
          SUMIF(OFFSET($S85,1,0,$R83-2),($M83+1)&amp;"$",OFFSET(AD85,1,0,$R83-2)))</f>
        <v>0</v>
      </c>
      <c r="AE85" s="159">
        <f ca="1">IF($R83=2,
         IF(AND(ACOMPANHAMENTO="PLE",ISNUMBER($F83)),
                SUMIF((OFFSET(CÁLCULO!$AM$15:$AW$15,$F83,0,OFFSET(ORÇAMENTO!$D$15,CRONO!$F83,0))),CRONO!AE$12,OFFSET(CÁLCULO!$AB$15:$AL$15,$F83,0,OFFSET(ORÇAMENTO!$D$15,CRONO!$F83,0)))
                +IF(AND($F85&lt;&gt;"",$F85&lt;&gt;0),
                        SUMIF(CÁLCULO!$AM$15:$AW$36,CRONO!AE$12,CÁLCULO!$AB$15:$AL$36)/(ORÇAMENTO!$X$15-CÁLCULO.TotalAdmLocal)*CRONO!$F85,
                        0),
                 AE84*$S83),
          SUMIF(OFFSET($S85,1,0,$R83-2),($M83+1)&amp;"$",OFFSET(AE85,1,0,$R83-2)))</f>
        <v>0</v>
      </c>
      <c r="AF85" s="159">
        <f ca="1">IF($R83=2,
         IF(AND(ACOMPANHAMENTO="PLE",ISNUMBER($F83)),
                SUMIF((OFFSET(CÁLCULO!$AM$15:$AW$15,$F83,0,OFFSET(ORÇAMENTO!$D$15,CRONO!$F83,0))),CRONO!AF$12,OFFSET(CÁLCULO!$AB$15:$AL$15,$F83,0,OFFSET(ORÇAMENTO!$D$15,CRONO!$F83,0)))
                +IF(AND($F85&lt;&gt;"",$F85&lt;&gt;0),
                        SUMIF(CÁLCULO!$AM$15:$AW$36,CRONO!AF$12,CÁLCULO!$AB$15:$AL$36)/(ORÇAMENTO!$X$15-CÁLCULO.TotalAdmLocal)*CRONO!$F85,
                        0),
                 AF84*$S83),
          SUMIF(OFFSET($S85,1,0,$R83-2),($M83+1)&amp;"$",OFFSET(AF85,1,0,$R83-2)))</f>
        <v>0</v>
      </c>
      <c r="AG85" s="444"/>
    </row>
    <row r="86" spans="1:33" hidden="1" x14ac:dyDescent="0.25">
      <c r="A86" s="145" t="str">
        <f t="shared" ref="A86" ca="1" si="146">IF($M86&gt;1,CONCATENATE($I86," ",$J86),"")</f>
        <v/>
      </c>
      <c r="B86" s="144">
        <f t="shared" ref="B86" ca="1" si="147">OFFSET(B86,-3,0)+1</f>
        <v>25</v>
      </c>
      <c r="C86" s="144">
        <f ca="1">IF($R86&lt;&gt;2,0,IF($S86=0,1,IF(F87&gt;0,OFFSET(QCI!$M$13,SUBSTITUTE(F87,".",""),0),OFFSET(ORÇAMENTO!$AA$15,CRONO!$F86,0))/$S86))</f>
        <v>0</v>
      </c>
      <c r="D86" s="144">
        <f ca="1">IF($R86&lt;&gt;2,0,IF($S86=0,1,IF(F87&gt;0,OFFSET(QCI!$N$13,SUBSTITUTE(F87,".",""),0),OFFSET(ORÇAMENTO!$AB$15,CRONO!$F86,0))/$S86))</f>
        <v>0</v>
      </c>
      <c r="E86" s="147" t="e">
        <f ca="1">IF(AND($R86=2,ACOMPANHAMENTO="BM"),ROUND(E87,4),E88/$S86)</f>
        <v>#VALUE!</v>
      </c>
      <c r="F86" s="144" t="e">
        <f ca="1">IF(B86&lt;=ORÇAMENTO.MáximoListaCrono,MATCH(B86,ORÇAMENTO.ListaCrono,0),NA())</f>
        <v>#N/A</v>
      </c>
      <c r="G86" s="144" t="str">
        <f t="shared" ref="G86" ca="1" si="148">IF(AND($F87&lt;&gt;-1,$S86&gt;0),"F","")</f>
        <v/>
      </c>
      <c r="H86" s="617" t="str">
        <f ca="1">IF(OR(S86=0,S86=""),"Linha",IF(AND(OR(ACOMPANHAMENTO="PLE",$R86&lt;&gt;2),$F87=0),"Linha",ROUND(1-SUM(U86:AG86),4)))</f>
        <v>Linha</v>
      </c>
      <c r="I86" s="148" t="str">
        <f ca="1">IF($F87=0,OFFSET(ORÇAMENTO!O$15,$F86,0),IF($F87&lt;&gt;-1,OFFSET(QCI!$D$13,$F87,0),""))</f>
        <v/>
      </c>
      <c r="J86" s="149" t="str">
        <f ca="1">IF($F87=0,OFFSET(ORÇAMENTO!R$15,$F86,0),IF($F87&lt;&gt;-1,OFFSET(QCI!$G$13,$F87,0),""))</f>
        <v/>
      </c>
      <c r="K86" s="149"/>
      <c r="L86" s="149"/>
      <c r="M86" s="150">
        <f ca="1">IF($F87=0,OFFSET(ORÇAMENTO!C$15,$F86,0),1)</f>
        <v>1</v>
      </c>
      <c r="N86" s="151">
        <f ca="1">IF($F87=-1,0,IF(N$13&lt;=$M86,IF(ISERROR(MATCH(N$13,OFFSET($M86,1,0,ROW($M$164)-ROW($M86)-1),0)),ROW($M$164)-ROW($M86)-1,MATCH(N$13,OFFSET($M86,1,0,ROW($M$164)-ROW($M86)-1),0)-1),0))</f>
        <v>0</v>
      </c>
      <c r="O86" s="151">
        <f ca="1">IF($F87=-1,0,IF(O$13&lt;=$M86,IF(ISERROR(MATCH(O$13,OFFSET($M86,1,0,ROW($M$164)-ROW($M86)-1),0)),ROW($M$164)-ROW($M86)-1,MATCH(O$13,OFFSET($M86,1,0,ROW($M$164)-ROW($M86)-1),0)-1),0))</f>
        <v>0</v>
      </c>
      <c r="P86" s="151">
        <f ca="1">IF($F87=-1,0,IF(P$13&lt;=$M86,IF(ISERROR(MATCH(P$13,OFFSET($M86,1,0,ROW($M$164)-ROW($M86)-1),0)),ROW($M$164)-ROW($M86)-1,MATCH(P$13,OFFSET($M86,1,0,ROW($M$164)-ROW($M86)-1),0)-1),0))</f>
        <v>0</v>
      </c>
      <c r="Q86" s="151">
        <f ca="1">IF($F87=-1,0,IF(Q$13&lt;=$M86,IF(ISERROR(MATCH(Q$13,OFFSET($M86,1,0,ROW($M$164)-ROW($M86)-1),0)),ROW($M$164)-ROW($M86)-1,MATCH(Q$13,OFFSET($M86,1,0,ROW($M$164)-ROW($M86)-1),0)-1),0))</f>
        <v>0</v>
      </c>
      <c r="R86" s="151">
        <f t="shared" ref="R86" ca="1" si="149">MIN(OFFSET(M86,0,1,,M86))</f>
        <v>0</v>
      </c>
      <c r="S86" s="152" t="str">
        <f ca="1">IF($F87=0,OFFSET(ORÇAMENTO!X$15,$F86,0),IF($F87&lt;&gt;-1,OFFSET(QCI!$O$13,$F87,0),""))</f>
        <v/>
      </c>
      <c r="T86" s="618" t="s">
        <v>809</v>
      </c>
      <c r="U86" s="147" t="e">
        <f ca="1">IF(AND($R86=2,ACOMPANHAMENTO="BM"),ROUND(U87,4),U88/$S86)</f>
        <v>#VALUE!</v>
      </c>
      <c r="V86" s="147" t="e">
        <f ca="1">IF(AND($R86=2,ACOMPANHAMENTO="BM"),ROUND(V87,4),V88/$S86)</f>
        <v>#VALUE!</v>
      </c>
      <c r="W86" s="147" t="e">
        <f ca="1">IF(AND($R86=2,ACOMPANHAMENTO="BM"),ROUND(W87,4),W88/$S86)</f>
        <v>#VALUE!</v>
      </c>
      <c r="X86" s="147" t="e">
        <f ca="1">IF(AND($R86=2,ACOMPANHAMENTO="BM"),ROUND(X87,4),X88/$S86)</f>
        <v>#VALUE!</v>
      </c>
      <c r="Y86" s="147" t="e">
        <f ca="1">IF(AND($R86=2,ACOMPANHAMENTO="BM"),ROUND(Y87,4),Y88/$S86)</f>
        <v>#VALUE!</v>
      </c>
      <c r="Z86" s="147" t="e">
        <f ca="1">IF(AND($R86=2,ACOMPANHAMENTO="BM"),ROUND(Z87,4),Z88/$S86)</f>
        <v>#VALUE!</v>
      </c>
      <c r="AA86" s="147" t="e">
        <f ca="1">IF(AND($R86=2,ACOMPANHAMENTO="BM"),ROUND(AA87,4),AA88/$S86)</f>
        <v>#VALUE!</v>
      </c>
      <c r="AB86" s="147" t="e">
        <f ca="1">IF(AND($R86=2,ACOMPANHAMENTO="BM"),ROUND(AB87,4),AB88/$S86)</f>
        <v>#VALUE!</v>
      </c>
      <c r="AC86" s="147" t="e">
        <f ca="1">IF(AND($R86=2,ACOMPANHAMENTO="BM"),ROUND(AC87,4),AC88/$S86)</f>
        <v>#VALUE!</v>
      </c>
      <c r="AD86" s="147" t="e">
        <f ca="1">IF(AND($R86=2,ACOMPANHAMENTO="BM"),ROUND(AD87,4),AD88/$S86)</f>
        <v>#VALUE!</v>
      </c>
      <c r="AE86" s="147" t="e">
        <f ca="1">IF(AND($R86=2,ACOMPANHAMENTO="BM"),ROUND(AE87,4),AE88/$S86)</f>
        <v>#VALUE!</v>
      </c>
      <c r="AF86" s="147" t="e">
        <f ca="1">IF(AND($R86=2,ACOMPANHAMENTO="BM"),ROUND(AF87,4),AF88/$S86)</f>
        <v>#VALUE!</v>
      </c>
      <c r="AG86" s="444"/>
    </row>
    <row r="87" spans="1:33" ht="12.75" hidden="1" customHeight="1" x14ac:dyDescent="0.25">
      <c r="E87" s="501"/>
      <c r="F87" s="144">
        <f ca="1">IF(ISERROR(F86),IF(1+COUNTIF($M$13:OFFSET(M86,-1,0),1)&lt;=MAX(QCI!$D$13:$D$24),1+COUNTIF($M$13:OFFSET(M86,-1,0),1),-1),0)</f>
        <v>-1</v>
      </c>
      <c r="G87" s="144" t="str">
        <f ca="1">IF(ACOMPANHAMENTO="BM",OFFSET(G87,-1,0),"")</f>
        <v/>
      </c>
      <c r="H87" s="153" t="str">
        <f ca="1">IF(OR(S86=0,S86=""),"vazia",IF(AND(OR(ACOMPANHAMENTO="PLE",$R86&lt;&gt;2),$F87=0),"calculada","--&gt;"))</f>
        <v>vazia</v>
      </c>
      <c r="I87" s="154"/>
      <c r="J87" s="155" t="str">
        <f t="shared" ref="J87" ca="1" si="150">IF(AND(H86&lt;&gt;0,ISNUMBER(H86)),"PREENCHA ESTA LINHA --&gt;","")</f>
        <v/>
      </c>
      <c r="K87" s="155"/>
      <c r="L87" s="155"/>
      <c r="M87" s="156"/>
      <c r="N87" s="156"/>
      <c r="O87" s="156"/>
      <c r="P87" s="156"/>
      <c r="Q87" s="156"/>
      <c r="R87" s="156"/>
      <c r="S87" s="157"/>
      <c r="T87" s="158"/>
      <c r="U87" s="501"/>
      <c r="V87" s="501"/>
      <c r="W87" s="501"/>
      <c r="X87" s="501"/>
      <c r="Y87" s="501"/>
      <c r="Z87" s="501"/>
      <c r="AA87" s="501"/>
      <c r="AB87" s="501"/>
      <c r="AC87" s="501"/>
      <c r="AD87" s="501"/>
      <c r="AE87" s="501"/>
      <c r="AF87" s="501"/>
      <c r="AG87" s="444"/>
    </row>
    <row r="88" spans="1:33" ht="12.75" hidden="1" customHeight="1" x14ac:dyDescent="0.25">
      <c r="D88" s="443"/>
      <c r="E88" s="159">
        <f ca="1">IF($R86=2,
         IF(AND(ACOMPANHAMENTO="PLE",ISNUMBER($F86)),
                SUMIF((OFFSET(CÁLCULO!$AM$15:$AW$15,$F86,0,OFFSET(ORÇAMENTO!$D$15,CRONO!$F86,0))),CRONO!E$12,OFFSET(CÁLCULO!$AB$15:$AL$15,$F86,0,OFFSET(ORÇAMENTO!$D$15,CRONO!$F86,0)))
                +IF(AND($F88&lt;&gt;"",$F88&lt;&gt;0),
                        SUMIF(CÁLCULO!$AM$15:$AW$36,CRONO!E$12,CÁLCULO!$AB$15:$AL$36)/(ORÇAMENTO!$X$15-CÁLCULO.TotalAdmLocal)*CRONO!$F88,
                        0),
                 E87*$S86),
          SUMIF(OFFSET($S88,1,0,$R86-2),($M86+1)&amp;"$",OFFSET(E88,1,0,$R86-2)))</f>
        <v>0</v>
      </c>
      <c r="F88" s="144" t="str">
        <f ca="1">IF(OR($R86&lt;&gt;2,AUTOEVENTO&lt;&gt;"manual",$F87&gt;0),"",
        IF(Import.TipoArredondamento="Tradicional",
              SUMIF(OFFSET(CÁLCULO!$M$15,CRONO!$F86,0,OFFSET(ORÇAMENTO!$D$15,CRONO!$F86,0)),1,OFFSET(ORÇAMENTO!$X$15,CRONO!$F86,0,OFFSET(ORÇAMENTO!$D$15,CRONO!$F86,0))),
              0))</f>
        <v/>
      </c>
      <c r="H88" s="530"/>
      <c r="S88" s="160" t="str">
        <f t="shared" ref="S88" ca="1" si="151">M86&amp;"$"</f>
        <v>1$</v>
      </c>
      <c r="T88" s="161"/>
      <c r="U88" s="159">
        <f ca="1">IF($R86=2,
         IF(AND(ACOMPANHAMENTO="PLE",ISNUMBER($F86)),
                SUMIF((OFFSET(CÁLCULO!$AM$15:$AW$15,$F86,0,OFFSET(ORÇAMENTO!$D$15,CRONO!$F86,0))),CRONO!U$12,OFFSET(CÁLCULO!$AB$15:$AL$15,$F86,0,OFFSET(ORÇAMENTO!$D$15,CRONO!$F86,0)))
                +IF(AND($F88&lt;&gt;"",$F88&lt;&gt;0),
                        SUMIF(CÁLCULO!$AM$15:$AW$36,CRONO!U$12,CÁLCULO!$AB$15:$AL$36)/(ORÇAMENTO!$X$15-CÁLCULO.TotalAdmLocal)*CRONO!$F88,
                        0),
                 U87*$S86),
          SUMIF(OFFSET($S88,1,0,$R86-2),($M86+1)&amp;"$",OFFSET(U88,1,0,$R86-2)))</f>
        <v>0</v>
      </c>
      <c r="V88" s="159">
        <f ca="1">IF($R86=2,
         IF(AND(ACOMPANHAMENTO="PLE",ISNUMBER($F86)),
                SUMIF((OFFSET(CÁLCULO!$AM$15:$AW$15,$F86,0,OFFSET(ORÇAMENTO!$D$15,CRONO!$F86,0))),CRONO!V$12,OFFSET(CÁLCULO!$AB$15:$AL$15,$F86,0,OFFSET(ORÇAMENTO!$D$15,CRONO!$F86,0)))
                +IF(AND($F88&lt;&gt;"",$F88&lt;&gt;0),
                        SUMIF(CÁLCULO!$AM$15:$AW$36,CRONO!V$12,CÁLCULO!$AB$15:$AL$36)/(ORÇAMENTO!$X$15-CÁLCULO.TotalAdmLocal)*CRONO!$F88,
                        0),
                 V87*$S86),
          SUMIF(OFFSET($S88,1,0,$R86-2),($M86+1)&amp;"$",OFFSET(V88,1,0,$R86-2)))</f>
        <v>0</v>
      </c>
      <c r="W88" s="159">
        <f ca="1">IF($R86=2,
         IF(AND(ACOMPANHAMENTO="PLE",ISNUMBER($F86)),
                SUMIF((OFFSET(CÁLCULO!$AM$15:$AW$15,$F86,0,OFFSET(ORÇAMENTO!$D$15,CRONO!$F86,0))),CRONO!W$12,OFFSET(CÁLCULO!$AB$15:$AL$15,$F86,0,OFFSET(ORÇAMENTO!$D$15,CRONO!$F86,0)))
                +IF(AND($F88&lt;&gt;"",$F88&lt;&gt;0),
                        SUMIF(CÁLCULO!$AM$15:$AW$36,CRONO!W$12,CÁLCULO!$AB$15:$AL$36)/(ORÇAMENTO!$X$15-CÁLCULO.TotalAdmLocal)*CRONO!$F88,
                        0),
                 W87*$S86),
          SUMIF(OFFSET($S88,1,0,$R86-2),($M86+1)&amp;"$",OFFSET(W88,1,0,$R86-2)))</f>
        <v>0</v>
      </c>
      <c r="X88" s="159">
        <f ca="1">IF($R86=2,
         IF(AND(ACOMPANHAMENTO="PLE",ISNUMBER($F86)),
                SUMIF((OFFSET(CÁLCULO!$AM$15:$AW$15,$F86,0,OFFSET(ORÇAMENTO!$D$15,CRONO!$F86,0))),CRONO!X$12,OFFSET(CÁLCULO!$AB$15:$AL$15,$F86,0,OFFSET(ORÇAMENTO!$D$15,CRONO!$F86,0)))
                +IF(AND($F88&lt;&gt;"",$F88&lt;&gt;0),
                        SUMIF(CÁLCULO!$AM$15:$AW$36,CRONO!X$12,CÁLCULO!$AB$15:$AL$36)/(ORÇAMENTO!$X$15-CÁLCULO.TotalAdmLocal)*CRONO!$F88,
                        0),
                 X87*$S86),
          SUMIF(OFFSET($S88,1,0,$R86-2),($M86+1)&amp;"$",OFFSET(X88,1,0,$R86-2)))</f>
        <v>0</v>
      </c>
      <c r="Y88" s="159">
        <f ca="1">IF($R86=2,
         IF(AND(ACOMPANHAMENTO="PLE",ISNUMBER($F86)),
                SUMIF((OFFSET(CÁLCULO!$AM$15:$AW$15,$F86,0,OFFSET(ORÇAMENTO!$D$15,CRONO!$F86,0))),CRONO!Y$12,OFFSET(CÁLCULO!$AB$15:$AL$15,$F86,0,OFFSET(ORÇAMENTO!$D$15,CRONO!$F86,0)))
                +IF(AND($F88&lt;&gt;"",$F88&lt;&gt;0),
                        SUMIF(CÁLCULO!$AM$15:$AW$36,CRONO!Y$12,CÁLCULO!$AB$15:$AL$36)/(ORÇAMENTO!$X$15-CÁLCULO.TotalAdmLocal)*CRONO!$F88,
                        0),
                 Y87*$S86),
          SUMIF(OFFSET($S88,1,0,$R86-2),($M86+1)&amp;"$",OFFSET(Y88,1,0,$R86-2)))</f>
        <v>0</v>
      </c>
      <c r="Z88" s="159">
        <f ca="1">IF($R86=2,
         IF(AND(ACOMPANHAMENTO="PLE",ISNUMBER($F86)),
                SUMIF((OFFSET(CÁLCULO!$AM$15:$AW$15,$F86,0,OFFSET(ORÇAMENTO!$D$15,CRONO!$F86,0))),CRONO!Z$12,OFFSET(CÁLCULO!$AB$15:$AL$15,$F86,0,OFFSET(ORÇAMENTO!$D$15,CRONO!$F86,0)))
                +IF(AND($F88&lt;&gt;"",$F88&lt;&gt;0),
                        SUMIF(CÁLCULO!$AM$15:$AW$36,CRONO!Z$12,CÁLCULO!$AB$15:$AL$36)/(ORÇAMENTO!$X$15-CÁLCULO.TotalAdmLocal)*CRONO!$F88,
                        0),
                 Z87*$S86),
          SUMIF(OFFSET($S88,1,0,$R86-2),($M86+1)&amp;"$",OFFSET(Z88,1,0,$R86-2)))</f>
        <v>0</v>
      </c>
      <c r="AA88" s="159">
        <f ca="1">IF($R86=2,
         IF(AND(ACOMPANHAMENTO="PLE",ISNUMBER($F86)),
                SUMIF((OFFSET(CÁLCULO!$AM$15:$AW$15,$F86,0,OFFSET(ORÇAMENTO!$D$15,CRONO!$F86,0))),CRONO!AA$12,OFFSET(CÁLCULO!$AB$15:$AL$15,$F86,0,OFFSET(ORÇAMENTO!$D$15,CRONO!$F86,0)))
                +IF(AND($F88&lt;&gt;"",$F88&lt;&gt;0),
                        SUMIF(CÁLCULO!$AM$15:$AW$36,CRONO!AA$12,CÁLCULO!$AB$15:$AL$36)/(ORÇAMENTO!$X$15-CÁLCULO.TotalAdmLocal)*CRONO!$F88,
                        0),
                 AA87*$S86),
          SUMIF(OFFSET($S88,1,0,$R86-2),($M86+1)&amp;"$",OFFSET(AA88,1,0,$R86-2)))</f>
        <v>0</v>
      </c>
      <c r="AB88" s="159">
        <f ca="1">IF($R86=2,
         IF(AND(ACOMPANHAMENTO="PLE",ISNUMBER($F86)),
                SUMIF((OFFSET(CÁLCULO!$AM$15:$AW$15,$F86,0,OFFSET(ORÇAMENTO!$D$15,CRONO!$F86,0))),CRONO!AB$12,OFFSET(CÁLCULO!$AB$15:$AL$15,$F86,0,OFFSET(ORÇAMENTO!$D$15,CRONO!$F86,0)))
                +IF(AND($F88&lt;&gt;"",$F88&lt;&gt;0),
                        SUMIF(CÁLCULO!$AM$15:$AW$36,CRONO!AB$12,CÁLCULO!$AB$15:$AL$36)/(ORÇAMENTO!$X$15-CÁLCULO.TotalAdmLocal)*CRONO!$F88,
                        0),
                 AB87*$S86),
          SUMIF(OFFSET($S88,1,0,$R86-2),($M86+1)&amp;"$",OFFSET(AB88,1,0,$R86-2)))</f>
        <v>0</v>
      </c>
      <c r="AC88" s="159">
        <f ca="1">IF($R86=2,
         IF(AND(ACOMPANHAMENTO="PLE",ISNUMBER($F86)),
                SUMIF((OFFSET(CÁLCULO!$AM$15:$AW$15,$F86,0,OFFSET(ORÇAMENTO!$D$15,CRONO!$F86,0))),CRONO!AC$12,OFFSET(CÁLCULO!$AB$15:$AL$15,$F86,0,OFFSET(ORÇAMENTO!$D$15,CRONO!$F86,0)))
                +IF(AND($F88&lt;&gt;"",$F88&lt;&gt;0),
                        SUMIF(CÁLCULO!$AM$15:$AW$36,CRONO!AC$12,CÁLCULO!$AB$15:$AL$36)/(ORÇAMENTO!$X$15-CÁLCULO.TotalAdmLocal)*CRONO!$F88,
                        0),
                 AC87*$S86),
          SUMIF(OFFSET($S88,1,0,$R86-2),($M86+1)&amp;"$",OFFSET(AC88,1,0,$R86-2)))</f>
        <v>0</v>
      </c>
      <c r="AD88" s="159">
        <f ca="1">IF($R86=2,
         IF(AND(ACOMPANHAMENTO="PLE",ISNUMBER($F86)),
                SUMIF((OFFSET(CÁLCULO!$AM$15:$AW$15,$F86,0,OFFSET(ORÇAMENTO!$D$15,CRONO!$F86,0))),CRONO!AD$12,OFFSET(CÁLCULO!$AB$15:$AL$15,$F86,0,OFFSET(ORÇAMENTO!$D$15,CRONO!$F86,0)))
                +IF(AND($F88&lt;&gt;"",$F88&lt;&gt;0),
                        SUMIF(CÁLCULO!$AM$15:$AW$36,CRONO!AD$12,CÁLCULO!$AB$15:$AL$36)/(ORÇAMENTO!$X$15-CÁLCULO.TotalAdmLocal)*CRONO!$F88,
                        0),
                 AD87*$S86),
          SUMIF(OFFSET($S88,1,0,$R86-2),($M86+1)&amp;"$",OFFSET(AD88,1,0,$R86-2)))</f>
        <v>0</v>
      </c>
      <c r="AE88" s="159">
        <f ca="1">IF($R86=2,
         IF(AND(ACOMPANHAMENTO="PLE",ISNUMBER($F86)),
                SUMIF((OFFSET(CÁLCULO!$AM$15:$AW$15,$F86,0,OFFSET(ORÇAMENTO!$D$15,CRONO!$F86,0))),CRONO!AE$12,OFFSET(CÁLCULO!$AB$15:$AL$15,$F86,0,OFFSET(ORÇAMENTO!$D$15,CRONO!$F86,0)))
                +IF(AND($F88&lt;&gt;"",$F88&lt;&gt;0),
                        SUMIF(CÁLCULO!$AM$15:$AW$36,CRONO!AE$12,CÁLCULO!$AB$15:$AL$36)/(ORÇAMENTO!$X$15-CÁLCULO.TotalAdmLocal)*CRONO!$F88,
                        0),
                 AE87*$S86),
          SUMIF(OFFSET($S88,1,0,$R86-2),($M86+1)&amp;"$",OFFSET(AE88,1,0,$R86-2)))</f>
        <v>0</v>
      </c>
      <c r="AF88" s="159">
        <f ca="1">IF($R86=2,
         IF(AND(ACOMPANHAMENTO="PLE",ISNUMBER($F86)),
                SUMIF((OFFSET(CÁLCULO!$AM$15:$AW$15,$F86,0,OFFSET(ORÇAMENTO!$D$15,CRONO!$F86,0))),CRONO!AF$12,OFFSET(CÁLCULO!$AB$15:$AL$15,$F86,0,OFFSET(ORÇAMENTO!$D$15,CRONO!$F86,0)))
                +IF(AND($F88&lt;&gt;"",$F88&lt;&gt;0),
                        SUMIF(CÁLCULO!$AM$15:$AW$36,CRONO!AF$12,CÁLCULO!$AB$15:$AL$36)/(ORÇAMENTO!$X$15-CÁLCULO.TotalAdmLocal)*CRONO!$F88,
                        0),
                 AF87*$S86),
          SUMIF(OFFSET($S88,1,0,$R86-2),($M86+1)&amp;"$",OFFSET(AF88,1,0,$R86-2)))</f>
        <v>0</v>
      </c>
      <c r="AG88" s="444"/>
    </row>
    <row r="89" spans="1:33" hidden="1" x14ac:dyDescent="0.25">
      <c r="A89" s="145" t="str">
        <f t="shared" ref="A89" ca="1" si="152">IF($M89&gt;1,CONCATENATE($I89," ",$J89),"")</f>
        <v/>
      </c>
      <c r="B89" s="144">
        <f t="shared" ref="B89" ca="1" si="153">OFFSET(B89,-3,0)+1</f>
        <v>26</v>
      </c>
      <c r="C89" s="144">
        <f ca="1">IF($R89&lt;&gt;2,0,IF($S89=0,1,IF(F90&gt;0,OFFSET(QCI!$M$13,SUBSTITUTE(F90,".",""),0),OFFSET(ORÇAMENTO!$AA$15,CRONO!$F89,0))/$S89))</f>
        <v>0</v>
      </c>
      <c r="D89" s="144">
        <f ca="1">IF($R89&lt;&gt;2,0,IF($S89=0,1,IF(F90&gt;0,OFFSET(QCI!$N$13,SUBSTITUTE(F90,".",""),0),OFFSET(ORÇAMENTO!$AB$15,CRONO!$F89,0))/$S89))</f>
        <v>0</v>
      </c>
      <c r="E89" s="147" t="e">
        <f ca="1">IF(AND($R89=2,ACOMPANHAMENTO="BM"),ROUND(E90,4),E91/$S89)</f>
        <v>#VALUE!</v>
      </c>
      <c r="F89" s="144" t="e">
        <f ca="1">IF(B89&lt;=ORÇAMENTO.MáximoListaCrono,MATCH(B89,ORÇAMENTO.ListaCrono,0),NA())</f>
        <v>#N/A</v>
      </c>
      <c r="G89" s="144" t="str">
        <f t="shared" ref="G89" ca="1" si="154">IF(AND($F90&lt;&gt;-1,$S89&gt;0),"F","")</f>
        <v/>
      </c>
      <c r="H89" s="617" t="str">
        <f ca="1">IF(OR(S89=0,S89=""),"Linha",IF(AND(OR(ACOMPANHAMENTO="PLE",$R89&lt;&gt;2),$F90=0),"Linha",ROUND(1-SUM(U89:AG89),4)))</f>
        <v>Linha</v>
      </c>
      <c r="I89" s="148" t="str">
        <f ca="1">IF($F90=0,OFFSET(ORÇAMENTO!O$15,$F89,0),IF($F90&lt;&gt;-1,OFFSET(QCI!$D$13,$F90,0),""))</f>
        <v/>
      </c>
      <c r="J89" s="149" t="str">
        <f ca="1">IF($F90=0,OFFSET(ORÇAMENTO!R$15,$F89,0),IF($F90&lt;&gt;-1,OFFSET(QCI!$G$13,$F90,0),""))</f>
        <v/>
      </c>
      <c r="K89" s="149"/>
      <c r="L89" s="149"/>
      <c r="M89" s="150">
        <f ca="1">IF($F90=0,OFFSET(ORÇAMENTO!C$15,$F89,0),1)</f>
        <v>1</v>
      </c>
      <c r="N89" s="151">
        <f ca="1">IF($F90=-1,0,IF(N$13&lt;=$M89,IF(ISERROR(MATCH(N$13,OFFSET($M89,1,0,ROW($M$164)-ROW($M89)-1),0)),ROW($M$164)-ROW($M89)-1,MATCH(N$13,OFFSET($M89,1,0,ROW($M$164)-ROW($M89)-1),0)-1),0))</f>
        <v>0</v>
      </c>
      <c r="O89" s="151">
        <f ca="1">IF($F90=-1,0,IF(O$13&lt;=$M89,IF(ISERROR(MATCH(O$13,OFFSET($M89,1,0,ROW($M$164)-ROW($M89)-1),0)),ROW($M$164)-ROW($M89)-1,MATCH(O$13,OFFSET($M89,1,0,ROW($M$164)-ROW($M89)-1),0)-1),0))</f>
        <v>0</v>
      </c>
      <c r="P89" s="151">
        <f ca="1">IF($F90=-1,0,IF(P$13&lt;=$M89,IF(ISERROR(MATCH(P$13,OFFSET($M89,1,0,ROW($M$164)-ROW($M89)-1),0)),ROW($M$164)-ROW($M89)-1,MATCH(P$13,OFFSET($M89,1,0,ROW($M$164)-ROW($M89)-1),0)-1),0))</f>
        <v>0</v>
      </c>
      <c r="Q89" s="151">
        <f ca="1">IF($F90=-1,0,IF(Q$13&lt;=$M89,IF(ISERROR(MATCH(Q$13,OFFSET($M89,1,0,ROW($M$164)-ROW($M89)-1),0)),ROW($M$164)-ROW($M89)-1,MATCH(Q$13,OFFSET($M89,1,0,ROW($M$164)-ROW($M89)-1),0)-1),0))</f>
        <v>0</v>
      </c>
      <c r="R89" s="151">
        <f t="shared" ref="R89" ca="1" si="155">MIN(OFFSET(M89,0,1,,M89))</f>
        <v>0</v>
      </c>
      <c r="S89" s="152" t="str">
        <f ca="1">IF($F90=0,OFFSET(ORÇAMENTO!X$15,$F89,0),IF($F90&lt;&gt;-1,OFFSET(QCI!$O$13,$F90,0),""))</f>
        <v/>
      </c>
      <c r="T89" s="618" t="s">
        <v>809</v>
      </c>
      <c r="U89" s="147" t="e">
        <f ca="1">IF(AND($R89=2,ACOMPANHAMENTO="BM"),ROUND(U90,4),U91/$S89)</f>
        <v>#VALUE!</v>
      </c>
      <c r="V89" s="147" t="e">
        <f ca="1">IF(AND($R89=2,ACOMPANHAMENTO="BM"),ROUND(V90,4),V91/$S89)</f>
        <v>#VALUE!</v>
      </c>
      <c r="W89" s="147" t="e">
        <f ca="1">IF(AND($R89=2,ACOMPANHAMENTO="BM"),ROUND(W90,4),W91/$S89)</f>
        <v>#VALUE!</v>
      </c>
      <c r="X89" s="147" t="e">
        <f ca="1">IF(AND($R89=2,ACOMPANHAMENTO="BM"),ROUND(X90,4),X91/$S89)</f>
        <v>#VALUE!</v>
      </c>
      <c r="Y89" s="147" t="e">
        <f ca="1">IF(AND($R89=2,ACOMPANHAMENTO="BM"),ROUND(Y90,4),Y91/$S89)</f>
        <v>#VALUE!</v>
      </c>
      <c r="Z89" s="147" t="e">
        <f ca="1">IF(AND($R89=2,ACOMPANHAMENTO="BM"),ROUND(Z90,4),Z91/$S89)</f>
        <v>#VALUE!</v>
      </c>
      <c r="AA89" s="147" t="e">
        <f ca="1">IF(AND($R89=2,ACOMPANHAMENTO="BM"),ROUND(AA90,4),AA91/$S89)</f>
        <v>#VALUE!</v>
      </c>
      <c r="AB89" s="147" t="e">
        <f ca="1">IF(AND($R89=2,ACOMPANHAMENTO="BM"),ROUND(AB90,4),AB91/$S89)</f>
        <v>#VALUE!</v>
      </c>
      <c r="AC89" s="147" t="e">
        <f ca="1">IF(AND($R89=2,ACOMPANHAMENTO="BM"),ROUND(AC90,4),AC91/$S89)</f>
        <v>#VALUE!</v>
      </c>
      <c r="AD89" s="147" t="e">
        <f ca="1">IF(AND($R89=2,ACOMPANHAMENTO="BM"),ROUND(AD90,4),AD91/$S89)</f>
        <v>#VALUE!</v>
      </c>
      <c r="AE89" s="147" t="e">
        <f ca="1">IF(AND($R89=2,ACOMPANHAMENTO="BM"),ROUND(AE90,4),AE91/$S89)</f>
        <v>#VALUE!</v>
      </c>
      <c r="AF89" s="147" t="e">
        <f ca="1">IF(AND($R89=2,ACOMPANHAMENTO="BM"),ROUND(AF90,4),AF91/$S89)</f>
        <v>#VALUE!</v>
      </c>
      <c r="AG89" s="444"/>
    </row>
    <row r="90" spans="1:33" ht="12.75" hidden="1" customHeight="1" x14ac:dyDescent="0.25">
      <c r="E90" s="501"/>
      <c r="F90" s="144">
        <f ca="1">IF(ISERROR(F89),IF(1+COUNTIF($M$13:OFFSET(M89,-1,0),1)&lt;=MAX(QCI!$D$13:$D$24),1+COUNTIF($M$13:OFFSET(M89,-1,0),1),-1),0)</f>
        <v>-1</v>
      </c>
      <c r="G90" s="144" t="str">
        <f ca="1">IF(ACOMPANHAMENTO="BM",OFFSET(G90,-1,0),"")</f>
        <v/>
      </c>
      <c r="H90" s="153" t="str">
        <f ca="1">IF(OR(S89=0,S89=""),"vazia",IF(AND(OR(ACOMPANHAMENTO="PLE",$R89&lt;&gt;2),$F90=0),"calculada","--&gt;"))</f>
        <v>vazia</v>
      </c>
      <c r="I90" s="154"/>
      <c r="J90" s="155" t="str">
        <f t="shared" ref="J90" ca="1" si="156">IF(AND(H89&lt;&gt;0,ISNUMBER(H89)),"PREENCHA ESTA LINHA --&gt;","")</f>
        <v/>
      </c>
      <c r="K90" s="155"/>
      <c r="L90" s="155"/>
      <c r="M90" s="156"/>
      <c r="N90" s="156"/>
      <c r="O90" s="156"/>
      <c r="P90" s="156"/>
      <c r="Q90" s="156"/>
      <c r="R90" s="156"/>
      <c r="S90" s="157"/>
      <c r="T90" s="158"/>
      <c r="U90" s="501"/>
      <c r="V90" s="501"/>
      <c r="W90" s="501"/>
      <c r="X90" s="501"/>
      <c r="Y90" s="501"/>
      <c r="Z90" s="501"/>
      <c r="AA90" s="501"/>
      <c r="AB90" s="501"/>
      <c r="AC90" s="501"/>
      <c r="AD90" s="501"/>
      <c r="AE90" s="501"/>
      <c r="AF90" s="501"/>
      <c r="AG90" s="444"/>
    </row>
    <row r="91" spans="1:33" ht="12.75" hidden="1" customHeight="1" x14ac:dyDescent="0.25">
      <c r="D91" s="443"/>
      <c r="E91" s="159">
        <f ca="1">IF($R89=2,
         IF(AND(ACOMPANHAMENTO="PLE",ISNUMBER($F89)),
                SUMIF((OFFSET(CÁLCULO!$AM$15:$AW$15,$F89,0,OFFSET(ORÇAMENTO!$D$15,CRONO!$F89,0))),CRONO!E$12,OFFSET(CÁLCULO!$AB$15:$AL$15,$F89,0,OFFSET(ORÇAMENTO!$D$15,CRONO!$F89,0)))
                +IF(AND($F91&lt;&gt;"",$F91&lt;&gt;0),
                        SUMIF(CÁLCULO!$AM$15:$AW$36,CRONO!E$12,CÁLCULO!$AB$15:$AL$36)/(ORÇAMENTO!$X$15-CÁLCULO.TotalAdmLocal)*CRONO!$F91,
                        0),
                 E90*$S89),
          SUMIF(OFFSET($S91,1,0,$R89-2),($M89+1)&amp;"$",OFFSET(E91,1,0,$R89-2)))</f>
        <v>0</v>
      </c>
      <c r="F91" s="144" t="str">
        <f ca="1">IF(OR($R89&lt;&gt;2,AUTOEVENTO&lt;&gt;"manual",$F90&gt;0),"",
        IF(Import.TipoArredondamento="Tradicional",
              SUMIF(OFFSET(CÁLCULO!$M$15,CRONO!$F89,0,OFFSET(ORÇAMENTO!$D$15,CRONO!$F89,0)),1,OFFSET(ORÇAMENTO!$X$15,CRONO!$F89,0,OFFSET(ORÇAMENTO!$D$15,CRONO!$F89,0))),
              0))</f>
        <v/>
      </c>
      <c r="H91" s="530"/>
      <c r="S91" s="160" t="str">
        <f t="shared" ref="S91" ca="1" si="157">M89&amp;"$"</f>
        <v>1$</v>
      </c>
      <c r="T91" s="161"/>
      <c r="U91" s="159">
        <f ca="1">IF($R89=2,
         IF(AND(ACOMPANHAMENTO="PLE",ISNUMBER($F89)),
                SUMIF((OFFSET(CÁLCULO!$AM$15:$AW$15,$F89,0,OFFSET(ORÇAMENTO!$D$15,CRONO!$F89,0))),CRONO!U$12,OFFSET(CÁLCULO!$AB$15:$AL$15,$F89,0,OFFSET(ORÇAMENTO!$D$15,CRONO!$F89,0)))
                +IF(AND($F91&lt;&gt;"",$F91&lt;&gt;0),
                        SUMIF(CÁLCULO!$AM$15:$AW$36,CRONO!U$12,CÁLCULO!$AB$15:$AL$36)/(ORÇAMENTO!$X$15-CÁLCULO.TotalAdmLocal)*CRONO!$F91,
                        0),
                 U90*$S89),
          SUMIF(OFFSET($S91,1,0,$R89-2),($M89+1)&amp;"$",OFFSET(U91,1,0,$R89-2)))</f>
        <v>0</v>
      </c>
      <c r="V91" s="159">
        <f ca="1">IF($R89=2,
         IF(AND(ACOMPANHAMENTO="PLE",ISNUMBER($F89)),
                SUMIF((OFFSET(CÁLCULO!$AM$15:$AW$15,$F89,0,OFFSET(ORÇAMENTO!$D$15,CRONO!$F89,0))),CRONO!V$12,OFFSET(CÁLCULO!$AB$15:$AL$15,$F89,0,OFFSET(ORÇAMENTO!$D$15,CRONO!$F89,0)))
                +IF(AND($F91&lt;&gt;"",$F91&lt;&gt;0),
                        SUMIF(CÁLCULO!$AM$15:$AW$36,CRONO!V$12,CÁLCULO!$AB$15:$AL$36)/(ORÇAMENTO!$X$15-CÁLCULO.TotalAdmLocal)*CRONO!$F91,
                        0),
                 V90*$S89),
          SUMIF(OFFSET($S91,1,0,$R89-2),($M89+1)&amp;"$",OFFSET(V91,1,0,$R89-2)))</f>
        <v>0</v>
      </c>
      <c r="W91" s="159">
        <f ca="1">IF($R89=2,
         IF(AND(ACOMPANHAMENTO="PLE",ISNUMBER($F89)),
                SUMIF((OFFSET(CÁLCULO!$AM$15:$AW$15,$F89,0,OFFSET(ORÇAMENTO!$D$15,CRONO!$F89,0))),CRONO!W$12,OFFSET(CÁLCULO!$AB$15:$AL$15,$F89,0,OFFSET(ORÇAMENTO!$D$15,CRONO!$F89,0)))
                +IF(AND($F91&lt;&gt;"",$F91&lt;&gt;0),
                        SUMIF(CÁLCULO!$AM$15:$AW$36,CRONO!W$12,CÁLCULO!$AB$15:$AL$36)/(ORÇAMENTO!$X$15-CÁLCULO.TotalAdmLocal)*CRONO!$F91,
                        0),
                 W90*$S89),
          SUMIF(OFFSET($S91,1,0,$R89-2),($M89+1)&amp;"$",OFFSET(W91,1,0,$R89-2)))</f>
        <v>0</v>
      </c>
      <c r="X91" s="159">
        <f ca="1">IF($R89=2,
         IF(AND(ACOMPANHAMENTO="PLE",ISNUMBER($F89)),
                SUMIF((OFFSET(CÁLCULO!$AM$15:$AW$15,$F89,0,OFFSET(ORÇAMENTO!$D$15,CRONO!$F89,0))),CRONO!X$12,OFFSET(CÁLCULO!$AB$15:$AL$15,$F89,0,OFFSET(ORÇAMENTO!$D$15,CRONO!$F89,0)))
                +IF(AND($F91&lt;&gt;"",$F91&lt;&gt;0),
                        SUMIF(CÁLCULO!$AM$15:$AW$36,CRONO!X$12,CÁLCULO!$AB$15:$AL$36)/(ORÇAMENTO!$X$15-CÁLCULO.TotalAdmLocal)*CRONO!$F91,
                        0),
                 X90*$S89),
          SUMIF(OFFSET($S91,1,0,$R89-2),($M89+1)&amp;"$",OFFSET(X91,1,0,$R89-2)))</f>
        <v>0</v>
      </c>
      <c r="Y91" s="159">
        <f ca="1">IF($R89=2,
         IF(AND(ACOMPANHAMENTO="PLE",ISNUMBER($F89)),
                SUMIF((OFFSET(CÁLCULO!$AM$15:$AW$15,$F89,0,OFFSET(ORÇAMENTO!$D$15,CRONO!$F89,0))),CRONO!Y$12,OFFSET(CÁLCULO!$AB$15:$AL$15,$F89,0,OFFSET(ORÇAMENTO!$D$15,CRONO!$F89,0)))
                +IF(AND($F91&lt;&gt;"",$F91&lt;&gt;0),
                        SUMIF(CÁLCULO!$AM$15:$AW$36,CRONO!Y$12,CÁLCULO!$AB$15:$AL$36)/(ORÇAMENTO!$X$15-CÁLCULO.TotalAdmLocal)*CRONO!$F91,
                        0),
                 Y90*$S89),
          SUMIF(OFFSET($S91,1,0,$R89-2),($M89+1)&amp;"$",OFFSET(Y91,1,0,$R89-2)))</f>
        <v>0</v>
      </c>
      <c r="Z91" s="159">
        <f ca="1">IF($R89=2,
         IF(AND(ACOMPANHAMENTO="PLE",ISNUMBER($F89)),
                SUMIF((OFFSET(CÁLCULO!$AM$15:$AW$15,$F89,0,OFFSET(ORÇAMENTO!$D$15,CRONO!$F89,0))),CRONO!Z$12,OFFSET(CÁLCULO!$AB$15:$AL$15,$F89,0,OFFSET(ORÇAMENTO!$D$15,CRONO!$F89,0)))
                +IF(AND($F91&lt;&gt;"",$F91&lt;&gt;0),
                        SUMIF(CÁLCULO!$AM$15:$AW$36,CRONO!Z$12,CÁLCULO!$AB$15:$AL$36)/(ORÇAMENTO!$X$15-CÁLCULO.TotalAdmLocal)*CRONO!$F91,
                        0),
                 Z90*$S89),
          SUMIF(OFFSET($S91,1,0,$R89-2),($M89+1)&amp;"$",OFFSET(Z91,1,0,$R89-2)))</f>
        <v>0</v>
      </c>
      <c r="AA91" s="159">
        <f ca="1">IF($R89=2,
         IF(AND(ACOMPANHAMENTO="PLE",ISNUMBER($F89)),
                SUMIF((OFFSET(CÁLCULO!$AM$15:$AW$15,$F89,0,OFFSET(ORÇAMENTO!$D$15,CRONO!$F89,0))),CRONO!AA$12,OFFSET(CÁLCULO!$AB$15:$AL$15,$F89,0,OFFSET(ORÇAMENTO!$D$15,CRONO!$F89,0)))
                +IF(AND($F91&lt;&gt;"",$F91&lt;&gt;0),
                        SUMIF(CÁLCULO!$AM$15:$AW$36,CRONO!AA$12,CÁLCULO!$AB$15:$AL$36)/(ORÇAMENTO!$X$15-CÁLCULO.TotalAdmLocal)*CRONO!$F91,
                        0),
                 AA90*$S89),
          SUMIF(OFFSET($S91,1,0,$R89-2),($M89+1)&amp;"$",OFFSET(AA91,1,0,$R89-2)))</f>
        <v>0</v>
      </c>
      <c r="AB91" s="159">
        <f ca="1">IF($R89=2,
         IF(AND(ACOMPANHAMENTO="PLE",ISNUMBER($F89)),
                SUMIF((OFFSET(CÁLCULO!$AM$15:$AW$15,$F89,0,OFFSET(ORÇAMENTO!$D$15,CRONO!$F89,0))),CRONO!AB$12,OFFSET(CÁLCULO!$AB$15:$AL$15,$F89,0,OFFSET(ORÇAMENTO!$D$15,CRONO!$F89,0)))
                +IF(AND($F91&lt;&gt;"",$F91&lt;&gt;0),
                        SUMIF(CÁLCULO!$AM$15:$AW$36,CRONO!AB$12,CÁLCULO!$AB$15:$AL$36)/(ORÇAMENTO!$X$15-CÁLCULO.TotalAdmLocal)*CRONO!$F91,
                        0),
                 AB90*$S89),
          SUMIF(OFFSET($S91,1,0,$R89-2),($M89+1)&amp;"$",OFFSET(AB91,1,0,$R89-2)))</f>
        <v>0</v>
      </c>
      <c r="AC91" s="159">
        <f ca="1">IF($R89=2,
         IF(AND(ACOMPANHAMENTO="PLE",ISNUMBER($F89)),
                SUMIF((OFFSET(CÁLCULO!$AM$15:$AW$15,$F89,0,OFFSET(ORÇAMENTO!$D$15,CRONO!$F89,0))),CRONO!AC$12,OFFSET(CÁLCULO!$AB$15:$AL$15,$F89,0,OFFSET(ORÇAMENTO!$D$15,CRONO!$F89,0)))
                +IF(AND($F91&lt;&gt;"",$F91&lt;&gt;0),
                        SUMIF(CÁLCULO!$AM$15:$AW$36,CRONO!AC$12,CÁLCULO!$AB$15:$AL$36)/(ORÇAMENTO!$X$15-CÁLCULO.TotalAdmLocal)*CRONO!$F91,
                        0),
                 AC90*$S89),
          SUMIF(OFFSET($S91,1,0,$R89-2),($M89+1)&amp;"$",OFFSET(AC91,1,0,$R89-2)))</f>
        <v>0</v>
      </c>
      <c r="AD91" s="159">
        <f ca="1">IF($R89=2,
         IF(AND(ACOMPANHAMENTO="PLE",ISNUMBER($F89)),
                SUMIF((OFFSET(CÁLCULO!$AM$15:$AW$15,$F89,0,OFFSET(ORÇAMENTO!$D$15,CRONO!$F89,0))),CRONO!AD$12,OFFSET(CÁLCULO!$AB$15:$AL$15,$F89,0,OFFSET(ORÇAMENTO!$D$15,CRONO!$F89,0)))
                +IF(AND($F91&lt;&gt;"",$F91&lt;&gt;0),
                        SUMIF(CÁLCULO!$AM$15:$AW$36,CRONO!AD$12,CÁLCULO!$AB$15:$AL$36)/(ORÇAMENTO!$X$15-CÁLCULO.TotalAdmLocal)*CRONO!$F91,
                        0),
                 AD90*$S89),
          SUMIF(OFFSET($S91,1,0,$R89-2),($M89+1)&amp;"$",OFFSET(AD91,1,0,$R89-2)))</f>
        <v>0</v>
      </c>
      <c r="AE91" s="159">
        <f ca="1">IF($R89=2,
         IF(AND(ACOMPANHAMENTO="PLE",ISNUMBER($F89)),
                SUMIF((OFFSET(CÁLCULO!$AM$15:$AW$15,$F89,0,OFFSET(ORÇAMENTO!$D$15,CRONO!$F89,0))),CRONO!AE$12,OFFSET(CÁLCULO!$AB$15:$AL$15,$F89,0,OFFSET(ORÇAMENTO!$D$15,CRONO!$F89,0)))
                +IF(AND($F91&lt;&gt;"",$F91&lt;&gt;0),
                        SUMIF(CÁLCULO!$AM$15:$AW$36,CRONO!AE$12,CÁLCULO!$AB$15:$AL$36)/(ORÇAMENTO!$X$15-CÁLCULO.TotalAdmLocal)*CRONO!$F91,
                        0),
                 AE90*$S89),
          SUMIF(OFFSET($S91,1,0,$R89-2),($M89+1)&amp;"$",OFFSET(AE91,1,0,$R89-2)))</f>
        <v>0</v>
      </c>
      <c r="AF91" s="159">
        <f ca="1">IF($R89=2,
         IF(AND(ACOMPANHAMENTO="PLE",ISNUMBER($F89)),
                SUMIF((OFFSET(CÁLCULO!$AM$15:$AW$15,$F89,0,OFFSET(ORÇAMENTO!$D$15,CRONO!$F89,0))),CRONO!AF$12,OFFSET(CÁLCULO!$AB$15:$AL$15,$F89,0,OFFSET(ORÇAMENTO!$D$15,CRONO!$F89,0)))
                +IF(AND($F91&lt;&gt;"",$F91&lt;&gt;0),
                        SUMIF(CÁLCULO!$AM$15:$AW$36,CRONO!AF$12,CÁLCULO!$AB$15:$AL$36)/(ORÇAMENTO!$X$15-CÁLCULO.TotalAdmLocal)*CRONO!$F91,
                        0),
                 AF90*$S89),
          SUMIF(OFFSET($S91,1,0,$R89-2),($M89+1)&amp;"$",OFFSET(AF91,1,0,$R89-2)))</f>
        <v>0</v>
      </c>
      <c r="AG91" s="444"/>
    </row>
    <row r="92" spans="1:33" hidden="1" x14ac:dyDescent="0.25">
      <c r="A92" s="145" t="str">
        <f t="shared" ref="A92" ca="1" si="158">IF($M92&gt;1,CONCATENATE($I92," ",$J92),"")</f>
        <v/>
      </c>
      <c r="B92" s="144">
        <f t="shared" ref="B92" ca="1" si="159">OFFSET(B92,-3,0)+1</f>
        <v>27</v>
      </c>
      <c r="C92" s="144">
        <f ca="1">IF($R92&lt;&gt;2,0,IF($S92=0,1,IF(F93&gt;0,OFFSET(QCI!$M$13,SUBSTITUTE(F93,".",""),0),OFFSET(ORÇAMENTO!$AA$15,CRONO!$F92,0))/$S92))</f>
        <v>0</v>
      </c>
      <c r="D92" s="144">
        <f ca="1">IF($R92&lt;&gt;2,0,IF($S92=0,1,IF(F93&gt;0,OFFSET(QCI!$N$13,SUBSTITUTE(F93,".",""),0),OFFSET(ORÇAMENTO!$AB$15,CRONO!$F92,0))/$S92))</f>
        <v>0</v>
      </c>
      <c r="E92" s="147" t="e">
        <f ca="1">IF(AND($R92=2,ACOMPANHAMENTO="BM"),ROUND(E93,4),E94/$S92)</f>
        <v>#VALUE!</v>
      </c>
      <c r="F92" s="144" t="e">
        <f ca="1">IF(B92&lt;=ORÇAMENTO.MáximoListaCrono,MATCH(B92,ORÇAMENTO.ListaCrono,0),NA())</f>
        <v>#N/A</v>
      </c>
      <c r="G92" s="144" t="str">
        <f t="shared" ref="G92" ca="1" si="160">IF(AND($F93&lt;&gt;-1,$S92&gt;0),"F","")</f>
        <v/>
      </c>
      <c r="H92" s="617" t="str">
        <f ca="1">IF(OR(S92=0,S92=""),"Linha",IF(AND(OR(ACOMPANHAMENTO="PLE",$R92&lt;&gt;2),$F93=0),"Linha",ROUND(1-SUM(U92:AG92),4)))</f>
        <v>Linha</v>
      </c>
      <c r="I92" s="148" t="str">
        <f ca="1">IF($F93=0,OFFSET(ORÇAMENTO!O$15,$F92,0),IF($F93&lt;&gt;-1,OFFSET(QCI!$D$13,$F93,0),""))</f>
        <v/>
      </c>
      <c r="J92" s="149" t="str">
        <f ca="1">IF($F93=0,OFFSET(ORÇAMENTO!R$15,$F92,0),IF($F93&lt;&gt;-1,OFFSET(QCI!$G$13,$F93,0),""))</f>
        <v/>
      </c>
      <c r="K92" s="149"/>
      <c r="L92" s="149"/>
      <c r="M92" s="150">
        <f ca="1">IF($F93=0,OFFSET(ORÇAMENTO!C$15,$F92,0),1)</f>
        <v>1</v>
      </c>
      <c r="N92" s="151">
        <f ca="1">IF($F93=-1,0,IF(N$13&lt;=$M92,IF(ISERROR(MATCH(N$13,OFFSET($M92,1,0,ROW($M$164)-ROW($M92)-1),0)),ROW($M$164)-ROW($M92)-1,MATCH(N$13,OFFSET($M92,1,0,ROW($M$164)-ROW($M92)-1),0)-1),0))</f>
        <v>0</v>
      </c>
      <c r="O92" s="151">
        <f ca="1">IF($F93=-1,0,IF(O$13&lt;=$M92,IF(ISERROR(MATCH(O$13,OFFSET($M92,1,0,ROW($M$164)-ROW($M92)-1),0)),ROW($M$164)-ROW($M92)-1,MATCH(O$13,OFFSET($M92,1,0,ROW($M$164)-ROW($M92)-1),0)-1),0))</f>
        <v>0</v>
      </c>
      <c r="P92" s="151">
        <f ca="1">IF($F93=-1,0,IF(P$13&lt;=$M92,IF(ISERROR(MATCH(P$13,OFFSET($M92,1,0,ROW($M$164)-ROW($M92)-1),0)),ROW($M$164)-ROW($M92)-1,MATCH(P$13,OFFSET($M92,1,0,ROW($M$164)-ROW($M92)-1),0)-1),0))</f>
        <v>0</v>
      </c>
      <c r="Q92" s="151">
        <f ca="1">IF($F93=-1,0,IF(Q$13&lt;=$M92,IF(ISERROR(MATCH(Q$13,OFFSET($M92,1,0,ROW($M$164)-ROW($M92)-1),0)),ROW($M$164)-ROW($M92)-1,MATCH(Q$13,OFFSET($M92,1,0,ROW($M$164)-ROW($M92)-1),0)-1),0))</f>
        <v>0</v>
      </c>
      <c r="R92" s="151">
        <f t="shared" ref="R92" ca="1" si="161">MIN(OFFSET(M92,0,1,,M92))</f>
        <v>0</v>
      </c>
      <c r="S92" s="152" t="str">
        <f ca="1">IF($F93=0,OFFSET(ORÇAMENTO!X$15,$F92,0),IF($F93&lt;&gt;-1,OFFSET(QCI!$O$13,$F93,0),""))</f>
        <v/>
      </c>
      <c r="T92" s="618" t="s">
        <v>809</v>
      </c>
      <c r="U92" s="147" t="e">
        <f ca="1">IF(AND($R92=2,ACOMPANHAMENTO="BM"),ROUND(U93,4),U94/$S92)</f>
        <v>#VALUE!</v>
      </c>
      <c r="V92" s="147" t="e">
        <f ca="1">IF(AND($R92=2,ACOMPANHAMENTO="BM"),ROUND(V93,4),V94/$S92)</f>
        <v>#VALUE!</v>
      </c>
      <c r="W92" s="147" t="e">
        <f ca="1">IF(AND($R92=2,ACOMPANHAMENTO="BM"),ROUND(W93,4),W94/$S92)</f>
        <v>#VALUE!</v>
      </c>
      <c r="X92" s="147" t="e">
        <f ca="1">IF(AND($R92=2,ACOMPANHAMENTO="BM"),ROUND(X93,4),X94/$S92)</f>
        <v>#VALUE!</v>
      </c>
      <c r="Y92" s="147" t="e">
        <f ca="1">IF(AND($R92=2,ACOMPANHAMENTO="BM"),ROUND(Y93,4),Y94/$S92)</f>
        <v>#VALUE!</v>
      </c>
      <c r="Z92" s="147" t="e">
        <f ca="1">IF(AND($R92=2,ACOMPANHAMENTO="BM"),ROUND(Z93,4),Z94/$S92)</f>
        <v>#VALUE!</v>
      </c>
      <c r="AA92" s="147" t="e">
        <f ca="1">IF(AND($R92=2,ACOMPANHAMENTO="BM"),ROUND(AA93,4),AA94/$S92)</f>
        <v>#VALUE!</v>
      </c>
      <c r="AB92" s="147" t="e">
        <f ca="1">IF(AND($R92=2,ACOMPANHAMENTO="BM"),ROUND(AB93,4),AB94/$S92)</f>
        <v>#VALUE!</v>
      </c>
      <c r="AC92" s="147" t="e">
        <f ca="1">IF(AND($R92=2,ACOMPANHAMENTO="BM"),ROUND(AC93,4),AC94/$S92)</f>
        <v>#VALUE!</v>
      </c>
      <c r="AD92" s="147" t="e">
        <f ca="1">IF(AND($R92=2,ACOMPANHAMENTO="BM"),ROUND(AD93,4),AD94/$S92)</f>
        <v>#VALUE!</v>
      </c>
      <c r="AE92" s="147" t="e">
        <f ca="1">IF(AND($R92=2,ACOMPANHAMENTO="BM"),ROUND(AE93,4),AE94/$S92)</f>
        <v>#VALUE!</v>
      </c>
      <c r="AF92" s="147" t="e">
        <f ca="1">IF(AND($R92=2,ACOMPANHAMENTO="BM"),ROUND(AF93,4),AF94/$S92)</f>
        <v>#VALUE!</v>
      </c>
      <c r="AG92" s="444"/>
    </row>
    <row r="93" spans="1:33" ht="12.75" hidden="1" customHeight="1" x14ac:dyDescent="0.25">
      <c r="E93" s="501"/>
      <c r="F93" s="144">
        <f ca="1">IF(ISERROR(F92),IF(1+COUNTIF($M$13:OFFSET(M92,-1,0),1)&lt;=MAX(QCI!$D$13:$D$24),1+COUNTIF($M$13:OFFSET(M92,-1,0),1),-1),0)</f>
        <v>-1</v>
      </c>
      <c r="G93" s="144" t="str">
        <f ca="1">IF(ACOMPANHAMENTO="BM",OFFSET(G93,-1,0),"")</f>
        <v/>
      </c>
      <c r="H93" s="153" t="str">
        <f ca="1">IF(OR(S92=0,S92=""),"vazia",IF(AND(OR(ACOMPANHAMENTO="PLE",$R92&lt;&gt;2),$F93=0),"calculada","--&gt;"))</f>
        <v>vazia</v>
      </c>
      <c r="I93" s="154"/>
      <c r="J93" s="155" t="str">
        <f t="shared" ref="J93" ca="1" si="162">IF(AND(H92&lt;&gt;0,ISNUMBER(H92)),"PREENCHA ESTA LINHA --&gt;","")</f>
        <v/>
      </c>
      <c r="K93" s="155"/>
      <c r="L93" s="155"/>
      <c r="M93" s="156"/>
      <c r="N93" s="156"/>
      <c r="O93" s="156"/>
      <c r="P93" s="156"/>
      <c r="Q93" s="156"/>
      <c r="R93" s="156"/>
      <c r="S93" s="157"/>
      <c r="T93" s="158"/>
      <c r="U93" s="501"/>
      <c r="V93" s="501"/>
      <c r="W93" s="501"/>
      <c r="X93" s="501"/>
      <c r="Y93" s="501"/>
      <c r="Z93" s="501"/>
      <c r="AA93" s="501"/>
      <c r="AB93" s="501"/>
      <c r="AC93" s="501"/>
      <c r="AD93" s="501"/>
      <c r="AE93" s="501"/>
      <c r="AF93" s="501"/>
      <c r="AG93" s="444"/>
    </row>
    <row r="94" spans="1:33" ht="12.75" hidden="1" customHeight="1" x14ac:dyDescent="0.25">
      <c r="D94" s="443"/>
      <c r="E94" s="159">
        <f ca="1">IF($R92=2,
         IF(AND(ACOMPANHAMENTO="PLE",ISNUMBER($F92)),
                SUMIF((OFFSET(CÁLCULO!$AM$15:$AW$15,$F92,0,OFFSET(ORÇAMENTO!$D$15,CRONO!$F92,0))),CRONO!E$12,OFFSET(CÁLCULO!$AB$15:$AL$15,$F92,0,OFFSET(ORÇAMENTO!$D$15,CRONO!$F92,0)))
                +IF(AND($F94&lt;&gt;"",$F94&lt;&gt;0),
                        SUMIF(CÁLCULO!$AM$15:$AW$36,CRONO!E$12,CÁLCULO!$AB$15:$AL$36)/(ORÇAMENTO!$X$15-CÁLCULO.TotalAdmLocal)*CRONO!$F94,
                        0),
                 E93*$S92),
          SUMIF(OFFSET($S94,1,0,$R92-2),($M92+1)&amp;"$",OFFSET(E94,1,0,$R92-2)))</f>
        <v>0</v>
      </c>
      <c r="F94" s="144" t="str">
        <f ca="1">IF(OR($R92&lt;&gt;2,AUTOEVENTO&lt;&gt;"manual",$F93&gt;0),"",
        IF(Import.TipoArredondamento="Tradicional",
              SUMIF(OFFSET(CÁLCULO!$M$15,CRONO!$F92,0,OFFSET(ORÇAMENTO!$D$15,CRONO!$F92,0)),1,OFFSET(ORÇAMENTO!$X$15,CRONO!$F92,0,OFFSET(ORÇAMENTO!$D$15,CRONO!$F92,0))),
              0))</f>
        <v/>
      </c>
      <c r="H94" s="530"/>
      <c r="S94" s="160" t="str">
        <f t="shared" ref="S94" ca="1" si="163">M92&amp;"$"</f>
        <v>1$</v>
      </c>
      <c r="T94" s="161"/>
      <c r="U94" s="159">
        <f ca="1">IF($R92=2,
         IF(AND(ACOMPANHAMENTO="PLE",ISNUMBER($F92)),
                SUMIF((OFFSET(CÁLCULO!$AM$15:$AW$15,$F92,0,OFFSET(ORÇAMENTO!$D$15,CRONO!$F92,0))),CRONO!U$12,OFFSET(CÁLCULO!$AB$15:$AL$15,$F92,0,OFFSET(ORÇAMENTO!$D$15,CRONO!$F92,0)))
                +IF(AND($F94&lt;&gt;"",$F94&lt;&gt;0),
                        SUMIF(CÁLCULO!$AM$15:$AW$36,CRONO!U$12,CÁLCULO!$AB$15:$AL$36)/(ORÇAMENTO!$X$15-CÁLCULO.TotalAdmLocal)*CRONO!$F94,
                        0),
                 U93*$S92),
          SUMIF(OFFSET($S94,1,0,$R92-2),($M92+1)&amp;"$",OFFSET(U94,1,0,$R92-2)))</f>
        <v>0</v>
      </c>
      <c r="V94" s="159">
        <f ca="1">IF($R92=2,
         IF(AND(ACOMPANHAMENTO="PLE",ISNUMBER($F92)),
                SUMIF((OFFSET(CÁLCULO!$AM$15:$AW$15,$F92,0,OFFSET(ORÇAMENTO!$D$15,CRONO!$F92,0))),CRONO!V$12,OFFSET(CÁLCULO!$AB$15:$AL$15,$F92,0,OFFSET(ORÇAMENTO!$D$15,CRONO!$F92,0)))
                +IF(AND($F94&lt;&gt;"",$F94&lt;&gt;0),
                        SUMIF(CÁLCULO!$AM$15:$AW$36,CRONO!V$12,CÁLCULO!$AB$15:$AL$36)/(ORÇAMENTO!$X$15-CÁLCULO.TotalAdmLocal)*CRONO!$F94,
                        0),
                 V93*$S92),
          SUMIF(OFFSET($S94,1,0,$R92-2),($M92+1)&amp;"$",OFFSET(V94,1,0,$R92-2)))</f>
        <v>0</v>
      </c>
      <c r="W94" s="159">
        <f ca="1">IF($R92=2,
         IF(AND(ACOMPANHAMENTO="PLE",ISNUMBER($F92)),
                SUMIF((OFFSET(CÁLCULO!$AM$15:$AW$15,$F92,0,OFFSET(ORÇAMENTO!$D$15,CRONO!$F92,0))),CRONO!W$12,OFFSET(CÁLCULO!$AB$15:$AL$15,$F92,0,OFFSET(ORÇAMENTO!$D$15,CRONO!$F92,0)))
                +IF(AND($F94&lt;&gt;"",$F94&lt;&gt;0),
                        SUMIF(CÁLCULO!$AM$15:$AW$36,CRONO!W$12,CÁLCULO!$AB$15:$AL$36)/(ORÇAMENTO!$X$15-CÁLCULO.TotalAdmLocal)*CRONO!$F94,
                        0),
                 W93*$S92),
          SUMIF(OFFSET($S94,1,0,$R92-2),($M92+1)&amp;"$",OFFSET(W94,1,0,$R92-2)))</f>
        <v>0</v>
      </c>
      <c r="X94" s="159">
        <f ca="1">IF($R92=2,
         IF(AND(ACOMPANHAMENTO="PLE",ISNUMBER($F92)),
                SUMIF((OFFSET(CÁLCULO!$AM$15:$AW$15,$F92,0,OFFSET(ORÇAMENTO!$D$15,CRONO!$F92,0))),CRONO!X$12,OFFSET(CÁLCULO!$AB$15:$AL$15,$F92,0,OFFSET(ORÇAMENTO!$D$15,CRONO!$F92,0)))
                +IF(AND($F94&lt;&gt;"",$F94&lt;&gt;0),
                        SUMIF(CÁLCULO!$AM$15:$AW$36,CRONO!X$12,CÁLCULO!$AB$15:$AL$36)/(ORÇAMENTO!$X$15-CÁLCULO.TotalAdmLocal)*CRONO!$F94,
                        0),
                 X93*$S92),
          SUMIF(OFFSET($S94,1,0,$R92-2),($M92+1)&amp;"$",OFFSET(X94,1,0,$R92-2)))</f>
        <v>0</v>
      </c>
      <c r="Y94" s="159">
        <f ca="1">IF($R92=2,
         IF(AND(ACOMPANHAMENTO="PLE",ISNUMBER($F92)),
                SUMIF((OFFSET(CÁLCULO!$AM$15:$AW$15,$F92,0,OFFSET(ORÇAMENTO!$D$15,CRONO!$F92,0))),CRONO!Y$12,OFFSET(CÁLCULO!$AB$15:$AL$15,$F92,0,OFFSET(ORÇAMENTO!$D$15,CRONO!$F92,0)))
                +IF(AND($F94&lt;&gt;"",$F94&lt;&gt;0),
                        SUMIF(CÁLCULO!$AM$15:$AW$36,CRONO!Y$12,CÁLCULO!$AB$15:$AL$36)/(ORÇAMENTO!$X$15-CÁLCULO.TotalAdmLocal)*CRONO!$F94,
                        0),
                 Y93*$S92),
          SUMIF(OFFSET($S94,1,0,$R92-2),($M92+1)&amp;"$",OFFSET(Y94,1,0,$R92-2)))</f>
        <v>0</v>
      </c>
      <c r="Z94" s="159">
        <f ca="1">IF($R92=2,
         IF(AND(ACOMPANHAMENTO="PLE",ISNUMBER($F92)),
                SUMIF((OFFSET(CÁLCULO!$AM$15:$AW$15,$F92,0,OFFSET(ORÇAMENTO!$D$15,CRONO!$F92,0))),CRONO!Z$12,OFFSET(CÁLCULO!$AB$15:$AL$15,$F92,0,OFFSET(ORÇAMENTO!$D$15,CRONO!$F92,0)))
                +IF(AND($F94&lt;&gt;"",$F94&lt;&gt;0),
                        SUMIF(CÁLCULO!$AM$15:$AW$36,CRONO!Z$12,CÁLCULO!$AB$15:$AL$36)/(ORÇAMENTO!$X$15-CÁLCULO.TotalAdmLocal)*CRONO!$F94,
                        0),
                 Z93*$S92),
          SUMIF(OFFSET($S94,1,0,$R92-2),($M92+1)&amp;"$",OFFSET(Z94,1,0,$R92-2)))</f>
        <v>0</v>
      </c>
      <c r="AA94" s="159">
        <f ca="1">IF($R92=2,
         IF(AND(ACOMPANHAMENTO="PLE",ISNUMBER($F92)),
                SUMIF((OFFSET(CÁLCULO!$AM$15:$AW$15,$F92,0,OFFSET(ORÇAMENTO!$D$15,CRONO!$F92,0))),CRONO!AA$12,OFFSET(CÁLCULO!$AB$15:$AL$15,$F92,0,OFFSET(ORÇAMENTO!$D$15,CRONO!$F92,0)))
                +IF(AND($F94&lt;&gt;"",$F94&lt;&gt;0),
                        SUMIF(CÁLCULO!$AM$15:$AW$36,CRONO!AA$12,CÁLCULO!$AB$15:$AL$36)/(ORÇAMENTO!$X$15-CÁLCULO.TotalAdmLocal)*CRONO!$F94,
                        0),
                 AA93*$S92),
          SUMIF(OFFSET($S94,1,0,$R92-2),($M92+1)&amp;"$",OFFSET(AA94,1,0,$R92-2)))</f>
        <v>0</v>
      </c>
      <c r="AB94" s="159">
        <f ca="1">IF($R92=2,
         IF(AND(ACOMPANHAMENTO="PLE",ISNUMBER($F92)),
                SUMIF((OFFSET(CÁLCULO!$AM$15:$AW$15,$F92,0,OFFSET(ORÇAMENTO!$D$15,CRONO!$F92,0))),CRONO!AB$12,OFFSET(CÁLCULO!$AB$15:$AL$15,$F92,0,OFFSET(ORÇAMENTO!$D$15,CRONO!$F92,0)))
                +IF(AND($F94&lt;&gt;"",$F94&lt;&gt;0),
                        SUMIF(CÁLCULO!$AM$15:$AW$36,CRONO!AB$12,CÁLCULO!$AB$15:$AL$36)/(ORÇAMENTO!$X$15-CÁLCULO.TotalAdmLocal)*CRONO!$F94,
                        0),
                 AB93*$S92),
          SUMIF(OFFSET($S94,1,0,$R92-2),($M92+1)&amp;"$",OFFSET(AB94,1,0,$R92-2)))</f>
        <v>0</v>
      </c>
      <c r="AC94" s="159">
        <f ca="1">IF($R92=2,
         IF(AND(ACOMPANHAMENTO="PLE",ISNUMBER($F92)),
                SUMIF((OFFSET(CÁLCULO!$AM$15:$AW$15,$F92,0,OFFSET(ORÇAMENTO!$D$15,CRONO!$F92,0))),CRONO!AC$12,OFFSET(CÁLCULO!$AB$15:$AL$15,$F92,0,OFFSET(ORÇAMENTO!$D$15,CRONO!$F92,0)))
                +IF(AND($F94&lt;&gt;"",$F94&lt;&gt;0),
                        SUMIF(CÁLCULO!$AM$15:$AW$36,CRONO!AC$12,CÁLCULO!$AB$15:$AL$36)/(ORÇAMENTO!$X$15-CÁLCULO.TotalAdmLocal)*CRONO!$F94,
                        0),
                 AC93*$S92),
          SUMIF(OFFSET($S94,1,0,$R92-2),($M92+1)&amp;"$",OFFSET(AC94,1,0,$R92-2)))</f>
        <v>0</v>
      </c>
      <c r="AD94" s="159">
        <f ca="1">IF($R92=2,
         IF(AND(ACOMPANHAMENTO="PLE",ISNUMBER($F92)),
                SUMIF((OFFSET(CÁLCULO!$AM$15:$AW$15,$F92,0,OFFSET(ORÇAMENTO!$D$15,CRONO!$F92,0))),CRONO!AD$12,OFFSET(CÁLCULO!$AB$15:$AL$15,$F92,0,OFFSET(ORÇAMENTO!$D$15,CRONO!$F92,0)))
                +IF(AND($F94&lt;&gt;"",$F94&lt;&gt;0),
                        SUMIF(CÁLCULO!$AM$15:$AW$36,CRONO!AD$12,CÁLCULO!$AB$15:$AL$36)/(ORÇAMENTO!$X$15-CÁLCULO.TotalAdmLocal)*CRONO!$F94,
                        0),
                 AD93*$S92),
          SUMIF(OFFSET($S94,1,0,$R92-2),($M92+1)&amp;"$",OFFSET(AD94,1,0,$R92-2)))</f>
        <v>0</v>
      </c>
      <c r="AE94" s="159">
        <f ca="1">IF($R92=2,
         IF(AND(ACOMPANHAMENTO="PLE",ISNUMBER($F92)),
                SUMIF((OFFSET(CÁLCULO!$AM$15:$AW$15,$F92,0,OFFSET(ORÇAMENTO!$D$15,CRONO!$F92,0))),CRONO!AE$12,OFFSET(CÁLCULO!$AB$15:$AL$15,$F92,0,OFFSET(ORÇAMENTO!$D$15,CRONO!$F92,0)))
                +IF(AND($F94&lt;&gt;"",$F94&lt;&gt;0),
                        SUMIF(CÁLCULO!$AM$15:$AW$36,CRONO!AE$12,CÁLCULO!$AB$15:$AL$36)/(ORÇAMENTO!$X$15-CÁLCULO.TotalAdmLocal)*CRONO!$F94,
                        0),
                 AE93*$S92),
          SUMIF(OFFSET($S94,1,0,$R92-2),($M92+1)&amp;"$",OFFSET(AE94,1,0,$R92-2)))</f>
        <v>0</v>
      </c>
      <c r="AF94" s="159">
        <f ca="1">IF($R92=2,
         IF(AND(ACOMPANHAMENTO="PLE",ISNUMBER($F92)),
                SUMIF((OFFSET(CÁLCULO!$AM$15:$AW$15,$F92,0,OFFSET(ORÇAMENTO!$D$15,CRONO!$F92,0))),CRONO!AF$12,OFFSET(CÁLCULO!$AB$15:$AL$15,$F92,0,OFFSET(ORÇAMENTO!$D$15,CRONO!$F92,0)))
                +IF(AND($F94&lt;&gt;"",$F94&lt;&gt;0),
                        SUMIF(CÁLCULO!$AM$15:$AW$36,CRONO!AF$12,CÁLCULO!$AB$15:$AL$36)/(ORÇAMENTO!$X$15-CÁLCULO.TotalAdmLocal)*CRONO!$F94,
                        0),
                 AF93*$S92),
          SUMIF(OFFSET($S94,1,0,$R92-2),($M92+1)&amp;"$",OFFSET(AF94,1,0,$R92-2)))</f>
        <v>0</v>
      </c>
      <c r="AG94" s="444"/>
    </row>
    <row r="95" spans="1:33" hidden="1" x14ac:dyDescent="0.25">
      <c r="A95" s="145" t="str">
        <f t="shared" ref="A95" ca="1" si="164">IF($M95&gt;1,CONCATENATE($I95," ",$J95),"")</f>
        <v/>
      </c>
      <c r="B95" s="144">
        <f t="shared" ref="B95" ca="1" si="165">OFFSET(B95,-3,0)+1</f>
        <v>28</v>
      </c>
      <c r="C95" s="144">
        <f ca="1">IF($R95&lt;&gt;2,0,IF($S95=0,1,IF(F96&gt;0,OFFSET(QCI!$M$13,SUBSTITUTE(F96,".",""),0),OFFSET(ORÇAMENTO!$AA$15,CRONO!$F95,0))/$S95))</f>
        <v>0</v>
      </c>
      <c r="D95" s="144">
        <f ca="1">IF($R95&lt;&gt;2,0,IF($S95=0,1,IF(F96&gt;0,OFFSET(QCI!$N$13,SUBSTITUTE(F96,".",""),0),OFFSET(ORÇAMENTO!$AB$15,CRONO!$F95,0))/$S95))</f>
        <v>0</v>
      </c>
      <c r="E95" s="147" t="e">
        <f ca="1">IF(AND($R95=2,ACOMPANHAMENTO="BM"),ROUND(E96,4),E97/$S95)</f>
        <v>#VALUE!</v>
      </c>
      <c r="F95" s="144" t="e">
        <f ca="1">IF(B95&lt;=ORÇAMENTO.MáximoListaCrono,MATCH(B95,ORÇAMENTO.ListaCrono,0),NA())</f>
        <v>#N/A</v>
      </c>
      <c r="G95" s="144" t="str">
        <f t="shared" ref="G95" ca="1" si="166">IF(AND($F96&lt;&gt;-1,$S95&gt;0),"F","")</f>
        <v/>
      </c>
      <c r="H95" s="617" t="str">
        <f ca="1">IF(OR(S95=0,S95=""),"Linha",IF(AND(OR(ACOMPANHAMENTO="PLE",$R95&lt;&gt;2),$F96=0),"Linha",ROUND(1-SUM(U95:AG95),4)))</f>
        <v>Linha</v>
      </c>
      <c r="I95" s="148" t="str">
        <f ca="1">IF($F96=0,OFFSET(ORÇAMENTO!O$15,$F95,0),IF($F96&lt;&gt;-1,OFFSET(QCI!$D$13,$F96,0),""))</f>
        <v/>
      </c>
      <c r="J95" s="149" t="str">
        <f ca="1">IF($F96=0,OFFSET(ORÇAMENTO!R$15,$F95,0),IF($F96&lt;&gt;-1,OFFSET(QCI!$G$13,$F96,0),""))</f>
        <v/>
      </c>
      <c r="K95" s="149"/>
      <c r="L95" s="149"/>
      <c r="M95" s="150">
        <f ca="1">IF($F96=0,OFFSET(ORÇAMENTO!C$15,$F95,0),1)</f>
        <v>1</v>
      </c>
      <c r="N95" s="151">
        <f ca="1">IF($F96=-1,0,IF(N$13&lt;=$M95,IF(ISERROR(MATCH(N$13,OFFSET($M95,1,0,ROW($M$164)-ROW($M95)-1),0)),ROW($M$164)-ROW($M95)-1,MATCH(N$13,OFFSET($M95,1,0,ROW($M$164)-ROW($M95)-1),0)-1),0))</f>
        <v>0</v>
      </c>
      <c r="O95" s="151">
        <f ca="1">IF($F96=-1,0,IF(O$13&lt;=$M95,IF(ISERROR(MATCH(O$13,OFFSET($M95,1,0,ROW($M$164)-ROW($M95)-1),0)),ROW($M$164)-ROW($M95)-1,MATCH(O$13,OFFSET($M95,1,0,ROW($M$164)-ROW($M95)-1),0)-1),0))</f>
        <v>0</v>
      </c>
      <c r="P95" s="151">
        <f ca="1">IF($F96=-1,0,IF(P$13&lt;=$M95,IF(ISERROR(MATCH(P$13,OFFSET($M95,1,0,ROW($M$164)-ROW($M95)-1),0)),ROW($M$164)-ROW($M95)-1,MATCH(P$13,OFFSET($M95,1,0,ROW($M$164)-ROW($M95)-1),0)-1),0))</f>
        <v>0</v>
      </c>
      <c r="Q95" s="151">
        <f ca="1">IF($F96=-1,0,IF(Q$13&lt;=$M95,IF(ISERROR(MATCH(Q$13,OFFSET($M95,1,0,ROW($M$164)-ROW($M95)-1),0)),ROW($M$164)-ROW($M95)-1,MATCH(Q$13,OFFSET($M95,1,0,ROW($M$164)-ROW($M95)-1),0)-1),0))</f>
        <v>0</v>
      </c>
      <c r="R95" s="151">
        <f t="shared" ref="R95" ca="1" si="167">MIN(OFFSET(M95,0,1,,M95))</f>
        <v>0</v>
      </c>
      <c r="S95" s="152" t="str">
        <f ca="1">IF($F96=0,OFFSET(ORÇAMENTO!X$15,$F95,0),IF($F96&lt;&gt;-1,OFFSET(QCI!$O$13,$F96,0),""))</f>
        <v/>
      </c>
      <c r="T95" s="618" t="s">
        <v>809</v>
      </c>
      <c r="U95" s="147" t="e">
        <f ca="1">IF(AND($R95=2,ACOMPANHAMENTO="BM"),ROUND(U96,4),U97/$S95)</f>
        <v>#VALUE!</v>
      </c>
      <c r="V95" s="147" t="e">
        <f ca="1">IF(AND($R95=2,ACOMPANHAMENTO="BM"),ROUND(V96,4),V97/$S95)</f>
        <v>#VALUE!</v>
      </c>
      <c r="W95" s="147" t="e">
        <f ca="1">IF(AND($R95=2,ACOMPANHAMENTO="BM"),ROUND(W96,4),W97/$S95)</f>
        <v>#VALUE!</v>
      </c>
      <c r="X95" s="147" t="e">
        <f ca="1">IF(AND($R95=2,ACOMPANHAMENTO="BM"),ROUND(X96,4),X97/$S95)</f>
        <v>#VALUE!</v>
      </c>
      <c r="Y95" s="147" t="e">
        <f ca="1">IF(AND($R95=2,ACOMPANHAMENTO="BM"),ROUND(Y96,4),Y97/$S95)</f>
        <v>#VALUE!</v>
      </c>
      <c r="Z95" s="147" t="e">
        <f ca="1">IF(AND($R95=2,ACOMPANHAMENTO="BM"),ROUND(Z96,4),Z97/$S95)</f>
        <v>#VALUE!</v>
      </c>
      <c r="AA95" s="147" t="e">
        <f ca="1">IF(AND($R95=2,ACOMPANHAMENTO="BM"),ROUND(AA96,4),AA97/$S95)</f>
        <v>#VALUE!</v>
      </c>
      <c r="AB95" s="147" t="e">
        <f ca="1">IF(AND($R95=2,ACOMPANHAMENTO="BM"),ROUND(AB96,4),AB97/$S95)</f>
        <v>#VALUE!</v>
      </c>
      <c r="AC95" s="147" t="e">
        <f ca="1">IF(AND($R95=2,ACOMPANHAMENTO="BM"),ROUND(AC96,4),AC97/$S95)</f>
        <v>#VALUE!</v>
      </c>
      <c r="AD95" s="147" t="e">
        <f ca="1">IF(AND($R95=2,ACOMPANHAMENTO="BM"),ROUND(AD96,4),AD97/$S95)</f>
        <v>#VALUE!</v>
      </c>
      <c r="AE95" s="147" t="e">
        <f ca="1">IF(AND($R95=2,ACOMPANHAMENTO="BM"),ROUND(AE96,4),AE97/$S95)</f>
        <v>#VALUE!</v>
      </c>
      <c r="AF95" s="147" t="e">
        <f ca="1">IF(AND($R95=2,ACOMPANHAMENTO="BM"),ROUND(AF96,4),AF97/$S95)</f>
        <v>#VALUE!</v>
      </c>
      <c r="AG95" s="444"/>
    </row>
    <row r="96" spans="1:33" ht="12.75" hidden="1" customHeight="1" x14ac:dyDescent="0.25">
      <c r="E96" s="501"/>
      <c r="F96" s="144">
        <f ca="1">IF(ISERROR(F95),IF(1+COUNTIF($M$13:OFFSET(M95,-1,0),1)&lt;=MAX(QCI!$D$13:$D$24),1+COUNTIF($M$13:OFFSET(M95,-1,0),1),-1),0)</f>
        <v>-1</v>
      </c>
      <c r="G96" s="144" t="str">
        <f ca="1">IF(ACOMPANHAMENTO="BM",OFFSET(G96,-1,0),"")</f>
        <v/>
      </c>
      <c r="H96" s="153" t="str">
        <f ca="1">IF(OR(S95=0,S95=""),"vazia",IF(AND(OR(ACOMPANHAMENTO="PLE",$R95&lt;&gt;2),$F96=0),"calculada","--&gt;"))</f>
        <v>vazia</v>
      </c>
      <c r="I96" s="154"/>
      <c r="J96" s="155" t="str">
        <f t="shared" ref="J96" ca="1" si="168">IF(AND(H95&lt;&gt;0,ISNUMBER(H95)),"PREENCHA ESTA LINHA --&gt;","")</f>
        <v/>
      </c>
      <c r="K96" s="155"/>
      <c r="L96" s="155"/>
      <c r="M96" s="156"/>
      <c r="N96" s="156"/>
      <c r="O96" s="156"/>
      <c r="P96" s="156"/>
      <c r="Q96" s="156"/>
      <c r="R96" s="156"/>
      <c r="S96" s="157"/>
      <c r="T96" s="158"/>
      <c r="U96" s="501"/>
      <c r="V96" s="501"/>
      <c r="W96" s="501"/>
      <c r="X96" s="501"/>
      <c r="Y96" s="501"/>
      <c r="Z96" s="501"/>
      <c r="AA96" s="501"/>
      <c r="AB96" s="501"/>
      <c r="AC96" s="501"/>
      <c r="AD96" s="501"/>
      <c r="AE96" s="501"/>
      <c r="AF96" s="501"/>
      <c r="AG96" s="444"/>
    </row>
    <row r="97" spans="1:33" ht="12.75" hidden="1" customHeight="1" x14ac:dyDescent="0.25">
      <c r="D97" s="443"/>
      <c r="E97" s="159">
        <f ca="1">IF($R95=2,
         IF(AND(ACOMPANHAMENTO="PLE",ISNUMBER($F95)),
                SUMIF((OFFSET(CÁLCULO!$AM$15:$AW$15,$F95,0,OFFSET(ORÇAMENTO!$D$15,CRONO!$F95,0))),CRONO!E$12,OFFSET(CÁLCULO!$AB$15:$AL$15,$F95,0,OFFSET(ORÇAMENTO!$D$15,CRONO!$F95,0)))
                +IF(AND($F97&lt;&gt;"",$F97&lt;&gt;0),
                        SUMIF(CÁLCULO!$AM$15:$AW$36,CRONO!E$12,CÁLCULO!$AB$15:$AL$36)/(ORÇAMENTO!$X$15-CÁLCULO.TotalAdmLocal)*CRONO!$F97,
                        0),
                 E96*$S95),
          SUMIF(OFFSET($S97,1,0,$R95-2),($M95+1)&amp;"$",OFFSET(E97,1,0,$R95-2)))</f>
        <v>0</v>
      </c>
      <c r="F97" s="144" t="str">
        <f ca="1">IF(OR($R95&lt;&gt;2,AUTOEVENTO&lt;&gt;"manual",$F96&gt;0),"",
        IF(Import.TipoArredondamento="Tradicional",
              SUMIF(OFFSET(CÁLCULO!$M$15,CRONO!$F95,0,OFFSET(ORÇAMENTO!$D$15,CRONO!$F95,0)),1,OFFSET(ORÇAMENTO!$X$15,CRONO!$F95,0,OFFSET(ORÇAMENTO!$D$15,CRONO!$F95,0))),
              0))</f>
        <v/>
      </c>
      <c r="H97" s="530"/>
      <c r="S97" s="160" t="str">
        <f t="shared" ref="S97" ca="1" si="169">M95&amp;"$"</f>
        <v>1$</v>
      </c>
      <c r="T97" s="161"/>
      <c r="U97" s="159">
        <f ca="1">IF($R95=2,
         IF(AND(ACOMPANHAMENTO="PLE",ISNUMBER($F95)),
                SUMIF((OFFSET(CÁLCULO!$AM$15:$AW$15,$F95,0,OFFSET(ORÇAMENTO!$D$15,CRONO!$F95,0))),CRONO!U$12,OFFSET(CÁLCULO!$AB$15:$AL$15,$F95,0,OFFSET(ORÇAMENTO!$D$15,CRONO!$F95,0)))
                +IF(AND($F97&lt;&gt;"",$F97&lt;&gt;0),
                        SUMIF(CÁLCULO!$AM$15:$AW$36,CRONO!U$12,CÁLCULO!$AB$15:$AL$36)/(ORÇAMENTO!$X$15-CÁLCULO.TotalAdmLocal)*CRONO!$F97,
                        0),
                 U96*$S95),
          SUMIF(OFFSET($S97,1,0,$R95-2),($M95+1)&amp;"$",OFFSET(U97,1,0,$R95-2)))</f>
        <v>0</v>
      </c>
      <c r="V97" s="159">
        <f ca="1">IF($R95=2,
         IF(AND(ACOMPANHAMENTO="PLE",ISNUMBER($F95)),
                SUMIF((OFFSET(CÁLCULO!$AM$15:$AW$15,$F95,0,OFFSET(ORÇAMENTO!$D$15,CRONO!$F95,0))),CRONO!V$12,OFFSET(CÁLCULO!$AB$15:$AL$15,$F95,0,OFFSET(ORÇAMENTO!$D$15,CRONO!$F95,0)))
                +IF(AND($F97&lt;&gt;"",$F97&lt;&gt;0),
                        SUMIF(CÁLCULO!$AM$15:$AW$36,CRONO!V$12,CÁLCULO!$AB$15:$AL$36)/(ORÇAMENTO!$X$15-CÁLCULO.TotalAdmLocal)*CRONO!$F97,
                        0),
                 V96*$S95),
          SUMIF(OFFSET($S97,1,0,$R95-2),($M95+1)&amp;"$",OFFSET(V97,1,0,$R95-2)))</f>
        <v>0</v>
      </c>
      <c r="W97" s="159">
        <f ca="1">IF($R95=2,
         IF(AND(ACOMPANHAMENTO="PLE",ISNUMBER($F95)),
                SUMIF((OFFSET(CÁLCULO!$AM$15:$AW$15,$F95,0,OFFSET(ORÇAMENTO!$D$15,CRONO!$F95,0))),CRONO!W$12,OFFSET(CÁLCULO!$AB$15:$AL$15,$F95,0,OFFSET(ORÇAMENTO!$D$15,CRONO!$F95,0)))
                +IF(AND($F97&lt;&gt;"",$F97&lt;&gt;0),
                        SUMIF(CÁLCULO!$AM$15:$AW$36,CRONO!W$12,CÁLCULO!$AB$15:$AL$36)/(ORÇAMENTO!$X$15-CÁLCULO.TotalAdmLocal)*CRONO!$F97,
                        0),
                 W96*$S95),
          SUMIF(OFFSET($S97,1,0,$R95-2),($M95+1)&amp;"$",OFFSET(W97,1,0,$R95-2)))</f>
        <v>0</v>
      </c>
      <c r="X97" s="159">
        <f ca="1">IF($R95=2,
         IF(AND(ACOMPANHAMENTO="PLE",ISNUMBER($F95)),
                SUMIF((OFFSET(CÁLCULO!$AM$15:$AW$15,$F95,0,OFFSET(ORÇAMENTO!$D$15,CRONO!$F95,0))),CRONO!X$12,OFFSET(CÁLCULO!$AB$15:$AL$15,$F95,0,OFFSET(ORÇAMENTO!$D$15,CRONO!$F95,0)))
                +IF(AND($F97&lt;&gt;"",$F97&lt;&gt;0),
                        SUMIF(CÁLCULO!$AM$15:$AW$36,CRONO!X$12,CÁLCULO!$AB$15:$AL$36)/(ORÇAMENTO!$X$15-CÁLCULO.TotalAdmLocal)*CRONO!$F97,
                        0),
                 X96*$S95),
          SUMIF(OFFSET($S97,1,0,$R95-2),($M95+1)&amp;"$",OFFSET(X97,1,0,$R95-2)))</f>
        <v>0</v>
      </c>
      <c r="Y97" s="159">
        <f ca="1">IF($R95=2,
         IF(AND(ACOMPANHAMENTO="PLE",ISNUMBER($F95)),
                SUMIF((OFFSET(CÁLCULO!$AM$15:$AW$15,$F95,0,OFFSET(ORÇAMENTO!$D$15,CRONO!$F95,0))),CRONO!Y$12,OFFSET(CÁLCULO!$AB$15:$AL$15,$F95,0,OFFSET(ORÇAMENTO!$D$15,CRONO!$F95,0)))
                +IF(AND($F97&lt;&gt;"",$F97&lt;&gt;0),
                        SUMIF(CÁLCULO!$AM$15:$AW$36,CRONO!Y$12,CÁLCULO!$AB$15:$AL$36)/(ORÇAMENTO!$X$15-CÁLCULO.TotalAdmLocal)*CRONO!$F97,
                        0),
                 Y96*$S95),
          SUMIF(OFFSET($S97,1,0,$R95-2),($M95+1)&amp;"$",OFFSET(Y97,1,0,$R95-2)))</f>
        <v>0</v>
      </c>
      <c r="Z97" s="159">
        <f ca="1">IF($R95=2,
         IF(AND(ACOMPANHAMENTO="PLE",ISNUMBER($F95)),
                SUMIF((OFFSET(CÁLCULO!$AM$15:$AW$15,$F95,0,OFFSET(ORÇAMENTO!$D$15,CRONO!$F95,0))),CRONO!Z$12,OFFSET(CÁLCULO!$AB$15:$AL$15,$F95,0,OFFSET(ORÇAMENTO!$D$15,CRONO!$F95,0)))
                +IF(AND($F97&lt;&gt;"",$F97&lt;&gt;0),
                        SUMIF(CÁLCULO!$AM$15:$AW$36,CRONO!Z$12,CÁLCULO!$AB$15:$AL$36)/(ORÇAMENTO!$X$15-CÁLCULO.TotalAdmLocal)*CRONO!$F97,
                        0),
                 Z96*$S95),
          SUMIF(OFFSET($S97,1,0,$R95-2),($M95+1)&amp;"$",OFFSET(Z97,1,0,$R95-2)))</f>
        <v>0</v>
      </c>
      <c r="AA97" s="159">
        <f ca="1">IF($R95=2,
         IF(AND(ACOMPANHAMENTO="PLE",ISNUMBER($F95)),
                SUMIF((OFFSET(CÁLCULO!$AM$15:$AW$15,$F95,0,OFFSET(ORÇAMENTO!$D$15,CRONO!$F95,0))),CRONO!AA$12,OFFSET(CÁLCULO!$AB$15:$AL$15,$F95,0,OFFSET(ORÇAMENTO!$D$15,CRONO!$F95,0)))
                +IF(AND($F97&lt;&gt;"",$F97&lt;&gt;0),
                        SUMIF(CÁLCULO!$AM$15:$AW$36,CRONO!AA$12,CÁLCULO!$AB$15:$AL$36)/(ORÇAMENTO!$X$15-CÁLCULO.TotalAdmLocal)*CRONO!$F97,
                        0),
                 AA96*$S95),
          SUMIF(OFFSET($S97,1,0,$R95-2),($M95+1)&amp;"$",OFFSET(AA97,1,0,$R95-2)))</f>
        <v>0</v>
      </c>
      <c r="AB97" s="159">
        <f ca="1">IF($R95=2,
         IF(AND(ACOMPANHAMENTO="PLE",ISNUMBER($F95)),
                SUMIF((OFFSET(CÁLCULO!$AM$15:$AW$15,$F95,0,OFFSET(ORÇAMENTO!$D$15,CRONO!$F95,0))),CRONO!AB$12,OFFSET(CÁLCULO!$AB$15:$AL$15,$F95,0,OFFSET(ORÇAMENTO!$D$15,CRONO!$F95,0)))
                +IF(AND($F97&lt;&gt;"",$F97&lt;&gt;0),
                        SUMIF(CÁLCULO!$AM$15:$AW$36,CRONO!AB$12,CÁLCULO!$AB$15:$AL$36)/(ORÇAMENTO!$X$15-CÁLCULO.TotalAdmLocal)*CRONO!$F97,
                        0),
                 AB96*$S95),
          SUMIF(OFFSET($S97,1,0,$R95-2),($M95+1)&amp;"$",OFFSET(AB97,1,0,$R95-2)))</f>
        <v>0</v>
      </c>
      <c r="AC97" s="159">
        <f ca="1">IF($R95=2,
         IF(AND(ACOMPANHAMENTO="PLE",ISNUMBER($F95)),
                SUMIF((OFFSET(CÁLCULO!$AM$15:$AW$15,$F95,0,OFFSET(ORÇAMENTO!$D$15,CRONO!$F95,0))),CRONO!AC$12,OFFSET(CÁLCULO!$AB$15:$AL$15,$F95,0,OFFSET(ORÇAMENTO!$D$15,CRONO!$F95,0)))
                +IF(AND($F97&lt;&gt;"",$F97&lt;&gt;0),
                        SUMIF(CÁLCULO!$AM$15:$AW$36,CRONO!AC$12,CÁLCULO!$AB$15:$AL$36)/(ORÇAMENTO!$X$15-CÁLCULO.TotalAdmLocal)*CRONO!$F97,
                        0),
                 AC96*$S95),
          SUMIF(OFFSET($S97,1,0,$R95-2),($M95+1)&amp;"$",OFFSET(AC97,1,0,$R95-2)))</f>
        <v>0</v>
      </c>
      <c r="AD97" s="159">
        <f ca="1">IF($R95=2,
         IF(AND(ACOMPANHAMENTO="PLE",ISNUMBER($F95)),
                SUMIF((OFFSET(CÁLCULO!$AM$15:$AW$15,$F95,0,OFFSET(ORÇAMENTO!$D$15,CRONO!$F95,0))),CRONO!AD$12,OFFSET(CÁLCULO!$AB$15:$AL$15,$F95,0,OFFSET(ORÇAMENTO!$D$15,CRONO!$F95,0)))
                +IF(AND($F97&lt;&gt;"",$F97&lt;&gt;0),
                        SUMIF(CÁLCULO!$AM$15:$AW$36,CRONO!AD$12,CÁLCULO!$AB$15:$AL$36)/(ORÇAMENTO!$X$15-CÁLCULO.TotalAdmLocal)*CRONO!$F97,
                        0),
                 AD96*$S95),
          SUMIF(OFFSET($S97,1,0,$R95-2),($M95+1)&amp;"$",OFFSET(AD97,1,0,$R95-2)))</f>
        <v>0</v>
      </c>
      <c r="AE97" s="159">
        <f ca="1">IF($R95=2,
         IF(AND(ACOMPANHAMENTO="PLE",ISNUMBER($F95)),
                SUMIF((OFFSET(CÁLCULO!$AM$15:$AW$15,$F95,0,OFFSET(ORÇAMENTO!$D$15,CRONO!$F95,0))),CRONO!AE$12,OFFSET(CÁLCULO!$AB$15:$AL$15,$F95,0,OFFSET(ORÇAMENTO!$D$15,CRONO!$F95,0)))
                +IF(AND($F97&lt;&gt;"",$F97&lt;&gt;0),
                        SUMIF(CÁLCULO!$AM$15:$AW$36,CRONO!AE$12,CÁLCULO!$AB$15:$AL$36)/(ORÇAMENTO!$X$15-CÁLCULO.TotalAdmLocal)*CRONO!$F97,
                        0),
                 AE96*$S95),
          SUMIF(OFFSET($S97,1,0,$R95-2),($M95+1)&amp;"$",OFFSET(AE97,1,0,$R95-2)))</f>
        <v>0</v>
      </c>
      <c r="AF97" s="159">
        <f ca="1">IF($R95=2,
         IF(AND(ACOMPANHAMENTO="PLE",ISNUMBER($F95)),
                SUMIF((OFFSET(CÁLCULO!$AM$15:$AW$15,$F95,0,OFFSET(ORÇAMENTO!$D$15,CRONO!$F95,0))),CRONO!AF$12,OFFSET(CÁLCULO!$AB$15:$AL$15,$F95,0,OFFSET(ORÇAMENTO!$D$15,CRONO!$F95,0)))
                +IF(AND($F97&lt;&gt;"",$F97&lt;&gt;0),
                        SUMIF(CÁLCULO!$AM$15:$AW$36,CRONO!AF$12,CÁLCULO!$AB$15:$AL$36)/(ORÇAMENTO!$X$15-CÁLCULO.TotalAdmLocal)*CRONO!$F97,
                        0),
                 AF96*$S95),
          SUMIF(OFFSET($S97,1,0,$R95-2),($M95+1)&amp;"$",OFFSET(AF97,1,0,$R95-2)))</f>
        <v>0</v>
      </c>
      <c r="AG97" s="444"/>
    </row>
    <row r="98" spans="1:33" hidden="1" x14ac:dyDescent="0.25">
      <c r="A98" s="145" t="str">
        <f t="shared" ref="A98" ca="1" si="170">IF($M98&gt;1,CONCATENATE($I98," ",$J98),"")</f>
        <v/>
      </c>
      <c r="B98" s="144">
        <f t="shared" ref="B98" ca="1" si="171">OFFSET(B98,-3,0)+1</f>
        <v>29</v>
      </c>
      <c r="C98" s="144">
        <f ca="1">IF($R98&lt;&gt;2,0,IF($S98=0,1,IF(F99&gt;0,OFFSET(QCI!$M$13,SUBSTITUTE(F99,".",""),0),OFFSET(ORÇAMENTO!$AA$15,CRONO!$F98,0))/$S98))</f>
        <v>0</v>
      </c>
      <c r="D98" s="144">
        <f ca="1">IF($R98&lt;&gt;2,0,IF($S98=0,1,IF(F99&gt;0,OFFSET(QCI!$N$13,SUBSTITUTE(F99,".",""),0),OFFSET(ORÇAMENTO!$AB$15,CRONO!$F98,0))/$S98))</f>
        <v>0</v>
      </c>
      <c r="E98" s="147" t="e">
        <f ca="1">IF(AND($R98=2,ACOMPANHAMENTO="BM"),ROUND(E99,4),E100/$S98)</f>
        <v>#VALUE!</v>
      </c>
      <c r="F98" s="144" t="e">
        <f ca="1">IF(B98&lt;=ORÇAMENTO.MáximoListaCrono,MATCH(B98,ORÇAMENTO.ListaCrono,0),NA())</f>
        <v>#N/A</v>
      </c>
      <c r="G98" s="144" t="str">
        <f t="shared" ref="G98" ca="1" si="172">IF(AND($F99&lt;&gt;-1,$S98&gt;0),"F","")</f>
        <v/>
      </c>
      <c r="H98" s="617" t="str">
        <f ca="1">IF(OR(S98=0,S98=""),"Linha",IF(AND(OR(ACOMPANHAMENTO="PLE",$R98&lt;&gt;2),$F99=0),"Linha",ROUND(1-SUM(U98:AG98),4)))</f>
        <v>Linha</v>
      </c>
      <c r="I98" s="148" t="str">
        <f ca="1">IF($F99=0,OFFSET(ORÇAMENTO!O$15,$F98,0),IF($F99&lt;&gt;-1,OFFSET(QCI!$D$13,$F99,0),""))</f>
        <v/>
      </c>
      <c r="J98" s="149" t="str">
        <f ca="1">IF($F99=0,OFFSET(ORÇAMENTO!R$15,$F98,0),IF($F99&lt;&gt;-1,OFFSET(QCI!$G$13,$F99,0),""))</f>
        <v/>
      </c>
      <c r="K98" s="149"/>
      <c r="L98" s="149"/>
      <c r="M98" s="150">
        <f ca="1">IF($F99=0,OFFSET(ORÇAMENTO!C$15,$F98,0),1)</f>
        <v>1</v>
      </c>
      <c r="N98" s="151">
        <f ca="1">IF($F99=-1,0,IF(N$13&lt;=$M98,IF(ISERROR(MATCH(N$13,OFFSET($M98,1,0,ROW($M$164)-ROW($M98)-1),0)),ROW($M$164)-ROW($M98)-1,MATCH(N$13,OFFSET($M98,1,0,ROW($M$164)-ROW($M98)-1),0)-1),0))</f>
        <v>0</v>
      </c>
      <c r="O98" s="151">
        <f ca="1">IF($F99=-1,0,IF(O$13&lt;=$M98,IF(ISERROR(MATCH(O$13,OFFSET($M98,1,0,ROW($M$164)-ROW($M98)-1),0)),ROW($M$164)-ROW($M98)-1,MATCH(O$13,OFFSET($M98,1,0,ROW($M$164)-ROW($M98)-1),0)-1),0))</f>
        <v>0</v>
      </c>
      <c r="P98" s="151">
        <f ca="1">IF($F99=-1,0,IF(P$13&lt;=$M98,IF(ISERROR(MATCH(P$13,OFFSET($M98,1,0,ROW($M$164)-ROW($M98)-1),0)),ROW($M$164)-ROW($M98)-1,MATCH(P$13,OFFSET($M98,1,0,ROW($M$164)-ROW($M98)-1),0)-1),0))</f>
        <v>0</v>
      </c>
      <c r="Q98" s="151">
        <f ca="1">IF($F99=-1,0,IF(Q$13&lt;=$M98,IF(ISERROR(MATCH(Q$13,OFFSET($M98,1,0,ROW($M$164)-ROW($M98)-1),0)),ROW($M$164)-ROW($M98)-1,MATCH(Q$13,OFFSET($M98,1,0,ROW($M$164)-ROW($M98)-1),0)-1),0))</f>
        <v>0</v>
      </c>
      <c r="R98" s="151">
        <f t="shared" ref="R98" ca="1" si="173">MIN(OFFSET(M98,0,1,,M98))</f>
        <v>0</v>
      </c>
      <c r="S98" s="152" t="str">
        <f ca="1">IF($F99=0,OFFSET(ORÇAMENTO!X$15,$F98,0),IF($F99&lt;&gt;-1,OFFSET(QCI!$O$13,$F99,0),""))</f>
        <v/>
      </c>
      <c r="T98" s="618" t="s">
        <v>809</v>
      </c>
      <c r="U98" s="147" t="e">
        <f ca="1">IF(AND($R98=2,ACOMPANHAMENTO="BM"),ROUND(U99,4),U100/$S98)</f>
        <v>#VALUE!</v>
      </c>
      <c r="V98" s="147" t="e">
        <f ca="1">IF(AND($R98=2,ACOMPANHAMENTO="BM"),ROUND(V99,4),V100/$S98)</f>
        <v>#VALUE!</v>
      </c>
      <c r="W98" s="147" t="e">
        <f ca="1">IF(AND($R98=2,ACOMPANHAMENTO="BM"),ROUND(W99,4),W100/$S98)</f>
        <v>#VALUE!</v>
      </c>
      <c r="X98" s="147" t="e">
        <f ca="1">IF(AND($R98=2,ACOMPANHAMENTO="BM"),ROUND(X99,4),X100/$S98)</f>
        <v>#VALUE!</v>
      </c>
      <c r="Y98" s="147" t="e">
        <f ca="1">IF(AND($R98=2,ACOMPANHAMENTO="BM"),ROUND(Y99,4),Y100/$S98)</f>
        <v>#VALUE!</v>
      </c>
      <c r="Z98" s="147" t="e">
        <f ca="1">IF(AND($R98=2,ACOMPANHAMENTO="BM"),ROUND(Z99,4),Z100/$S98)</f>
        <v>#VALUE!</v>
      </c>
      <c r="AA98" s="147" t="e">
        <f ca="1">IF(AND($R98=2,ACOMPANHAMENTO="BM"),ROUND(AA99,4),AA100/$S98)</f>
        <v>#VALUE!</v>
      </c>
      <c r="AB98" s="147" t="e">
        <f ca="1">IF(AND($R98=2,ACOMPANHAMENTO="BM"),ROUND(AB99,4),AB100/$S98)</f>
        <v>#VALUE!</v>
      </c>
      <c r="AC98" s="147" t="e">
        <f ca="1">IF(AND($R98=2,ACOMPANHAMENTO="BM"),ROUND(AC99,4),AC100/$S98)</f>
        <v>#VALUE!</v>
      </c>
      <c r="AD98" s="147" t="e">
        <f ca="1">IF(AND($R98=2,ACOMPANHAMENTO="BM"),ROUND(AD99,4),AD100/$S98)</f>
        <v>#VALUE!</v>
      </c>
      <c r="AE98" s="147" t="e">
        <f ca="1">IF(AND($R98=2,ACOMPANHAMENTO="BM"),ROUND(AE99,4),AE100/$S98)</f>
        <v>#VALUE!</v>
      </c>
      <c r="AF98" s="147" t="e">
        <f ca="1">IF(AND($R98=2,ACOMPANHAMENTO="BM"),ROUND(AF99,4),AF100/$S98)</f>
        <v>#VALUE!</v>
      </c>
      <c r="AG98" s="444"/>
    </row>
    <row r="99" spans="1:33" ht="12.75" hidden="1" customHeight="1" x14ac:dyDescent="0.25">
      <c r="E99" s="501"/>
      <c r="F99" s="144">
        <f ca="1">IF(ISERROR(F98),IF(1+COUNTIF($M$13:OFFSET(M98,-1,0),1)&lt;=MAX(QCI!$D$13:$D$24),1+COUNTIF($M$13:OFFSET(M98,-1,0),1),-1),0)</f>
        <v>-1</v>
      </c>
      <c r="G99" s="144" t="str">
        <f ca="1">IF(ACOMPANHAMENTO="BM",OFFSET(G99,-1,0),"")</f>
        <v/>
      </c>
      <c r="H99" s="153" t="str">
        <f ca="1">IF(OR(S98=0,S98=""),"vazia",IF(AND(OR(ACOMPANHAMENTO="PLE",$R98&lt;&gt;2),$F99=0),"calculada","--&gt;"))</f>
        <v>vazia</v>
      </c>
      <c r="I99" s="154"/>
      <c r="J99" s="155" t="str">
        <f t="shared" ref="J99" ca="1" si="174">IF(AND(H98&lt;&gt;0,ISNUMBER(H98)),"PREENCHA ESTA LINHA --&gt;","")</f>
        <v/>
      </c>
      <c r="K99" s="155"/>
      <c r="L99" s="155"/>
      <c r="M99" s="156"/>
      <c r="N99" s="156"/>
      <c r="O99" s="156"/>
      <c r="P99" s="156"/>
      <c r="Q99" s="156"/>
      <c r="R99" s="156"/>
      <c r="S99" s="157"/>
      <c r="T99" s="158"/>
      <c r="U99" s="501"/>
      <c r="V99" s="501"/>
      <c r="W99" s="501"/>
      <c r="X99" s="501"/>
      <c r="Y99" s="501"/>
      <c r="Z99" s="501"/>
      <c r="AA99" s="501"/>
      <c r="AB99" s="501"/>
      <c r="AC99" s="501"/>
      <c r="AD99" s="501"/>
      <c r="AE99" s="501"/>
      <c r="AF99" s="501"/>
      <c r="AG99" s="444"/>
    </row>
    <row r="100" spans="1:33" ht="12.75" hidden="1" customHeight="1" x14ac:dyDescent="0.25">
      <c r="D100" s="443"/>
      <c r="E100" s="159">
        <f ca="1">IF($R98=2,
         IF(AND(ACOMPANHAMENTO="PLE",ISNUMBER($F98)),
                SUMIF((OFFSET(CÁLCULO!$AM$15:$AW$15,$F98,0,OFFSET(ORÇAMENTO!$D$15,CRONO!$F98,0))),CRONO!E$12,OFFSET(CÁLCULO!$AB$15:$AL$15,$F98,0,OFFSET(ORÇAMENTO!$D$15,CRONO!$F98,0)))
                +IF(AND($F100&lt;&gt;"",$F100&lt;&gt;0),
                        SUMIF(CÁLCULO!$AM$15:$AW$36,CRONO!E$12,CÁLCULO!$AB$15:$AL$36)/(ORÇAMENTO!$X$15-CÁLCULO.TotalAdmLocal)*CRONO!$F100,
                        0),
                 E99*$S98),
          SUMIF(OFFSET($S100,1,0,$R98-2),($M98+1)&amp;"$",OFFSET(E100,1,0,$R98-2)))</f>
        <v>0</v>
      </c>
      <c r="F100" s="144" t="str">
        <f ca="1">IF(OR($R98&lt;&gt;2,AUTOEVENTO&lt;&gt;"manual",$F99&gt;0),"",
        IF(Import.TipoArredondamento="Tradicional",
              SUMIF(OFFSET(CÁLCULO!$M$15,CRONO!$F98,0,OFFSET(ORÇAMENTO!$D$15,CRONO!$F98,0)),1,OFFSET(ORÇAMENTO!$X$15,CRONO!$F98,0,OFFSET(ORÇAMENTO!$D$15,CRONO!$F98,0))),
              0))</f>
        <v/>
      </c>
      <c r="H100" s="530"/>
      <c r="S100" s="160" t="str">
        <f t="shared" ref="S100" ca="1" si="175">M98&amp;"$"</f>
        <v>1$</v>
      </c>
      <c r="T100" s="161"/>
      <c r="U100" s="159">
        <f ca="1">IF($R98=2,
         IF(AND(ACOMPANHAMENTO="PLE",ISNUMBER($F98)),
                SUMIF((OFFSET(CÁLCULO!$AM$15:$AW$15,$F98,0,OFFSET(ORÇAMENTO!$D$15,CRONO!$F98,0))),CRONO!U$12,OFFSET(CÁLCULO!$AB$15:$AL$15,$F98,0,OFFSET(ORÇAMENTO!$D$15,CRONO!$F98,0)))
                +IF(AND($F100&lt;&gt;"",$F100&lt;&gt;0),
                        SUMIF(CÁLCULO!$AM$15:$AW$36,CRONO!U$12,CÁLCULO!$AB$15:$AL$36)/(ORÇAMENTO!$X$15-CÁLCULO.TotalAdmLocal)*CRONO!$F100,
                        0),
                 U99*$S98),
          SUMIF(OFFSET($S100,1,0,$R98-2),($M98+1)&amp;"$",OFFSET(U100,1,0,$R98-2)))</f>
        <v>0</v>
      </c>
      <c r="V100" s="159">
        <f ca="1">IF($R98=2,
         IF(AND(ACOMPANHAMENTO="PLE",ISNUMBER($F98)),
                SUMIF((OFFSET(CÁLCULO!$AM$15:$AW$15,$F98,0,OFFSET(ORÇAMENTO!$D$15,CRONO!$F98,0))),CRONO!V$12,OFFSET(CÁLCULO!$AB$15:$AL$15,$F98,0,OFFSET(ORÇAMENTO!$D$15,CRONO!$F98,0)))
                +IF(AND($F100&lt;&gt;"",$F100&lt;&gt;0),
                        SUMIF(CÁLCULO!$AM$15:$AW$36,CRONO!V$12,CÁLCULO!$AB$15:$AL$36)/(ORÇAMENTO!$X$15-CÁLCULO.TotalAdmLocal)*CRONO!$F100,
                        0),
                 V99*$S98),
          SUMIF(OFFSET($S100,1,0,$R98-2),($M98+1)&amp;"$",OFFSET(V100,1,0,$R98-2)))</f>
        <v>0</v>
      </c>
      <c r="W100" s="159">
        <f ca="1">IF($R98=2,
         IF(AND(ACOMPANHAMENTO="PLE",ISNUMBER($F98)),
                SUMIF((OFFSET(CÁLCULO!$AM$15:$AW$15,$F98,0,OFFSET(ORÇAMENTO!$D$15,CRONO!$F98,0))),CRONO!W$12,OFFSET(CÁLCULO!$AB$15:$AL$15,$F98,0,OFFSET(ORÇAMENTO!$D$15,CRONO!$F98,0)))
                +IF(AND($F100&lt;&gt;"",$F100&lt;&gt;0),
                        SUMIF(CÁLCULO!$AM$15:$AW$36,CRONO!W$12,CÁLCULO!$AB$15:$AL$36)/(ORÇAMENTO!$X$15-CÁLCULO.TotalAdmLocal)*CRONO!$F100,
                        0),
                 W99*$S98),
          SUMIF(OFFSET($S100,1,0,$R98-2),($M98+1)&amp;"$",OFFSET(W100,1,0,$R98-2)))</f>
        <v>0</v>
      </c>
      <c r="X100" s="159">
        <f ca="1">IF($R98=2,
         IF(AND(ACOMPANHAMENTO="PLE",ISNUMBER($F98)),
                SUMIF((OFFSET(CÁLCULO!$AM$15:$AW$15,$F98,0,OFFSET(ORÇAMENTO!$D$15,CRONO!$F98,0))),CRONO!X$12,OFFSET(CÁLCULO!$AB$15:$AL$15,$F98,0,OFFSET(ORÇAMENTO!$D$15,CRONO!$F98,0)))
                +IF(AND($F100&lt;&gt;"",$F100&lt;&gt;0),
                        SUMIF(CÁLCULO!$AM$15:$AW$36,CRONO!X$12,CÁLCULO!$AB$15:$AL$36)/(ORÇAMENTO!$X$15-CÁLCULO.TotalAdmLocal)*CRONO!$F100,
                        0),
                 X99*$S98),
          SUMIF(OFFSET($S100,1,0,$R98-2),($M98+1)&amp;"$",OFFSET(X100,1,0,$R98-2)))</f>
        <v>0</v>
      </c>
      <c r="Y100" s="159">
        <f ca="1">IF($R98=2,
         IF(AND(ACOMPANHAMENTO="PLE",ISNUMBER($F98)),
                SUMIF((OFFSET(CÁLCULO!$AM$15:$AW$15,$F98,0,OFFSET(ORÇAMENTO!$D$15,CRONO!$F98,0))),CRONO!Y$12,OFFSET(CÁLCULO!$AB$15:$AL$15,$F98,0,OFFSET(ORÇAMENTO!$D$15,CRONO!$F98,0)))
                +IF(AND($F100&lt;&gt;"",$F100&lt;&gt;0),
                        SUMIF(CÁLCULO!$AM$15:$AW$36,CRONO!Y$12,CÁLCULO!$AB$15:$AL$36)/(ORÇAMENTO!$X$15-CÁLCULO.TotalAdmLocal)*CRONO!$F100,
                        0),
                 Y99*$S98),
          SUMIF(OFFSET($S100,1,0,$R98-2),($M98+1)&amp;"$",OFFSET(Y100,1,0,$R98-2)))</f>
        <v>0</v>
      </c>
      <c r="Z100" s="159">
        <f ca="1">IF($R98=2,
         IF(AND(ACOMPANHAMENTO="PLE",ISNUMBER($F98)),
                SUMIF((OFFSET(CÁLCULO!$AM$15:$AW$15,$F98,0,OFFSET(ORÇAMENTO!$D$15,CRONO!$F98,0))),CRONO!Z$12,OFFSET(CÁLCULO!$AB$15:$AL$15,$F98,0,OFFSET(ORÇAMENTO!$D$15,CRONO!$F98,0)))
                +IF(AND($F100&lt;&gt;"",$F100&lt;&gt;0),
                        SUMIF(CÁLCULO!$AM$15:$AW$36,CRONO!Z$12,CÁLCULO!$AB$15:$AL$36)/(ORÇAMENTO!$X$15-CÁLCULO.TotalAdmLocal)*CRONO!$F100,
                        0),
                 Z99*$S98),
          SUMIF(OFFSET($S100,1,0,$R98-2),($M98+1)&amp;"$",OFFSET(Z100,1,0,$R98-2)))</f>
        <v>0</v>
      </c>
      <c r="AA100" s="159">
        <f ca="1">IF($R98=2,
         IF(AND(ACOMPANHAMENTO="PLE",ISNUMBER($F98)),
                SUMIF((OFFSET(CÁLCULO!$AM$15:$AW$15,$F98,0,OFFSET(ORÇAMENTO!$D$15,CRONO!$F98,0))),CRONO!AA$12,OFFSET(CÁLCULO!$AB$15:$AL$15,$F98,0,OFFSET(ORÇAMENTO!$D$15,CRONO!$F98,0)))
                +IF(AND($F100&lt;&gt;"",$F100&lt;&gt;0),
                        SUMIF(CÁLCULO!$AM$15:$AW$36,CRONO!AA$12,CÁLCULO!$AB$15:$AL$36)/(ORÇAMENTO!$X$15-CÁLCULO.TotalAdmLocal)*CRONO!$F100,
                        0),
                 AA99*$S98),
          SUMIF(OFFSET($S100,1,0,$R98-2),($M98+1)&amp;"$",OFFSET(AA100,1,0,$R98-2)))</f>
        <v>0</v>
      </c>
      <c r="AB100" s="159">
        <f ca="1">IF($R98=2,
         IF(AND(ACOMPANHAMENTO="PLE",ISNUMBER($F98)),
                SUMIF((OFFSET(CÁLCULO!$AM$15:$AW$15,$F98,0,OFFSET(ORÇAMENTO!$D$15,CRONO!$F98,0))),CRONO!AB$12,OFFSET(CÁLCULO!$AB$15:$AL$15,$F98,0,OFFSET(ORÇAMENTO!$D$15,CRONO!$F98,0)))
                +IF(AND($F100&lt;&gt;"",$F100&lt;&gt;0),
                        SUMIF(CÁLCULO!$AM$15:$AW$36,CRONO!AB$12,CÁLCULO!$AB$15:$AL$36)/(ORÇAMENTO!$X$15-CÁLCULO.TotalAdmLocal)*CRONO!$F100,
                        0),
                 AB99*$S98),
          SUMIF(OFFSET($S100,1,0,$R98-2),($M98+1)&amp;"$",OFFSET(AB100,1,0,$R98-2)))</f>
        <v>0</v>
      </c>
      <c r="AC100" s="159">
        <f ca="1">IF($R98=2,
         IF(AND(ACOMPANHAMENTO="PLE",ISNUMBER($F98)),
                SUMIF((OFFSET(CÁLCULO!$AM$15:$AW$15,$F98,0,OFFSET(ORÇAMENTO!$D$15,CRONO!$F98,0))),CRONO!AC$12,OFFSET(CÁLCULO!$AB$15:$AL$15,$F98,0,OFFSET(ORÇAMENTO!$D$15,CRONO!$F98,0)))
                +IF(AND($F100&lt;&gt;"",$F100&lt;&gt;0),
                        SUMIF(CÁLCULO!$AM$15:$AW$36,CRONO!AC$12,CÁLCULO!$AB$15:$AL$36)/(ORÇAMENTO!$X$15-CÁLCULO.TotalAdmLocal)*CRONO!$F100,
                        0),
                 AC99*$S98),
          SUMIF(OFFSET($S100,1,0,$R98-2),($M98+1)&amp;"$",OFFSET(AC100,1,0,$R98-2)))</f>
        <v>0</v>
      </c>
      <c r="AD100" s="159">
        <f ca="1">IF($R98=2,
         IF(AND(ACOMPANHAMENTO="PLE",ISNUMBER($F98)),
                SUMIF((OFFSET(CÁLCULO!$AM$15:$AW$15,$F98,0,OFFSET(ORÇAMENTO!$D$15,CRONO!$F98,0))),CRONO!AD$12,OFFSET(CÁLCULO!$AB$15:$AL$15,$F98,0,OFFSET(ORÇAMENTO!$D$15,CRONO!$F98,0)))
                +IF(AND($F100&lt;&gt;"",$F100&lt;&gt;0),
                        SUMIF(CÁLCULO!$AM$15:$AW$36,CRONO!AD$12,CÁLCULO!$AB$15:$AL$36)/(ORÇAMENTO!$X$15-CÁLCULO.TotalAdmLocal)*CRONO!$F100,
                        0),
                 AD99*$S98),
          SUMIF(OFFSET($S100,1,0,$R98-2),($M98+1)&amp;"$",OFFSET(AD100,1,0,$R98-2)))</f>
        <v>0</v>
      </c>
      <c r="AE100" s="159">
        <f ca="1">IF($R98=2,
         IF(AND(ACOMPANHAMENTO="PLE",ISNUMBER($F98)),
                SUMIF((OFFSET(CÁLCULO!$AM$15:$AW$15,$F98,0,OFFSET(ORÇAMENTO!$D$15,CRONO!$F98,0))),CRONO!AE$12,OFFSET(CÁLCULO!$AB$15:$AL$15,$F98,0,OFFSET(ORÇAMENTO!$D$15,CRONO!$F98,0)))
                +IF(AND($F100&lt;&gt;"",$F100&lt;&gt;0),
                        SUMIF(CÁLCULO!$AM$15:$AW$36,CRONO!AE$12,CÁLCULO!$AB$15:$AL$36)/(ORÇAMENTO!$X$15-CÁLCULO.TotalAdmLocal)*CRONO!$F100,
                        0),
                 AE99*$S98),
          SUMIF(OFFSET($S100,1,0,$R98-2),($M98+1)&amp;"$",OFFSET(AE100,1,0,$R98-2)))</f>
        <v>0</v>
      </c>
      <c r="AF100" s="159">
        <f ca="1">IF($R98=2,
         IF(AND(ACOMPANHAMENTO="PLE",ISNUMBER($F98)),
                SUMIF((OFFSET(CÁLCULO!$AM$15:$AW$15,$F98,0,OFFSET(ORÇAMENTO!$D$15,CRONO!$F98,0))),CRONO!AF$12,OFFSET(CÁLCULO!$AB$15:$AL$15,$F98,0,OFFSET(ORÇAMENTO!$D$15,CRONO!$F98,0)))
                +IF(AND($F100&lt;&gt;"",$F100&lt;&gt;0),
                        SUMIF(CÁLCULO!$AM$15:$AW$36,CRONO!AF$12,CÁLCULO!$AB$15:$AL$36)/(ORÇAMENTO!$X$15-CÁLCULO.TotalAdmLocal)*CRONO!$F100,
                        0),
                 AF99*$S98),
          SUMIF(OFFSET($S100,1,0,$R98-2),($M98+1)&amp;"$",OFFSET(AF100,1,0,$R98-2)))</f>
        <v>0</v>
      </c>
      <c r="AG100" s="444"/>
    </row>
    <row r="101" spans="1:33" hidden="1" x14ac:dyDescent="0.25">
      <c r="A101" s="145" t="str">
        <f t="shared" ref="A101" ca="1" si="176">IF($M101&gt;1,CONCATENATE($I101," ",$J101),"")</f>
        <v/>
      </c>
      <c r="B101" s="144">
        <f t="shared" ref="B101" ca="1" si="177">OFFSET(B101,-3,0)+1</f>
        <v>30</v>
      </c>
      <c r="C101" s="144">
        <f ca="1">IF($R101&lt;&gt;2,0,IF($S101=0,1,IF(F102&gt;0,OFFSET(QCI!$M$13,SUBSTITUTE(F102,".",""),0),OFFSET(ORÇAMENTO!$AA$15,CRONO!$F101,0))/$S101))</f>
        <v>0</v>
      </c>
      <c r="D101" s="144">
        <f ca="1">IF($R101&lt;&gt;2,0,IF($S101=0,1,IF(F102&gt;0,OFFSET(QCI!$N$13,SUBSTITUTE(F102,".",""),0),OFFSET(ORÇAMENTO!$AB$15,CRONO!$F101,0))/$S101))</f>
        <v>0</v>
      </c>
      <c r="E101" s="147" t="e">
        <f ca="1">IF(AND($R101=2,ACOMPANHAMENTO="BM"),ROUND(E102,4),E103/$S101)</f>
        <v>#VALUE!</v>
      </c>
      <c r="F101" s="144" t="e">
        <f ca="1">IF(B101&lt;=ORÇAMENTO.MáximoListaCrono,MATCH(B101,ORÇAMENTO.ListaCrono,0),NA())</f>
        <v>#N/A</v>
      </c>
      <c r="G101" s="144" t="str">
        <f t="shared" ref="G101" ca="1" si="178">IF(AND($F102&lt;&gt;-1,$S101&gt;0),"F","")</f>
        <v/>
      </c>
      <c r="H101" s="617" t="str">
        <f ca="1">IF(OR(S101=0,S101=""),"Linha",IF(AND(OR(ACOMPANHAMENTO="PLE",$R101&lt;&gt;2),$F102=0),"Linha",ROUND(1-SUM(U101:AG101),4)))</f>
        <v>Linha</v>
      </c>
      <c r="I101" s="148" t="str">
        <f ca="1">IF($F102=0,OFFSET(ORÇAMENTO!O$15,$F101,0),IF($F102&lt;&gt;-1,OFFSET(QCI!$D$13,$F102,0),""))</f>
        <v/>
      </c>
      <c r="J101" s="149" t="str">
        <f ca="1">IF($F102=0,OFFSET(ORÇAMENTO!R$15,$F101,0),IF($F102&lt;&gt;-1,OFFSET(QCI!$G$13,$F102,0),""))</f>
        <v/>
      </c>
      <c r="K101" s="149"/>
      <c r="L101" s="149"/>
      <c r="M101" s="150">
        <f ca="1">IF($F102=0,OFFSET(ORÇAMENTO!C$15,$F101,0),1)</f>
        <v>1</v>
      </c>
      <c r="N101" s="151">
        <f ca="1">IF($F102=-1,0,IF(N$13&lt;=$M101,IF(ISERROR(MATCH(N$13,OFFSET($M101,1,0,ROW($M$164)-ROW($M101)-1),0)),ROW($M$164)-ROW($M101)-1,MATCH(N$13,OFFSET($M101,1,0,ROW($M$164)-ROW($M101)-1),0)-1),0))</f>
        <v>0</v>
      </c>
      <c r="O101" s="151">
        <f ca="1">IF($F102=-1,0,IF(O$13&lt;=$M101,IF(ISERROR(MATCH(O$13,OFFSET($M101,1,0,ROW($M$164)-ROW($M101)-1),0)),ROW($M$164)-ROW($M101)-1,MATCH(O$13,OFFSET($M101,1,0,ROW($M$164)-ROW($M101)-1),0)-1),0))</f>
        <v>0</v>
      </c>
      <c r="P101" s="151">
        <f ca="1">IF($F102=-1,0,IF(P$13&lt;=$M101,IF(ISERROR(MATCH(P$13,OFFSET($M101,1,0,ROW($M$164)-ROW($M101)-1),0)),ROW($M$164)-ROW($M101)-1,MATCH(P$13,OFFSET($M101,1,0,ROW($M$164)-ROW($M101)-1),0)-1),0))</f>
        <v>0</v>
      </c>
      <c r="Q101" s="151">
        <f ca="1">IF($F102=-1,0,IF(Q$13&lt;=$M101,IF(ISERROR(MATCH(Q$13,OFFSET($M101,1,0,ROW($M$164)-ROW($M101)-1),0)),ROW($M$164)-ROW($M101)-1,MATCH(Q$13,OFFSET($M101,1,0,ROW($M$164)-ROW($M101)-1),0)-1),0))</f>
        <v>0</v>
      </c>
      <c r="R101" s="151">
        <f t="shared" ref="R101" ca="1" si="179">MIN(OFFSET(M101,0,1,,M101))</f>
        <v>0</v>
      </c>
      <c r="S101" s="152" t="str">
        <f ca="1">IF($F102=0,OFFSET(ORÇAMENTO!X$15,$F101,0),IF($F102&lt;&gt;-1,OFFSET(QCI!$O$13,$F102,0),""))</f>
        <v/>
      </c>
      <c r="T101" s="618" t="s">
        <v>809</v>
      </c>
      <c r="U101" s="147" t="e">
        <f ca="1">IF(AND($R101=2,ACOMPANHAMENTO="BM"),ROUND(U102,4),U103/$S101)</f>
        <v>#VALUE!</v>
      </c>
      <c r="V101" s="147" t="e">
        <f ca="1">IF(AND($R101=2,ACOMPANHAMENTO="BM"),ROUND(V102,4),V103/$S101)</f>
        <v>#VALUE!</v>
      </c>
      <c r="W101" s="147" t="e">
        <f ca="1">IF(AND($R101=2,ACOMPANHAMENTO="BM"),ROUND(W102,4),W103/$S101)</f>
        <v>#VALUE!</v>
      </c>
      <c r="X101" s="147" t="e">
        <f ca="1">IF(AND($R101=2,ACOMPANHAMENTO="BM"),ROUND(X102,4),X103/$S101)</f>
        <v>#VALUE!</v>
      </c>
      <c r="Y101" s="147" t="e">
        <f ca="1">IF(AND($R101=2,ACOMPANHAMENTO="BM"),ROUND(Y102,4),Y103/$S101)</f>
        <v>#VALUE!</v>
      </c>
      <c r="Z101" s="147" t="e">
        <f ca="1">IF(AND($R101=2,ACOMPANHAMENTO="BM"),ROUND(Z102,4),Z103/$S101)</f>
        <v>#VALUE!</v>
      </c>
      <c r="AA101" s="147" t="e">
        <f ca="1">IF(AND($R101=2,ACOMPANHAMENTO="BM"),ROUND(AA102,4),AA103/$S101)</f>
        <v>#VALUE!</v>
      </c>
      <c r="AB101" s="147" t="e">
        <f ca="1">IF(AND($R101=2,ACOMPANHAMENTO="BM"),ROUND(AB102,4),AB103/$S101)</f>
        <v>#VALUE!</v>
      </c>
      <c r="AC101" s="147" t="e">
        <f ca="1">IF(AND($R101=2,ACOMPANHAMENTO="BM"),ROUND(AC102,4),AC103/$S101)</f>
        <v>#VALUE!</v>
      </c>
      <c r="AD101" s="147" t="e">
        <f ca="1">IF(AND($R101=2,ACOMPANHAMENTO="BM"),ROUND(AD102,4),AD103/$S101)</f>
        <v>#VALUE!</v>
      </c>
      <c r="AE101" s="147" t="e">
        <f ca="1">IF(AND($R101=2,ACOMPANHAMENTO="BM"),ROUND(AE102,4),AE103/$S101)</f>
        <v>#VALUE!</v>
      </c>
      <c r="AF101" s="147" t="e">
        <f ca="1">IF(AND($R101=2,ACOMPANHAMENTO="BM"),ROUND(AF102,4),AF103/$S101)</f>
        <v>#VALUE!</v>
      </c>
      <c r="AG101" s="444"/>
    </row>
    <row r="102" spans="1:33" ht="12.75" hidden="1" customHeight="1" x14ac:dyDescent="0.25">
      <c r="E102" s="501"/>
      <c r="F102" s="144">
        <f ca="1">IF(ISERROR(F101),IF(1+COUNTIF($M$13:OFFSET(M101,-1,0),1)&lt;=MAX(QCI!$D$13:$D$24),1+COUNTIF($M$13:OFFSET(M101,-1,0),1),-1),0)</f>
        <v>-1</v>
      </c>
      <c r="G102" s="144" t="str">
        <f ca="1">IF(ACOMPANHAMENTO="BM",OFFSET(G102,-1,0),"")</f>
        <v/>
      </c>
      <c r="H102" s="153" t="str">
        <f ca="1">IF(OR(S101=0,S101=""),"vazia",IF(AND(OR(ACOMPANHAMENTO="PLE",$R101&lt;&gt;2),$F102=0),"calculada","--&gt;"))</f>
        <v>vazia</v>
      </c>
      <c r="I102" s="154"/>
      <c r="J102" s="155" t="str">
        <f t="shared" ref="J102" ca="1" si="180">IF(AND(H101&lt;&gt;0,ISNUMBER(H101)),"PREENCHA ESTA LINHA --&gt;","")</f>
        <v/>
      </c>
      <c r="K102" s="155"/>
      <c r="L102" s="155"/>
      <c r="M102" s="156"/>
      <c r="N102" s="156"/>
      <c r="O102" s="156"/>
      <c r="P102" s="156"/>
      <c r="Q102" s="156"/>
      <c r="R102" s="156"/>
      <c r="S102" s="157"/>
      <c r="T102" s="158"/>
      <c r="U102" s="501"/>
      <c r="V102" s="501"/>
      <c r="W102" s="501"/>
      <c r="X102" s="501"/>
      <c r="Y102" s="501"/>
      <c r="Z102" s="501"/>
      <c r="AA102" s="501"/>
      <c r="AB102" s="501"/>
      <c r="AC102" s="501"/>
      <c r="AD102" s="501"/>
      <c r="AE102" s="501"/>
      <c r="AF102" s="501"/>
      <c r="AG102" s="444"/>
    </row>
    <row r="103" spans="1:33" ht="12.75" hidden="1" customHeight="1" x14ac:dyDescent="0.25">
      <c r="D103" s="443"/>
      <c r="E103" s="159">
        <f ca="1">IF($R101=2,
         IF(AND(ACOMPANHAMENTO="PLE",ISNUMBER($F101)),
                SUMIF((OFFSET(CÁLCULO!$AM$15:$AW$15,$F101,0,OFFSET(ORÇAMENTO!$D$15,CRONO!$F101,0))),CRONO!E$12,OFFSET(CÁLCULO!$AB$15:$AL$15,$F101,0,OFFSET(ORÇAMENTO!$D$15,CRONO!$F101,0)))
                +IF(AND($F103&lt;&gt;"",$F103&lt;&gt;0),
                        SUMIF(CÁLCULO!$AM$15:$AW$36,CRONO!E$12,CÁLCULO!$AB$15:$AL$36)/(ORÇAMENTO!$X$15-CÁLCULO.TotalAdmLocal)*CRONO!$F103,
                        0),
                 E102*$S101),
          SUMIF(OFFSET($S103,1,0,$R101-2),($M101+1)&amp;"$",OFFSET(E103,1,0,$R101-2)))</f>
        <v>0</v>
      </c>
      <c r="F103" s="144" t="str">
        <f ca="1">IF(OR($R101&lt;&gt;2,AUTOEVENTO&lt;&gt;"manual",$F102&gt;0),"",
        IF(Import.TipoArredondamento="Tradicional",
              SUMIF(OFFSET(CÁLCULO!$M$15,CRONO!$F101,0,OFFSET(ORÇAMENTO!$D$15,CRONO!$F101,0)),1,OFFSET(ORÇAMENTO!$X$15,CRONO!$F101,0,OFFSET(ORÇAMENTO!$D$15,CRONO!$F101,0))),
              0))</f>
        <v/>
      </c>
      <c r="H103" s="530"/>
      <c r="S103" s="160" t="str">
        <f t="shared" ref="S103" ca="1" si="181">M101&amp;"$"</f>
        <v>1$</v>
      </c>
      <c r="T103" s="161"/>
      <c r="U103" s="159">
        <f ca="1">IF($R101=2,
         IF(AND(ACOMPANHAMENTO="PLE",ISNUMBER($F101)),
                SUMIF((OFFSET(CÁLCULO!$AM$15:$AW$15,$F101,0,OFFSET(ORÇAMENTO!$D$15,CRONO!$F101,0))),CRONO!U$12,OFFSET(CÁLCULO!$AB$15:$AL$15,$F101,0,OFFSET(ORÇAMENTO!$D$15,CRONO!$F101,0)))
                +IF(AND($F103&lt;&gt;"",$F103&lt;&gt;0),
                        SUMIF(CÁLCULO!$AM$15:$AW$36,CRONO!U$12,CÁLCULO!$AB$15:$AL$36)/(ORÇAMENTO!$X$15-CÁLCULO.TotalAdmLocal)*CRONO!$F103,
                        0),
                 U102*$S101),
          SUMIF(OFFSET($S103,1,0,$R101-2),($M101+1)&amp;"$",OFFSET(U103,1,0,$R101-2)))</f>
        <v>0</v>
      </c>
      <c r="V103" s="159">
        <f ca="1">IF($R101=2,
         IF(AND(ACOMPANHAMENTO="PLE",ISNUMBER($F101)),
                SUMIF((OFFSET(CÁLCULO!$AM$15:$AW$15,$F101,0,OFFSET(ORÇAMENTO!$D$15,CRONO!$F101,0))),CRONO!V$12,OFFSET(CÁLCULO!$AB$15:$AL$15,$F101,0,OFFSET(ORÇAMENTO!$D$15,CRONO!$F101,0)))
                +IF(AND($F103&lt;&gt;"",$F103&lt;&gt;0),
                        SUMIF(CÁLCULO!$AM$15:$AW$36,CRONO!V$12,CÁLCULO!$AB$15:$AL$36)/(ORÇAMENTO!$X$15-CÁLCULO.TotalAdmLocal)*CRONO!$F103,
                        0),
                 V102*$S101),
          SUMIF(OFFSET($S103,1,0,$R101-2),($M101+1)&amp;"$",OFFSET(V103,1,0,$R101-2)))</f>
        <v>0</v>
      </c>
      <c r="W103" s="159">
        <f ca="1">IF($R101=2,
         IF(AND(ACOMPANHAMENTO="PLE",ISNUMBER($F101)),
                SUMIF((OFFSET(CÁLCULO!$AM$15:$AW$15,$F101,0,OFFSET(ORÇAMENTO!$D$15,CRONO!$F101,0))),CRONO!W$12,OFFSET(CÁLCULO!$AB$15:$AL$15,$F101,0,OFFSET(ORÇAMENTO!$D$15,CRONO!$F101,0)))
                +IF(AND($F103&lt;&gt;"",$F103&lt;&gt;0),
                        SUMIF(CÁLCULO!$AM$15:$AW$36,CRONO!W$12,CÁLCULO!$AB$15:$AL$36)/(ORÇAMENTO!$X$15-CÁLCULO.TotalAdmLocal)*CRONO!$F103,
                        0),
                 W102*$S101),
          SUMIF(OFFSET($S103,1,0,$R101-2),($M101+1)&amp;"$",OFFSET(W103,1,0,$R101-2)))</f>
        <v>0</v>
      </c>
      <c r="X103" s="159">
        <f ca="1">IF($R101=2,
         IF(AND(ACOMPANHAMENTO="PLE",ISNUMBER($F101)),
                SUMIF((OFFSET(CÁLCULO!$AM$15:$AW$15,$F101,0,OFFSET(ORÇAMENTO!$D$15,CRONO!$F101,0))),CRONO!X$12,OFFSET(CÁLCULO!$AB$15:$AL$15,$F101,0,OFFSET(ORÇAMENTO!$D$15,CRONO!$F101,0)))
                +IF(AND($F103&lt;&gt;"",$F103&lt;&gt;0),
                        SUMIF(CÁLCULO!$AM$15:$AW$36,CRONO!X$12,CÁLCULO!$AB$15:$AL$36)/(ORÇAMENTO!$X$15-CÁLCULO.TotalAdmLocal)*CRONO!$F103,
                        0),
                 X102*$S101),
          SUMIF(OFFSET($S103,1,0,$R101-2),($M101+1)&amp;"$",OFFSET(X103,1,0,$R101-2)))</f>
        <v>0</v>
      </c>
      <c r="Y103" s="159">
        <f ca="1">IF($R101=2,
         IF(AND(ACOMPANHAMENTO="PLE",ISNUMBER($F101)),
                SUMIF((OFFSET(CÁLCULO!$AM$15:$AW$15,$F101,0,OFFSET(ORÇAMENTO!$D$15,CRONO!$F101,0))),CRONO!Y$12,OFFSET(CÁLCULO!$AB$15:$AL$15,$F101,0,OFFSET(ORÇAMENTO!$D$15,CRONO!$F101,0)))
                +IF(AND($F103&lt;&gt;"",$F103&lt;&gt;0),
                        SUMIF(CÁLCULO!$AM$15:$AW$36,CRONO!Y$12,CÁLCULO!$AB$15:$AL$36)/(ORÇAMENTO!$X$15-CÁLCULO.TotalAdmLocal)*CRONO!$F103,
                        0),
                 Y102*$S101),
          SUMIF(OFFSET($S103,1,0,$R101-2),($M101+1)&amp;"$",OFFSET(Y103,1,0,$R101-2)))</f>
        <v>0</v>
      </c>
      <c r="Z103" s="159">
        <f ca="1">IF($R101=2,
         IF(AND(ACOMPANHAMENTO="PLE",ISNUMBER($F101)),
                SUMIF((OFFSET(CÁLCULO!$AM$15:$AW$15,$F101,0,OFFSET(ORÇAMENTO!$D$15,CRONO!$F101,0))),CRONO!Z$12,OFFSET(CÁLCULO!$AB$15:$AL$15,$F101,0,OFFSET(ORÇAMENTO!$D$15,CRONO!$F101,0)))
                +IF(AND($F103&lt;&gt;"",$F103&lt;&gt;0),
                        SUMIF(CÁLCULO!$AM$15:$AW$36,CRONO!Z$12,CÁLCULO!$AB$15:$AL$36)/(ORÇAMENTO!$X$15-CÁLCULO.TotalAdmLocal)*CRONO!$F103,
                        0),
                 Z102*$S101),
          SUMIF(OFFSET($S103,1,0,$R101-2),($M101+1)&amp;"$",OFFSET(Z103,1,0,$R101-2)))</f>
        <v>0</v>
      </c>
      <c r="AA103" s="159">
        <f ca="1">IF($R101=2,
         IF(AND(ACOMPANHAMENTO="PLE",ISNUMBER($F101)),
                SUMIF((OFFSET(CÁLCULO!$AM$15:$AW$15,$F101,0,OFFSET(ORÇAMENTO!$D$15,CRONO!$F101,0))),CRONO!AA$12,OFFSET(CÁLCULO!$AB$15:$AL$15,$F101,0,OFFSET(ORÇAMENTO!$D$15,CRONO!$F101,0)))
                +IF(AND($F103&lt;&gt;"",$F103&lt;&gt;0),
                        SUMIF(CÁLCULO!$AM$15:$AW$36,CRONO!AA$12,CÁLCULO!$AB$15:$AL$36)/(ORÇAMENTO!$X$15-CÁLCULO.TotalAdmLocal)*CRONO!$F103,
                        0),
                 AA102*$S101),
          SUMIF(OFFSET($S103,1,0,$R101-2),($M101+1)&amp;"$",OFFSET(AA103,1,0,$R101-2)))</f>
        <v>0</v>
      </c>
      <c r="AB103" s="159">
        <f ca="1">IF($R101=2,
         IF(AND(ACOMPANHAMENTO="PLE",ISNUMBER($F101)),
                SUMIF((OFFSET(CÁLCULO!$AM$15:$AW$15,$F101,0,OFFSET(ORÇAMENTO!$D$15,CRONO!$F101,0))),CRONO!AB$12,OFFSET(CÁLCULO!$AB$15:$AL$15,$F101,0,OFFSET(ORÇAMENTO!$D$15,CRONO!$F101,0)))
                +IF(AND($F103&lt;&gt;"",$F103&lt;&gt;0),
                        SUMIF(CÁLCULO!$AM$15:$AW$36,CRONO!AB$12,CÁLCULO!$AB$15:$AL$36)/(ORÇAMENTO!$X$15-CÁLCULO.TotalAdmLocal)*CRONO!$F103,
                        0),
                 AB102*$S101),
          SUMIF(OFFSET($S103,1,0,$R101-2),($M101+1)&amp;"$",OFFSET(AB103,1,0,$R101-2)))</f>
        <v>0</v>
      </c>
      <c r="AC103" s="159">
        <f ca="1">IF($R101=2,
         IF(AND(ACOMPANHAMENTO="PLE",ISNUMBER($F101)),
                SUMIF((OFFSET(CÁLCULO!$AM$15:$AW$15,$F101,0,OFFSET(ORÇAMENTO!$D$15,CRONO!$F101,0))),CRONO!AC$12,OFFSET(CÁLCULO!$AB$15:$AL$15,$F101,0,OFFSET(ORÇAMENTO!$D$15,CRONO!$F101,0)))
                +IF(AND($F103&lt;&gt;"",$F103&lt;&gt;0),
                        SUMIF(CÁLCULO!$AM$15:$AW$36,CRONO!AC$12,CÁLCULO!$AB$15:$AL$36)/(ORÇAMENTO!$X$15-CÁLCULO.TotalAdmLocal)*CRONO!$F103,
                        0),
                 AC102*$S101),
          SUMIF(OFFSET($S103,1,0,$R101-2),($M101+1)&amp;"$",OFFSET(AC103,1,0,$R101-2)))</f>
        <v>0</v>
      </c>
      <c r="AD103" s="159">
        <f ca="1">IF($R101=2,
         IF(AND(ACOMPANHAMENTO="PLE",ISNUMBER($F101)),
                SUMIF((OFFSET(CÁLCULO!$AM$15:$AW$15,$F101,0,OFFSET(ORÇAMENTO!$D$15,CRONO!$F101,0))),CRONO!AD$12,OFFSET(CÁLCULO!$AB$15:$AL$15,$F101,0,OFFSET(ORÇAMENTO!$D$15,CRONO!$F101,0)))
                +IF(AND($F103&lt;&gt;"",$F103&lt;&gt;0),
                        SUMIF(CÁLCULO!$AM$15:$AW$36,CRONO!AD$12,CÁLCULO!$AB$15:$AL$36)/(ORÇAMENTO!$X$15-CÁLCULO.TotalAdmLocal)*CRONO!$F103,
                        0),
                 AD102*$S101),
          SUMIF(OFFSET($S103,1,0,$R101-2),($M101+1)&amp;"$",OFFSET(AD103,1,0,$R101-2)))</f>
        <v>0</v>
      </c>
      <c r="AE103" s="159">
        <f ca="1">IF($R101=2,
         IF(AND(ACOMPANHAMENTO="PLE",ISNUMBER($F101)),
                SUMIF((OFFSET(CÁLCULO!$AM$15:$AW$15,$F101,0,OFFSET(ORÇAMENTO!$D$15,CRONO!$F101,0))),CRONO!AE$12,OFFSET(CÁLCULO!$AB$15:$AL$15,$F101,0,OFFSET(ORÇAMENTO!$D$15,CRONO!$F101,0)))
                +IF(AND($F103&lt;&gt;"",$F103&lt;&gt;0),
                        SUMIF(CÁLCULO!$AM$15:$AW$36,CRONO!AE$12,CÁLCULO!$AB$15:$AL$36)/(ORÇAMENTO!$X$15-CÁLCULO.TotalAdmLocal)*CRONO!$F103,
                        0),
                 AE102*$S101),
          SUMIF(OFFSET($S103,1,0,$R101-2),($M101+1)&amp;"$",OFFSET(AE103,1,0,$R101-2)))</f>
        <v>0</v>
      </c>
      <c r="AF103" s="159">
        <f ca="1">IF($R101=2,
         IF(AND(ACOMPANHAMENTO="PLE",ISNUMBER($F101)),
                SUMIF((OFFSET(CÁLCULO!$AM$15:$AW$15,$F101,0,OFFSET(ORÇAMENTO!$D$15,CRONO!$F101,0))),CRONO!AF$12,OFFSET(CÁLCULO!$AB$15:$AL$15,$F101,0,OFFSET(ORÇAMENTO!$D$15,CRONO!$F101,0)))
                +IF(AND($F103&lt;&gt;"",$F103&lt;&gt;0),
                        SUMIF(CÁLCULO!$AM$15:$AW$36,CRONO!AF$12,CÁLCULO!$AB$15:$AL$36)/(ORÇAMENTO!$X$15-CÁLCULO.TotalAdmLocal)*CRONO!$F103,
                        0),
                 AF102*$S101),
          SUMIF(OFFSET($S103,1,0,$R101-2),($M101+1)&amp;"$",OFFSET(AF103,1,0,$R101-2)))</f>
        <v>0</v>
      </c>
      <c r="AG103" s="444"/>
    </row>
    <row r="104" spans="1:33" hidden="1" x14ac:dyDescent="0.25">
      <c r="A104" s="145" t="str">
        <f t="shared" ref="A104" ca="1" si="182">IF($M104&gt;1,CONCATENATE($I104," ",$J104),"")</f>
        <v/>
      </c>
      <c r="B104" s="144">
        <f t="shared" ref="B104" ca="1" si="183">OFFSET(B104,-3,0)+1</f>
        <v>31</v>
      </c>
      <c r="C104" s="144">
        <f ca="1">IF($R104&lt;&gt;2,0,IF($S104=0,1,IF(F105&gt;0,OFFSET(QCI!$M$13,SUBSTITUTE(F105,".",""),0),OFFSET(ORÇAMENTO!$AA$15,CRONO!$F104,0))/$S104))</f>
        <v>0</v>
      </c>
      <c r="D104" s="144">
        <f ca="1">IF($R104&lt;&gt;2,0,IF($S104=0,1,IF(F105&gt;0,OFFSET(QCI!$N$13,SUBSTITUTE(F105,".",""),0),OFFSET(ORÇAMENTO!$AB$15,CRONO!$F104,0))/$S104))</f>
        <v>0</v>
      </c>
      <c r="E104" s="147" t="e">
        <f ca="1">IF(AND($R104=2,ACOMPANHAMENTO="BM"),ROUND(E105,4),E106/$S104)</f>
        <v>#VALUE!</v>
      </c>
      <c r="F104" s="144" t="e">
        <f ca="1">IF(B104&lt;=ORÇAMENTO.MáximoListaCrono,MATCH(B104,ORÇAMENTO.ListaCrono,0),NA())</f>
        <v>#N/A</v>
      </c>
      <c r="G104" s="144" t="str">
        <f t="shared" ref="G104" ca="1" si="184">IF(AND($F105&lt;&gt;-1,$S104&gt;0),"F","")</f>
        <v/>
      </c>
      <c r="H104" s="617" t="str">
        <f ca="1">IF(OR(S104=0,S104=""),"Linha",IF(AND(OR(ACOMPANHAMENTO="PLE",$R104&lt;&gt;2),$F105=0),"Linha",ROUND(1-SUM(U104:AG104),4)))</f>
        <v>Linha</v>
      </c>
      <c r="I104" s="148" t="str">
        <f ca="1">IF($F105=0,OFFSET(ORÇAMENTO!O$15,$F104,0),IF($F105&lt;&gt;-1,OFFSET(QCI!$D$13,$F105,0),""))</f>
        <v/>
      </c>
      <c r="J104" s="149" t="str">
        <f ca="1">IF($F105=0,OFFSET(ORÇAMENTO!R$15,$F104,0),IF($F105&lt;&gt;-1,OFFSET(QCI!$G$13,$F105,0),""))</f>
        <v/>
      </c>
      <c r="K104" s="149"/>
      <c r="L104" s="149"/>
      <c r="M104" s="150">
        <f ca="1">IF($F105=0,OFFSET(ORÇAMENTO!C$15,$F104,0),1)</f>
        <v>1</v>
      </c>
      <c r="N104" s="151">
        <f ca="1">IF($F105=-1,0,IF(N$13&lt;=$M104,IF(ISERROR(MATCH(N$13,OFFSET($M104,1,0,ROW($M$164)-ROW($M104)-1),0)),ROW($M$164)-ROW($M104)-1,MATCH(N$13,OFFSET($M104,1,0,ROW($M$164)-ROW($M104)-1),0)-1),0))</f>
        <v>0</v>
      </c>
      <c r="O104" s="151">
        <f ca="1">IF($F105=-1,0,IF(O$13&lt;=$M104,IF(ISERROR(MATCH(O$13,OFFSET($M104,1,0,ROW($M$164)-ROW($M104)-1),0)),ROW($M$164)-ROW($M104)-1,MATCH(O$13,OFFSET($M104,1,0,ROW($M$164)-ROW($M104)-1),0)-1),0))</f>
        <v>0</v>
      </c>
      <c r="P104" s="151">
        <f ca="1">IF($F105=-1,0,IF(P$13&lt;=$M104,IF(ISERROR(MATCH(P$13,OFFSET($M104,1,0,ROW($M$164)-ROW($M104)-1),0)),ROW($M$164)-ROW($M104)-1,MATCH(P$13,OFFSET($M104,1,0,ROW($M$164)-ROW($M104)-1),0)-1),0))</f>
        <v>0</v>
      </c>
      <c r="Q104" s="151">
        <f ca="1">IF($F105=-1,0,IF(Q$13&lt;=$M104,IF(ISERROR(MATCH(Q$13,OFFSET($M104,1,0,ROW($M$164)-ROW($M104)-1),0)),ROW($M$164)-ROW($M104)-1,MATCH(Q$13,OFFSET($M104,1,0,ROW($M$164)-ROW($M104)-1),0)-1),0))</f>
        <v>0</v>
      </c>
      <c r="R104" s="151">
        <f t="shared" ref="R104" ca="1" si="185">MIN(OFFSET(M104,0,1,,M104))</f>
        <v>0</v>
      </c>
      <c r="S104" s="152" t="str">
        <f ca="1">IF($F105=0,OFFSET(ORÇAMENTO!X$15,$F104,0),IF($F105&lt;&gt;-1,OFFSET(QCI!$O$13,$F105,0),""))</f>
        <v/>
      </c>
      <c r="T104" s="618" t="s">
        <v>809</v>
      </c>
      <c r="U104" s="147" t="e">
        <f ca="1">IF(AND($R104=2,ACOMPANHAMENTO="BM"),ROUND(U105,4),U106/$S104)</f>
        <v>#VALUE!</v>
      </c>
      <c r="V104" s="147" t="e">
        <f ca="1">IF(AND($R104=2,ACOMPANHAMENTO="BM"),ROUND(V105,4),V106/$S104)</f>
        <v>#VALUE!</v>
      </c>
      <c r="W104" s="147" t="e">
        <f ca="1">IF(AND($R104=2,ACOMPANHAMENTO="BM"),ROUND(W105,4),W106/$S104)</f>
        <v>#VALUE!</v>
      </c>
      <c r="X104" s="147" t="e">
        <f ca="1">IF(AND($R104=2,ACOMPANHAMENTO="BM"),ROUND(X105,4),X106/$S104)</f>
        <v>#VALUE!</v>
      </c>
      <c r="Y104" s="147" t="e">
        <f ca="1">IF(AND($R104=2,ACOMPANHAMENTO="BM"),ROUND(Y105,4),Y106/$S104)</f>
        <v>#VALUE!</v>
      </c>
      <c r="Z104" s="147" t="e">
        <f ca="1">IF(AND($R104=2,ACOMPANHAMENTO="BM"),ROUND(Z105,4),Z106/$S104)</f>
        <v>#VALUE!</v>
      </c>
      <c r="AA104" s="147" t="e">
        <f ca="1">IF(AND($R104=2,ACOMPANHAMENTO="BM"),ROUND(AA105,4),AA106/$S104)</f>
        <v>#VALUE!</v>
      </c>
      <c r="AB104" s="147" t="e">
        <f ca="1">IF(AND($R104=2,ACOMPANHAMENTO="BM"),ROUND(AB105,4),AB106/$S104)</f>
        <v>#VALUE!</v>
      </c>
      <c r="AC104" s="147" t="e">
        <f ca="1">IF(AND($R104=2,ACOMPANHAMENTO="BM"),ROUND(AC105,4),AC106/$S104)</f>
        <v>#VALUE!</v>
      </c>
      <c r="AD104" s="147" t="e">
        <f ca="1">IF(AND($R104=2,ACOMPANHAMENTO="BM"),ROUND(AD105,4),AD106/$S104)</f>
        <v>#VALUE!</v>
      </c>
      <c r="AE104" s="147" t="e">
        <f ca="1">IF(AND($R104=2,ACOMPANHAMENTO="BM"),ROUND(AE105,4),AE106/$S104)</f>
        <v>#VALUE!</v>
      </c>
      <c r="AF104" s="147" t="e">
        <f ca="1">IF(AND($R104=2,ACOMPANHAMENTO="BM"),ROUND(AF105,4),AF106/$S104)</f>
        <v>#VALUE!</v>
      </c>
      <c r="AG104" s="444"/>
    </row>
    <row r="105" spans="1:33" ht="12.75" hidden="1" customHeight="1" x14ac:dyDescent="0.25">
      <c r="E105" s="501"/>
      <c r="F105" s="144">
        <f ca="1">IF(ISERROR(F104),IF(1+COUNTIF($M$13:OFFSET(M104,-1,0),1)&lt;=MAX(QCI!$D$13:$D$24),1+COUNTIF($M$13:OFFSET(M104,-1,0),1),-1),0)</f>
        <v>-1</v>
      </c>
      <c r="G105" s="144" t="str">
        <f ca="1">IF(ACOMPANHAMENTO="BM",OFFSET(G105,-1,0),"")</f>
        <v/>
      </c>
      <c r="H105" s="153" t="str">
        <f ca="1">IF(OR(S104=0,S104=""),"vazia",IF(AND(OR(ACOMPANHAMENTO="PLE",$R104&lt;&gt;2),$F105=0),"calculada","--&gt;"))</f>
        <v>vazia</v>
      </c>
      <c r="I105" s="154"/>
      <c r="J105" s="155" t="str">
        <f t="shared" ref="J105" ca="1" si="186">IF(AND(H104&lt;&gt;0,ISNUMBER(H104)),"PREENCHA ESTA LINHA --&gt;","")</f>
        <v/>
      </c>
      <c r="K105" s="155"/>
      <c r="L105" s="155"/>
      <c r="M105" s="156"/>
      <c r="N105" s="156"/>
      <c r="O105" s="156"/>
      <c r="P105" s="156"/>
      <c r="Q105" s="156"/>
      <c r="R105" s="156"/>
      <c r="S105" s="157"/>
      <c r="T105" s="158"/>
      <c r="U105" s="501"/>
      <c r="V105" s="501"/>
      <c r="W105" s="501"/>
      <c r="X105" s="501"/>
      <c r="Y105" s="501"/>
      <c r="Z105" s="501"/>
      <c r="AA105" s="501"/>
      <c r="AB105" s="501"/>
      <c r="AC105" s="501"/>
      <c r="AD105" s="501"/>
      <c r="AE105" s="501"/>
      <c r="AF105" s="501"/>
      <c r="AG105" s="444"/>
    </row>
    <row r="106" spans="1:33" ht="12.75" hidden="1" customHeight="1" x14ac:dyDescent="0.25">
      <c r="D106" s="443"/>
      <c r="E106" s="159">
        <f ca="1">IF($R104=2,
         IF(AND(ACOMPANHAMENTO="PLE",ISNUMBER($F104)),
                SUMIF((OFFSET(CÁLCULO!$AM$15:$AW$15,$F104,0,OFFSET(ORÇAMENTO!$D$15,CRONO!$F104,0))),CRONO!E$12,OFFSET(CÁLCULO!$AB$15:$AL$15,$F104,0,OFFSET(ORÇAMENTO!$D$15,CRONO!$F104,0)))
                +IF(AND($F106&lt;&gt;"",$F106&lt;&gt;0),
                        SUMIF(CÁLCULO!$AM$15:$AW$36,CRONO!E$12,CÁLCULO!$AB$15:$AL$36)/(ORÇAMENTO!$X$15-CÁLCULO.TotalAdmLocal)*CRONO!$F106,
                        0),
                 E105*$S104),
          SUMIF(OFFSET($S106,1,0,$R104-2),($M104+1)&amp;"$",OFFSET(E106,1,0,$R104-2)))</f>
        <v>0</v>
      </c>
      <c r="F106" s="144" t="str">
        <f ca="1">IF(OR($R104&lt;&gt;2,AUTOEVENTO&lt;&gt;"manual",$F105&gt;0),"",
        IF(Import.TipoArredondamento="Tradicional",
              SUMIF(OFFSET(CÁLCULO!$M$15,CRONO!$F104,0,OFFSET(ORÇAMENTO!$D$15,CRONO!$F104,0)),1,OFFSET(ORÇAMENTO!$X$15,CRONO!$F104,0,OFFSET(ORÇAMENTO!$D$15,CRONO!$F104,0))),
              0))</f>
        <v/>
      </c>
      <c r="H106" s="530"/>
      <c r="S106" s="160" t="str">
        <f t="shared" ref="S106" ca="1" si="187">M104&amp;"$"</f>
        <v>1$</v>
      </c>
      <c r="T106" s="161"/>
      <c r="U106" s="159">
        <f ca="1">IF($R104=2,
         IF(AND(ACOMPANHAMENTO="PLE",ISNUMBER($F104)),
                SUMIF((OFFSET(CÁLCULO!$AM$15:$AW$15,$F104,0,OFFSET(ORÇAMENTO!$D$15,CRONO!$F104,0))),CRONO!U$12,OFFSET(CÁLCULO!$AB$15:$AL$15,$F104,0,OFFSET(ORÇAMENTO!$D$15,CRONO!$F104,0)))
                +IF(AND($F106&lt;&gt;"",$F106&lt;&gt;0),
                        SUMIF(CÁLCULO!$AM$15:$AW$36,CRONO!U$12,CÁLCULO!$AB$15:$AL$36)/(ORÇAMENTO!$X$15-CÁLCULO.TotalAdmLocal)*CRONO!$F106,
                        0),
                 U105*$S104),
          SUMIF(OFFSET($S106,1,0,$R104-2),($M104+1)&amp;"$",OFFSET(U106,1,0,$R104-2)))</f>
        <v>0</v>
      </c>
      <c r="V106" s="159">
        <f ca="1">IF($R104=2,
         IF(AND(ACOMPANHAMENTO="PLE",ISNUMBER($F104)),
                SUMIF((OFFSET(CÁLCULO!$AM$15:$AW$15,$F104,0,OFFSET(ORÇAMENTO!$D$15,CRONO!$F104,0))),CRONO!V$12,OFFSET(CÁLCULO!$AB$15:$AL$15,$F104,0,OFFSET(ORÇAMENTO!$D$15,CRONO!$F104,0)))
                +IF(AND($F106&lt;&gt;"",$F106&lt;&gt;0),
                        SUMIF(CÁLCULO!$AM$15:$AW$36,CRONO!V$12,CÁLCULO!$AB$15:$AL$36)/(ORÇAMENTO!$X$15-CÁLCULO.TotalAdmLocal)*CRONO!$F106,
                        0),
                 V105*$S104),
          SUMIF(OFFSET($S106,1,0,$R104-2),($M104+1)&amp;"$",OFFSET(V106,1,0,$R104-2)))</f>
        <v>0</v>
      </c>
      <c r="W106" s="159">
        <f ca="1">IF($R104=2,
         IF(AND(ACOMPANHAMENTO="PLE",ISNUMBER($F104)),
                SUMIF((OFFSET(CÁLCULO!$AM$15:$AW$15,$F104,0,OFFSET(ORÇAMENTO!$D$15,CRONO!$F104,0))),CRONO!W$12,OFFSET(CÁLCULO!$AB$15:$AL$15,$F104,0,OFFSET(ORÇAMENTO!$D$15,CRONO!$F104,0)))
                +IF(AND($F106&lt;&gt;"",$F106&lt;&gt;0),
                        SUMIF(CÁLCULO!$AM$15:$AW$36,CRONO!W$12,CÁLCULO!$AB$15:$AL$36)/(ORÇAMENTO!$X$15-CÁLCULO.TotalAdmLocal)*CRONO!$F106,
                        0),
                 W105*$S104),
          SUMIF(OFFSET($S106,1,0,$R104-2),($M104+1)&amp;"$",OFFSET(W106,1,0,$R104-2)))</f>
        <v>0</v>
      </c>
      <c r="X106" s="159">
        <f ca="1">IF($R104=2,
         IF(AND(ACOMPANHAMENTO="PLE",ISNUMBER($F104)),
                SUMIF((OFFSET(CÁLCULO!$AM$15:$AW$15,$F104,0,OFFSET(ORÇAMENTO!$D$15,CRONO!$F104,0))),CRONO!X$12,OFFSET(CÁLCULO!$AB$15:$AL$15,$F104,0,OFFSET(ORÇAMENTO!$D$15,CRONO!$F104,0)))
                +IF(AND($F106&lt;&gt;"",$F106&lt;&gt;0),
                        SUMIF(CÁLCULO!$AM$15:$AW$36,CRONO!X$12,CÁLCULO!$AB$15:$AL$36)/(ORÇAMENTO!$X$15-CÁLCULO.TotalAdmLocal)*CRONO!$F106,
                        0),
                 X105*$S104),
          SUMIF(OFFSET($S106,1,0,$R104-2),($M104+1)&amp;"$",OFFSET(X106,1,0,$R104-2)))</f>
        <v>0</v>
      </c>
      <c r="Y106" s="159">
        <f ca="1">IF($R104=2,
         IF(AND(ACOMPANHAMENTO="PLE",ISNUMBER($F104)),
                SUMIF((OFFSET(CÁLCULO!$AM$15:$AW$15,$F104,0,OFFSET(ORÇAMENTO!$D$15,CRONO!$F104,0))),CRONO!Y$12,OFFSET(CÁLCULO!$AB$15:$AL$15,$F104,0,OFFSET(ORÇAMENTO!$D$15,CRONO!$F104,0)))
                +IF(AND($F106&lt;&gt;"",$F106&lt;&gt;0),
                        SUMIF(CÁLCULO!$AM$15:$AW$36,CRONO!Y$12,CÁLCULO!$AB$15:$AL$36)/(ORÇAMENTO!$X$15-CÁLCULO.TotalAdmLocal)*CRONO!$F106,
                        0),
                 Y105*$S104),
          SUMIF(OFFSET($S106,1,0,$R104-2),($M104+1)&amp;"$",OFFSET(Y106,1,0,$R104-2)))</f>
        <v>0</v>
      </c>
      <c r="Z106" s="159">
        <f ca="1">IF($R104=2,
         IF(AND(ACOMPANHAMENTO="PLE",ISNUMBER($F104)),
                SUMIF((OFFSET(CÁLCULO!$AM$15:$AW$15,$F104,0,OFFSET(ORÇAMENTO!$D$15,CRONO!$F104,0))),CRONO!Z$12,OFFSET(CÁLCULO!$AB$15:$AL$15,$F104,0,OFFSET(ORÇAMENTO!$D$15,CRONO!$F104,0)))
                +IF(AND($F106&lt;&gt;"",$F106&lt;&gt;0),
                        SUMIF(CÁLCULO!$AM$15:$AW$36,CRONO!Z$12,CÁLCULO!$AB$15:$AL$36)/(ORÇAMENTO!$X$15-CÁLCULO.TotalAdmLocal)*CRONO!$F106,
                        0),
                 Z105*$S104),
          SUMIF(OFFSET($S106,1,0,$R104-2),($M104+1)&amp;"$",OFFSET(Z106,1,0,$R104-2)))</f>
        <v>0</v>
      </c>
      <c r="AA106" s="159">
        <f ca="1">IF($R104=2,
         IF(AND(ACOMPANHAMENTO="PLE",ISNUMBER($F104)),
                SUMIF((OFFSET(CÁLCULO!$AM$15:$AW$15,$F104,0,OFFSET(ORÇAMENTO!$D$15,CRONO!$F104,0))),CRONO!AA$12,OFFSET(CÁLCULO!$AB$15:$AL$15,$F104,0,OFFSET(ORÇAMENTO!$D$15,CRONO!$F104,0)))
                +IF(AND($F106&lt;&gt;"",$F106&lt;&gt;0),
                        SUMIF(CÁLCULO!$AM$15:$AW$36,CRONO!AA$12,CÁLCULO!$AB$15:$AL$36)/(ORÇAMENTO!$X$15-CÁLCULO.TotalAdmLocal)*CRONO!$F106,
                        0),
                 AA105*$S104),
          SUMIF(OFFSET($S106,1,0,$R104-2),($M104+1)&amp;"$",OFFSET(AA106,1,0,$R104-2)))</f>
        <v>0</v>
      </c>
      <c r="AB106" s="159">
        <f ca="1">IF($R104=2,
         IF(AND(ACOMPANHAMENTO="PLE",ISNUMBER($F104)),
                SUMIF((OFFSET(CÁLCULO!$AM$15:$AW$15,$F104,0,OFFSET(ORÇAMENTO!$D$15,CRONO!$F104,0))),CRONO!AB$12,OFFSET(CÁLCULO!$AB$15:$AL$15,$F104,0,OFFSET(ORÇAMENTO!$D$15,CRONO!$F104,0)))
                +IF(AND($F106&lt;&gt;"",$F106&lt;&gt;0),
                        SUMIF(CÁLCULO!$AM$15:$AW$36,CRONO!AB$12,CÁLCULO!$AB$15:$AL$36)/(ORÇAMENTO!$X$15-CÁLCULO.TotalAdmLocal)*CRONO!$F106,
                        0),
                 AB105*$S104),
          SUMIF(OFFSET($S106,1,0,$R104-2),($M104+1)&amp;"$",OFFSET(AB106,1,0,$R104-2)))</f>
        <v>0</v>
      </c>
      <c r="AC106" s="159">
        <f ca="1">IF($R104=2,
         IF(AND(ACOMPANHAMENTO="PLE",ISNUMBER($F104)),
                SUMIF((OFFSET(CÁLCULO!$AM$15:$AW$15,$F104,0,OFFSET(ORÇAMENTO!$D$15,CRONO!$F104,0))),CRONO!AC$12,OFFSET(CÁLCULO!$AB$15:$AL$15,$F104,0,OFFSET(ORÇAMENTO!$D$15,CRONO!$F104,0)))
                +IF(AND($F106&lt;&gt;"",$F106&lt;&gt;0),
                        SUMIF(CÁLCULO!$AM$15:$AW$36,CRONO!AC$12,CÁLCULO!$AB$15:$AL$36)/(ORÇAMENTO!$X$15-CÁLCULO.TotalAdmLocal)*CRONO!$F106,
                        0),
                 AC105*$S104),
          SUMIF(OFFSET($S106,1,0,$R104-2),($M104+1)&amp;"$",OFFSET(AC106,1,0,$R104-2)))</f>
        <v>0</v>
      </c>
      <c r="AD106" s="159">
        <f ca="1">IF($R104=2,
         IF(AND(ACOMPANHAMENTO="PLE",ISNUMBER($F104)),
                SUMIF((OFFSET(CÁLCULO!$AM$15:$AW$15,$F104,0,OFFSET(ORÇAMENTO!$D$15,CRONO!$F104,0))),CRONO!AD$12,OFFSET(CÁLCULO!$AB$15:$AL$15,$F104,0,OFFSET(ORÇAMENTO!$D$15,CRONO!$F104,0)))
                +IF(AND($F106&lt;&gt;"",$F106&lt;&gt;0),
                        SUMIF(CÁLCULO!$AM$15:$AW$36,CRONO!AD$12,CÁLCULO!$AB$15:$AL$36)/(ORÇAMENTO!$X$15-CÁLCULO.TotalAdmLocal)*CRONO!$F106,
                        0),
                 AD105*$S104),
          SUMIF(OFFSET($S106,1,0,$R104-2),($M104+1)&amp;"$",OFFSET(AD106,1,0,$R104-2)))</f>
        <v>0</v>
      </c>
      <c r="AE106" s="159">
        <f ca="1">IF($R104=2,
         IF(AND(ACOMPANHAMENTO="PLE",ISNUMBER($F104)),
                SUMIF((OFFSET(CÁLCULO!$AM$15:$AW$15,$F104,0,OFFSET(ORÇAMENTO!$D$15,CRONO!$F104,0))),CRONO!AE$12,OFFSET(CÁLCULO!$AB$15:$AL$15,$F104,0,OFFSET(ORÇAMENTO!$D$15,CRONO!$F104,0)))
                +IF(AND($F106&lt;&gt;"",$F106&lt;&gt;0),
                        SUMIF(CÁLCULO!$AM$15:$AW$36,CRONO!AE$12,CÁLCULO!$AB$15:$AL$36)/(ORÇAMENTO!$X$15-CÁLCULO.TotalAdmLocal)*CRONO!$F106,
                        0),
                 AE105*$S104),
          SUMIF(OFFSET($S106,1,0,$R104-2),($M104+1)&amp;"$",OFFSET(AE106,1,0,$R104-2)))</f>
        <v>0</v>
      </c>
      <c r="AF106" s="159">
        <f ca="1">IF($R104=2,
         IF(AND(ACOMPANHAMENTO="PLE",ISNUMBER($F104)),
                SUMIF((OFFSET(CÁLCULO!$AM$15:$AW$15,$F104,0,OFFSET(ORÇAMENTO!$D$15,CRONO!$F104,0))),CRONO!AF$12,OFFSET(CÁLCULO!$AB$15:$AL$15,$F104,0,OFFSET(ORÇAMENTO!$D$15,CRONO!$F104,0)))
                +IF(AND($F106&lt;&gt;"",$F106&lt;&gt;0),
                        SUMIF(CÁLCULO!$AM$15:$AW$36,CRONO!AF$12,CÁLCULO!$AB$15:$AL$36)/(ORÇAMENTO!$X$15-CÁLCULO.TotalAdmLocal)*CRONO!$F106,
                        0),
                 AF105*$S104),
          SUMIF(OFFSET($S106,1,0,$R104-2),($M104+1)&amp;"$",OFFSET(AF106,1,0,$R104-2)))</f>
        <v>0</v>
      </c>
      <c r="AG106" s="444"/>
    </row>
    <row r="107" spans="1:33" hidden="1" x14ac:dyDescent="0.25">
      <c r="A107" s="145" t="str">
        <f t="shared" ref="A107" ca="1" si="188">IF($M107&gt;1,CONCATENATE($I107," ",$J107),"")</f>
        <v/>
      </c>
      <c r="B107" s="144">
        <f t="shared" ref="B107" ca="1" si="189">OFFSET(B107,-3,0)+1</f>
        <v>32</v>
      </c>
      <c r="C107" s="144">
        <f ca="1">IF($R107&lt;&gt;2,0,IF($S107=0,1,IF(F108&gt;0,OFFSET(QCI!$M$13,SUBSTITUTE(F108,".",""),0),OFFSET(ORÇAMENTO!$AA$15,CRONO!$F107,0))/$S107))</f>
        <v>0</v>
      </c>
      <c r="D107" s="144">
        <f ca="1">IF($R107&lt;&gt;2,0,IF($S107=0,1,IF(F108&gt;0,OFFSET(QCI!$N$13,SUBSTITUTE(F108,".",""),0),OFFSET(ORÇAMENTO!$AB$15,CRONO!$F107,0))/$S107))</f>
        <v>0</v>
      </c>
      <c r="E107" s="147" t="e">
        <f ca="1">IF(AND($R107=2,ACOMPANHAMENTO="BM"),ROUND(E108,4),E109/$S107)</f>
        <v>#VALUE!</v>
      </c>
      <c r="F107" s="144" t="e">
        <f ca="1">IF(B107&lt;=ORÇAMENTO.MáximoListaCrono,MATCH(B107,ORÇAMENTO.ListaCrono,0),NA())</f>
        <v>#N/A</v>
      </c>
      <c r="G107" s="144" t="str">
        <f t="shared" ref="G107" ca="1" si="190">IF(AND($F108&lt;&gt;-1,$S107&gt;0),"F","")</f>
        <v/>
      </c>
      <c r="H107" s="617" t="str">
        <f ca="1">IF(OR(S107=0,S107=""),"Linha",IF(AND(OR(ACOMPANHAMENTO="PLE",$R107&lt;&gt;2),$F108=0),"Linha",ROUND(1-SUM(U107:AG107),4)))</f>
        <v>Linha</v>
      </c>
      <c r="I107" s="148" t="str">
        <f ca="1">IF($F108=0,OFFSET(ORÇAMENTO!O$15,$F107,0),IF($F108&lt;&gt;-1,OFFSET(QCI!$D$13,$F108,0),""))</f>
        <v/>
      </c>
      <c r="J107" s="149" t="str">
        <f ca="1">IF($F108=0,OFFSET(ORÇAMENTO!R$15,$F107,0),IF($F108&lt;&gt;-1,OFFSET(QCI!$G$13,$F108,0),""))</f>
        <v/>
      </c>
      <c r="K107" s="149"/>
      <c r="L107" s="149"/>
      <c r="M107" s="150">
        <f ca="1">IF($F108=0,OFFSET(ORÇAMENTO!C$15,$F107,0),1)</f>
        <v>1</v>
      </c>
      <c r="N107" s="151">
        <f ca="1">IF($F108=-1,0,IF(N$13&lt;=$M107,IF(ISERROR(MATCH(N$13,OFFSET($M107,1,0,ROW($M$164)-ROW($M107)-1),0)),ROW($M$164)-ROW($M107)-1,MATCH(N$13,OFFSET($M107,1,0,ROW($M$164)-ROW($M107)-1),0)-1),0))</f>
        <v>0</v>
      </c>
      <c r="O107" s="151">
        <f ca="1">IF($F108=-1,0,IF(O$13&lt;=$M107,IF(ISERROR(MATCH(O$13,OFFSET($M107,1,0,ROW($M$164)-ROW($M107)-1),0)),ROW($M$164)-ROW($M107)-1,MATCH(O$13,OFFSET($M107,1,0,ROW($M$164)-ROW($M107)-1),0)-1),0))</f>
        <v>0</v>
      </c>
      <c r="P107" s="151">
        <f ca="1">IF($F108=-1,0,IF(P$13&lt;=$M107,IF(ISERROR(MATCH(P$13,OFFSET($M107,1,0,ROW($M$164)-ROW($M107)-1),0)),ROW($M$164)-ROW($M107)-1,MATCH(P$13,OFFSET($M107,1,0,ROW($M$164)-ROW($M107)-1),0)-1),0))</f>
        <v>0</v>
      </c>
      <c r="Q107" s="151">
        <f ca="1">IF($F108=-1,0,IF(Q$13&lt;=$M107,IF(ISERROR(MATCH(Q$13,OFFSET($M107,1,0,ROW($M$164)-ROW($M107)-1),0)),ROW($M$164)-ROW($M107)-1,MATCH(Q$13,OFFSET($M107,1,0,ROW($M$164)-ROW($M107)-1),0)-1),0))</f>
        <v>0</v>
      </c>
      <c r="R107" s="151">
        <f t="shared" ref="R107" ca="1" si="191">MIN(OFFSET(M107,0,1,,M107))</f>
        <v>0</v>
      </c>
      <c r="S107" s="152" t="str">
        <f ca="1">IF($F108=0,OFFSET(ORÇAMENTO!X$15,$F107,0),IF($F108&lt;&gt;-1,OFFSET(QCI!$O$13,$F108,0),""))</f>
        <v/>
      </c>
      <c r="T107" s="618" t="s">
        <v>809</v>
      </c>
      <c r="U107" s="147" t="e">
        <f ca="1">IF(AND($R107=2,ACOMPANHAMENTO="BM"),ROUND(U108,4),U109/$S107)</f>
        <v>#VALUE!</v>
      </c>
      <c r="V107" s="147" t="e">
        <f ca="1">IF(AND($R107=2,ACOMPANHAMENTO="BM"),ROUND(V108,4),V109/$S107)</f>
        <v>#VALUE!</v>
      </c>
      <c r="W107" s="147" t="e">
        <f ca="1">IF(AND($R107=2,ACOMPANHAMENTO="BM"),ROUND(W108,4),W109/$S107)</f>
        <v>#VALUE!</v>
      </c>
      <c r="X107" s="147" t="e">
        <f ca="1">IF(AND($R107=2,ACOMPANHAMENTO="BM"),ROUND(X108,4),X109/$S107)</f>
        <v>#VALUE!</v>
      </c>
      <c r="Y107" s="147" t="e">
        <f ca="1">IF(AND($R107=2,ACOMPANHAMENTO="BM"),ROUND(Y108,4),Y109/$S107)</f>
        <v>#VALUE!</v>
      </c>
      <c r="Z107" s="147" t="e">
        <f ca="1">IF(AND($R107=2,ACOMPANHAMENTO="BM"),ROUND(Z108,4),Z109/$S107)</f>
        <v>#VALUE!</v>
      </c>
      <c r="AA107" s="147" t="e">
        <f ca="1">IF(AND($R107=2,ACOMPANHAMENTO="BM"),ROUND(AA108,4),AA109/$S107)</f>
        <v>#VALUE!</v>
      </c>
      <c r="AB107" s="147" t="e">
        <f ca="1">IF(AND($R107=2,ACOMPANHAMENTO="BM"),ROUND(AB108,4),AB109/$S107)</f>
        <v>#VALUE!</v>
      </c>
      <c r="AC107" s="147" t="e">
        <f ca="1">IF(AND($R107=2,ACOMPANHAMENTO="BM"),ROUND(AC108,4),AC109/$S107)</f>
        <v>#VALUE!</v>
      </c>
      <c r="AD107" s="147" t="e">
        <f ca="1">IF(AND($R107=2,ACOMPANHAMENTO="BM"),ROUND(AD108,4),AD109/$S107)</f>
        <v>#VALUE!</v>
      </c>
      <c r="AE107" s="147" t="e">
        <f ca="1">IF(AND($R107=2,ACOMPANHAMENTO="BM"),ROUND(AE108,4),AE109/$S107)</f>
        <v>#VALUE!</v>
      </c>
      <c r="AF107" s="147" t="e">
        <f ca="1">IF(AND($R107=2,ACOMPANHAMENTO="BM"),ROUND(AF108,4),AF109/$S107)</f>
        <v>#VALUE!</v>
      </c>
      <c r="AG107" s="444"/>
    </row>
    <row r="108" spans="1:33" ht="12.75" hidden="1" customHeight="1" x14ac:dyDescent="0.25">
      <c r="E108" s="501"/>
      <c r="F108" s="144">
        <f ca="1">IF(ISERROR(F107),IF(1+COUNTIF($M$13:OFFSET(M107,-1,0),1)&lt;=MAX(QCI!$D$13:$D$24),1+COUNTIF($M$13:OFFSET(M107,-1,0),1),-1),0)</f>
        <v>-1</v>
      </c>
      <c r="G108" s="144" t="str">
        <f ca="1">IF(ACOMPANHAMENTO="BM",OFFSET(G108,-1,0),"")</f>
        <v/>
      </c>
      <c r="H108" s="153" t="str">
        <f ca="1">IF(OR(S107=0,S107=""),"vazia",IF(AND(OR(ACOMPANHAMENTO="PLE",$R107&lt;&gt;2),$F108=0),"calculada","--&gt;"))</f>
        <v>vazia</v>
      </c>
      <c r="I108" s="154"/>
      <c r="J108" s="155" t="str">
        <f t="shared" ref="J108" ca="1" si="192">IF(AND(H107&lt;&gt;0,ISNUMBER(H107)),"PREENCHA ESTA LINHA --&gt;","")</f>
        <v/>
      </c>
      <c r="K108" s="155"/>
      <c r="L108" s="155"/>
      <c r="M108" s="156"/>
      <c r="N108" s="156"/>
      <c r="O108" s="156"/>
      <c r="P108" s="156"/>
      <c r="Q108" s="156"/>
      <c r="R108" s="156"/>
      <c r="S108" s="157"/>
      <c r="T108" s="158"/>
      <c r="U108" s="501"/>
      <c r="V108" s="501"/>
      <c r="W108" s="501"/>
      <c r="X108" s="501"/>
      <c r="Y108" s="501"/>
      <c r="Z108" s="501"/>
      <c r="AA108" s="501"/>
      <c r="AB108" s="501"/>
      <c r="AC108" s="501"/>
      <c r="AD108" s="501"/>
      <c r="AE108" s="501"/>
      <c r="AF108" s="501"/>
      <c r="AG108" s="444"/>
    </row>
    <row r="109" spans="1:33" ht="12.75" hidden="1" customHeight="1" x14ac:dyDescent="0.25">
      <c r="D109" s="443"/>
      <c r="E109" s="159">
        <f ca="1">IF($R107=2,
         IF(AND(ACOMPANHAMENTO="PLE",ISNUMBER($F107)),
                SUMIF((OFFSET(CÁLCULO!$AM$15:$AW$15,$F107,0,OFFSET(ORÇAMENTO!$D$15,CRONO!$F107,0))),CRONO!E$12,OFFSET(CÁLCULO!$AB$15:$AL$15,$F107,0,OFFSET(ORÇAMENTO!$D$15,CRONO!$F107,0)))
                +IF(AND($F109&lt;&gt;"",$F109&lt;&gt;0),
                        SUMIF(CÁLCULO!$AM$15:$AW$36,CRONO!E$12,CÁLCULO!$AB$15:$AL$36)/(ORÇAMENTO!$X$15-CÁLCULO.TotalAdmLocal)*CRONO!$F109,
                        0),
                 E108*$S107),
          SUMIF(OFFSET($S109,1,0,$R107-2),($M107+1)&amp;"$",OFFSET(E109,1,0,$R107-2)))</f>
        <v>0</v>
      </c>
      <c r="F109" s="144" t="str">
        <f ca="1">IF(OR($R107&lt;&gt;2,AUTOEVENTO&lt;&gt;"manual",$F108&gt;0),"",
        IF(Import.TipoArredondamento="Tradicional",
              SUMIF(OFFSET(CÁLCULO!$M$15,CRONO!$F107,0,OFFSET(ORÇAMENTO!$D$15,CRONO!$F107,0)),1,OFFSET(ORÇAMENTO!$X$15,CRONO!$F107,0,OFFSET(ORÇAMENTO!$D$15,CRONO!$F107,0))),
              0))</f>
        <v/>
      </c>
      <c r="H109" s="530"/>
      <c r="S109" s="160" t="str">
        <f t="shared" ref="S109" ca="1" si="193">M107&amp;"$"</f>
        <v>1$</v>
      </c>
      <c r="T109" s="161"/>
      <c r="U109" s="159">
        <f ca="1">IF($R107=2,
         IF(AND(ACOMPANHAMENTO="PLE",ISNUMBER($F107)),
                SUMIF((OFFSET(CÁLCULO!$AM$15:$AW$15,$F107,0,OFFSET(ORÇAMENTO!$D$15,CRONO!$F107,0))),CRONO!U$12,OFFSET(CÁLCULO!$AB$15:$AL$15,$F107,0,OFFSET(ORÇAMENTO!$D$15,CRONO!$F107,0)))
                +IF(AND($F109&lt;&gt;"",$F109&lt;&gt;0),
                        SUMIF(CÁLCULO!$AM$15:$AW$36,CRONO!U$12,CÁLCULO!$AB$15:$AL$36)/(ORÇAMENTO!$X$15-CÁLCULO.TotalAdmLocal)*CRONO!$F109,
                        0),
                 U108*$S107),
          SUMIF(OFFSET($S109,1,0,$R107-2),($M107+1)&amp;"$",OFFSET(U109,1,0,$R107-2)))</f>
        <v>0</v>
      </c>
      <c r="V109" s="159">
        <f ca="1">IF($R107=2,
         IF(AND(ACOMPANHAMENTO="PLE",ISNUMBER($F107)),
                SUMIF((OFFSET(CÁLCULO!$AM$15:$AW$15,$F107,0,OFFSET(ORÇAMENTO!$D$15,CRONO!$F107,0))),CRONO!V$12,OFFSET(CÁLCULO!$AB$15:$AL$15,$F107,0,OFFSET(ORÇAMENTO!$D$15,CRONO!$F107,0)))
                +IF(AND($F109&lt;&gt;"",$F109&lt;&gt;0),
                        SUMIF(CÁLCULO!$AM$15:$AW$36,CRONO!V$12,CÁLCULO!$AB$15:$AL$36)/(ORÇAMENTO!$X$15-CÁLCULO.TotalAdmLocal)*CRONO!$F109,
                        0),
                 V108*$S107),
          SUMIF(OFFSET($S109,1,0,$R107-2),($M107+1)&amp;"$",OFFSET(V109,1,0,$R107-2)))</f>
        <v>0</v>
      </c>
      <c r="W109" s="159">
        <f ca="1">IF($R107=2,
         IF(AND(ACOMPANHAMENTO="PLE",ISNUMBER($F107)),
                SUMIF((OFFSET(CÁLCULO!$AM$15:$AW$15,$F107,0,OFFSET(ORÇAMENTO!$D$15,CRONO!$F107,0))),CRONO!W$12,OFFSET(CÁLCULO!$AB$15:$AL$15,$F107,0,OFFSET(ORÇAMENTO!$D$15,CRONO!$F107,0)))
                +IF(AND($F109&lt;&gt;"",$F109&lt;&gt;0),
                        SUMIF(CÁLCULO!$AM$15:$AW$36,CRONO!W$12,CÁLCULO!$AB$15:$AL$36)/(ORÇAMENTO!$X$15-CÁLCULO.TotalAdmLocal)*CRONO!$F109,
                        0),
                 W108*$S107),
          SUMIF(OFFSET($S109,1,0,$R107-2),($M107+1)&amp;"$",OFFSET(W109,1,0,$R107-2)))</f>
        <v>0</v>
      </c>
      <c r="X109" s="159">
        <f ca="1">IF($R107=2,
         IF(AND(ACOMPANHAMENTO="PLE",ISNUMBER($F107)),
                SUMIF((OFFSET(CÁLCULO!$AM$15:$AW$15,$F107,0,OFFSET(ORÇAMENTO!$D$15,CRONO!$F107,0))),CRONO!X$12,OFFSET(CÁLCULO!$AB$15:$AL$15,$F107,0,OFFSET(ORÇAMENTO!$D$15,CRONO!$F107,0)))
                +IF(AND($F109&lt;&gt;"",$F109&lt;&gt;0),
                        SUMIF(CÁLCULO!$AM$15:$AW$36,CRONO!X$12,CÁLCULO!$AB$15:$AL$36)/(ORÇAMENTO!$X$15-CÁLCULO.TotalAdmLocal)*CRONO!$F109,
                        0),
                 X108*$S107),
          SUMIF(OFFSET($S109,1,0,$R107-2),($M107+1)&amp;"$",OFFSET(X109,1,0,$R107-2)))</f>
        <v>0</v>
      </c>
      <c r="Y109" s="159">
        <f ca="1">IF($R107=2,
         IF(AND(ACOMPANHAMENTO="PLE",ISNUMBER($F107)),
                SUMIF((OFFSET(CÁLCULO!$AM$15:$AW$15,$F107,0,OFFSET(ORÇAMENTO!$D$15,CRONO!$F107,0))),CRONO!Y$12,OFFSET(CÁLCULO!$AB$15:$AL$15,$F107,0,OFFSET(ORÇAMENTO!$D$15,CRONO!$F107,0)))
                +IF(AND($F109&lt;&gt;"",$F109&lt;&gt;0),
                        SUMIF(CÁLCULO!$AM$15:$AW$36,CRONO!Y$12,CÁLCULO!$AB$15:$AL$36)/(ORÇAMENTO!$X$15-CÁLCULO.TotalAdmLocal)*CRONO!$F109,
                        0),
                 Y108*$S107),
          SUMIF(OFFSET($S109,1,0,$R107-2),($M107+1)&amp;"$",OFFSET(Y109,1,0,$R107-2)))</f>
        <v>0</v>
      </c>
      <c r="Z109" s="159">
        <f ca="1">IF($R107=2,
         IF(AND(ACOMPANHAMENTO="PLE",ISNUMBER($F107)),
                SUMIF((OFFSET(CÁLCULO!$AM$15:$AW$15,$F107,0,OFFSET(ORÇAMENTO!$D$15,CRONO!$F107,0))),CRONO!Z$12,OFFSET(CÁLCULO!$AB$15:$AL$15,$F107,0,OFFSET(ORÇAMENTO!$D$15,CRONO!$F107,0)))
                +IF(AND($F109&lt;&gt;"",$F109&lt;&gt;0),
                        SUMIF(CÁLCULO!$AM$15:$AW$36,CRONO!Z$12,CÁLCULO!$AB$15:$AL$36)/(ORÇAMENTO!$X$15-CÁLCULO.TotalAdmLocal)*CRONO!$F109,
                        0),
                 Z108*$S107),
          SUMIF(OFFSET($S109,1,0,$R107-2),($M107+1)&amp;"$",OFFSET(Z109,1,0,$R107-2)))</f>
        <v>0</v>
      </c>
      <c r="AA109" s="159">
        <f ca="1">IF($R107=2,
         IF(AND(ACOMPANHAMENTO="PLE",ISNUMBER($F107)),
                SUMIF((OFFSET(CÁLCULO!$AM$15:$AW$15,$F107,0,OFFSET(ORÇAMENTO!$D$15,CRONO!$F107,0))),CRONO!AA$12,OFFSET(CÁLCULO!$AB$15:$AL$15,$F107,0,OFFSET(ORÇAMENTO!$D$15,CRONO!$F107,0)))
                +IF(AND($F109&lt;&gt;"",$F109&lt;&gt;0),
                        SUMIF(CÁLCULO!$AM$15:$AW$36,CRONO!AA$12,CÁLCULO!$AB$15:$AL$36)/(ORÇAMENTO!$X$15-CÁLCULO.TotalAdmLocal)*CRONO!$F109,
                        0),
                 AA108*$S107),
          SUMIF(OFFSET($S109,1,0,$R107-2),($M107+1)&amp;"$",OFFSET(AA109,1,0,$R107-2)))</f>
        <v>0</v>
      </c>
      <c r="AB109" s="159">
        <f ca="1">IF($R107=2,
         IF(AND(ACOMPANHAMENTO="PLE",ISNUMBER($F107)),
                SUMIF((OFFSET(CÁLCULO!$AM$15:$AW$15,$F107,0,OFFSET(ORÇAMENTO!$D$15,CRONO!$F107,0))),CRONO!AB$12,OFFSET(CÁLCULO!$AB$15:$AL$15,$F107,0,OFFSET(ORÇAMENTO!$D$15,CRONO!$F107,0)))
                +IF(AND($F109&lt;&gt;"",$F109&lt;&gt;0),
                        SUMIF(CÁLCULO!$AM$15:$AW$36,CRONO!AB$12,CÁLCULO!$AB$15:$AL$36)/(ORÇAMENTO!$X$15-CÁLCULO.TotalAdmLocal)*CRONO!$F109,
                        0),
                 AB108*$S107),
          SUMIF(OFFSET($S109,1,0,$R107-2),($M107+1)&amp;"$",OFFSET(AB109,1,0,$R107-2)))</f>
        <v>0</v>
      </c>
      <c r="AC109" s="159">
        <f ca="1">IF($R107=2,
         IF(AND(ACOMPANHAMENTO="PLE",ISNUMBER($F107)),
                SUMIF((OFFSET(CÁLCULO!$AM$15:$AW$15,$F107,0,OFFSET(ORÇAMENTO!$D$15,CRONO!$F107,0))),CRONO!AC$12,OFFSET(CÁLCULO!$AB$15:$AL$15,$F107,0,OFFSET(ORÇAMENTO!$D$15,CRONO!$F107,0)))
                +IF(AND($F109&lt;&gt;"",$F109&lt;&gt;0),
                        SUMIF(CÁLCULO!$AM$15:$AW$36,CRONO!AC$12,CÁLCULO!$AB$15:$AL$36)/(ORÇAMENTO!$X$15-CÁLCULO.TotalAdmLocal)*CRONO!$F109,
                        0),
                 AC108*$S107),
          SUMIF(OFFSET($S109,1,0,$R107-2),($M107+1)&amp;"$",OFFSET(AC109,1,0,$R107-2)))</f>
        <v>0</v>
      </c>
      <c r="AD109" s="159">
        <f ca="1">IF($R107=2,
         IF(AND(ACOMPANHAMENTO="PLE",ISNUMBER($F107)),
                SUMIF((OFFSET(CÁLCULO!$AM$15:$AW$15,$F107,0,OFFSET(ORÇAMENTO!$D$15,CRONO!$F107,0))),CRONO!AD$12,OFFSET(CÁLCULO!$AB$15:$AL$15,$F107,0,OFFSET(ORÇAMENTO!$D$15,CRONO!$F107,0)))
                +IF(AND($F109&lt;&gt;"",$F109&lt;&gt;0),
                        SUMIF(CÁLCULO!$AM$15:$AW$36,CRONO!AD$12,CÁLCULO!$AB$15:$AL$36)/(ORÇAMENTO!$X$15-CÁLCULO.TotalAdmLocal)*CRONO!$F109,
                        0),
                 AD108*$S107),
          SUMIF(OFFSET($S109,1,0,$R107-2),($M107+1)&amp;"$",OFFSET(AD109,1,0,$R107-2)))</f>
        <v>0</v>
      </c>
      <c r="AE109" s="159">
        <f ca="1">IF($R107=2,
         IF(AND(ACOMPANHAMENTO="PLE",ISNUMBER($F107)),
                SUMIF((OFFSET(CÁLCULO!$AM$15:$AW$15,$F107,0,OFFSET(ORÇAMENTO!$D$15,CRONO!$F107,0))),CRONO!AE$12,OFFSET(CÁLCULO!$AB$15:$AL$15,$F107,0,OFFSET(ORÇAMENTO!$D$15,CRONO!$F107,0)))
                +IF(AND($F109&lt;&gt;"",$F109&lt;&gt;0),
                        SUMIF(CÁLCULO!$AM$15:$AW$36,CRONO!AE$12,CÁLCULO!$AB$15:$AL$36)/(ORÇAMENTO!$X$15-CÁLCULO.TotalAdmLocal)*CRONO!$F109,
                        0),
                 AE108*$S107),
          SUMIF(OFFSET($S109,1,0,$R107-2),($M107+1)&amp;"$",OFFSET(AE109,1,0,$R107-2)))</f>
        <v>0</v>
      </c>
      <c r="AF109" s="159">
        <f ca="1">IF($R107=2,
         IF(AND(ACOMPANHAMENTO="PLE",ISNUMBER($F107)),
                SUMIF((OFFSET(CÁLCULO!$AM$15:$AW$15,$F107,0,OFFSET(ORÇAMENTO!$D$15,CRONO!$F107,0))),CRONO!AF$12,OFFSET(CÁLCULO!$AB$15:$AL$15,$F107,0,OFFSET(ORÇAMENTO!$D$15,CRONO!$F107,0)))
                +IF(AND($F109&lt;&gt;"",$F109&lt;&gt;0),
                        SUMIF(CÁLCULO!$AM$15:$AW$36,CRONO!AF$12,CÁLCULO!$AB$15:$AL$36)/(ORÇAMENTO!$X$15-CÁLCULO.TotalAdmLocal)*CRONO!$F109,
                        0),
                 AF108*$S107),
          SUMIF(OFFSET($S109,1,0,$R107-2),($M107+1)&amp;"$",OFFSET(AF109,1,0,$R107-2)))</f>
        <v>0</v>
      </c>
      <c r="AG109" s="444"/>
    </row>
    <row r="110" spans="1:33" hidden="1" x14ac:dyDescent="0.25">
      <c r="A110" s="145" t="str">
        <f t="shared" ref="A110" ca="1" si="194">IF($M110&gt;1,CONCATENATE($I110," ",$J110),"")</f>
        <v/>
      </c>
      <c r="B110" s="144">
        <f t="shared" ref="B110" ca="1" si="195">OFFSET(B110,-3,0)+1</f>
        <v>33</v>
      </c>
      <c r="C110" s="144">
        <f ca="1">IF($R110&lt;&gt;2,0,IF($S110=0,1,IF(F111&gt;0,OFFSET(QCI!$M$13,SUBSTITUTE(F111,".",""),0),OFFSET(ORÇAMENTO!$AA$15,CRONO!$F110,0))/$S110))</f>
        <v>0</v>
      </c>
      <c r="D110" s="144">
        <f ca="1">IF($R110&lt;&gt;2,0,IF($S110=0,1,IF(F111&gt;0,OFFSET(QCI!$N$13,SUBSTITUTE(F111,".",""),0),OFFSET(ORÇAMENTO!$AB$15,CRONO!$F110,0))/$S110))</f>
        <v>0</v>
      </c>
      <c r="E110" s="147" t="e">
        <f ca="1">IF(AND($R110=2,ACOMPANHAMENTO="BM"),ROUND(E111,4),E112/$S110)</f>
        <v>#VALUE!</v>
      </c>
      <c r="F110" s="144" t="e">
        <f ca="1">IF(B110&lt;=ORÇAMENTO.MáximoListaCrono,MATCH(B110,ORÇAMENTO.ListaCrono,0),NA())</f>
        <v>#N/A</v>
      </c>
      <c r="G110" s="144" t="str">
        <f t="shared" ref="G110" ca="1" si="196">IF(AND($F111&lt;&gt;-1,$S110&gt;0),"F","")</f>
        <v/>
      </c>
      <c r="H110" s="617" t="str">
        <f ca="1">IF(OR(S110=0,S110=""),"Linha",IF(AND(OR(ACOMPANHAMENTO="PLE",$R110&lt;&gt;2),$F111=0),"Linha",ROUND(1-SUM(U110:AG110),4)))</f>
        <v>Linha</v>
      </c>
      <c r="I110" s="148" t="str">
        <f ca="1">IF($F111=0,OFFSET(ORÇAMENTO!O$15,$F110,0),IF($F111&lt;&gt;-1,OFFSET(QCI!$D$13,$F111,0),""))</f>
        <v/>
      </c>
      <c r="J110" s="149" t="str">
        <f ca="1">IF($F111=0,OFFSET(ORÇAMENTO!R$15,$F110,0),IF($F111&lt;&gt;-1,OFFSET(QCI!$G$13,$F111,0),""))</f>
        <v/>
      </c>
      <c r="K110" s="149"/>
      <c r="L110" s="149"/>
      <c r="M110" s="150">
        <f ca="1">IF($F111=0,OFFSET(ORÇAMENTO!C$15,$F110,0),1)</f>
        <v>1</v>
      </c>
      <c r="N110" s="151">
        <f ca="1">IF($F111=-1,0,IF(N$13&lt;=$M110,IF(ISERROR(MATCH(N$13,OFFSET($M110,1,0,ROW($M$164)-ROW($M110)-1),0)),ROW($M$164)-ROW($M110)-1,MATCH(N$13,OFFSET($M110,1,0,ROW($M$164)-ROW($M110)-1),0)-1),0))</f>
        <v>0</v>
      </c>
      <c r="O110" s="151">
        <f ca="1">IF($F111=-1,0,IF(O$13&lt;=$M110,IF(ISERROR(MATCH(O$13,OFFSET($M110,1,0,ROW($M$164)-ROW($M110)-1),0)),ROW($M$164)-ROW($M110)-1,MATCH(O$13,OFFSET($M110,1,0,ROW($M$164)-ROW($M110)-1),0)-1),0))</f>
        <v>0</v>
      </c>
      <c r="P110" s="151">
        <f ca="1">IF($F111=-1,0,IF(P$13&lt;=$M110,IF(ISERROR(MATCH(P$13,OFFSET($M110,1,0,ROW($M$164)-ROW($M110)-1),0)),ROW($M$164)-ROW($M110)-1,MATCH(P$13,OFFSET($M110,1,0,ROW($M$164)-ROW($M110)-1),0)-1),0))</f>
        <v>0</v>
      </c>
      <c r="Q110" s="151">
        <f ca="1">IF($F111=-1,0,IF(Q$13&lt;=$M110,IF(ISERROR(MATCH(Q$13,OFFSET($M110,1,0,ROW($M$164)-ROW($M110)-1),0)),ROW($M$164)-ROW($M110)-1,MATCH(Q$13,OFFSET($M110,1,0,ROW($M$164)-ROW($M110)-1),0)-1),0))</f>
        <v>0</v>
      </c>
      <c r="R110" s="151">
        <f t="shared" ref="R110" ca="1" si="197">MIN(OFFSET(M110,0,1,,M110))</f>
        <v>0</v>
      </c>
      <c r="S110" s="152" t="str">
        <f ca="1">IF($F111=0,OFFSET(ORÇAMENTO!X$15,$F110,0),IF($F111&lt;&gt;-1,OFFSET(QCI!$O$13,$F111,0),""))</f>
        <v/>
      </c>
      <c r="T110" s="618" t="s">
        <v>809</v>
      </c>
      <c r="U110" s="147" t="e">
        <f ca="1">IF(AND($R110=2,ACOMPANHAMENTO="BM"),ROUND(U111,4),U112/$S110)</f>
        <v>#VALUE!</v>
      </c>
      <c r="V110" s="147" t="e">
        <f ca="1">IF(AND($R110=2,ACOMPANHAMENTO="BM"),ROUND(V111,4),V112/$S110)</f>
        <v>#VALUE!</v>
      </c>
      <c r="W110" s="147" t="e">
        <f ca="1">IF(AND($R110=2,ACOMPANHAMENTO="BM"),ROUND(W111,4),W112/$S110)</f>
        <v>#VALUE!</v>
      </c>
      <c r="X110" s="147" t="e">
        <f ca="1">IF(AND($R110=2,ACOMPANHAMENTO="BM"),ROUND(X111,4),X112/$S110)</f>
        <v>#VALUE!</v>
      </c>
      <c r="Y110" s="147" t="e">
        <f ca="1">IF(AND($R110=2,ACOMPANHAMENTO="BM"),ROUND(Y111,4),Y112/$S110)</f>
        <v>#VALUE!</v>
      </c>
      <c r="Z110" s="147" t="e">
        <f ca="1">IF(AND($R110=2,ACOMPANHAMENTO="BM"),ROUND(Z111,4),Z112/$S110)</f>
        <v>#VALUE!</v>
      </c>
      <c r="AA110" s="147" t="e">
        <f ca="1">IF(AND($R110=2,ACOMPANHAMENTO="BM"),ROUND(AA111,4),AA112/$S110)</f>
        <v>#VALUE!</v>
      </c>
      <c r="AB110" s="147" t="e">
        <f ca="1">IF(AND($R110=2,ACOMPANHAMENTO="BM"),ROUND(AB111,4),AB112/$S110)</f>
        <v>#VALUE!</v>
      </c>
      <c r="AC110" s="147" t="e">
        <f ca="1">IF(AND($R110=2,ACOMPANHAMENTO="BM"),ROUND(AC111,4),AC112/$S110)</f>
        <v>#VALUE!</v>
      </c>
      <c r="AD110" s="147" t="e">
        <f ca="1">IF(AND($R110=2,ACOMPANHAMENTO="BM"),ROUND(AD111,4),AD112/$S110)</f>
        <v>#VALUE!</v>
      </c>
      <c r="AE110" s="147" t="e">
        <f ca="1">IF(AND($R110=2,ACOMPANHAMENTO="BM"),ROUND(AE111,4),AE112/$S110)</f>
        <v>#VALUE!</v>
      </c>
      <c r="AF110" s="147" t="e">
        <f ca="1">IF(AND($R110=2,ACOMPANHAMENTO="BM"),ROUND(AF111,4),AF112/$S110)</f>
        <v>#VALUE!</v>
      </c>
      <c r="AG110" s="444"/>
    </row>
    <row r="111" spans="1:33" ht="12.75" hidden="1" customHeight="1" x14ac:dyDescent="0.25">
      <c r="E111" s="501"/>
      <c r="F111" s="144">
        <f ca="1">IF(ISERROR(F110),IF(1+COUNTIF($M$13:OFFSET(M110,-1,0),1)&lt;=MAX(QCI!$D$13:$D$24),1+COUNTIF($M$13:OFFSET(M110,-1,0),1),-1),0)</f>
        <v>-1</v>
      </c>
      <c r="G111" s="144" t="str">
        <f ca="1">IF(ACOMPANHAMENTO="BM",OFFSET(G111,-1,0),"")</f>
        <v/>
      </c>
      <c r="H111" s="153" t="str">
        <f ca="1">IF(OR(S110=0,S110=""),"vazia",IF(AND(OR(ACOMPANHAMENTO="PLE",$R110&lt;&gt;2),$F111=0),"calculada","--&gt;"))</f>
        <v>vazia</v>
      </c>
      <c r="I111" s="154"/>
      <c r="J111" s="155" t="str">
        <f t="shared" ref="J111" ca="1" si="198">IF(AND(H110&lt;&gt;0,ISNUMBER(H110)),"PREENCHA ESTA LINHA --&gt;","")</f>
        <v/>
      </c>
      <c r="K111" s="155"/>
      <c r="L111" s="155"/>
      <c r="M111" s="156"/>
      <c r="N111" s="156"/>
      <c r="O111" s="156"/>
      <c r="P111" s="156"/>
      <c r="Q111" s="156"/>
      <c r="R111" s="156"/>
      <c r="S111" s="157"/>
      <c r="T111" s="158"/>
      <c r="U111" s="501"/>
      <c r="V111" s="501"/>
      <c r="W111" s="501"/>
      <c r="X111" s="501"/>
      <c r="Y111" s="501"/>
      <c r="Z111" s="501"/>
      <c r="AA111" s="501"/>
      <c r="AB111" s="501"/>
      <c r="AC111" s="501"/>
      <c r="AD111" s="501"/>
      <c r="AE111" s="501"/>
      <c r="AF111" s="501"/>
      <c r="AG111" s="444"/>
    </row>
    <row r="112" spans="1:33" ht="12.75" hidden="1" customHeight="1" x14ac:dyDescent="0.25">
      <c r="D112" s="443"/>
      <c r="E112" s="159">
        <f ca="1">IF($R110=2,
         IF(AND(ACOMPANHAMENTO="PLE",ISNUMBER($F110)),
                SUMIF((OFFSET(CÁLCULO!$AM$15:$AW$15,$F110,0,OFFSET(ORÇAMENTO!$D$15,CRONO!$F110,0))),CRONO!E$12,OFFSET(CÁLCULO!$AB$15:$AL$15,$F110,0,OFFSET(ORÇAMENTO!$D$15,CRONO!$F110,0)))
                +IF(AND($F112&lt;&gt;"",$F112&lt;&gt;0),
                        SUMIF(CÁLCULO!$AM$15:$AW$36,CRONO!E$12,CÁLCULO!$AB$15:$AL$36)/(ORÇAMENTO!$X$15-CÁLCULO.TotalAdmLocal)*CRONO!$F112,
                        0),
                 E111*$S110),
          SUMIF(OFFSET($S112,1,0,$R110-2),($M110+1)&amp;"$",OFFSET(E112,1,0,$R110-2)))</f>
        <v>0</v>
      </c>
      <c r="F112" s="144" t="str">
        <f ca="1">IF(OR($R110&lt;&gt;2,AUTOEVENTO&lt;&gt;"manual",$F111&gt;0),"",
        IF(Import.TipoArredondamento="Tradicional",
              SUMIF(OFFSET(CÁLCULO!$M$15,CRONO!$F110,0,OFFSET(ORÇAMENTO!$D$15,CRONO!$F110,0)),1,OFFSET(ORÇAMENTO!$X$15,CRONO!$F110,0,OFFSET(ORÇAMENTO!$D$15,CRONO!$F110,0))),
              0))</f>
        <v/>
      </c>
      <c r="H112" s="530"/>
      <c r="S112" s="160" t="str">
        <f t="shared" ref="S112" ca="1" si="199">M110&amp;"$"</f>
        <v>1$</v>
      </c>
      <c r="T112" s="161"/>
      <c r="U112" s="159">
        <f ca="1">IF($R110=2,
         IF(AND(ACOMPANHAMENTO="PLE",ISNUMBER($F110)),
                SUMIF((OFFSET(CÁLCULO!$AM$15:$AW$15,$F110,0,OFFSET(ORÇAMENTO!$D$15,CRONO!$F110,0))),CRONO!U$12,OFFSET(CÁLCULO!$AB$15:$AL$15,$F110,0,OFFSET(ORÇAMENTO!$D$15,CRONO!$F110,0)))
                +IF(AND($F112&lt;&gt;"",$F112&lt;&gt;0),
                        SUMIF(CÁLCULO!$AM$15:$AW$36,CRONO!U$12,CÁLCULO!$AB$15:$AL$36)/(ORÇAMENTO!$X$15-CÁLCULO.TotalAdmLocal)*CRONO!$F112,
                        0),
                 U111*$S110),
          SUMIF(OFFSET($S112,1,0,$R110-2),($M110+1)&amp;"$",OFFSET(U112,1,0,$R110-2)))</f>
        <v>0</v>
      </c>
      <c r="V112" s="159">
        <f ca="1">IF($R110=2,
         IF(AND(ACOMPANHAMENTO="PLE",ISNUMBER($F110)),
                SUMIF((OFFSET(CÁLCULO!$AM$15:$AW$15,$F110,0,OFFSET(ORÇAMENTO!$D$15,CRONO!$F110,0))),CRONO!V$12,OFFSET(CÁLCULO!$AB$15:$AL$15,$F110,0,OFFSET(ORÇAMENTO!$D$15,CRONO!$F110,0)))
                +IF(AND($F112&lt;&gt;"",$F112&lt;&gt;0),
                        SUMIF(CÁLCULO!$AM$15:$AW$36,CRONO!V$12,CÁLCULO!$AB$15:$AL$36)/(ORÇAMENTO!$X$15-CÁLCULO.TotalAdmLocal)*CRONO!$F112,
                        0),
                 V111*$S110),
          SUMIF(OFFSET($S112,1,0,$R110-2),($M110+1)&amp;"$",OFFSET(V112,1,0,$R110-2)))</f>
        <v>0</v>
      </c>
      <c r="W112" s="159">
        <f ca="1">IF($R110=2,
         IF(AND(ACOMPANHAMENTO="PLE",ISNUMBER($F110)),
                SUMIF((OFFSET(CÁLCULO!$AM$15:$AW$15,$F110,0,OFFSET(ORÇAMENTO!$D$15,CRONO!$F110,0))),CRONO!W$12,OFFSET(CÁLCULO!$AB$15:$AL$15,$F110,0,OFFSET(ORÇAMENTO!$D$15,CRONO!$F110,0)))
                +IF(AND($F112&lt;&gt;"",$F112&lt;&gt;0),
                        SUMIF(CÁLCULO!$AM$15:$AW$36,CRONO!W$12,CÁLCULO!$AB$15:$AL$36)/(ORÇAMENTO!$X$15-CÁLCULO.TotalAdmLocal)*CRONO!$F112,
                        0),
                 W111*$S110),
          SUMIF(OFFSET($S112,1,0,$R110-2),($M110+1)&amp;"$",OFFSET(W112,1,0,$R110-2)))</f>
        <v>0</v>
      </c>
      <c r="X112" s="159">
        <f ca="1">IF($R110=2,
         IF(AND(ACOMPANHAMENTO="PLE",ISNUMBER($F110)),
                SUMIF((OFFSET(CÁLCULO!$AM$15:$AW$15,$F110,0,OFFSET(ORÇAMENTO!$D$15,CRONO!$F110,0))),CRONO!X$12,OFFSET(CÁLCULO!$AB$15:$AL$15,$F110,0,OFFSET(ORÇAMENTO!$D$15,CRONO!$F110,0)))
                +IF(AND($F112&lt;&gt;"",$F112&lt;&gt;0),
                        SUMIF(CÁLCULO!$AM$15:$AW$36,CRONO!X$12,CÁLCULO!$AB$15:$AL$36)/(ORÇAMENTO!$X$15-CÁLCULO.TotalAdmLocal)*CRONO!$F112,
                        0),
                 X111*$S110),
          SUMIF(OFFSET($S112,1,0,$R110-2),($M110+1)&amp;"$",OFFSET(X112,1,0,$R110-2)))</f>
        <v>0</v>
      </c>
      <c r="Y112" s="159">
        <f ca="1">IF($R110=2,
         IF(AND(ACOMPANHAMENTO="PLE",ISNUMBER($F110)),
                SUMIF((OFFSET(CÁLCULO!$AM$15:$AW$15,$F110,0,OFFSET(ORÇAMENTO!$D$15,CRONO!$F110,0))),CRONO!Y$12,OFFSET(CÁLCULO!$AB$15:$AL$15,$F110,0,OFFSET(ORÇAMENTO!$D$15,CRONO!$F110,0)))
                +IF(AND($F112&lt;&gt;"",$F112&lt;&gt;0),
                        SUMIF(CÁLCULO!$AM$15:$AW$36,CRONO!Y$12,CÁLCULO!$AB$15:$AL$36)/(ORÇAMENTO!$X$15-CÁLCULO.TotalAdmLocal)*CRONO!$F112,
                        0),
                 Y111*$S110),
          SUMIF(OFFSET($S112,1,0,$R110-2),($M110+1)&amp;"$",OFFSET(Y112,1,0,$R110-2)))</f>
        <v>0</v>
      </c>
      <c r="Z112" s="159">
        <f ca="1">IF($R110=2,
         IF(AND(ACOMPANHAMENTO="PLE",ISNUMBER($F110)),
                SUMIF((OFFSET(CÁLCULO!$AM$15:$AW$15,$F110,0,OFFSET(ORÇAMENTO!$D$15,CRONO!$F110,0))),CRONO!Z$12,OFFSET(CÁLCULO!$AB$15:$AL$15,$F110,0,OFFSET(ORÇAMENTO!$D$15,CRONO!$F110,0)))
                +IF(AND($F112&lt;&gt;"",$F112&lt;&gt;0),
                        SUMIF(CÁLCULO!$AM$15:$AW$36,CRONO!Z$12,CÁLCULO!$AB$15:$AL$36)/(ORÇAMENTO!$X$15-CÁLCULO.TotalAdmLocal)*CRONO!$F112,
                        0),
                 Z111*$S110),
          SUMIF(OFFSET($S112,1,0,$R110-2),($M110+1)&amp;"$",OFFSET(Z112,1,0,$R110-2)))</f>
        <v>0</v>
      </c>
      <c r="AA112" s="159">
        <f ca="1">IF($R110=2,
         IF(AND(ACOMPANHAMENTO="PLE",ISNUMBER($F110)),
                SUMIF((OFFSET(CÁLCULO!$AM$15:$AW$15,$F110,0,OFFSET(ORÇAMENTO!$D$15,CRONO!$F110,0))),CRONO!AA$12,OFFSET(CÁLCULO!$AB$15:$AL$15,$F110,0,OFFSET(ORÇAMENTO!$D$15,CRONO!$F110,0)))
                +IF(AND($F112&lt;&gt;"",$F112&lt;&gt;0),
                        SUMIF(CÁLCULO!$AM$15:$AW$36,CRONO!AA$12,CÁLCULO!$AB$15:$AL$36)/(ORÇAMENTO!$X$15-CÁLCULO.TotalAdmLocal)*CRONO!$F112,
                        0),
                 AA111*$S110),
          SUMIF(OFFSET($S112,1,0,$R110-2),($M110+1)&amp;"$",OFFSET(AA112,1,0,$R110-2)))</f>
        <v>0</v>
      </c>
      <c r="AB112" s="159">
        <f ca="1">IF($R110=2,
         IF(AND(ACOMPANHAMENTO="PLE",ISNUMBER($F110)),
                SUMIF((OFFSET(CÁLCULO!$AM$15:$AW$15,$F110,0,OFFSET(ORÇAMENTO!$D$15,CRONO!$F110,0))),CRONO!AB$12,OFFSET(CÁLCULO!$AB$15:$AL$15,$F110,0,OFFSET(ORÇAMENTO!$D$15,CRONO!$F110,0)))
                +IF(AND($F112&lt;&gt;"",$F112&lt;&gt;0),
                        SUMIF(CÁLCULO!$AM$15:$AW$36,CRONO!AB$12,CÁLCULO!$AB$15:$AL$36)/(ORÇAMENTO!$X$15-CÁLCULO.TotalAdmLocal)*CRONO!$F112,
                        0),
                 AB111*$S110),
          SUMIF(OFFSET($S112,1,0,$R110-2),($M110+1)&amp;"$",OFFSET(AB112,1,0,$R110-2)))</f>
        <v>0</v>
      </c>
      <c r="AC112" s="159">
        <f ca="1">IF($R110=2,
         IF(AND(ACOMPANHAMENTO="PLE",ISNUMBER($F110)),
                SUMIF((OFFSET(CÁLCULO!$AM$15:$AW$15,$F110,0,OFFSET(ORÇAMENTO!$D$15,CRONO!$F110,0))),CRONO!AC$12,OFFSET(CÁLCULO!$AB$15:$AL$15,$F110,0,OFFSET(ORÇAMENTO!$D$15,CRONO!$F110,0)))
                +IF(AND($F112&lt;&gt;"",$F112&lt;&gt;0),
                        SUMIF(CÁLCULO!$AM$15:$AW$36,CRONO!AC$12,CÁLCULO!$AB$15:$AL$36)/(ORÇAMENTO!$X$15-CÁLCULO.TotalAdmLocal)*CRONO!$F112,
                        0),
                 AC111*$S110),
          SUMIF(OFFSET($S112,1,0,$R110-2),($M110+1)&amp;"$",OFFSET(AC112,1,0,$R110-2)))</f>
        <v>0</v>
      </c>
      <c r="AD112" s="159">
        <f ca="1">IF($R110=2,
         IF(AND(ACOMPANHAMENTO="PLE",ISNUMBER($F110)),
                SUMIF((OFFSET(CÁLCULO!$AM$15:$AW$15,$F110,0,OFFSET(ORÇAMENTO!$D$15,CRONO!$F110,0))),CRONO!AD$12,OFFSET(CÁLCULO!$AB$15:$AL$15,$F110,0,OFFSET(ORÇAMENTO!$D$15,CRONO!$F110,0)))
                +IF(AND($F112&lt;&gt;"",$F112&lt;&gt;0),
                        SUMIF(CÁLCULO!$AM$15:$AW$36,CRONO!AD$12,CÁLCULO!$AB$15:$AL$36)/(ORÇAMENTO!$X$15-CÁLCULO.TotalAdmLocal)*CRONO!$F112,
                        0),
                 AD111*$S110),
          SUMIF(OFFSET($S112,1,0,$R110-2),($M110+1)&amp;"$",OFFSET(AD112,1,0,$R110-2)))</f>
        <v>0</v>
      </c>
      <c r="AE112" s="159">
        <f ca="1">IF($R110=2,
         IF(AND(ACOMPANHAMENTO="PLE",ISNUMBER($F110)),
                SUMIF((OFFSET(CÁLCULO!$AM$15:$AW$15,$F110,0,OFFSET(ORÇAMENTO!$D$15,CRONO!$F110,0))),CRONO!AE$12,OFFSET(CÁLCULO!$AB$15:$AL$15,$F110,0,OFFSET(ORÇAMENTO!$D$15,CRONO!$F110,0)))
                +IF(AND($F112&lt;&gt;"",$F112&lt;&gt;0),
                        SUMIF(CÁLCULO!$AM$15:$AW$36,CRONO!AE$12,CÁLCULO!$AB$15:$AL$36)/(ORÇAMENTO!$X$15-CÁLCULO.TotalAdmLocal)*CRONO!$F112,
                        0),
                 AE111*$S110),
          SUMIF(OFFSET($S112,1,0,$R110-2),($M110+1)&amp;"$",OFFSET(AE112,1,0,$R110-2)))</f>
        <v>0</v>
      </c>
      <c r="AF112" s="159">
        <f ca="1">IF($R110=2,
         IF(AND(ACOMPANHAMENTO="PLE",ISNUMBER($F110)),
                SUMIF((OFFSET(CÁLCULO!$AM$15:$AW$15,$F110,0,OFFSET(ORÇAMENTO!$D$15,CRONO!$F110,0))),CRONO!AF$12,OFFSET(CÁLCULO!$AB$15:$AL$15,$F110,0,OFFSET(ORÇAMENTO!$D$15,CRONO!$F110,0)))
                +IF(AND($F112&lt;&gt;"",$F112&lt;&gt;0),
                        SUMIF(CÁLCULO!$AM$15:$AW$36,CRONO!AF$12,CÁLCULO!$AB$15:$AL$36)/(ORÇAMENTO!$X$15-CÁLCULO.TotalAdmLocal)*CRONO!$F112,
                        0),
                 AF111*$S110),
          SUMIF(OFFSET($S112,1,0,$R110-2),($M110+1)&amp;"$",OFFSET(AF112,1,0,$R110-2)))</f>
        <v>0</v>
      </c>
      <c r="AG112" s="444"/>
    </row>
    <row r="113" spans="1:33" hidden="1" x14ac:dyDescent="0.25">
      <c r="A113" s="145" t="str">
        <f t="shared" ref="A113" ca="1" si="200">IF($M113&gt;1,CONCATENATE($I113," ",$J113),"")</f>
        <v/>
      </c>
      <c r="B113" s="144">
        <f t="shared" ref="B113" ca="1" si="201">OFFSET(B113,-3,0)+1</f>
        <v>34</v>
      </c>
      <c r="C113" s="144">
        <f ca="1">IF($R113&lt;&gt;2,0,IF($S113=0,1,IF(F114&gt;0,OFFSET(QCI!$M$13,SUBSTITUTE(F114,".",""),0),OFFSET(ORÇAMENTO!$AA$15,CRONO!$F113,0))/$S113))</f>
        <v>0</v>
      </c>
      <c r="D113" s="144">
        <f ca="1">IF($R113&lt;&gt;2,0,IF($S113=0,1,IF(F114&gt;0,OFFSET(QCI!$N$13,SUBSTITUTE(F114,".",""),0),OFFSET(ORÇAMENTO!$AB$15,CRONO!$F113,0))/$S113))</f>
        <v>0</v>
      </c>
      <c r="E113" s="147" t="e">
        <f ca="1">IF(AND($R113=2,ACOMPANHAMENTO="BM"),ROUND(E114,4),E115/$S113)</f>
        <v>#VALUE!</v>
      </c>
      <c r="F113" s="144" t="e">
        <f ca="1">IF(B113&lt;=ORÇAMENTO.MáximoListaCrono,MATCH(B113,ORÇAMENTO.ListaCrono,0),NA())</f>
        <v>#N/A</v>
      </c>
      <c r="G113" s="144" t="str">
        <f t="shared" ref="G113" ca="1" si="202">IF(AND($F114&lt;&gt;-1,$S113&gt;0),"F","")</f>
        <v/>
      </c>
      <c r="H113" s="617" t="str">
        <f ca="1">IF(OR(S113=0,S113=""),"Linha",IF(AND(OR(ACOMPANHAMENTO="PLE",$R113&lt;&gt;2),$F114=0),"Linha",ROUND(1-SUM(U113:AG113),4)))</f>
        <v>Linha</v>
      </c>
      <c r="I113" s="148" t="str">
        <f ca="1">IF($F114=0,OFFSET(ORÇAMENTO!O$15,$F113,0),IF($F114&lt;&gt;-1,OFFSET(QCI!$D$13,$F114,0),""))</f>
        <v/>
      </c>
      <c r="J113" s="149" t="str">
        <f ca="1">IF($F114=0,OFFSET(ORÇAMENTO!R$15,$F113,0),IF($F114&lt;&gt;-1,OFFSET(QCI!$G$13,$F114,0),""))</f>
        <v/>
      </c>
      <c r="K113" s="149"/>
      <c r="L113" s="149"/>
      <c r="M113" s="150">
        <f ca="1">IF($F114=0,OFFSET(ORÇAMENTO!C$15,$F113,0),1)</f>
        <v>1</v>
      </c>
      <c r="N113" s="151">
        <f ca="1">IF($F114=-1,0,IF(N$13&lt;=$M113,IF(ISERROR(MATCH(N$13,OFFSET($M113,1,0,ROW($M$164)-ROW($M113)-1),0)),ROW($M$164)-ROW($M113)-1,MATCH(N$13,OFFSET($M113,1,0,ROW($M$164)-ROW($M113)-1),0)-1),0))</f>
        <v>0</v>
      </c>
      <c r="O113" s="151">
        <f ca="1">IF($F114=-1,0,IF(O$13&lt;=$M113,IF(ISERROR(MATCH(O$13,OFFSET($M113,1,0,ROW($M$164)-ROW($M113)-1),0)),ROW($M$164)-ROW($M113)-1,MATCH(O$13,OFFSET($M113,1,0,ROW($M$164)-ROW($M113)-1),0)-1),0))</f>
        <v>0</v>
      </c>
      <c r="P113" s="151">
        <f ca="1">IF($F114=-1,0,IF(P$13&lt;=$M113,IF(ISERROR(MATCH(P$13,OFFSET($M113,1,0,ROW($M$164)-ROW($M113)-1),0)),ROW($M$164)-ROW($M113)-1,MATCH(P$13,OFFSET($M113,1,0,ROW($M$164)-ROW($M113)-1),0)-1),0))</f>
        <v>0</v>
      </c>
      <c r="Q113" s="151">
        <f ca="1">IF($F114=-1,0,IF(Q$13&lt;=$M113,IF(ISERROR(MATCH(Q$13,OFFSET($M113,1,0,ROW($M$164)-ROW($M113)-1),0)),ROW($M$164)-ROW($M113)-1,MATCH(Q$13,OFFSET($M113,1,0,ROW($M$164)-ROW($M113)-1),0)-1),0))</f>
        <v>0</v>
      </c>
      <c r="R113" s="151">
        <f t="shared" ref="R113" ca="1" si="203">MIN(OFFSET(M113,0,1,,M113))</f>
        <v>0</v>
      </c>
      <c r="S113" s="152" t="str">
        <f ca="1">IF($F114=0,OFFSET(ORÇAMENTO!X$15,$F113,0),IF($F114&lt;&gt;-1,OFFSET(QCI!$O$13,$F114,0),""))</f>
        <v/>
      </c>
      <c r="T113" s="618" t="s">
        <v>809</v>
      </c>
      <c r="U113" s="147" t="e">
        <f ca="1">IF(AND($R113=2,ACOMPANHAMENTO="BM"),ROUND(U114,4),U115/$S113)</f>
        <v>#VALUE!</v>
      </c>
      <c r="V113" s="147" t="e">
        <f ca="1">IF(AND($R113=2,ACOMPANHAMENTO="BM"),ROUND(V114,4),V115/$S113)</f>
        <v>#VALUE!</v>
      </c>
      <c r="W113" s="147" t="e">
        <f ca="1">IF(AND($R113=2,ACOMPANHAMENTO="BM"),ROUND(W114,4),W115/$S113)</f>
        <v>#VALUE!</v>
      </c>
      <c r="X113" s="147" t="e">
        <f ca="1">IF(AND($R113=2,ACOMPANHAMENTO="BM"),ROUND(X114,4),X115/$S113)</f>
        <v>#VALUE!</v>
      </c>
      <c r="Y113" s="147" t="e">
        <f ca="1">IF(AND($R113=2,ACOMPANHAMENTO="BM"),ROUND(Y114,4),Y115/$S113)</f>
        <v>#VALUE!</v>
      </c>
      <c r="Z113" s="147" t="e">
        <f ca="1">IF(AND($R113=2,ACOMPANHAMENTO="BM"),ROUND(Z114,4),Z115/$S113)</f>
        <v>#VALUE!</v>
      </c>
      <c r="AA113" s="147" t="e">
        <f ca="1">IF(AND($R113=2,ACOMPANHAMENTO="BM"),ROUND(AA114,4),AA115/$S113)</f>
        <v>#VALUE!</v>
      </c>
      <c r="AB113" s="147" t="e">
        <f ca="1">IF(AND($R113=2,ACOMPANHAMENTO="BM"),ROUND(AB114,4),AB115/$S113)</f>
        <v>#VALUE!</v>
      </c>
      <c r="AC113" s="147" t="e">
        <f ca="1">IF(AND($R113=2,ACOMPANHAMENTO="BM"),ROUND(AC114,4),AC115/$S113)</f>
        <v>#VALUE!</v>
      </c>
      <c r="AD113" s="147" t="e">
        <f ca="1">IF(AND($R113=2,ACOMPANHAMENTO="BM"),ROUND(AD114,4),AD115/$S113)</f>
        <v>#VALUE!</v>
      </c>
      <c r="AE113" s="147" t="e">
        <f ca="1">IF(AND($R113=2,ACOMPANHAMENTO="BM"),ROUND(AE114,4),AE115/$S113)</f>
        <v>#VALUE!</v>
      </c>
      <c r="AF113" s="147" t="e">
        <f ca="1">IF(AND($R113=2,ACOMPANHAMENTO="BM"),ROUND(AF114,4),AF115/$S113)</f>
        <v>#VALUE!</v>
      </c>
      <c r="AG113" s="444"/>
    </row>
    <row r="114" spans="1:33" ht="12.75" hidden="1" customHeight="1" x14ac:dyDescent="0.25">
      <c r="E114" s="501"/>
      <c r="F114" s="144">
        <f ca="1">IF(ISERROR(F113),IF(1+COUNTIF($M$13:OFFSET(M113,-1,0),1)&lt;=MAX(QCI!$D$13:$D$24),1+COUNTIF($M$13:OFFSET(M113,-1,0),1),-1),0)</f>
        <v>-1</v>
      </c>
      <c r="G114" s="144" t="str">
        <f ca="1">IF(ACOMPANHAMENTO="BM",OFFSET(G114,-1,0),"")</f>
        <v/>
      </c>
      <c r="H114" s="153" t="str">
        <f ca="1">IF(OR(S113=0,S113=""),"vazia",IF(AND(OR(ACOMPANHAMENTO="PLE",$R113&lt;&gt;2),$F114=0),"calculada","--&gt;"))</f>
        <v>vazia</v>
      </c>
      <c r="I114" s="154"/>
      <c r="J114" s="155" t="str">
        <f t="shared" ref="J114" ca="1" si="204">IF(AND(H113&lt;&gt;0,ISNUMBER(H113)),"PREENCHA ESTA LINHA --&gt;","")</f>
        <v/>
      </c>
      <c r="K114" s="155"/>
      <c r="L114" s="155"/>
      <c r="M114" s="156"/>
      <c r="N114" s="156"/>
      <c r="O114" s="156"/>
      <c r="P114" s="156"/>
      <c r="Q114" s="156"/>
      <c r="R114" s="156"/>
      <c r="S114" s="157"/>
      <c r="T114" s="158"/>
      <c r="U114" s="501"/>
      <c r="V114" s="501"/>
      <c r="W114" s="501"/>
      <c r="X114" s="501"/>
      <c r="Y114" s="501"/>
      <c r="Z114" s="501"/>
      <c r="AA114" s="501"/>
      <c r="AB114" s="501"/>
      <c r="AC114" s="501"/>
      <c r="AD114" s="501"/>
      <c r="AE114" s="501"/>
      <c r="AF114" s="501"/>
      <c r="AG114" s="444"/>
    </row>
    <row r="115" spans="1:33" ht="12.75" hidden="1" customHeight="1" x14ac:dyDescent="0.25">
      <c r="D115" s="443"/>
      <c r="E115" s="159">
        <f ca="1">IF($R113=2,
         IF(AND(ACOMPANHAMENTO="PLE",ISNUMBER($F113)),
                SUMIF((OFFSET(CÁLCULO!$AM$15:$AW$15,$F113,0,OFFSET(ORÇAMENTO!$D$15,CRONO!$F113,0))),CRONO!E$12,OFFSET(CÁLCULO!$AB$15:$AL$15,$F113,0,OFFSET(ORÇAMENTO!$D$15,CRONO!$F113,0)))
                +IF(AND($F115&lt;&gt;"",$F115&lt;&gt;0),
                        SUMIF(CÁLCULO!$AM$15:$AW$36,CRONO!E$12,CÁLCULO!$AB$15:$AL$36)/(ORÇAMENTO!$X$15-CÁLCULO.TotalAdmLocal)*CRONO!$F115,
                        0),
                 E114*$S113),
          SUMIF(OFFSET($S115,1,0,$R113-2),($M113+1)&amp;"$",OFFSET(E115,1,0,$R113-2)))</f>
        <v>0</v>
      </c>
      <c r="F115" s="144" t="str">
        <f ca="1">IF(OR($R113&lt;&gt;2,AUTOEVENTO&lt;&gt;"manual",$F114&gt;0),"",
        IF(Import.TipoArredondamento="Tradicional",
              SUMIF(OFFSET(CÁLCULO!$M$15,CRONO!$F113,0,OFFSET(ORÇAMENTO!$D$15,CRONO!$F113,0)),1,OFFSET(ORÇAMENTO!$X$15,CRONO!$F113,0,OFFSET(ORÇAMENTO!$D$15,CRONO!$F113,0))),
              0))</f>
        <v/>
      </c>
      <c r="H115" s="530"/>
      <c r="S115" s="160" t="str">
        <f t="shared" ref="S115" ca="1" si="205">M113&amp;"$"</f>
        <v>1$</v>
      </c>
      <c r="T115" s="161"/>
      <c r="U115" s="159">
        <f ca="1">IF($R113=2,
         IF(AND(ACOMPANHAMENTO="PLE",ISNUMBER($F113)),
                SUMIF((OFFSET(CÁLCULO!$AM$15:$AW$15,$F113,0,OFFSET(ORÇAMENTO!$D$15,CRONO!$F113,0))),CRONO!U$12,OFFSET(CÁLCULO!$AB$15:$AL$15,$F113,0,OFFSET(ORÇAMENTO!$D$15,CRONO!$F113,0)))
                +IF(AND($F115&lt;&gt;"",$F115&lt;&gt;0),
                        SUMIF(CÁLCULO!$AM$15:$AW$36,CRONO!U$12,CÁLCULO!$AB$15:$AL$36)/(ORÇAMENTO!$X$15-CÁLCULO.TotalAdmLocal)*CRONO!$F115,
                        0),
                 U114*$S113),
          SUMIF(OFFSET($S115,1,0,$R113-2),($M113+1)&amp;"$",OFFSET(U115,1,0,$R113-2)))</f>
        <v>0</v>
      </c>
      <c r="V115" s="159">
        <f ca="1">IF($R113=2,
         IF(AND(ACOMPANHAMENTO="PLE",ISNUMBER($F113)),
                SUMIF((OFFSET(CÁLCULO!$AM$15:$AW$15,$F113,0,OFFSET(ORÇAMENTO!$D$15,CRONO!$F113,0))),CRONO!V$12,OFFSET(CÁLCULO!$AB$15:$AL$15,$F113,0,OFFSET(ORÇAMENTO!$D$15,CRONO!$F113,0)))
                +IF(AND($F115&lt;&gt;"",$F115&lt;&gt;0),
                        SUMIF(CÁLCULO!$AM$15:$AW$36,CRONO!V$12,CÁLCULO!$AB$15:$AL$36)/(ORÇAMENTO!$X$15-CÁLCULO.TotalAdmLocal)*CRONO!$F115,
                        0),
                 V114*$S113),
          SUMIF(OFFSET($S115,1,0,$R113-2),($M113+1)&amp;"$",OFFSET(V115,1,0,$R113-2)))</f>
        <v>0</v>
      </c>
      <c r="W115" s="159">
        <f ca="1">IF($R113=2,
         IF(AND(ACOMPANHAMENTO="PLE",ISNUMBER($F113)),
                SUMIF((OFFSET(CÁLCULO!$AM$15:$AW$15,$F113,0,OFFSET(ORÇAMENTO!$D$15,CRONO!$F113,0))),CRONO!W$12,OFFSET(CÁLCULO!$AB$15:$AL$15,$F113,0,OFFSET(ORÇAMENTO!$D$15,CRONO!$F113,0)))
                +IF(AND($F115&lt;&gt;"",$F115&lt;&gt;0),
                        SUMIF(CÁLCULO!$AM$15:$AW$36,CRONO!W$12,CÁLCULO!$AB$15:$AL$36)/(ORÇAMENTO!$X$15-CÁLCULO.TotalAdmLocal)*CRONO!$F115,
                        0),
                 W114*$S113),
          SUMIF(OFFSET($S115,1,0,$R113-2),($M113+1)&amp;"$",OFFSET(W115,1,0,$R113-2)))</f>
        <v>0</v>
      </c>
      <c r="X115" s="159">
        <f ca="1">IF($R113=2,
         IF(AND(ACOMPANHAMENTO="PLE",ISNUMBER($F113)),
                SUMIF((OFFSET(CÁLCULO!$AM$15:$AW$15,$F113,0,OFFSET(ORÇAMENTO!$D$15,CRONO!$F113,0))),CRONO!X$12,OFFSET(CÁLCULO!$AB$15:$AL$15,$F113,0,OFFSET(ORÇAMENTO!$D$15,CRONO!$F113,0)))
                +IF(AND($F115&lt;&gt;"",$F115&lt;&gt;0),
                        SUMIF(CÁLCULO!$AM$15:$AW$36,CRONO!X$12,CÁLCULO!$AB$15:$AL$36)/(ORÇAMENTO!$X$15-CÁLCULO.TotalAdmLocal)*CRONO!$F115,
                        0),
                 X114*$S113),
          SUMIF(OFFSET($S115,1,0,$R113-2),($M113+1)&amp;"$",OFFSET(X115,1,0,$R113-2)))</f>
        <v>0</v>
      </c>
      <c r="Y115" s="159">
        <f ca="1">IF($R113=2,
         IF(AND(ACOMPANHAMENTO="PLE",ISNUMBER($F113)),
                SUMIF((OFFSET(CÁLCULO!$AM$15:$AW$15,$F113,0,OFFSET(ORÇAMENTO!$D$15,CRONO!$F113,0))),CRONO!Y$12,OFFSET(CÁLCULO!$AB$15:$AL$15,$F113,0,OFFSET(ORÇAMENTO!$D$15,CRONO!$F113,0)))
                +IF(AND($F115&lt;&gt;"",$F115&lt;&gt;0),
                        SUMIF(CÁLCULO!$AM$15:$AW$36,CRONO!Y$12,CÁLCULO!$AB$15:$AL$36)/(ORÇAMENTO!$X$15-CÁLCULO.TotalAdmLocal)*CRONO!$F115,
                        0),
                 Y114*$S113),
          SUMIF(OFFSET($S115,1,0,$R113-2),($M113+1)&amp;"$",OFFSET(Y115,1,0,$R113-2)))</f>
        <v>0</v>
      </c>
      <c r="Z115" s="159">
        <f ca="1">IF($R113=2,
         IF(AND(ACOMPANHAMENTO="PLE",ISNUMBER($F113)),
                SUMIF((OFFSET(CÁLCULO!$AM$15:$AW$15,$F113,0,OFFSET(ORÇAMENTO!$D$15,CRONO!$F113,0))),CRONO!Z$12,OFFSET(CÁLCULO!$AB$15:$AL$15,$F113,0,OFFSET(ORÇAMENTO!$D$15,CRONO!$F113,0)))
                +IF(AND($F115&lt;&gt;"",$F115&lt;&gt;0),
                        SUMIF(CÁLCULO!$AM$15:$AW$36,CRONO!Z$12,CÁLCULO!$AB$15:$AL$36)/(ORÇAMENTO!$X$15-CÁLCULO.TotalAdmLocal)*CRONO!$F115,
                        0),
                 Z114*$S113),
          SUMIF(OFFSET($S115,1,0,$R113-2),($M113+1)&amp;"$",OFFSET(Z115,1,0,$R113-2)))</f>
        <v>0</v>
      </c>
      <c r="AA115" s="159">
        <f ca="1">IF($R113=2,
         IF(AND(ACOMPANHAMENTO="PLE",ISNUMBER($F113)),
                SUMIF((OFFSET(CÁLCULO!$AM$15:$AW$15,$F113,0,OFFSET(ORÇAMENTO!$D$15,CRONO!$F113,0))),CRONO!AA$12,OFFSET(CÁLCULO!$AB$15:$AL$15,$F113,0,OFFSET(ORÇAMENTO!$D$15,CRONO!$F113,0)))
                +IF(AND($F115&lt;&gt;"",$F115&lt;&gt;0),
                        SUMIF(CÁLCULO!$AM$15:$AW$36,CRONO!AA$12,CÁLCULO!$AB$15:$AL$36)/(ORÇAMENTO!$X$15-CÁLCULO.TotalAdmLocal)*CRONO!$F115,
                        0),
                 AA114*$S113),
          SUMIF(OFFSET($S115,1,0,$R113-2),($M113+1)&amp;"$",OFFSET(AA115,1,0,$R113-2)))</f>
        <v>0</v>
      </c>
      <c r="AB115" s="159">
        <f ca="1">IF($R113=2,
         IF(AND(ACOMPANHAMENTO="PLE",ISNUMBER($F113)),
                SUMIF((OFFSET(CÁLCULO!$AM$15:$AW$15,$F113,0,OFFSET(ORÇAMENTO!$D$15,CRONO!$F113,0))),CRONO!AB$12,OFFSET(CÁLCULO!$AB$15:$AL$15,$F113,0,OFFSET(ORÇAMENTO!$D$15,CRONO!$F113,0)))
                +IF(AND($F115&lt;&gt;"",$F115&lt;&gt;0),
                        SUMIF(CÁLCULO!$AM$15:$AW$36,CRONO!AB$12,CÁLCULO!$AB$15:$AL$36)/(ORÇAMENTO!$X$15-CÁLCULO.TotalAdmLocal)*CRONO!$F115,
                        0),
                 AB114*$S113),
          SUMIF(OFFSET($S115,1,0,$R113-2),($M113+1)&amp;"$",OFFSET(AB115,1,0,$R113-2)))</f>
        <v>0</v>
      </c>
      <c r="AC115" s="159">
        <f ca="1">IF($R113=2,
         IF(AND(ACOMPANHAMENTO="PLE",ISNUMBER($F113)),
                SUMIF((OFFSET(CÁLCULO!$AM$15:$AW$15,$F113,0,OFFSET(ORÇAMENTO!$D$15,CRONO!$F113,0))),CRONO!AC$12,OFFSET(CÁLCULO!$AB$15:$AL$15,$F113,0,OFFSET(ORÇAMENTO!$D$15,CRONO!$F113,0)))
                +IF(AND($F115&lt;&gt;"",$F115&lt;&gt;0),
                        SUMIF(CÁLCULO!$AM$15:$AW$36,CRONO!AC$12,CÁLCULO!$AB$15:$AL$36)/(ORÇAMENTO!$X$15-CÁLCULO.TotalAdmLocal)*CRONO!$F115,
                        0),
                 AC114*$S113),
          SUMIF(OFFSET($S115,1,0,$R113-2),($M113+1)&amp;"$",OFFSET(AC115,1,0,$R113-2)))</f>
        <v>0</v>
      </c>
      <c r="AD115" s="159">
        <f ca="1">IF($R113=2,
         IF(AND(ACOMPANHAMENTO="PLE",ISNUMBER($F113)),
                SUMIF((OFFSET(CÁLCULO!$AM$15:$AW$15,$F113,0,OFFSET(ORÇAMENTO!$D$15,CRONO!$F113,0))),CRONO!AD$12,OFFSET(CÁLCULO!$AB$15:$AL$15,$F113,0,OFFSET(ORÇAMENTO!$D$15,CRONO!$F113,0)))
                +IF(AND($F115&lt;&gt;"",$F115&lt;&gt;0),
                        SUMIF(CÁLCULO!$AM$15:$AW$36,CRONO!AD$12,CÁLCULO!$AB$15:$AL$36)/(ORÇAMENTO!$X$15-CÁLCULO.TotalAdmLocal)*CRONO!$F115,
                        0),
                 AD114*$S113),
          SUMIF(OFFSET($S115,1,0,$R113-2),($M113+1)&amp;"$",OFFSET(AD115,1,0,$R113-2)))</f>
        <v>0</v>
      </c>
      <c r="AE115" s="159">
        <f ca="1">IF($R113=2,
         IF(AND(ACOMPANHAMENTO="PLE",ISNUMBER($F113)),
                SUMIF((OFFSET(CÁLCULO!$AM$15:$AW$15,$F113,0,OFFSET(ORÇAMENTO!$D$15,CRONO!$F113,0))),CRONO!AE$12,OFFSET(CÁLCULO!$AB$15:$AL$15,$F113,0,OFFSET(ORÇAMENTO!$D$15,CRONO!$F113,0)))
                +IF(AND($F115&lt;&gt;"",$F115&lt;&gt;0),
                        SUMIF(CÁLCULO!$AM$15:$AW$36,CRONO!AE$12,CÁLCULO!$AB$15:$AL$36)/(ORÇAMENTO!$X$15-CÁLCULO.TotalAdmLocal)*CRONO!$F115,
                        0),
                 AE114*$S113),
          SUMIF(OFFSET($S115,1,0,$R113-2),($M113+1)&amp;"$",OFFSET(AE115,1,0,$R113-2)))</f>
        <v>0</v>
      </c>
      <c r="AF115" s="159">
        <f ca="1">IF($R113=2,
         IF(AND(ACOMPANHAMENTO="PLE",ISNUMBER($F113)),
                SUMIF((OFFSET(CÁLCULO!$AM$15:$AW$15,$F113,0,OFFSET(ORÇAMENTO!$D$15,CRONO!$F113,0))),CRONO!AF$12,OFFSET(CÁLCULO!$AB$15:$AL$15,$F113,0,OFFSET(ORÇAMENTO!$D$15,CRONO!$F113,0)))
                +IF(AND($F115&lt;&gt;"",$F115&lt;&gt;0),
                        SUMIF(CÁLCULO!$AM$15:$AW$36,CRONO!AF$12,CÁLCULO!$AB$15:$AL$36)/(ORÇAMENTO!$X$15-CÁLCULO.TotalAdmLocal)*CRONO!$F115,
                        0),
                 AF114*$S113),
          SUMIF(OFFSET($S115,1,0,$R113-2),($M113+1)&amp;"$",OFFSET(AF115,1,0,$R113-2)))</f>
        <v>0</v>
      </c>
      <c r="AG115" s="444"/>
    </row>
    <row r="116" spans="1:33" hidden="1" x14ac:dyDescent="0.25">
      <c r="A116" s="145" t="str">
        <f t="shared" ref="A116" ca="1" si="206">IF($M116&gt;1,CONCATENATE($I116," ",$J116),"")</f>
        <v/>
      </c>
      <c r="B116" s="144">
        <f t="shared" ref="B116" ca="1" si="207">OFFSET(B116,-3,0)+1</f>
        <v>35</v>
      </c>
      <c r="C116" s="144">
        <f ca="1">IF($R116&lt;&gt;2,0,IF($S116=0,1,IF(F117&gt;0,OFFSET(QCI!$M$13,SUBSTITUTE(F117,".",""),0),OFFSET(ORÇAMENTO!$AA$15,CRONO!$F116,0))/$S116))</f>
        <v>0</v>
      </c>
      <c r="D116" s="144">
        <f ca="1">IF($R116&lt;&gt;2,0,IF($S116=0,1,IF(F117&gt;0,OFFSET(QCI!$N$13,SUBSTITUTE(F117,".",""),0),OFFSET(ORÇAMENTO!$AB$15,CRONO!$F116,0))/$S116))</f>
        <v>0</v>
      </c>
      <c r="E116" s="147" t="e">
        <f ca="1">IF(AND($R116=2,ACOMPANHAMENTO="BM"),ROUND(E117,4),E118/$S116)</f>
        <v>#VALUE!</v>
      </c>
      <c r="F116" s="144" t="e">
        <f ca="1">IF(B116&lt;=ORÇAMENTO.MáximoListaCrono,MATCH(B116,ORÇAMENTO.ListaCrono,0),NA())</f>
        <v>#N/A</v>
      </c>
      <c r="G116" s="144" t="str">
        <f t="shared" ref="G116" ca="1" si="208">IF(AND($F117&lt;&gt;-1,$S116&gt;0),"F","")</f>
        <v/>
      </c>
      <c r="H116" s="617" t="str">
        <f ca="1">IF(OR(S116=0,S116=""),"Linha",IF(AND(OR(ACOMPANHAMENTO="PLE",$R116&lt;&gt;2),$F117=0),"Linha",ROUND(1-SUM(U116:AG116),4)))</f>
        <v>Linha</v>
      </c>
      <c r="I116" s="148" t="str">
        <f ca="1">IF($F117=0,OFFSET(ORÇAMENTO!O$15,$F116,0),IF($F117&lt;&gt;-1,OFFSET(QCI!$D$13,$F117,0),""))</f>
        <v/>
      </c>
      <c r="J116" s="149" t="str">
        <f ca="1">IF($F117=0,OFFSET(ORÇAMENTO!R$15,$F116,0),IF($F117&lt;&gt;-1,OFFSET(QCI!$G$13,$F117,0),""))</f>
        <v/>
      </c>
      <c r="K116" s="149"/>
      <c r="L116" s="149"/>
      <c r="M116" s="150">
        <f ca="1">IF($F117=0,OFFSET(ORÇAMENTO!C$15,$F116,0),1)</f>
        <v>1</v>
      </c>
      <c r="N116" s="151">
        <f ca="1">IF($F117=-1,0,IF(N$13&lt;=$M116,IF(ISERROR(MATCH(N$13,OFFSET($M116,1,0,ROW($M$164)-ROW($M116)-1),0)),ROW($M$164)-ROW($M116)-1,MATCH(N$13,OFFSET($M116,1,0,ROW($M$164)-ROW($M116)-1),0)-1),0))</f>
        <v>0</v>
      </c>
      <c r="O116" s="151">
        <f ca="1">IF($F117=-1,0,IF(O$13&lt;=$M116,IF(ISERROR(MATCH(O$13,OFFSET($M116,1,0,ROW($M$164)-ROW($M116)-1),0)),ROW($M$164)-ROW($M116)-1,MATCH(O$13,OFFSET($M116,1,0,ROW($M$164)-ROW($M116)-1),0)-1),0))</f>
        <v>0</v>
      </c>
      <c r="P116" s="151">
        <f ca="1">IF($F117=-1,0,IF(P$13&lt;=$M116,IF(ISERROR(MATCH(P$13,OFFSET($M116,1,0,ROW($M$164)-ROW($M116)-1),0)),ROW($M$164)-ROW($M116)-1,MATCH(P$13,OFFSET($M116,1,0,ROW($M$164)-ROW($M116)-1),0)-1),0))</f>
        <v>0</v>
      </c>
      <c r="Q116" s="151">
        <f ca="1">IF($F117=-1,0,IF(Q$13&lt;=$M116,IF(ISERROR(MATCH(Q$13,OFFSET($M116,1,0,ROW($M$164)-ROW($M116)-1),0)),ROW($M$164)-ROW($M116)-1,MATCH(Q$13,OFFSET($M116,1,0,ROW($M$164)-ROW($M116)-1),0)-1),0))</f>
        <v>0</v>
      </c>
      <c r="R116" s="151">
        <f t="shared" ref="R116" ca="1" si="209">MIN(OFFSET(M116,0,1,,M116))</f>
        <v>0</v>
      </c>
      <c r="S116" s="152" t="str">
        <f ca="1">IF($F117=0,OFFSET(ORÇAMENTO!X$15,$F116,0),IF($F117&lt;&gt;-1,OFFSET(QCI!$O$13,$F117,0),""))</f>
        <v/>
      </c>
      <c r="T116" s="618" t="s">
        <v>809</v>
      </c>
      <c r="U116" s="147" t="e">
        <f ca="1">IF(AND($R116=2,ACOMPANHAMENTO="BM"),ROUND(U117,4),U118/$S116)</f>
        <v>#VALUE!</v>
      </c>
      <c r="V116" s="147" t="e">
        <f ca="1">IF(AND($R116=2,ACOMPANHAMENTO="BM"),ROUND(V117,4),V118/$S116)</f>
        <v>#VALUE!</v>
      </c>
      <c r="W116" s="147" t="e">
        <f ca="1">IF(AND($R116=2,ACOMPANHAMENTO="BM"),ROUND(W117,4),W118/$S116)</f>
        <v>#VALUE!</v>
      </c>
      <c r="X116" s="147" t="e">
        <f ca="1">IF(AND($R116=2,ACOMPANHAMENTO="BM"),ROUND(X117,4),X118/$S116)</f>
        <v>#VALUE!</v>
      </c>
      <c r="Y116" s="147" t="e">
        <f ca="1">IF(AND($R116=2,ACOMPANHAMENTO="BM"),ROUND(Y117,4),Y118/$S116)</f>
        <v>#VALUE!</v>
      </c>
      <c r="Z116" s="147" t="e">
        <f ca="1">IF(AND($R116=2,ACOMPANHAMENTO="BM"),ROUND(Z117,4),Z118/$S116)</f>
        <v>#VALUE!</v>
      </c>
      <c r="AA116" s="147" t="e">
        <f ca="1">IF(AND($R116=2,ACOMPANHAMENTO="BM"),ROUND(AA117,4),AA118/$S116)</f>
        <v>#VALUE!</v>
      </c>
      <c r="AB116" s="147" t="e">
        <f ca="1">IF(AND($R116=2,ACOMPANHAMENTO="BM"),ROUND(AB117,4),AB118/$S116)</f>
        <v>#VALUE!</v>
      </c>
      <c r="AC116" s="147" t="e">
        <f ca="1">IF(AND($R116=2,ACOMPANHAMENTO="BM"),ROUND(AC117,4),AC118/$S116)</f>
        <v>#VALUE!</v>
      </c>
      <c r="AD116" s="147" t="e">
        <f ca="1">IF(AND($R116=2,ACOMPANHAMENTO="BM"),ROUND(AD117,4),AD118/$S116)</f>
        <v>#VALUE!</v>
      </c>
      <c r="AE116" s="147" t="e">
        <f ca="1">IF(AND($R116=2,ACOMPANHAMENTO="BM"),ROUND(AE117,4),AE118/$S116)</f>
        <v>#VALUE!</v>
      </c>
      <c r="AF116" s="147" t="e">
        <f ca="1">IF(AND($R116=2,ACOMPANHAMENTO="BM"),ROUND(AF117,4),AF118/$S116)</f>
        <v>#VALUE!</v>
      </c>
      <c r="AG116" s="444"/>
    </row>
    <row r="117" spans="1:33" ht="12.75" hidden="1" customHeight="1" x14ac:dyDescent="0.25">
      <c r="E117" s="501"/>
      <c r="F117" s="144">
        <f ca="1">IF(ISERROR(F116),IF(1+COUNTIF($M$13:OFFSET(M116,-1,0),1)&lt;=MAX(QCI!$D$13:$D$24),1+COUNTIF($M$13:OFFSET(M116,-1,0),1),-1),0)</f>
        <v>-1</v>
      </c>
      <c r="G117" s="144" t="str">
        <f ca="1">IF(ACOMPANHAMENTO="BM",OFFSET(G117,-1,0),"")</f>
        <v/>
      </c>
      <c r="H117" s="153" t="str">
        <f ca="1">IF(OR(S116=0,S116=""),"vazia",IF(AND(OR(ACOMPANHAMENTO="PLE",$R116&lt;&gt;2),$F117=0),"calculada","--&gt;"))</f>
        <v>vazia</v>
      </c>
      <c r="I117" s="154"/>
      <c r="J117" s="155" t="str">
        <f t="shared" ref="J117" ca="1" si="210">IF(AND(H116&lt;&gt;0,ISNUMBER(H116)),"PREENCHA ESTA LINHA --&gt;","")</f>
        <v/>
      </c>
      <c r="K117" s="155"/>
      <c r="L117" s="155"/>
      <c r="M117" s="156"/>
      <c r="N117" s="156"/>
      <c r="O117" s="156"/>
      <c r="P117" s="156"/>
      <c r="Q117" s="156"/>
      <c r="R117" s="156"/>
      <c r="S117" s="157"/>
      <c r="T117" s="158"/>
      <c r="U117" s="501"/>
      <c r="V117" s="501"/>
      <c r="W117" s="501"/>
      <c r="X117" s="501"/>
      <c r="Y117" s="501"/>
      <c r="Z117" s="501"/>
      <c r="AA117" s="501"/>
      <c r="AB117" s="501"/>
      <c r="AC117" s="501"/>
      <c r="AD117" s="501"/>
      <c r="AE117" s="501"/>
      <c r="AF117" s="501"/>
      <c r="AG117" s="444"/>
    </row>
    <row r="118" spans="1:33" ht="12.75" hidden="1" customHeight="1" x14ac:dyDescent="0.25">
      <c r="D118" s="443"/>
      <c r="E118" s="159">
        <f ca="1">IF($R116=2,
         IF(AND(ACOMPANHAMENTO="PLE",ISNUMBER($F116)),
                SUMIF((OFFSET(CÁLCULO!$AM$15:$AW$15,$F116,0,OFFSET(ORÇAMENTO!$D$15,CRONO!$F116,0))),CRONO!E$12,OFFSET(CÁLCULO!$AB$15:$AL$15,$F116,0,OFFSET(ORÇAMENTO!$D$15,CRONO!$F116,0)))
                +IF(AND($F118&lt;&gt;"",$F118&lt;&gt;0),
                        SUMIF(CÁLCULO!$AM$15:$AW$36,CRONO!E$12,CÁLCULO!$AB$15:$AL$36)/(ORÇAMENTO!$X$15-CÁLCULO.TotalAdmLocal)*CRONO!$F118,
                        0),
                 E117*$S116),
          SUMIF(OFFSET($S118,1,0,$R116-2),($M116+1)&amp;"$",OFFSET(E118,1,0,$R116-2)))</f>
        <v>0</v>
      </c>
      <c r="F118" s="144" t="str">
        <f ca="1">IF(OR($R116&lt;&gt;2,AUTOEVENTO&lt;&gt;"manual",$F117&gt;0),"",
        IF(Import.TipoArredondamento="Tradicional",
              SUMIF(OFFSET(CÁLCULO!$M$15,CRONO!$F116,0,OFFSET(ORÇAMENTO!$D$15,CRONO!$F116,0)),1,OFFSET(ORÇAMENTO!$X$15,CRONO!$F116,0,OFFSET(ORÇAMENTO!$D$15,CRONO!$F116,0))),
              0))</f>
        <v/>
      </c>
      <c r="H118" s="530"/>
      <c r="S118" s="160" t="str">
        <f t="shared" ref="S118" ca="1" si="211">M116&amp;"$"</f>
        <v>1$</v>
      </c>
      <c r="T118" s="161"/>
      <c r="U118" s="159">
        <f ca="1">IF($R116=2,
         IF(AND(ACOMPANHAMENTO="PLE",ISNUMBER($F116)),
                SUMIF((OFFSET(CÁLCULO!$AM$15:$AW$15,$F116,0,OFFSET(ORÇAMENTO!$D$15,CRONO!$F116,0))),CRONO!U$12,OFFSET(CÁLCULO!$AB$15:$AL$15,$F116,0,OFFSET(ORÇAMENTO!$D$15,CRONO!$F116,0)))
                +IF(AND($F118&lt;&gt;"",$F118&lt;&gt;0),
                        SUMIF(CÁLCULO!$AM$15:$AW$36,CRONO!U$12,CÁLCULO!$AB$15:$AL$36)/(ORÇAMENTO!$X$15-CÁLCULO.TotalAdmLocal)*CRONO!$F118,
                        0),
                 U117*$S116),
          SUMIF(OFFSET($S118,1,0,$R116-2),($M116+1)&amp;"$",OFFSET(U118,1,0,$R116-2)))</f>
        <v>0</v>
      </c>
      <c r="V118" s="159">
        <f ca="1">IF($R116=2,
         IF(AND(ACOMPANHAMENTO="PLE",ISNUMBER($F116)),
                SUMIF((OFFSET(CÁLCULO!$AM$15:$AW$15,$F116,0,OFFSET(ORÇAMENTO!$D$15,CRONO!$F116,0))),CRONO!V$12,OFFSET(CÁLCULO!$AB$15:$AL$15,$F116,0,OFFSET(ORÇAMENTO!$D$15,CRONO!$F116,0)))
                +IF(AND($F118&lt;&gt;"",$F118&lt;&gt;0),
                        SUMIF(CÁLCULO!$AM$15:$AW$36,CRONO!V$12,CÁLCULO!$AB$15:$AL$36)/(ORÇAMENTO!$X$15-CÁLCULO.TotalAdmLocal)*CRONO!$F118,
                        0),
                 V117*$S116),
          SUMIF(OFFSET($S118,1,0,$R116-2),($M116+1)&amp;"$",OFFSET(V118,1,0,$R116-2)))</f>
        <v>0</v>
      </c>
      <c r="W118" s="159">
        <f ca="1">IF($R116=2,
         IF(AND(ACOMPANHAMENTO="PLE",ISNUMBER($F116)),
                SUMIF((OFFSET(CÁLCULO!$AM$15:$AW$15,$F116,0,OFFSET(ORÇAMENTO!$D$15,CRONO!$F116,0))),CRONO!W$12,OFFSET(CÁLCULO!$AB$15:$AL$15,$F116,0,OFFSET(ORÇAMENTO!$D$15,CRONO!$F116,0)))
                +IF(AND($F118&lt;&gt;"",$F118&lt;&gt;0),
                        SUMIF(CÁLCULO!$AM$15:$AW$36,CRONO!W$12,CÁLCULO!$AB$15:$AL$36)/(ORÇAMENTO!$X$15-CÁLCULO.TotalAdmLocal)*CRONO!$F118,
                        0),
                 W117*$S116),
          SUMIF(OFFSET($S118,1,0,$R116-2),($M116+1)&amp;"$",OFFSET(W118,1,0,$R116-2)))</f>
        <v>0</v>
      </c>
      <c r="X118" s="159">
        <f ca="1">IF($R116=2,
         IF(AND(ACOMPANHAMENTO="PLE",ISNUMBER($F116)),
                SUMIF((OFFSET(CÁLCULO!$AM$15:$AW$15,$F116,0,OFFSET(ORÇAMENTO!$D$15,CRONO!$F116,0))),CRONO!X$12,OFFSET(CÁLCULO!$AB$15:$AL$15,$F116,0,OFFSET(ORÇAMENTO!$D$15,CRONO!$F116,0)))
                +IF(AND($F118&lt;&gt;"",$F118&lt;&gt;0),
                        SUMIF(CÁLCULO!$AM$15:$AW$36,CRONO!X$12,CÁLCULO!$AB$15:$AL$36)/(ORÇAMENTO!$X$15-CÁLCULO.TotalAdmLocal)*CRONO!$F118,
                        0),
                 X117*$S116),
          SUMIF(OFFSET($S118,1,0,$R116-2),($M116+1)&amp;"$",OFFSET(X118,1,0,$R116-2)))</f>
        <v>0</v>
      </c>
      <c r="Y118" s="159">
        <f ca="1">IF($R116=2,
         IF(AND(ACOMPANHAMENTO="PLE",ISNUMBER($F116)),
                SUMIF((OFFSET(CÁLCULO!$AM$15:$AW$15,$F116,0,OFFSET(ORÇAMENTO!$D$15,CRONO!$F116,0))),CRONO!Y$12,OFFSET(CÁLCULO!$AB$15:$AL$15,$F116,0,OFFSET(ORÇAMENTO!$D$15,CRONO!$F116,0)))
                +IF(AND($F118&lt;&gt;"",$F118&lt;&gt;0),
                        SUMIF(CÁLCULO!$AM$15:$AW$36,CRONO!Y$12,CÁLCULO!$AB$15:$AL$36)/(ORÇAMENTO!$X$15-CÁLCULO.TotalAdmLocal)*CRONO!$F118,
                        0),
                 Y117*$S116),
          SUMIF(OFFSET($S118,1,0,$R116-2),($M116+1)&amp;"$",OFFSET(Y118,1,0,$R116-2)))</f>
        <v>0</v>
      </c>
      <c r="Z118" s="159">
        <f ca="1">IF($R116=2,
         IF(AND(ACOMPANHAMENTO="PLE",ISNUMBER($F116)),
                SUMIF((OFFSET(CÁLCULO!$AM$15:$AW$15,$F116,0,OFFSET(ORÇAMENTO!$D$15,CRONO!$F116,0))),CRONO!Z$12,OFFSET(CÁLCULO!$AB$15:$AL$15,$F116,0,OFFSET(ORÇAMENTO!$D$15,CRONO!$F116,0)))
                +IF(AND($F118&lt;&gt;"",$F118&lt;&gt;0),
                        SUMIF(CÁLCULO!$AM$15:$AW$36,CRONO!Z$12,CÁLCULO!$AB$15:$AL$36)/(ORÇAMENTO!$X$15-CÁLCULO.TotalAdmLocal)*CRONO!$F118,
                        0),
                 Z117*$S116),
          SUMIF(OFFSET($S118,1,0,$R116-2),($M116+1)&amp;"$",OFFSET(Z118,1,0,$R116-2)))</f>
        <v>0</v>
      </c>
      <c r="AA118" s="159">
        <f ca="1">IF($R116=2,
         IF(AND(ACOMPANHAMENTO="PLE",ISNUMBER($F116)),
                SUMIF((OFFSET(CÁLCULO!$AM$15:$AW$15,$F116,0,OFFSET(ORÇAMENTO!$D$15,CRONO!$F116,0))),CRONO!AA$12,OFFSET(CÁLCULO!$AB$15:$AL$15,$F116,0,OFFSET(ORÇAMENTO!$D$15,CRONO!$F116,0)))
                +IF(AND($F118&lt;&gt;"",$F118&lt;&gt;0),
                        SUMIF(CÁLCULO!$AM$15:$AW$36,CRONO!AA$12,CÁLCULO!$AB$15:$AL$36)/(ORÇAMENTO!$X$15-CÁLCULO.TotalAdmLocal)*CRONO!$F118,
                        0),
                 AA117*$S116),
          SUMIF(OFFSET($S118,1,0,$R116-2),($M116+1)&amp;"$",OFFSET(AA118,1,0,$R116-2)))</f>
        <v>0</v>
      </c>
      <c r="AB118" s="159">
        <f ca="1">IF($R116=2,
         IF(AND(ACOMPANHAMENTO="PLE",ISNUMBER($F116)),
                SUMIF((OFFSET(CÁLCULO!$AM$15:$AW$15,$F116,0,OFFSET(ORÇAMENTO!$D$15,CRONO!$F116,0))),CRONO!AB$12,OFFSET(CÁLCULO!$AB$15:$AL$15,$F116,0,OFFSET(ORÇAMENTO!$D$15,CRONO!$F116,0)))
                +IF(AND($F118&lt;&gt;"",$F118&lt;&gt;0),
                        SUMIF(CÁLCULO!$AM$15:$AW$36,CRONO!AB$12,CÁLCULO!$AB$15:$AL$36)/(ORÇAMENTO!$X$15-CÁLCULO.TotalAdmLocal)*CRONO!$F118,
                        0),
                 AB117*$S116),
          SUMIF(OFFSET($S118,1,0,$R116-2),($M116+1)&amp;"$",OFFSET(AB118,1,0,$R116-2)))</f>
        <v>0</v>
      </c>
      <c r="AC118" s="159">
        <f ca="1">IF($R116=2,
         IF(AND(ACOMPANHAMENTO="PLE",ISNUMBER($F116)),
                SUMIF((OFFSET(CÁLCULO!$AM$15:$AW$15,$F116,0,OFFSET(ORÇAMENTO!$D$15,CRONO!$F116,0))),CRONO!AC$12,OFFSET(CÁLCULO!$AB$15:$AL$15,$F116,0,OFFSET(ORÇAMENTO!$D$15,CRONO!$F116,0)))
                +IF(AND($F118&lt;&gt;"",$F118&lt;&gt;0),
                        SUMIF(CÁLCULO!$AM$15:$AW$36,CRONO!AC$12,CÁLCULO!$AB$15:$AL$36)/(ORÇAMENTO!$X$15-CÁLCULO.TotalAdmLocal)*CRONO!$F118,
                        0),
                 AC117*$S116),
          SUMIF(OFFSET($S118,1,0,$R116-2),($M116+1)&amp;"$",OFFSET(AC118,1,0,$R116-2)))</f>
        <v>0</v>
      </c>
      <c r="AD118" s="159">
        <f ca="1">IF($R116=2,
         IF(AND(ACOMPANHAMENTO="PLE",ISNUMBER($F116)),
                SUMIF((OFFSET(CÁLCULO!$AM$15:$AW$15,$F116,0,OFFSET(ORÇAMENTO!$D$15,CRONO!$F116,0))),CRONO!AD$12,OFFSET(CÁLCULO!$AB$15:$AL$15,$F116,0,OFFSET(ORÇAMENTO!$D$15,CRONO!$F116,0)))
                +IF(AND($F118&lt;&gt;"",$F118&lt;&gt;0),
                        SUMIF(CÁLCULO!$AM$15:$AW$36,CRONO!AD$12,CÁLCULO!$AB$15:$AL$36)/(ORÇAMENTO!$X$15-CÁLCULO.TotalAdmLocal)*CRONO!$F118,
                        0),
                 AD117*$S116),
          SUMIF(OFFSET($S118,1,0,$R116-2),($M116+1)&amp;"$",OFFSET(AD118,1,0,$R116-2)))</f>
        <v>0</v>
      </c>
      <c r="AE118" s="159">
        <f ca="1">IF($R116=2,
         IF(AND(ACOMPANHAMENTO="PLE",ISNUMBER($F116)),
                SUMIF((OFFSET(CÁLCULO!$AM$15:$AW$15,$F116,0,OFFSET(ORÇAMENTO!$D$15,CRONO!$F116,0))),CRONO!AE$12,OFFSET(CÁLCULO!$AB$15:$AL$15,$F116,0,OFFSET(ORÇAMENTO!$D$15,CRONO!$F116,0)))
                +IF(AND($F118&lt;&gt;"",$F118&lt;&gt;0),
                        SUMIF(CÁLCULO!$AM$15:$AW$36,CRONO!AE$12,CÁLCULO!$AB$15:$AL$36)/(ORÇAMENTO!$X$15-CÁLCULO.TotalAdmLocal)*CRONO!$F118,
                        0),
                 AE117*$S116),
          SUMIF(OFFSET($S118,1,0,$R116-2),($M116+1)&amp;"$",OFFSET(AE118,1,0,$R116-2)))</f>
        <v>0</v>
      </c>
      <c r="AF118" s="159">
        <f ca="1">IF($R116=2,
         IF(AND(ACOMPANHAMENTO="PLE",ISNUMBER($F116)),
                SUMIF((OFFSET(CÁLCULO!$AM$15:$AW$15,$F116,0,OFFSET(ORÇAMENTO!$D$15,CRONO!$F116,0))),CRONO!AF$12,OFFSET(CÁLCULO!$AB$15:$AL$15,$F116,0,OFFSET(ORÇAMENTO!$D$15,CRONO!$F116,0)))
                +IF(AND($F118&lt;&gt;"",$F118&lt;&gt;0),
                        SUMIF(CÁLCULO!$AM$15:$AW$36,CRONO!AF$12,CÁLCULO!$AB$15:$AL$36)/(ORÇAMENTO!$X$15-CÁLCULO.TotalAdmLocal)*CRONO!$F118,
                        0),
                 AF117*$S116),
          SUMIF(OFFSET($S118,1,0,$R116-2),($M116+1)&amp;"$",OFFSET(AF118,1,0,$R116-2)))</f>
        <v>0</v>
      </c>
      <c r="AG118" s="444"/>
    </row>
    <row r="119" spans="1:33" hidden="1" x14ac:dyDescent="0.25">
      <c r="A119" s="145" t="str">
        <f t="shared" ref="A119" ca="1" si="212">IF($M119&gt;1,CONCATENATE($I119," ",$J119),"")</f>
        <v/>
      </c>
      <c r="B119" s="144">
        <f t="shared" ref="B119" ca="1" si="213">OFFSET(B119,-3,0)+1</f>
        <v>36</v>
      </c>
      <c r="C119" s="144">
        <f ca="1">IF($R119&lt;&gt;2,0,IF($S119=0,1,IF(F120&gt;0,OFFSET(QCI!$M$13,SUBSTITUTE(F120,".",""),0),OFFSET(ORÇAMENTO!$AA$15,CRONO!$F119,0))/$S119))</f>
        <v>0</v>
      </c>
      <c r="D119" s="144">
        <f ca="1">IF($R119&lt;&gt;2,0,IF($S119=0,1,IF(F120&gt;0,OFFSET(QCI!$N$13,SUBSTITUTE(F120,".",""),0),OFFSET(ORÇAMENTO!$AB$15,CRONO!$F119,0))/$S119))</f>
        <v>0</v>
      </c>
      <c r="E119" s="147" t="e">
        <f ca="1">IF(AND($R119=2,ACOMPANHAMENTO="BM"),ROUND(E120,4),E121/$S119)</f>
        <v>#VALUE!</v>
      </c>
      <c r="F119" s="144" t="e">
        <f ca="1">IF(B119&lt;=ORÇAMENTO.MáximoListaCrono,MATCH(B119,ORÇAMENTO.ListaCrono,0),NA())</f>
        <v>#N/A</v>
      </c>
      <c r="G119" s="144" t="str">
        <f t="shared" ref="G119" ca="1" si="214">IF(AND($F120&lt;&gt;-1,$S119&gt;0),"F","")</f>
        <v/>
      </c>
      <c r="H119" s="617" t="str">
        <f ca="1">IF(OR(S119=0,S119=""),"Linha",IF(AND(OR(ACOMPANHAMENTO="PLE",$R119&lt;&gt;2),$F120=0),"Linha",ROUND(1-SUM(U119:AG119),4)))</f>
        <v>Linha</v>
      </c>
      <c r="I119" s="148" t="str">
        <f ca="1">IF($F120=0,OFFSET(ORÇAMENTO!O$15,$F119,0),IF($F120&lt;&gt;-1,OFFSET(QCI!$D$13,$F120,0),""))</f>
        <v/>
      </c>
      <c r="J119" s="149" t="str">
        <f ca="1">IF($F120=0,OFFSET(ORÇAMENTO!R$15,$F119,0),IF($F120&lt;&gt;-1,OFFSET(QCI!$G$13,$F120,0),""))</f>
        <v/>
      </c>
      <c r="K119" s="149"/>
      <c r="L119" s="149"/>
      <c r="M119" s="150">
        <f ca="1">IF($F120=0,OFFSET(ORÇAMENTO!C$15,$F119,0),1)</f>
        <v>1</v>
      </c>
      <c r="N119" s="151">
        <f ca="1">IF($F120=-1,0,IF(N$13&lt;=$M119,IF(ISERROR(MATCH(N$13,OFFSET($M119,1,0,ROW($M$164)-ROW($M119)-1),0)),ROW($M$164)-ROW($M119)-1,MATCH(N$13,OFFSET($M119,1,0,ROW($M$164)-ROW($M119)-1),0)-1),0))</f>
        <v>0</v>
      </c>
      <c r="O119" s="151">
        <f ca="1">IF($F120=-1,0,IF(O$13&lt;=$M119,IF(ISERROR(MATCH(O$13,OFFSET($M119,1,0,ROW($M$164)-ROW($M119)-1),0)),ROW($M$164)-ROW($M119)-1,MATCH(O$13,OFFSET($M119,1,0,ROW($M$164)-ROW($M119)-1),0)-1),0))</f>
        <v>0</v>
      </c>
      <c r="P119" s="151">
        <f ca="1">IF($F120=-1,0,IF(P$13&lt;=$M119,IF(ISERROR(MATCH(P$13,OFFSET($M119,1,0,ROW($M$164)-ROW($M119)-1),0)),ROW($M$164)-ROW($M119)-1,MATCH(P$13,OFFSET($M119,1,0,ROW($M$164)-ROW($M119)-1),0)-1),0))</f>
        <v>0</v>
      </c>
      <c r="Q119" s="151">
        <f ca="1">IF($F120=-1,0,IF(Q$13&lt;=$M119,IF(ISERROR(MATCH(Q$13,OFFSET($M119,1,0,ROW($M$164)-ROW($M119)-1),0)),ROW($M$164)-ROW($M119)-1,MATCH(Q$13,OFFSET($M119,1,0,ROW($M$164)-ROW($M119)-1),0)-1),0))</f>
        <v>0</v>
      </c>
      <c r="R119" s="151">
        <f t="shared" ref="R119" ca="1" si="215">MIN(OFFSET(M119,0,1,,M119))</f>
        <v>0</v>
      </c>
      <c r="S119" s="152" t="str">
        <f ca="1">IF($F120=0,OFFSET(ORÇAMENTO!X$15,$F119,0),IF($F120&lt;&gt;-1,OFFSET(QCI!$O$13,$F120,0),""))</f>
        <v/>
      </c>
      <c r="T119" s="618" t="s">
        <v>809</v>
      </c>
      <c r="U119" s="147" t="e">
        <f ca="1">IF(AND($R119=2,ACOMPANHAMENTO="BM"),ROUND(U120,4),U121/$S119)</f>
        <v>#VALUE!</v>
      </c>
      <c r="V119" s="147" t="e">
        <f ca="1">IF(AND($R119=2,ACOMPANHAMENTO="BM"),ROUND(V120,4),V121/$S119)</f>
        <v>#VALUE!</v>
      </c>
      <c r="W119" s="147" t="e">
        <f ca="1">IF(AND($R119=2,ACOMPANHAMENTO="BM"),ROUND(W120,4),W121/$S119)</f>
        <v>#VALUE!</v>
      </c>
      <c r="X119" s="147" t="e">
        <f ca="1">IF(AND($R119=2,ACOMPANHAMENTO="BM"),ROUND(X120,4),X121/$S119)</f>
        <v>#VALUE!</v>
      </c>
      <c r="Y119" s="147" t="e">
        <f ca="1">IF(AND($R119=2,ACOMPANHAMENTO="BM"),ROUND(Y120,4),Y121/$S119)</f>
        <v>#VALUE!</v>
      </c>
      <c r="Z119" s="147" t="e">
        <f ca="1">IF(AND($R119=2,ACOMPANHAMENTO="BM"),ROUND(Z120,4),Z121/$S119)</f>
        <v>#VALUE!</v>
      </c>
      <c r="AA119" s="147" t="e">
        <f ca="1">IF(AND($R119=2,ACOMPANHAMENTO="BM"),ROUND(AA120,4),AA121/$S119)</f>
        <v>#VALUE!</v>
      </c>
      <c r="AB119" s="147" t="e">
        <f ca="1">IF(AND($R119=2,ACOMPANHAMENTO="BM"),ROUND(AB120,4),AB121/$S119)</f>
        <v>#VALUE!</v>
      </c>
      <c r="AC119" s="147" t="e">
        <f ca="1">IF(AND($R119=2,ACOMPANHAMENTO="BM"),ROUND(AC120,4),AC121/$S119)</f>
        <v>#VALUE!</v>
      </c>
      <c r="AD119" s="147" t="e">
        <f ca="1">IF(AND($R119=2,ACOMPANHAMENTO="BM"),ROUND(AD120,4),AD121/$S119)</f>
        <v>#VALUE!</v>
      </c>
      <c r="AE119" s="147" t="e">
        <f ca="1">IF(AND($R119=2,ACOMPANHAMENTO="BM"),ROUND(AE120,4),AE121/$S119)</f>
        <v>#VALUE!</v>
      </c>
      <c r="AF119" s="147" t="e">
        <f ca="1">IF(AND($R119=2,ACOMPANHAMENTO="BM"),ROUND(AF120,4),AF121/$S119)</f>
        <v>#VALUE!</v>
      </c>
      <c r="AG119" s="444"/>
    </row>
    <row r="120" spans="1:33" ht="12.75" hidden="1" customHeight="1" x14ac:dyDescent="0.25">
      <c r="E120" s="501"/>
      <c r="F120" s="144">
        <f ca="1">IF(ISERROR(F119),IF(1+COUNTIF($M$13:OFFSET(M119,-1,0),1)&lt;=MAX(QCI!$D$13:$D$24),1+COUNTIF($M$13:OFFSET(M119,-1,0),1),-1),0)</f>
        <v>-1</v>
      </c>
      <c r="G120" s="144" t="str">
        <f ca="1">IF(ACOMPANHAMENTO="BM",OFFSET(G120,-1,0),"")</f>
        <v/>
      </c>
      <c r="H120" s="153" t="str">
        <f ca="1">IF(OR(S119=0,S119=""),"vazia",IF(AND(OR(ACOMPANHAMENTO="PLE",$R119&lt;&gt;2),$F120=0),"calculada","--&gt;"))</f>
        <v>vazia</v>
      </c>
      <c r="I120" s="154"/>
      <c r="J120" s="155" t="str">
        <f t="shared" ref="J120" ca="1" si="216">IF(AND(H119&lt;&gt;0,ISNUMBER(H119)),"PREENCHA ESTA LINHA --&gt;","")</f>
        <v/>
      </c>
      <c r="K120" s="155"/>
      <c r="L120" s="155"/>
      <c r="M120" s="156"/>
      <c r="N120" s="156"/>
      <c r="O120" s="156"/>
      <c r="P120" s="156"/>
      <c r="Q120" s="156"/>
      <c r="R120" s="156"/>
      <c r="S120" s="157"/>
      <c r="T120" s="158"/>
      <c r="U120" s="501"/>
      <c r="V120" s="501"/>
      <c r="W120" s="501"/>
      <c r="X120" s="501"/>
      <c r="Y120" s="501"/>
      <c r="Z120" s="501"/>
      <c r="AA120" s="501"/>
      <c r="AB120" s="501"/>
      <c r="AC120" s="501"/>
      <c r="AD120" s="501"/>
      <c r="AE120" s="501"/>
      <c r="AF120" s="501"/>
      <c r="AG120" s="444"/>
    </row>
    <row r="121" spans="1:33" ht="12.75" hidden="1" customHeight="1" x14ac:dyDescent="0.25">
      <c r="D121" s="443"/>
      <c r="E121" s="159">
        <f ca="1">IF($R119=2,
         IF(AND(ACOMPANHAMENTO="PLE",ISNUMBER($F119)),
                SUMIF((OFFSET(CÁLCULO!$AM$15:$AW$15,$F119,0,OFFSET(ORÇAMENTO!$D$15,CRONO!$F119,0))),CRONO!E$12,OFFSET(CÁLCULO!$AB$15:$AL$15,$F119,0,OFFSET(ORÇAMENTO!$D$15,CRONO!$F119,0)))
                +IF(AND($F121&lt;&gt;"",$F121&lt;&gt;0),
                        SUMIF(CÁLCULO!$AM$15:$AW$36,CRONO!E$12,CÁLCULO!$AB$15:$AL$36)/(ORÇAMENTO!$X$15-CÁLCULO.TotalAdmLocal)*CRONO!$F121,
                        0),
                 E120*$S119),
          SUMIF(OFFSET($S121,1,0,$R119-2),($M119+1)&amp;"$",OFFSET(E121,1,0,$R119-2)))</f>
        <v>0</v>
      </c>
      <c r="F121" s="144" t="str">
        <f ca="1">IF(OR($R119&lt;&gt;2,AUTOEVENTO&lt;&gt;"manual",$F120&gt;0),"",
        IF(Import.TipoArredondamento="Tradicional",
              SUMIF(OFFSET(CÁLCULO!$M$15,CRONO!$F119,0,OFFSET(ORÇAMENTO!$D$15,CRONO!$F119,0)),1,OFFSET(ORÇAMENTO!$X$15,CRONO!$F119,0,OFFSET(ORÇAMENTO!$D$15,CRONO!$F119,0))),
              0))</f>
        <v/>
      </c>
      <c r="H121" s="530"/>
      <c r="S121" s="160" t="str">
        <f t="shared" ref="S121" ca="1" si="217">M119&amp;"$"</f>
        <v>1$</v>
      </c>
      <c r="T121" s="161"/>
      <c r="U121" s="159">
        <f ca="1">IF($R119=2,
         IF(AND(ACOMPANHAMENTO="PLE",ISNUMBER($F119)),
                SUMIF((OFFSET(CÁLCULO!$AM$15:$AW$15,$F119,0,OFFSET(ORÇAMENTO!$D$15,CRONO!$F119,0))),CRONO!U$12,OFFSET(CÁLCULO!$AB$15:$AL$15,$F119,0,OFFSET(ORÇAMENTO!$D$15,CRONO!$F119,0)))
                +IF(AND($F121&lt;&gt;"",$F121&lt;&gt;0),
                        SUMIF(CÁLCULO!$AM$15:$AW$36,CRONO!U$12,CÁLCULO!$AB$15:$AL$36)/(ORÇAMENTO!$X$15-CÁLCULO.TotalAdmLocal)*CRONO!$F121,
                        0),
                 U120*$S119),
          SUMIF(OFFSET($S121,1,0,$R119-2),($M119+1)&amp;"$",OFFSET(U121,1,0,$R119-2)))</f>
        <v>0</v>
      </c>
      <c r="V121" s="159">
        <f ca="1">IF($R119=2,
         IF(AND(ACOMPANHAMENTO="PLE",ISNUMBER($F119)),
                SUMIF((OFFSET(CÁLCULO!$AM$15:$AW$15,$F119,0,OFFSET(ORÇAMENTO!$D$15,CRONO!$F119,0))),CRONO!V$12,OFFSET(CÁLCULO!$AB$15:$AL$15,$F119,0,OFFSET(ORÇAMENTO!$D$15,CRONO!$F119,0)))
                +IF(AND($F121&lt;&gt;"",$F121&lt;&gt;0),
                        SUMIF(CÁLCULO!$AM$15:$AW$36,CRONO!V$12,CÁLCULO!$AB$15:$AL$36)/(ORÇAMENTO!$X$15-CÁLCULO.TotalAdmLocal)*CRONO!$F121,
                        0),
                 V120*$S119),
          SUMIF(OFFSET($S121,1,0,$R119-2),($M119+1)&amp;"$",OFFSET(V121,1,0,$R119-2)))</f>
        <v>0</v>
      </c>
      <c r="W121" s="159">
        <f ca="1">IF($R119=2,
         IF(AND(ACOMPANHAMENTO="PLE",ISNUMBER($F119)),
                SUMIF((OFFSET(CÁLCULO!$AM$15:$AW$15,$F119,0,OFFSET(ORÇAMENTO!$D$15,CRONO!$F119,0))),CRONO!W$12,OFFSET(CÁLCULO!$AB$15:$AL$15,$F119,0,OFFSET(ORÇAMENTO!$D$15,CRONO!$F119,0)))
                +IF(AND($F121&lt;&gt;"",$F121&lt;&gt;0),
                        SUMIF(CÁLCULO!$AM$15:$AW$36,CRONO!W$12,CÁLCULO!$AB$15:$AL$36)/(ORÇAMENTO!$X$15-CÁLCULO.TotalAdmLocal)*CRONO!$F121,
                        0),
                 W120*$S119),
          SUMIF(OFFSET($S121,1,0,$R119-2),($M119+1)&amp;"$",OFFSET(W121,1,0,$R119-2)))</f>
        <v>0</v>
      </c>
      <c r="X121" s="159">
        <f ca="1">IF($R119=2,
         IF(AND(ACOMPANHAMENTO="PLE",ISNUMBER($F119)),
                SUMIF((OFFSET(CÁLCULO!$AM$15:$AW$15,$F119,0,OFFSET(ORÇAMENTO!$D$15,CRONO!$F119,0))),CRONO!X$12,OFFSET(CÁLCULO!$AB$15:$AL$15,$F119,0,OFFSET(ORÇAMENTO!$D$15,CRONO!$F119,0)))
                +IF(AND($F121&lt;&gt;"",$F121&lt;&gt;0),
                        SUMIF(CÁLCULO!$AM$15:$AW$36,CRONO!X$12,CÁLCULO!$AB$15:$AL$36)/(ORÇAMENTO!$X$15-CÁLCULO.TotalAdmLocal)*CRONO!$F121,
                        0),
                 X120*$S119),
          SUMIF(OFFSET($S121,1,0,$R119-2),($M119+1)&amp;"$",OFFSET(X121,1,0,$R119-2)))</f>
        <v>0</v>
      </c>
      <c r="Y121" s="159">
        <f ca="1">IF($R119=2,
         IF(AND(ACOMPANHAMENTO="PLE",ISNUMBER($F119)),
                SUMIF((OFFSET(CÁLCULO!$AM$15:$AW$15,$F119,0,OFFSET(ORÇAMENTO!$D$15,CRONO!$F119,0))),CRONO!Y$12,OFFSET(CÁLCULO!$AB$15:$AL$15,$F119,0,OFFSET(ORÇAMENTO!$D$15,CRONO!$F119,0)))
                +IF(AND($F121&lt;&gt;"",$F121&lt;&gt;0),
                        SUMIF(CÁLCULO!$AM$15:$AW$36,CRONO!Y$12,CÁLCULO!$AB$15:$AL$36)/(ORÇAMENTO!$X$15-CÁLCULO.TotalAdmLocal)*CRONO!$F121,
                        0),
                 Y120*$S119),
          SUMIF(OFFSET($S121,1,0,$R119-2),($M119+1)&amp;"$",OFFSET(Y121,1,0,$R119-2)))</f>
        <v>0</v>
      </c>
      <c r="Z121" s="159">
        <f ca="1">IF($R119=2,
         IF(AND(ACOMPANHAMENTO="PLE",ISNUMBER($F119)),
                SUMIF((OFFSET(CÁLCULO!$AM$15:$AW$15,$F119,0,OFFSET(ORÇAMENTO!$D$15,CRONO!$F119,0))),CRONO!Z$12,OFFSET(CÁLCULO!$AB$15:$AL$15,$F119,0,OFFSET(ORÇAMENTO!$D$15,CRONO!$F119,0)))
                +IF(AND($F121&lt;&gt;"",$F121&lt;&gt;0),
                        SUMIF(CÁLCULO!$AM$15:$AW$36,CRONO!Z$12,CÁLCULO!$AB$15:$AL$36)/(ORÇAMENTO!$X$15-CÁLCULO.TotalAdmLocal)*CRONO!$F121,
                        0),
                 Z120*$S119),
          SUMIF(OFFSET($S121,1,0,$R119-2),($M119+1)&amp;"$",OFFSET(Z121,1,0,$R119-2)))</f>
        <v>0</v>
      </c>
      <c r="AA121" s="159">
        <f ca="1">IF($R119=2,
         IF(AND(ACOMPANHAMENTO="PLE",ISNUMBER($F119)),
                SUMIF((OFFSET(CÁLCULO!$AM$15:$AW$15,$F119,0,OFFSET(ORÇAMENTO!$D$15,CRONO!$F119,0))),CRONO!AA$12,OFFSET(CÁLCULO!$AB$15:$AL$15,$F119,0,OFFSET(ORÇAMENTO!$D$15,CRONO!$F119,0)))
                +IF(AND($F121&lt;&gt;"",$F121&lt;&gt;0),
                        SUMIF(CÁLCULO!$AM$15:$AW$36,CRONO!AA$12,CÁLCULO!$AB$15:$AL$36)/(ORÇAMENTO!$X$15-CÁLCULO.TotalAdmLocal)*CRONO!$F121,
                        0),
                 AA120*$S119),
          SUMIF(OFFSET($S121,1,0,$R119-2),($M119+1)&amp;"$",OFFSET(AA121,1,0,$R119-2)))</f>
        <v>0</v>
      </c>
      <c r="AB121" s="159">
        <f ca="1">IF($R119=2,
         IF(AND(ACOMPANHAMENTO="PLE",ISNUMBER($F119)),
                SUMIF((OFFSET(CÁLCULO!$AM$15:$AW$15,$F119,0,OFFSET(ORÇAMENTO!$D$15,CRONO!$F119,0))),CRONO!AB$12,OFFSET(CÁLCULO!$AB$15:$AL$15,$F119,0,OFFSET(ORÇAMENTO!$D$15,CRONO!$F119,0)))
                +IF(AND($F121&lt;&gt;"",$F121&lt;&gt;0),
                        SUMIF(CÁLCULO!$AM$15:$AW$36,CRONO!AB$12,CÁLCULO!$AB$15:$AL$36)/(ORÇAMENTO!$X$15-CÁLCULO.TotalAdmLocal)*CRONO!$F121,
                        0),
                 AB120*$S119),
          SUMIF(OFFSET($S121,1,0,$R119-2),($M119+1)&amp;"$",OFFSET(AB121,1,0,$R119-2)))</f>
        <v>0</v>
      </c>
      <c r="AC121" s="159">
        <f ca="1">IF($R119=2,
         IF(AND(ACOMPANHAMENTO="PLE",ISNUMBER($F119)),
                SUMIF((OFFSET(CÁLCULO!$AM$15:$AW$15,$F119,0,OFFSET(ORÇAMENTO!$D$15,CRONO!$F119,0))),CRONO!AC$12,OFFSET(CÁLCULO!$AB$15:$AL$15,$F119,0,OFFSET(ORÇAMENTO!$D$15,CRONO!$F119,0)))
                +IF(AND($F121&lt;&gt;"",$F121&lt;&gt;0),
                        SUMIF(CÁLCULO!$AM$15:$AW$36,CRONO!AC$12,CÁLCULO!$AB$15:$AL$36)/(ORÇAMENTO!$X$15-CÁLCULO.TotalAdmLocal)*CRONO!$F121,
                        0),
                 AC120*$S119),
          SUMIF(OFFSET($S121,1,0,$R119-2),($M119+1)&amp;"$",OFFSET(AC121,1,0,$R119-2)))</f>
        <v>0</v>
      </c>
      <c r="AD121" s="159">
        <f ca="1">IF($R119=2,
         IF(AND(ACOMPANHAMENTO="PLE",ISNUMBER($F119)),
                SUMIF((OFFSET(CÁLCULO!$AM$15:$AW$15,$F119,0,OFFSET(ORÇAMENTO!$D$15,CRONO!$F119,0))),CRONO!AD$12,OFFSET(CÁLCULO!$AB$15:$AL$15,$F119,0,OFFSET(ORÇAMENTO!$D$15,CRONO!$F119,0)))
                +IF(AND($F121&lt;&gt;"",$F121&lt;&gt;0),
                        SUMIF(CÁLCULO!$AM$15:$AW$36,CRONO!AD$12,CÁLCULO!$AB$15:$AL$36)/(ORÇAMENTO!$X$15-CÁLCULO.TotalAdmLocal)*CRONO!$F121,
                        0),
                 AD120*$S119),
          SUMIF(OFFSET($S121,1,0,$R119-2),($M119+1)&amp;"$",OFFSET(AD121,1,0,$R119-2)))</f>
        <v>0</v>
      </c>
      <c r="AE121" s="159">
        <f ca="1">IF($R119=2,
         IF(AND(ACOMPANHAMENTO="PLE",ISNUMBER($F119)),
                SUMIF((OFFSET(CÁLCULO!$AM$15:$AW$15,$F119,0,OFFSET(ORÇAMENTO!$D$15,CRONO!$F119,0))),CRONO!AE$12,OFFSET(CÁLCULO!$AB$15:$AL$15,$F119,0,OFFSET(ORÇAMENTO!$D$15,CRONO!$F119,0)))
                +IF(AND($F121&lt;&gt;"",$F121&lt;&gt;0),
                        SUMIF(CÁLCULO!$AM$15:$AW$36,CRONO!AE$12,CÁLCULO!$AB$15:$AL$36)/(ORÇAMENTO!$X$15-CÁLCULO.TotalAdmLocal)*CRONO!$F121,
                        0),
                 AE120*$S119),
          SUMIF(OFFSET($S121,1,0,$R119-2),($M119+1)&amp;"$",OFFSET(AE121,1,0,$R119-2)))</f>
        <v>0</v>
      </c>
      <c r="AF121" s="159">
        <f ca="1">IF($R119=2,
         IF(AND(ACOMPANHAMENTO="PLE",ISNUMBER($F119)),
                SUMIF((OFFSET(CÁLCULO!$AM$15:$AW$15,$F119,0,OFFSET(ORÇAMENTO!$D$15,CRONO!$F119,0))),CRONO!AF$12,OFFSET(CÁLCULO!$AB$15:$AL$15,$F119,0,OFFSET(ORÇAMENTO!$D$15,CRONO!$F119,0)))
                +IF(AND($F121&lt;&gt;"",$F121&lt;&gt;0),
                        SUMIF(CÁLCULO!$AM$15:$AW$36,CRONO!AF$12,CÁLCULO!$AB$15:$AL$36)/(ORÇAMENTO!$X$15-CÁLCULO.TotalAdmLocal)*CRONO!$F121,
                        0),
                 AF120*$S119),
          SUMIF(OFFSET($S121,1,0,$R119-2),($M119+1)&amp;"$",OFFSET(AF121,1,0,$R119-2)))</f>
        <v>0</v>
      </c>
      <c r="AG121" s="444"/>
    </row>
    <row r="122" spans="1:33" hidden="1" x14ac:dyDescent="0.25">
      <c r="A122" s="145" t="str">
        <f t="shared" ref="A122" ca="1" si="218">IF($M122&gt;1,CONCATENATE($I122," ",$J122),"")</f>
        <v/>
      </c>
      <c r="B122" s="144">
        <f t="shared" ref="B122" ca="1" si="219">OFFSET(B122,-3,0)+1</f>
        <v>37</v>
      </c>
      <c r="C122" s="144">
        <f ca="1">IF($R122&lt;&gt;2,0,IF($S122=0,1,IF(F123&gt;0,OFFSET(QCI!$M$13,SUBSTITUTE(F123,".",""),0),OFFSET(ORÇAMENTO!$AA$15,CRONO!$F122,0))/$S122))</f>
        <v>0</v>
      </c>
      <c r="D122" s="144">
        <f ca="1">IF($R122&lt;&gt;2,0,IF($S122=0,1,IF(F123&gt;0,OFFSET(QCI!$N$13,SUBSTITUTE(F123,".",""),0),OFFSET(ORÇAMENTO!$AB$15,CRONO!$F122,0))/$S122))</f>
        <v>0</v>
      </c>
      <c r="E122" s="147" t="e">
        <f ca="1">IF(AND($R122=2,ACOMPANHAMENTO="BM"),ROUND(E123,4),E124/$S122)</f>
        <v>#VALUE!</v>
      </c>
      <c r="F122" s="144" t="e">
        <f ca="1">IF(B122&lt;=ORÇAMENTO.MáximoListaCrono,MATCH(B122,ORÇAMENTO.ListaCrono,0),NA())</f>
        <v>#N/A</v>
      </c>
      <c r="G122" s="144" t="str">
        <f t="shared" ref="G122" ca="1" si="220">IF(AND($F123&lt;&gt;-1,$S122&gt;0),"F","")</f>
        <v/>
      </c>
      <c r="H122" s="617" t="str">
        <f ca="1">IF(OR(S122=0,S122=""),"Linha",IF(AND(OR(ACOMPANHAMENTO="PLE",$R122&lt;&gt;2),$F123=0),"Linha",ROUND(1-SUM(U122:AG122),4)))</f>
        <v>Linha</v>
      </c>
      <c r="I122" s="148" t="str">
        <f ca="1">IF($F123=0,OFFSET(ORÇAMENTO!O$15,$F122,0),IF($F123&lt;&gt;-1,OFFSET(QCI!$D$13,$F123,0),""))</f>
        <v/>
      </c>
      <c r="J122" s="149" t="str">
        <f ca="1">IF($F123=0,OFFSET(ORÇAMENTO!R$15,$F122,0),IF($F123&lt;&gt;-1,OFFSET(QCI!$G$13,$F123,0),""))</f>
        <v/>
      </c>
      <c r="K122" s="149"/>
      <c r="L122" s="149"/>
      <c r="M122" s="150">
        <f ca="1">IF($F123=0,OFFSET(ORÇAMENTO!C$15,$F122,0),1)</f>
        <v>1</v>
      </c>
      <c r="N122" s="151">
        <f ca="1">IF($F123=-1,0,IF(N$13&lt;=$M122,IF(ISERROR(MATCH(N$13,OFFSET($M122,1,0,ROW($M$164)-ROW($M122)-1),0)),ROW($M$164)-ROW($M122)-1,MATCH(N$13,OFFSET($M122,1,0,ROW($M$164)-ROW($M122)-1),0)-1),0))</f>
        <v>0</v>
      </c>
      <c r="O122" s="151">
        <f ca="1">IF($F123=-1,0,IF(O$13&lt;=$M122,IF(ISERROR(MATCH(O$13,OFFSET($M122,1,0,ROW($M$164)-ROW($M122)-1),0)),ROW($M$164)-ROW($M122)-1,MATCH(O$13,OFFSET($M122,1,0,ROW($M$164)-ROW($M122)-1),0)-1),0))</f>
        <v>0</v>
      </c>
      <c r="P122" s="151">
        <f ca="1">IF($F123=-1,0,IF(P$13&lt;=$M122,IF(ISERROR(MATCH(P$13,OFFSET($M122,1,0,ROW($M$164)-ROW($M122)-1),0)),ROW($M$164)-ROW($M122)-1,MATCH(P$13,OFFSET($M122,1,0,ROW($M$164)-ROW($M122)-1),0)-1),0))</f>
        <v>0</v>
      </c>
      <c r="Q122" s="151">
        <f ca="1">IF($F123=-1,0,IF(Q$13&lt;=$M122,IF(ISERROR(MATCH(Q$13,OFFSET($M122,1,0,ROW($M$164)-ROW($M122)-1),0)),ROW($M$164)-ROW($M122)-1,MATCH(Q$13,OFFSET($M122,1,0,ROW($M$164)-ROW($M122)-1),0)-1),0))</f>
        <v>0</v>
      </c>
      <c r="R122" s="151">
        <f t="shared" ref="R122" ca="1" si="221">MIN(OFFSET(M122,0,1,,M122))</f>
        <v>0</v>
      </c>
      <c r="S122" s="152" t="str">
        <f ca="1">IF($F123=0,OFFSET(ORÇAMENTO!X$15,$F122,0),IF($F123&lt;&gt;-1,OFFSET(QCI!$O$13,$F123,0),""))</f>
        <v/>
      </c>
      <c r="T122" s="618" t="s">
        <v>809</v>
      </c>
      <c r="U122" s="147" t="e">
        <f ca="1">IF(AND($R122=2,ACOMPANHAMENTO="BM"),ROUND(U123,4),U124/$S122)</f>
        <v>#VALUE!</v>
      </c>
      <c r="V122" s="147" t="e">
        <f ca="1">IF(AND($R122=2,ACOMPANHAMENTO="BM"),ROUND(V123,4),V124/$S122)</f>
        <v>#VALUE!</v>
      </c>
      <c r="W122" s="147" t="e">
        <f ca="1">IF(AND($R122=2,ACOMPANHAMENTO="BM"),ROUND(W123,4),W124/$S122)</f>
        <v>#VALUE!</v>
      </c>
      <c r="X122" s="147" t="e">
        <f ca="1">IF(AND($R122=2,ACOMPANHAMENTO="BM"),ROUND(X123,4),X124/$S122)</f>
        <v>#VALUE!</v>
      </c>
      <c r="Y122" s="147" t="e">
        <f ca="1">IF(AND($R122=2,ACOMPANHAMENTO="BM"),ROUND(Y123,4),Y124/$S122)</f>
        <v>#VALUE!</v>
      </c>
      <c r="Z122" s="147" t="e">
        <f ca="1">IF(AND($R122=2,ACOMPANHAMENTO="BM"),ROUND(Z123,4),Z124/$S122)</f>
        <v>#VALUE!</v>
      </c>
      <c r="AA122" s="147" t="e">
        <f ca="1">IF(AND($R122=2,ACOMPANHAMENTO="BM"),ROUND(AA123,4),AA124/$S122)</f>
        <v>#VALUE!</v>
      </c>
      <c r="AB122" s="147" t="e">
        <f ca="1">IF(AND($R122=2,ACOMPANHAMENTO="BM"),ROUND(AB123,4),AB124/$S122)</f>
        <v>#VALUE!</v>
      </c>
      <c r="AC122" s="147" t="e">
        <f ca="1">IF(AND($R122=2,ACOMPANHAMENTO="BM"),ROUND(AC123,4),AC124/$S122)</f>
        <v>#VALUE!</v>
      </c>
      <c r="AD122" s="147" t="e">
        <f ca="1">IF(AND($R122=2,ACOMPANHAMENTO="BM"),ROUND(AD123,4),AD124/$S122)</f>
        <v>#VALUE!</v>
      </c>
      <c r="AE122" s="147" t="e">
        <f ca="1">IF(AND($R122=2,ACOMPANHAMENTO="BM"),ROUND(AE123,4),AE124/$S122)</f>
        <v>#VALUE!</v>
      </c>
      <c r="AF122" s="147" t="e">
        <f ca="1">IF(AND($R122=2,ACOMPANHAMENTO="BM"),ROUND(AF123,4),AF124/$S122)</f>
        <v>#VALUE!</v>
      </c>
      <c r="AG122" s="444"/>
    </row>
    <row r="123" spans="1:33" ht="12.75" hidden="1" customHeight="1" x14ac:dyDescent="0.25">
      <c r="E123" s="501"/>
      <c r="F123" s="144">
        <f ca="1">IF(ISERROR(F122),IF(1+COUNTIF($M$13:OFFSET(M122,-1,0),1)&lt;=MAX(QCI!$D$13:$D$24),1+COUNTIF($M$13:OFFSET(M122,-1,0),1),-1),0)</f>
        <v>-1</v>
      </c>
      <c r="G123" s="144" t="str">
        <f ca="1">IF(ACOMPANHAMENTO="BM",OFFSET(G123,-1,0),"")</f>
        <v/>
      </c>
      <c r="H123" s="153" t="str">
        <f ca="1">IF(OR(S122=0,S122=""),"vazia",IF(AND(OR(ACOMPANHAMENTO="PLE",$R122&lt;&gt;2),$F123=0),"calculada","--&gt;"))</f>
        <v>vazia</v>
      </c>
      <c r="I123" s="154"/>
      <c r="J123" s="155" t="str">
        <f t="shared" ref="J123" ca="1" si="222">IF(AND(H122&lt;&gt;0,ISNUMBER(H122)),"PREENCHA ESTA LINHA --&gt;","")</f>
        <v/>
      </c>
      <c r="K123" s="155"/>
      <c r="L123" s="155"/>
      <c r="M123" s="156"/>
      <c r="N123" s="156"/>
      <c r="O123" s="156"/>
      <c r="P123" s="156"/>
      <c r="Q123" s="156"/>
      <c r="R123" s="156"/>
      <c r="S123" s="157"/>
      <c r="T123" s="158"/>
      <c r="U123" s="501"/>
      <c r="V123" s="501"/>
      <c r="W123" s="501"/>
      <c r="X123" s="501"/>
      <c r="Y123" s="501"/>
      <c r="Z123" s="501"/>
      <c r="AA123" s="501"/>
      <c r="AB123" s="501"/>
      <c r="AC123" s="501"/>
      <c r="AD123" s="501"/>
      <c r="AE123" s="501"/>
      <c r="AF123" s="501"/>
      <c r="AG123" s="444"/>
    </row>
    <row r="124" spans="1:33" ht="12.75" hidden="1" customHeight="1" x14ac:dyDescent="0.25">
      <c r="D124" s="443"/>
      <c r="E124" s="159">
        <f ca="1">IF($R122=2,
         IF(AND(ACOMPANHAMENTO="PLE",ISNUMBER($F122)),
                SUMIF((OFFSET(CÁLCULO!$AM$15:$AW$15,$F122,0,OFFSET(ORÇAMENTO!$D$15,CRONO!$F122,0))),CRONO!E$12,OFFSET(CÁLCULO!$AB$15:$AL$15,$F122,0,OFFSET(ORÇAMENTO!$D$15,CRONO!$F122,0)))
                +IF(AND($F124&lt;&gt;"",$F124&lt;&gt;0),
                        SUMIF(CÁLCULO!$AM$15:$AW$36,CRONO!E$12,CÁLCULO!$AB$15:$AL$36)/(ORÇAMENTO!$X$15-CÁLCULO.TotalAdmLocal)*CRONO!$F124,
                        0),
                 E123*$S122),
          SUMIF(OFFSET($S124,1,0,$R122-2),($M122+1)&amp;"$",OFFSET(E124,1,0,$R122-2)))</f>
        <v>0</v>
      </c>
      <c r="F124" s="144" t="str">
        <f ca="1">IF(OR($R122&lt;&gt;2,AUTOEVENTO&lt;&gt;"manual",$F123&gt;0),"",
        IF(Import.TipoArredondamento="Tradicional",
              SUMIF(OFFSET(CÁLCULO!$M$15,CRONO!$F122,0,OFFSET(ORÇAMENTO!$D$15,CRONO!$F122,0)),1,OFFSET(ORÇAMENTO!$X$15,CRONO!$F122,0,OFFSET(ORÇAMENTO!$D$15,CRONO!$F122,0))),
              0))</f>
        <v/>
      </c>
      <c r="H124" s="530"/>
      <c r="S124" s="160" t="str">
        <f t="shared" ref="S124" ca="1" si="223">M122&amp;"$"</f>
        <v>1$</v>
      </c>
      <c r="T124" s="161"/>
      <c r="U124" s="159">
        <f ca="1">IF($R122=2,
         IF(AND(ACOMPANHAMENTO="PLE",ISNUMBER($F122)),
                SUMIF((OFFSET(CÁLCULO!$AM$15:$AW$15,$F122,0,OFFSET(ORÇAMENTO!$D$15,CRONO!$F122,0))),CRONO!U$12,OFFSET(CÁLCULO!$AB$15:$AL$15,$F122,0,OFFSET(ORÇAMENTO!$D$15,CRONO!$F122,0)))
                +IF(AND($F124&lt;&gt;"",$F124&lt;&gt;0),
                        SUMIF(CÁLCULO!$AM$15:$AW$36,CRONO!U$12,CÁLCULO!$AB$15:$AL$36)/(ORÇAMENTO!$X$15-CÁLCULO.TotalAdmLocal)*CRONO!$F124,
                        0),
                 U123*$S122),
          SUMIF(OFFSET($S124,1,0,$R122-2),($M122+1)&amp;"$",OFFSET(U124,1,0,$R122-2)))</f>
        <v>0</v>
      </c>
      <c r="V124" s="159">
        <f ca="1">IF($R122=2,
         IF(AND(ACOMPANHAMENTO="PLE",ISNUMBER($F122)),
                SUMIF((OFFSET(CÁLCULO!$AM$15:$AW$15,$F122,0,OFFSET(ORÇAMENTO!$D$15,CRONO!$F122,0))),CRONO!V$12,OFFSET(CÁLCULO!$AB$15:$AL$15,$F122,0,OFFSET(ORÇAMENTO!$D$15,CRONO!$F122,0)))
                +IF(AND($F124&lt;&gt;"",$F124&lt;&gt;0),
                        SUMIF(CÁLCULO!$AM$15:$AW$36,CRONO!V$12,CÁLCULO!$AB$15:$AL$36)/(ORÇAMENTO!$X$15-CÁLCULO.TotalAdmLocal)*CRONO!$F124,
                        0),
                 V123*$S122),
          SUMIF(OFFSET($S124,1,0,$R122-2),($M122+1)&amp;"$",OFFSET(V124,1,0,$R122-2)))</f>
        <v>0</v>
      </c>
      <c r="W124" s="159">
        <f ca="1">IF($R122=2,
         IF(AND(ACOMPANHAMENTO="PLE",ISNUMBER($F122)),
                SUMIF((OFFSET(CÁLCULO!$AM$15:$AW$15,$F122,0,OFFSET(ORÇAMENTO!$D$15,CRONO!$F122,0))),CRONO!W$12,OFFSET(CÁLCULO!$AB$15:$AL$15,$F122,0,OFFSET(ORÇAMENTO!$D$15,CRONO!$F122,0)))
                +IF(AND($F124&lt;&gt;"",$F124&lt;&gt;0),
                        SUMIF(CÁLCULO!$AM$15:$AW$36,CRONO!W$12,CÁLCULO!$AB$15:$AL$36)/(ORÇAMENTO!$X$15-CÁLCULO.TotalAdmLocal)*CRONO!$F124,
                        0),
                 W123*$S122),
          SUMIF(OFFSET($S124,1,0,$R122-2),($M122+1)&amp;"$",OFFSET(W124,1,0,$R122-2)))</f>
        <v>0</v>
      </c>
      <c r="X124" s="159">
        <f ca="1">IF($R122=2,
         IF(AND(ACOMPANHAMENTO="PLE",ISNUMBER($F122)),
                SUMIF((OFFSET(CÁLCULO!$AM$15:$AW$15,$F122,0,OFFSET(ORÇAMENTO!$D$15,CRONO!$F122,0))),CRONO!X$12,OFFSET(CÁLCULO!$AB$15:$AL$15,$F122,0,OFFSET(ORÇAMENTO!$D$15,CRONO!$F122,0)))
                +IF(AND($F124&lt;&gt;"",$F124&lt;&gt;0),
                        SUMIF(CÁLCULO!$AM$15:$AW$36,CRONO!X$12,CÁLCULO!$AB$15:$AL$36)/(ORÇAMENTO!$X$15-CÁLCULO.TotalAdmLocal)*CRONO!$F124,
                        0),
                 X123*$S122),
          SUMIF(OFFSET($S124,1,0,$R122-2),($M122+1)&amp;"$",OFFSET(X124,1,0,$R122-2)))</f>
        <v>0</v>
      </c>
      <c r="Y124" s="159">
        <f ca="1">IF($R122=2,
         IF(AND(ACOMPANHAMENTO="PLE",ISNUMBER($F122)),
                SUMIF((OFFSET(CÁLCULO!$AM$15:$AW$15,$F122,0,OFFSET(ORÇAMENTO!$D$15,CRONO!$F122,0))),CRONO!Y$12,OFFSET(CÁLCULO!$AB$15:$AL$15,$F122,0,OFFSET(ORÇAMENTO!$D$15,CRONO!$F122,0)))
                +IF(AND($F124&lt;&gt;"",$F124&lt;&gt;0),
                        SUMIF(CÁLCULO!$AM$15:$AW$36,CRONO!Y$12,CÁLCULO!$AB$15:$AL$36)/(ORÇAMENTO!$X$15-CÁLCULO.TotalAdmLocal)*CRONO!$F124,
                        0),
                 Y123*$S122),
          SUMIF(OFFSET($S124,1,0,$R122-2),($M122+1)&amp;"$",OFFSET(Y124,1,0,$R122-2)))</f>
        <v>0</v>
      </c>
      <c r="Z124" s="159">
        <f ca="1">IF($R122=2,
         IF(AND(ACOMPANHAMENTO="PLE",ISNUMBER($F122)),
                SUMIF((OFFSET(CÁLCULO!$AM$15:$AW$15,$F122,0,OFFSET(ORÇAMENTO!$D$15,CRONO!$F122,0))),CRONO!Z$12,OFFSET(CÁLCULO!$AB$15:$AL$15,$F122,0,OFFSET(ORÇAMENTO!$D$15,CRONO!$F122,0)))
                +IF(AND($F124&lt;&gt;"",$F124&lt;&gt;0),
                        SUMIF(CÁLCULO!$AM$15:$AW$36,CRONO!Z$12,CÁLCULO!$AB$15:$AL$36)/(ORÇAMENTO!$X$15-CÁLCULO.TotalAdmLocal)*CRONO!$F124,
                        0),
                 Z123*$S122),
          SUMIF(OFFSET($S124,1,0,$R122-2),($M122+1)&amp;"$",OFFSET(Z124,1,0,$R122-2)))</f>
        <v>0</v>
      </c>
      <c r="AA124" s="159">
        <f ca="1">IF($R122=2,
         IF(AND(ACOMPANHAMENTO="PLE",ISNUMBER($F122)),
                SUMIF((OFFSET(CÁLCULO!$AM$15:$AW$15,$F122,0,OFFSET(ORÇAMENTO!$D$15,CRONO!$F122,0))),CRONO!AA$12,OFFSET(CÁLCULO!$AB$15:$AL$15,$F122,0,OFFSET(ORÇAMENTO!$D$15,CRONO!$F122,0)))
                +IF(AND($F124&lt;&gt;"",$F124&lt;&gt;0),
                        SUMIF(CÁLCULO!$AM$15:$AW$36,CRONO!AA$12,CÁLCULO!$AB$15:$AL$36)/(ORÇAMENTO!$X$15-CÁLCULO.TotalAdmLocal)*CRONO!$F124,
                        0),
                 AA123*$S122),
          SUMIF(OFFSET($S124,1,0,$R122-2),($M122+1)&amp;"$",OFFSET(AA124,1,0,$R122-2)))</f>
        <v>0</v>
      </c>
      <c r="AB124" s="159">
        <f ca="1">IF($R122=2,
         IF(AND(ACOMPANHAMENTO="PLE",ISNUMBER($F122)),
                SUMIF((OFFSET(CÁLCULO!$AM$15:$AW$15,$F122,0,OFFSET(ORÇAMENTO!$D$15,CRONO!$F122,0))),CRONO!AB$12,OFFSET(CÁLCULO!$AB$15:$AL$15,$F122,0,OFFSET(ORÇAMENTO!$D$15,CRONO!$F122,0)))
                +IF(AND($F124&lt;&gt;"",$F124&lt;&gt;0),
                        SUMIF(CÁLCULO!$AM$15:$AW$36,CRONO!AB$12,CÁLCULO!$AB$15:$AL$36)/(ORÇAMENTO!$X$15-CÁLCULO.TotalAdmLocal)*CRONO!$F124,
                        0),
                 AB123*$S122),
          SUMIF(OFFSET($S124,1,0,$R122-2),($M122+1)&amp;"$",OFFSET(AB124,1,0,$R122-2)))</f>
        <v>0</v>
      </c>
      <c r="AC124" s="159">
        <f ca="1">IF($R122=2,
         IF(AND(ACOMPANHAMENTO="PLE",ISNUMBER($F122)),
                SUMIF((OFFSET(CÁLCULO!$AM$15:$AW$15,$F122,0,OFFSET(ORÇAMENTO!$D$15,CRONO!$F122,0))),CRONO!AC$12,OFFSET(CÁLCULO!$AB$15:$AL$15,$F122,0,OFFSET(ORÇAMENTO!$D$15,CRONO!$F122,0)))
                +IF(AND($F124&lt;&gt;"",$F124&lt;&gt;0),
                        SUMIF(CÁLCULO!$AM$15:$AW$36,CRONO!AC$12,CÁLCULO!$AB$15:$AL$36)/(ORÇAMENTO!$X$15-CÁLCULO.TotalAdmLocal)*CRONO!$F124,
                        0),
                 AC123*$S122),
          SUMIF(OFFSET($S124,1,0,$R122-2),($M122+1)&amp;"$",OFFSET(AC124,1,0,$R122-2)))</f>
        <v>0</v>
      </c>
      <c r="AD124" s="159">
        <f ca="1">IF($R122=2,
         IF(AND(ACOMPANHAMENTO="PLE",ISNUMBER($F122)),
                SUMIF((OFFSET(CÁLCULO!$AM$15:$AW$15,$F122,0,OFFSET(ORÇAMENTO!$D$15,CRONO!$F122,0))),CRONO!AD$12,OFFSET(CÁLCULO!$AB$15:$AL$15,$F122,0,OFFSET(ORÇAMENTO!$D$15,CRONO!$F122,0)))
                +IF(AND($F124&lt;&gt;"",$F124&lt;&gt;0),
                        SUMIF(CÁLCULO!$AM$15:$AW$36,CRONO!AD$12,CÁLCULO!$AB$15:$AL$36)/(ORÇAMENTO!$X$15-CÁLCULO.TotalAdmLocal)*CRONO!$F124,
                        0),
                 AD123*$S122),
          SUMIF(OFFSET($S124,1,0,$R122-2),($M122+1)&amp;"$",OFFSET(AD124,1,0,$R122-2)))</f>
        <v>0</v>
      </c>
      <c r="AE124" s="159">
        <f ca="1">IF($R122=2,
         IF(AND(ACOMPANHAMENTO="PLE",ISNUMBER($F122)),
                SUMIF((OFFSET(CÁLCULO!$AM$15:$AW$15,$F122,0,OFFSET(ORÇAMENTO!$D$15,CRONO!$F122,0))),CRONO!AE$12,OFFSET(CÁLCULO!$AB$15:$AL$15,$F122,0,OFFSET(ORÇAMENTO!$D$15,CRONO!$F122,0)))
                +IF(AND($F124&lt;&gt;"",$F124&lt;&gt;0),
                        SUMIF(CÁLCULO!$AM$15:$AW$36,CRONO!AE$12,CÁLCULO!$AB$15:$AL$36)/(ORÇAMENTO!$X$15-CÁLCULO.TotalAdmLocal)*CRONO!$F124,
                        0),
                 AE123*$S122),
          SUMIF(OFFSET($S124,1,0,$R122-2),($M122+1)&amp;"$",OFFSET(AE124,1,0,$R122-2)))</f>
        <v>0</v>
      </c>
      <c r="AF124" s="159">
        <f ca="1">IF($R122=2,
         IF(AND(ACOMPANHAMENTO="PLE",ISNUMBER($F122)),
                SUMIF((OFFSET(CÁLCULO!$AM$15:$AW$15,$F122,0,OFFSET(ORÇAMENTO!$D$15,CRONO!$F122,0))),CRONO!AF$12,OFFSET(CÁLCULO!$AB$15:$AL$15,$F122,0,OFFSET(ORÇAMENTO!$D$15,CRONO!$F122,0)))
                +IF(AND($F124&lt;&gt;"",$F124&lt;&gt;0),
                        SUMIF(CÁLCULO!$AM$15:$AW$36,CRONO!AF$12,CÁLCULO!$AB$15:$AL$36)/(ORÇAMENTO!$X$15-CÁLCULO.TotalAdmLocal)*CRONO!$F124,
                        0),
                 AF123*$S122),
          SUMIF(OFFSET($S124,1,0,$R122-2),($M122+1)&amp;"$",OFFSET(AF124,1,0,$R122-2)))</f>
        <v>0</v>
      </c>
      <c r="AG124" s="444"/>
    </row>
    <row r="125" spans="1:33" hidden="1" x14ac:dyDescent="0.25">
      <c r="A125" s="145" t="str">
        <f t="shared" ref="A125" ca="1" si="224">IF($M125&gt;1,CONCATENATE($I125," ",$J125),"")</f>
        <v/>
      </c>
      <c r="B125" s="144">
        <f t="shared" ref="B125" ca="1" si="225">OFFSET(B125,-3,0)+1</f>
        <v>38</v>
      </c>
      <c r="C125" s="144">
        <f ca="1">IF($R125&lt;&gt;2,0,IF($S125=0,1,IF(F126&gt;0,OFFSET(QCI!$M$13,SUBSTITUTE(F126,".",""),0),OFFSET(ORÇAMENTO!$AA$15,CRONO!$F125,0))/$S125))</f>
        <v>0</v>
      </c>
      <c r="D125" s="144">
        <f ca="1">IF($R125&lt;&gt;2,0,IF($S125=0,1,IF(F126&gt;0,OFFSET(QCI!$N$13,SUBSTITUTE(F126,".",""),0),OFFSET(ORÇAMENTO!$AB$15,CRONO!$F125,0))/$S125))</f>
        <v>0</v>
      </c>
      <c r="E125" s="147" t="e">
        <f ca="1">IF(AND($R125=2,ACOMPANHAMENTO="BM"),ROUND(E126,4),E127/$S125)</f>
        <v>#VALUE!</v>
      </c>
      <c r="F125" s="144" t="e">
        <f ca="1">IF(B125&lt;=ORÇAMENTO.MáximoListaCrono,MATCH(B125,ORÇAMENTO.ListaCrono,0),NA())</f>
        <v>#N/A</v>
      </c>
      <c r="G125" s="144" t="str">
        <f t="shared" ref="G125" ca="1" si="226">IF(AND($F126&lt;&gt;-1,$S125&gt;0),"F","")</f>
        <v/>
      </c>
      <c r="H125" s="617" t="str">
        <f ca="1">IF(OR(S125=0,S125=""),"Linha",IF(AND(OR(ACOMPANHAMENTO="PLE",$R125&lt;&gt;2),$F126=0),"Linha",ROUND(1-SUM(U125:AG125),4)))</f>
        <v>Linha</v>
      </c>
      <c r="I125" s="148" t="str">
        <f ca="1">IF($F126=0,OFFSET(ORÇAMENTO!O$15,$F125,0),IF($F126&lt;&gt;-1,OFFSET(QCI!$D$13,$F126,0),""))</f>
        <v/>
      </c>
      <c r="J125" s="149" t="str">
        <f ca="1">IF($F126=0,OFFSET(ORÇAMENTO!R$15,$F125,0),IF($F126&lt;&gt;-1,OFFSET(QCI!$G$13,$F126,0),""))</f>
        <v/>
      </c>
      <c r="K125" s="149"/>
      <c r="L125" s="149"/>
      <c r="M125" s="150">
        <f ca="1">IF($F126=0,OFFSET(ORÇAMENTO!C$15,$F125,0),1)</f>
        <v>1</v>
      </c>
      <c r="N125" s="151">
        <f ca="1">IF($F126=-1,0,IF(N$13&lt;=$M125,IF(ISERROR(MATCH(N$13,OFFSET($M125,1,0,ROW($M$164)-ROW($M125)-1),0)),ROW($M$164)-ROW($M125)-1,MATCH(N$13,OFFSET($M125,1,0,ROW($M$164)-ROW($M125)-1),0)-1),0))</f>
        <v>0</v>
      </c>
      <c r="O125" s="151">
        <f ca="1">IF($F126=-1,0,IF(O$13&lt;=$M125,IF(ISERROR(MATCH(O$13,OFFSET($M125,1,0,ROW($M$164)-ROW($M125)-1),0)),ROW($M$164)-ROW($M125)-1,MATCH(O$13,OFFSET($M125,1,0,ROW($M$164)-ROW($M125)-1),0)-1),0))</f>
        <v>0</v>
      </c>
      <c r="P125" s="151">
        <f ca="1">IF($F126=-1,0,IF(P$13&lt;=$M125,IF(ISERROR(MATCH(P$13,OFFSET($M125,1,0,ROW($M$164)-ROW($M125)-1),0)),ROW($M$164)-ROW($M125)-1,MATCH(P$13,OFFSET($M125,1,0,ROW($M$164)-ROW($M125)-1),0)-1),0))</f>
        <v>0</v>
      </c>
      <c r="Q125" s="151">
        <f ca="1">IF($F126=-1,0,IF(Q$13&lt;=$M125,IF(ISERROR(MATCH(Q$13,OFFSET($M125,1,0,ROW($M$164)-ROW($M125)-1),0)),ROW($M$164)-ROW($M125)-1,MATCH(Q$13,OFFSET($M125,1,0,ROW($M$164)-ROW($M125)-1),0)-1),0))</f>
        <v>0</v>
      </c>
      <c r="R125" s="151">
        <f t="shared" ref="R125" ca="1" si="227">MIN(OFFSET(M125,0,1,,M125))</f>
        <v>0</v>
      </c>
      <c r="S125" s="152" t="str">
        <f ca="1">IF($F126=0,OFFSET(ORÇAMENTO!X$15,$F125,0),IF($F126&lt;&gt;-1,OFFSET(QCI!$O$13,$F126,0),""))</f>
        <v/>
      </c>
      <c r="T125" s="618" t="s">
        <v>809</v>
      </c>
      <c r="U125" s="147" t="e">
        <f ca="1">IF(AND($R125=2,ACOMPANHAMENTO="BM"),ROUND(U126,4),U127/$S125)</f>
        <v>#VALUE!</v>
      </c>
      <c r="V125" s="147" t="e">
        <f ca="1">IF(AND($R125=2,ACOMPANHAMENTO="BM"),ROUND(V126,4),V127/$S125)</f>
        <v>#VALUE!</v>
      </c>
      <c r="W125" s="147" t="e">
        <f ca="1">IF(AND($R125=2,ACOMPANHAMENTO="BM"),ROUND(W126,4),W127/$S125)</f>
        <v>#VALUE!</v>
      </c>
      <c r="X125" s="147" t="e">
        <f ca="1">IF(AND($R125=2,ACOMPANHAMENTO="BM"),ROUND(X126,4),X127/$S125)</f>
        <v>#VALUE!</v>
      </c>
      <c r="Y125" s="147" t="e">
        <f ca="1">IF(AND($R125=2,ACOMPANHAMENTO="BM"),ROUND(Y126,4),Y127/$S125)</f>
        <v>#VALUE!</v>
      </c>
      <c r="Z125" s="147" t="e">
        <f ca="1">IF(AND($R125=2,ACOMPANHAMENTO="BM"),ROUND(Z126,4),Z127/$S125)</f>
        <v>#VALUE!</v>
      </c>
      <c r="AA125" s="147" t="e">
        <f ca="1">IF(AND($R125=2,ACOMPANHAMENTO="BM"),ROUND(AA126,4),AA127/$S125)</f>
        <v>#VALUE!</v>
      </c>
      <c r="AB125" s="147" t="e">
        <f ca="1">IF(AND($R125=2,ACOMPANHAMENTO="BM"),ROUND(AB126,4),AB127/$S125)</f>
        <v>#VALUE!</v>
      </c>
      <c r="AC125" s="147" t="e">
        <f ca="1">IF(AND($R125=2,ACOMPANHAMENTO="BM"),ROUND(AC126,4),AC127/$S125)</f>
        <v>#VALUE!</v>
      </c>
      <c r="AD125" s="147" t="e">
        <f ca="1">IF(AND($R125=2,ACOMPANHAMENTO="BM"),ROUND(AD126,4),AD127/$S125)</f>
        <v>#VALUE!</v>
      </c>
      <c r="AE125" s="147" t="e">
        <f ca="1">IF(AND($R125=2,ACOMPANHAMENTO="BM"),ROUND(AE126,4),AE127/$S125)</f>
        <v>#VALUE!</v>
      </c>
      <c r="AF125" s="147" t="e">
        <f ca="1">IF(AND($R125=2,ACOMPANHAMENTO="BM"),ROUND(AF126,4),AF127/$S125)</f>
        <v>#VALUE!</v>
      </c>
      <c r="AG125" s="444"/>
    </row>
    <row r="126" spans="1:33" ht="12.75" hidden="1" customHeight="1" x14ac:dyDescent="0.25">
      <c r="E126" s="501"/>
      <c r="F126" s="144">
        <f ca="1">IF(ISERROR(F125),IF(1+COUNTIF($M$13:OFFSET(M125,-1,0),1)&lt;=MAX(QCI!$D$13:$D$24),1+COUNTIF($M$13:OFFSET(M125,-1,0),1),-1),0)</f>
        <v>-1</v>
      </c>
      <c r="G126" s="144" t="str">
        <f ca="1">IF(ACOMPANHAMENTO="BM",OFFSET(G126,-1,0),"")</f>
        <v/>
      </c>
      <c r="H126" s="153" t="str">
        <f ca="1">IF(OR(S125=0,S125=""),"vazia",IF(AND(OR(ACOMPANHAMENTO="PLE",$R125&lt;&gt;2),$F126=0),"calculada","--&gt;"))</f>
        <v>vazia</v>
      </c>
      <c r="I126" s="154"/>
      <c r="J126" s="155" t="str">
        <f t="shared" ref="J126" ca="1" si="228">IF(AND(H125&lt;&gt;0,ISNUMBER(H125)),"PREENCHA ESTA LINHA --&gt;","")</f>
        <v/>
      </c>
      <c r="K126" s="155"/>
      <c r="L126" s="155"/>
      <c r="M126" s="156"/>
      <c r="N126" s="156"/>
      <c r="O126" s="156"/>
      <c r="P126" s="156"/>
      <c r="Q126" s="156"/>
      <c r="R126" s="156"/>
      <c r="S126" s="157"/>
      <c r="T126" s="158"/>
      <c r="U126" s="501"/>
      <c r="V126" s="501"/>
      <c r="W126" s="501"/>
      <c r="X126" s="501"/>
      <c r="Y126" s="501"/>
      <c r="Z126" s="501"/>
      <c r="AA126" s="501"/>
      <c r="AB126" s="501"/>
      <c r="AC126" s="501"/>
      <c r="AD126" s="501"/>
      <c r="AE126" s="501"/>
      <c r="AF126" s="501"/>
      <c r="AG126" s="444"/>
    </row>
    <row r="127" spans="1:33" ht="12.75" hidden="1" customHeight="1" x14ac:dyDescent="0.25">
      <c r="D127" s="443"/>
      <c r="E127" s="159">
        <f ca="1">IF($R125=2,
         IF(AND(ACOMPANHAMENTO="PLE",ISNUMBER($F125)),
                SUMIF((OFFSET(CÁLCULO!$AM$15:$AW$15,$F125,0,OFFSET(ORÇAMENTO!$D$15,CRONO!$F125,0))),CRONO!E$12,OFFSET(CÁLCULO!$AB$15:$AL$15,$F125,0,OFFSET(ORÇAMENTO!$D$15,CRONO!$F125,0)))
                +IF(AND($F127&lt;&gt;"",$F127&lt;&gt;0),
                        SUMIF(CÁLCULO!$AM$15:$AW$36,CRONO!E$12,CÁLCULO!$AB$15:$AL$36)/(ORÇAMENTO!$X$15-CÁLCULO.TotalAdmLocal)*CRONO!$F127,
                        0),
                 E126*$S125),
          SUMIF(OFFSET($S127,1,0,$R125-2),($M125+1)&amp;"$",OFFSET(E127,1,0,$R125-2)))</f>
        <v>0</v>
      </c>
      <c r="F127" s="144" t="str">
        <f ca="1">IF(OR($R125&lt;&gt;2,AUTOEVENTO&lt;&gt;"manual",$F126&gt;0),"",
        IF(Import.TipoArredondamento="Tradicional",
              SUMIF(OFFSET(CÁLCULO!$M$15,CRONO!$F125,0,OFFSET(ORÇAMENTO!$D$15,CRONO!$F125,0)),1,OFFSET(ORÇAMENTO!$X$15,CRONO!$F125,0,OFFSET(ORÇAMENTO!$D$15,CRONO!$F125,0))),
              0))</f>
        <v/>
      </c>
      <c r="H127" s="530"/>
      <c r="S127" s="160" t="str">
        <f t="shared" ref="S127" ca="1" si="229">M125&amp;"$"</f>
        <v>1$</v>
      </c>
      <c r="T127" s="161"/>
      <c r="U127" s="159">
        <f ca="1">IF($R125=2,
         IF(AND(ACOMPANHAMENTO="PLE",ISNUMBER($F125)),
                SUMIF((OFFSET(CÁLCULO!$AM$15:$AW$15,$F125,0,OFFSET(ORÇAMENTO!$D$15,CRONO!$F125,0))),CRONO!U$12,OFFSET(CÁLCULO!$AB$15:$AL$15,$F125,0,OFFSET(ORÇAMENTO!$D$15,CRONO!$F125,0)))
                +IF(AND($F127&lt;&gt;"",$F127&lt;&gt;0),
                        SUMIF(CÁLCULO!$AM$15:$AW$36,CRONO!U$12,CÁLCULO!$AB$15:$AL$36)/(ORÇAMENTO!$X$15-CÁLCULO.TotalAdmLocal)*CRONO!$F127,
                        0),
                 U126*$S125),
          SUMIF(OFFSET($S127,1,0,$R125-2),($M125+1)&amp;"$",OFFSET(U127,1,0,$R125-2)))</f>
        <v>0</v>
      </c>
      <c r="V127" s="159">
        <f ca="1">IF($R125=2,
         IF(AND(ACOMPANHAMENTO="PLE",ISNUMBER($F125)),
                SUMIF((OFFSET(CÁLCULO!$AM$15:$AW$15,$F125,0,OFFSET(ORÇAMENTO!$D$15,CRONO!$F125,0))),CRONO!V$12,OFFSET(CÁLCULO!$AB$15:$AL$15,$F125,0,OFFSET(ORÇAMENTO!$D$15,CRONO!$F125,0)))
                +IF(AND($F127&lt;&gt;"",$F127&lt;&gt;0),
                        SUMIF(CÁLCULO!$AM$15:$AW$36,CRONO!V$12,CÁLCULO!$AB$15:$AL$36)/(ORÇAMENTO!$X$15-CÁLCULO.TotalAdmLocal)*CRONO!$F127,
                        0),
                 V126*$S125),
          SUMIF(OFFSET($S127,1,0,$R125-2),($M125+1)&amp;"$",OFFSET(V127,1,0,$R125-2)))</f>
        <v>0</v>
      </c>
      <c r="W127" s="159">
        <f ca="1">IF($R125=2,
         IF(AND(ACOMPANHAMENTO="PLE",ISNUMBER($F125)),
                SUMIF((OFFSET(CÁLCULO!$AM$15:$AW$15,$F125,0,OFFSET(ORÇAMENTO!$D$15,CRONO!$F125,0))),CRONO!W$12,OFFSET(CÁLCULO!$AB$15:$AL$15,$F125,0,OFFSET(ORÇAMENTO!$D$15,CRONO!$F125,0)))
                +IF(AND($F127&lt;&gt;"",$F127&lt;&gt;0),
                        SUMIF(CÁLCULO!$AM$15:$AW$36,CRONO!W$12,CÁLCULO!$AB$15:$AL$36)/(ORÇAMENTO!$X$15-CÁLCULO.TotalAdmLocal)*CRONO!$F127,
                        0),
                 W126*$S125),
          SUMIF(OFFSET($S127,1,0,$R125-2),($M125+1)&amp;"$",OFFSET(W127,1,0,$R125-2)))</f>
        <v>0</v>
      </c>
      <c r="X127" s="159">
        <f ca="1">IF($R125=2,
         IF(AND(ACOMPANHAMENTO="PLE",ISNUMBER($F125)),
                SUMIF((OFFSET(CÁLCULO!$AM$15:$AW$15,$F125,0,OFFSET(ORÇAMENTO!$D$15,CRONO!$F125,0))),CRONO!X$12,OFFSET(CÁLCULO!$AB$15:$AL$15,$F125,0,OFFSET(ORÇAMENTO!$D$15,CRONO!$F125,0)))
                +IF(AND($F127&lt;&gt;"",$F127&lt;&gt;0),
                        SUMIF(CÁLCULO!$AM$15:$AW$36,CRONO!X$12,CÁLCULO!$AB$15:$AL$36)/(ORÇAMENTO!$X$15-CÁLCULO.TotalAdmLocal)*CRONO!$F127,
                        0),
                 X126*$S125),
          SUMIF(OFFSET($S127,1,0,$R125-2),($M125+1)&amp;"$",OFFSET(X127,1,0,$R125-2)))</f>
        <v>0</v>
      </c>
      <c r="Y127" s="159">
        <f ca="1">IF($R125=2,
         IF(AND(ACOMPANHAMENTO="PLE",ISNUMBER($F125)),
                SUMIF((OFFSET(CÁLCULO!$AM$15:$AW$15,$F125,0,OFFSET(ORÇAMENTO!$D$15,CRONO!$F125,0))),CRONO!Y$12,OFFSET(CÁLCULO!$AB$15:$AL$15,$F125,0,OFFSET(ORÇAMENTO!$D$15,CRONO!$F125,0)))
                +IF(AND($F127&lt;&gt;"",$F127&lt;&gt;0),
                        SUMIF(CÁLCULO!$AM$15:$AW$36,CRONO!Y$12,CÁLCULO!$AB$15:$AL$36)/(ORÇAMENTO!$X$15-CÁLCULO.TotalAdmLocal)*CRONO!$F127,
                        0),
                 Y126*$S125),
          SUMIF(OFFSET($S127,1,0,$R125-2),($M125+1)&amp;"$",OFFSET(Y127,1,0,$R125-2)))</f>
        <v>0</v>
      </c>
      <c r="Z127" s="159">
        <f ca="1">IF($R125=2,
         IF(AND(ACOMPANHAMENTO="PLE",ISNUMBER($F125)),
                SUMIF((OFFSET(CÁLCULO!$AM$15:$AW$15,$F125,0,OFFSET(ORÇAMENTO!$D$15,CRONO!$F125,0))),CRONO!Z$12,OFFSET(CÁLCULO!$AB$15:$AL$15,$F125,0,OFFSET(ORÇAMENTO!$D$15,CRONO!$F125,0)))
                +IF(AND($F127&lt;&gt;"",$F127&lt;&gt;0),
                        SUMIF(CÁLCULO!$AM$15:$AW$36,CRONO!Z$12,CÁLCULO!$AB$15:$AL$36)/(ORÇAMENTO!$X$15-CÁLCULO.TotalAdmLocal)*CRONO!$F127,
                        0),
                 Z126*$S125),
          SUMIF(OFFSET($S127,1,0,$R125-2),($M125+1)&amp;"$",OFFSET(Z127,1,0,$R125-2)))</f>
        <v>0</v>
      </c>
      <c r="AA127" s="159">
        <f ca="1">IF($R125=2,
         IF(AND(ACOMPANHAMENTO="PLE",ISNUMBER($F125)),
                SUMIF((OFFSET(CÁLCULO!$AM$15:$AW$15,$F125,0,OFFSET(ORÇAMENTO!$D$15,CRONO!$F125,0))),CRONO!AA$12,OFFSET(CÁLCULO!$AB$15:$AL$15,$F125,0,OFFSET(ORÇAMENTO!$D$15,CRONO!$F125,0)))
                +IF(AND($F127&lt;&gt;"",$F127&lt;&gt;0),
                        SUMIF(CÁLCULO!$AM$15:$AW$36,CRONO!AA$12,CÁLCULO!$AB$15:$AL$36)/(ORÇAMENTO!$X$15-CÁLCULO.TotalAdmLocal)*CRONO!$F127,
                        0),
                 AA126*$S125),
          SUMIF(OFFSET($S127,1,0,$R125-2),($M125+1)&amp;"$",OFFSET(AA127,1,0,$R125-2)))</f>
        <v>0</v>
      </c>
      <c r="AB127" s="159">
        <f ca="1">IF($R125=2,
         IF(AND(ACOMPANHAMENTO="PLE",ISNUMBER($F125)),
                SUMIF((OFFSET(CÁLCULO!$AM$15:$AW$15,$F125,0,OFFSET(ORÇAMENTO!$D$15,CRONO!$F125,0))),CRONO!AB$12,OFFSET(CÁLCULO!$AB$15:$AL$15,$F125,0,OFFSET(ORÇAMENTO!$D$15,CRONO!$F125,0)))
                +IF(AND($F127&lt;&gt;"",$F127&lt;&gt;0),
                        SUMIF(CÁLCULO!$AM$15:$AW$36,CRONO!AB$12,CÁLCULO!$AB$15:$AL$36)/(ORÇAMENTO!$X$15-CÁLCULO.TotalAdmLocal)*CRONO!$F127,
                        0),
                 AB126*$S125),
          SUMIF(OFFSET($S127,1,0,$R125-2),($M125+1)&amp;"$",OFFSET(AB127,1,0,$R125-2)))</f>
        <v>0</v>
      </c>
      <c r="AC127" s="159">
        <f ca="1">IF($R125=2,
         IF(AND(ACOMPANHAMENTO="PLE",ISNUMBER($F125)),
                SUMIF((OFFSET(CÁLCULO!$AM$15:$AW$15,$F125,0,OFFSET(ORÇAMENTO!$D$15,CRONO!$F125,0))),CRONO!AC$12,OFFSET(CÁLCULO!$AB$15:$AL$15,$F125,0,OFFSET(ORÇAMENTO!$D$15,CRONO!$F125,0)))
                +IF(AND($F127&lt;&gt;"",$F127&lt;&gt;0),
                        SUMIF(CÁLCULO!$AM$15:$AW$36,CRONO!AC$12,CÁLCULO!$AB$15:$AL$36)/(ORÇAMENTO!$X$15-CÁLCULO.TotalAdmLocal)*CRONO!$F127,
                        0),
                 AC126*$S125),
          SUMIF(OFFSET($S127,1,0,$R125-2),($M125+1)&amp;"$",OFFSET(AC127,1,0,$R125-2)))</f>
        <v>0</v>
      </c>
      <c r="AD127" s="159">
        <f ca="1">IF($R125=2,
         IF(AND(ACOMPANHAMENTO="PLE",ISNUMBER($F125)),
                SUMIF((OFFSET(CÁLCULO!$AM$15:$AW$15,$F125,0,OFFSET(ORÇAMENTO!$D$15,CRONO!$F125,0))),CRONO!AD$12,OFFSET(CÁLCULO!$AB$15:$AL$15,$F125,0,OFFSET(ORÇAMENTO!$D$15,CRONO!$F125,0)))
                +IF(AND($F127&lt;&gt;"",$F127&lt;&gt;0),
                        SUMIF(CÁLCULO!$AM$15:$AW$36,CRONO!AD$12,CÁLCULO!$AB$15:$AL$36)/(ORÇAMENTO!$X$15-CÁLCULO.TotalAdmLocal)*CRONO!$F127,
                        0),
                 AD126*$S125),
          SUMIF(OFFSET($S127,1,0,$R125-2),($M125+1)&amp;"$",OFFSET(AD127,1,0,$R125-2)))</f>
        <v>0</v>
      </c>
      <c r="AE127" s="159">
        <f ca="1">IF($R125=2,
         IF(AND(ACOMPANHAMENTO="PLE",ISNUMBER($F125)),
                SUMIF((OFFSET(CÁLCULO!$AM$15:$AW$15,$F125,0,OFFSET(ORÇAMENTO!$D$15,CRONO!$F125,0))),CRONO!AE$12,OFFSET(CÁLCULO!$AB$15:$AL$15,$F125,0,OFFSET(ORÇAMENTO!$D$15,CRONO!$F125,0)))
                +IF(AND($F127&lt;&gt;"",$F127&lt;&gt;0),
                        SUMIF(CÁLCULO!$AM$15:$AW$36,CRONO!AE$12,CÁLCULO!$AB$15:$AL$36)/(ORÇAMENTO!$X$15-CÁLCULO.TotalAdmLocal)*CRONO!$F127,
                        0),
                 AE126*$S125),
          SUMIF(OFFSET($S127,1,0,$R125-2),($M125+1)&amp;"$",OFFSET(AE127,1,0,$R125-2)))</f>
        <v>0</v>
      </c>
      <c r="AF127" s="159">
        <f ca="1">IF($R125=2,
         IF(AND(ACOMPANHAMENTO="PLE",ISNUMBER($F125)),
                SUMIF((OFFSET(CÁLCULO!$AM$15:$AW$15,$F125,0,OFFSET(ORÇAMENTO!$D$15,CRONO!$F125,0))),CRONO!AF$12,OFFSET(CÁLCULO!$AB$15:$AL$15,$F125,0,OFFSET(ORÇAMENTO!$D$15,CRONO!$F125,0)))
                +IF(AND($F127&lt;&gt;"",$F127&lt;&gt;0),
                        SUMIF(CÁLCULO!$AM$15:$AW$36,CRONO!AF$12,CÁLCULO!$AB$15:$AL$36)/(ORÇAMENTO!$X$15-CÁLCULO.TotalAdmLocal)*CRONO!$F127,
                        0),
                 AF126*$S125),
          SUMIF(OFFSET($S127,1,0,$R125-2),($M125+1)&amp;"$",OFFSET(AF127,1,0,$R125-2)))</f>
        <v>0</v>
      </c>
      <c r="AG127" s="444"/>
    </row>
    <row r="128" spans="1:33" hidden="1" x14ac:dyDescent="0.25">
      <c r="A128" s="145" t="str">
        <f t="shared" ref="A128" ca="1" si="230">IF($M128&gt;1,CONCATENATE($I128," ",$J128),"")</f>
        <v/>
      </c>
      <c r="B128" s="144">
        <f t="shared" ref="B128" ca="1" si="231">OFFSET(B128,-3,0)+1</f>
        <v>39</v>
      </c>
      <c r="C128" s="144">
        <f ca="1">IF($R128&lt;&gt;2,0,IF($S128=0,1,IF(F129&gt;0,OFFSET(QCI!$M$13,SUBSTITUTE(F129,".",""),0),OFFSET(ORÇAMENTO!$AA$15,CRONO!$F128,0))/$S128))</f>
        <v>0</v>
      </c>
      <c r="D128" s="144">
        <f ca="1">IF($R128&lt;&gt;2,0,IF($S128=0,1,IF(F129&gt;0,OFFSET(QCI!$N$13,SUBSTITUTE(F129,".",""),0),OFFSET(ORÇAMENTO!$AB$15,CRONO!$F128,0))/$S128))</f>
        <v>0</v>
      </c>
      <c r="E128" s="147" t="e">
        <f ca="1">IF(AND($R128=2,ACOMPANHAMENTO="BM"),ROUND(E129,4),E130/$S128)</f>
        <v>#VALUE!</v>
      </c>
      <c r="F128" s="144" t="e">
        <f ca="1">IF(B128&lt;=ORÇAMENTO.MáximoListaCrono,MATCH(B128,ORÇAMENTO.ListaCrono,0),NA())</f>
        <v>#N/A</v>
      </c>
      <c r="G128" s="144" t="str">
        <f t="shared" ref="G128" ca="1" si="232">IF(AND($F129&lt;&gt;-1,$S128&gt;0),"F","")</f>
        <v/>
      </c>
      <c r="H128" s="617" t="str">
        <f ca="1">IF(OR(S128=0,S128=""),"Linha",IF(AND(OR(ACOMPANHAMENTO="PLE",$R128&lt;&gt;2),$F129=0),"Linha",ROUND(1-SUM(U128:AG128),4)))</f>
        <v>Linha</v>
      </c>
      <c r="I128" s="148" t="str">
        <f ca="1">IF($F129=0,OFFSET(ORÇAMENTO!O$15,$F128,0),IF($F129&lt;&gt;-1,OFFSET(QCI!$D$13,$F129,0),""))</f>
        <v/>
      </c>
      <c r="J128" s="149" t="str">
        <f ca="1">IF($F129=0,OFFSET(ORÇAMENTO!R$15,$F128,0),IF($F129&lt;&gt;-1,OFFSET(QCI!$G$13,$F129,0),""))</f>
        <v/>
      </c>
      <c r="K128" s="149"/>
      <c r="L128" s="149"/>
      <c r="M128" s="150">
        <f ca="1">IF($F129=0,OFFSET(ORÇAMENTO!C$15,$F128,0),1)</f>
        <v>1</v>
      </c>
      <c r="N128" s="151">
        <f ca="1">IF($F129=-1,0,IF(N$13&lt;=$M128,IF(ISERROR(MATCH(N$13,OFFSET($M128,1,0,ROW($M$164)-ROW($M128)-1),0)),ROW($M$164)-ROW($M128)-1,MATCH(N$13,OFFSET($M128,1,0,ROW($M$164)-ROW($M128)-1),0)-1),0))</f>
        <v>0</v>
      </c>
      <c r="O128" s="151">
        <f ca="1">IF($F129=-1,0,IF(O$13&lt;=$M128,IF(ISERROR(MATCH(O$13,OFFSET($M128,1,0,ROW($M$164)-ROW($M128)-1),0)),ROW($M$164)-ROW($M128)-1,MATCH(O$13,OFFSET($M128,1,0,ROW($M$164)-ROW($M128)-1),0)-1),0))</f>
        <v>0</v>
      </c>
      <c r="P128" s="151">
        <f ca="1">IF($F129=-1,0,IF(P$13&lt;=$M128,IF(ISERROR(MATCH(P$13,OFFSET($M128,1,0,ROW($M$164)-ROW($M128)-1),0)),ROW($M$164)-ROW($M128)-1,MATCH(P$13,OFFSET($M128,1,0,ROW($M$164)-ROW($M128)-1),0)-1),0))</f>
        <v>0</v>
      </c>
      <c r="Q128" s="151">
        <f ca="1">IF($F129=-1,0,IF(Q$13&lt;=$M128,IF(ISERROR(MATCH(Q$13,OFFSET($M128,1,0,ROW($M$164)-ROW($M128)-1),0)),ROW($M$164)-ROW($M128)-1,MATCH(Q$13,OFFSET($M128,1,0,ROW($M$164)-ROW($M128)-1),0)-1),0))</f>
        <v>0</v>
      </c>
      <c r="R128" s="151">
        <f t="shared" ref="R128" ca="1" si="233">MIN(OFFSET(M128,0,1,,M128))</f>
        <v>0</v>
      </c>
      <c r="S128" s="152" t="str">
        <f ca="1">IF($F129=0,OFFSET(ORÇAMENTO!X$15,$F128,0),IF($F129&lt;&gt;-1,OFFSET(QCI!$O$13,$F129,0),""))</f>
        <v/>
      </c>
      <c r="T128" s="618" t="s">
        <v>809</v>
      </c>
      <c r="U128" s="147" t="e">
        <f ca="1">IF(AND($R128=2,ACOMPANHAMENTO="BM"),ROUND(U129,4),U130/$S128)</f>
        <v>#VALUE!</v>
      </c>
      <c r="V128" s="147" t="e">
        <f ca="1">IF(AND($R128=2,ACOMPANHAMENTO="BM"),ROUND(V129,4),V130/$S128)</f>
        <v>#VALUE!</v>
      </c>
      <c r="W128" s="147" t="e">
        <f ca="1">IF(AND($R128=2,ACOMPANHAMENTO="BM"),ROUND(W129,4),W130/$S128)</f>
        <v>#VALUE!</v>
      </c>
      <c r="X128" s="147" t="e">
        <f ca="1">IF(AND($R128=2,ACOMPANHAMENTO="BM"),ROUND(X129,4),X130/$S128)</f>
        <v>#VALUE!</v>
      </c>
      <c r="Y128" s="147" t="e">
        <f ca="1">IF(AND($R128=2,ACOMPANHAMENTO="BM"),ROUND(Y129,4),Y130/$S128)</f>
        <v>#VALUE!</v>
      </c>
      <c r="Z128" s="147" t="e">
        <f ca="1">IF(AND($R128=2,ACOMPANHAMENTO="BM"),ROUND(Z129,4),Z130/$S128)</f>
        <v>#VALUE!</v>
      </c>
      <c r="AA128" s="147" t="e">
        <f ca="1">IF(AND($R128=2,ACOMPANHAMENTO="BM"),ROUND(AA129,4),AA130/$S128)</f>
        <v>#VALUE!</v>
      </c>
      <c r="AB128" s="147" t="e">
        <f ca="1">IF(AND($R128=2,ACOMPANHAMENTO="BM"),ROUND(AB129,4),AB130/$S128)</f>
        <v>#VALUE!</v>
      </c>
      <c r="AC128" s="147" t="e">
        <f ca="1">IF(AND($R128=2,ACOMPANHAMENTO="BM"),ROUND(AC129,4),AC130/$S128)</f>
        <v>#VALUE!</v>
      </c>
      <c r="AD128" s="147" t="e">
        <f ca="1">IF(AND($R128=2,ACOMPANHAMENTO="BM"),ROUND(AD129,4),AD130/$S128)</f>
        <v>#VALUE!</v>
      </c>
      <c r="AE128" s="147" t="e">
        <f ca="1">IF(AND($R128=2,ACOMPANHAMENTO="BM"),ROUND(AE129,4),AE130/$S128)</f>
        <v>#VALUE!</v>
      </c>
      <c r="AF128" s="147" t="e">
        <f ca="1">IF(AND($R128=2,ACOMPANHAMENTO="BM"),ROUND(AF129,4),AF130/$S128)</f>
        <v>#VALUE!</v>
      </c>
      <c r="AG128" s="444"/>
    </row>
    <row r="129" spans="1:33" ht="12.75" hidden="1" customHeight="1" x14ac:dyDescent="0.25">
      <c r="E129" s="501"/>
      <c r="F129" s="144">
        <f ca="1">IF(ISERROR(F128),IF(1+COUNTIF($M$13:OFFSET(M128,-1,0),1)&lt;=MAX(QCI!$D$13:$D$24),1+COUNTIF($M$13:OFFSET(M128,-1,0),1),-1),0)</f>
        <v>-1</v>
      </c>
      <c r="G129" s="144" t="str">
        <f ca="1">IF(ACOMPANHAMENTO="BM",OFFSET(G129,-1,0),"")</f>
        <v/>
      </c>
      <c r="H129" s="153" t="str">
        <f ca="1">IF(OR(S128=0,S128=""),"vazia",IF(AND(OR(ACOMPANHAMENTO="PLE",$R128&lt;&gt;2),$F129=0),"calculada","--&gt;"))</f>
        <v>vazia</v>
      </c>
      <c r="I129" s="154"/>
      <c r="J129" s="155" t="str">
        <f t="shared" ref="J129" ca="1" si="234">IF(AND(H128&lt;&gt;0,ISNUMBER(H128)),"PREENCHA ESTA LINHA --&gt;","")</f>
        <v/>
      </c>
      <c r="K129" s="155"/>
      <c r="L129" s="155"/>
      <c r="M129" s="156"/>
      <c r="N129" s="156"/>
      <c r="O129" s="156"/>
      <c r="P129" s="156"/>
      <c r="Q129" s="156"/>
      <c r="R129" s="156"/>
      <c r="S129" s="157"/>
      <c r="T129" s="158"/>
      <c r="U129" s="501"/>
      <c r="V129" s="501"/>
      <c r="W129" s="501"/>
      <c r="X129" s="501"/>
      <c r="Y129" s="501"/>
      <c r="Z129" s="501"/>
      <c r="AA129" s="501"/>
      <c r="AB129" s="501"/>
      <c r="AC129" s="501"/>
      <c r="AD129" s="501"/>
      <c r="AE129" s="501"/>
      <c r="AF129" s="501"/>
      <c r="AG129" s="444"/>
    </row>
    <row r="130" spans="1:33" ht="12.75" hidden="1" customHeight="1" x14ac:dyDescent="0.25">
      <c r="D130" s="443"/>
      <c r="E130" s="159">
        <f ca="1">IF($R128=2,
         IF(AND(ACOMPANHAMENTO="PLE",ISNUMBER($F128)),
                SUMIF((OFFSET(CÁLCULO!$AM$15:$AW$15,$F128,0,OFFSET(ORÇAMENTO!$D$15,CRONO!$F128,0))),CRONO!E$12,OFFSET(CÁLCULO!$AB$15:$AL$15,$F128,0,OFFSET(ORÇAMENTO!$D$15,CRONO!$F128,0)))
                +IF(AND($F130&lt;&gt;"",$F130&lt;&gt;0),
                        SUMIF(CÁLCULO!$AM$15:$AW$36,CRONO!E$12,CÁLCULO!$AB$15:$AL$36)/(ORÇAMENTO!$X$15-CÁLCULO.TotalAdmLocal)*CRONO!$F130,
                        0),
                 E129*$S128),
          SUMIF(OFFSET($S130,1,0,$R128-2),($M128+1)&amp;"$",OFFSET(E130,1,0,$R128-2)))</f>
        <v>0</v>
      </c>
      <c r="F130" s="144" t="str">
        <f ca="1">IF(OR($R128&lt;&gt;2,AUTOEVENTO&lt;&gt;"manual",$F129&gt;0),"",
        IF(Import.TipoArredondamento="Tradicional",
              SUMIF(OFFSET(CÁLCULO!$M$15,CRONO!$F128,0,OFFSET(ORÇAMENTO!$D$15,CRONO!$F128,0)),1,OFFSET(ORÇAMENTO!$X$15,CRONO!$F128,0,OFFSET(ORÇAMENTO!$D$15,CRONO!$F128,0))),
              0))</f>
        <v/>
      </c>
      <c r="H130" s="530"/>
      <c r="S130" s="160" t="str">
        <f t="shared" ref="S130" ca="1" si="235">M128&amp;"$"</f>
        <v>1$</v>
      </c>
      <c r="T130" s="161"/>
      <c r="U130" s="159">
        <f ca="1">IF($R128=2,
         IF(AND(ACOMPANHAMENTO="PLE",ISNUMBER($F128)),
                SUMIF((OFFSET(CÁLCULO!$AM$15:$AW$15,$F128,0,OFFSET(ORÇAMENTO!$D$15,CRONO!$F128,0))),CRONO!U$12,OFFSET(CÁLCULO!$AB$15:$AL$15,$F128,0,OFFSET(ORÇAMENTO!$D$15,CRONO!$F128,0)))
                +IF(AND($F130&lt;&gt;"",$F130&lt;&gt;0),
                        SUMIF(CÁLCULO!$AM$15:$AW$36,CRONO!U$12,CÁLCULO!$AB$15:$AL$36)/(ORÇAMENTO!$X$15-CÁLCULO.TotalAdmLocal)*CRONO!$F130,
                        0),
                 U129*$S128),
          SUMIF(OFFSET($S130,1,0,$R128-2),($M128+1)&amp;"$",OFFSET(U130,1,0,$R128-2)))</f>
        <v>0</v>
      </c>
      <c r="V130" s="159">
        <f ca="1">IF($R128=2,
         IF(AND(ACOMPANHAMENTO="PLE",ISNUMBER($F128)),
                SUMIF((OFFSET(CÁLCULO!$AM$15:$AW$15,$F128,0,OFFSET(ORÇAMENTO!$D$15,CRONO!$F128,0))),CRONO!V$12,OFFSET(CÁLCULO!$AB$15:$AL$15,$F128,0,OFFSET(ORÇAMENTO!$D$15,CRONO!$F128,0)))
                +IF(AND($F130&lt;&gt;"",$F130&lt;&gt;0),
                        SUMIF(CÁLCULO!$AM$15:$AW$36,CRONO!V$12,CÁLCULO!$AB$15:$AL$36)/(ORÇAMENTO!$X$15-CÁLCULO.TotalAdmLocal)*CRONO!$F130,
                        0),
                 V129*$S128),
          SUMIF(OFFSET($S130,1,0,$R128-2),($M128+1)&amp;"$",OFFSET(V130,1,0,$R128-2)))</f>
        <v>0</v>
      </c>
      <c r="W130" s="159">
        <f ca="1">IF($R128=2,
         IF(AND(ACOMPANHAMENTO="PLE",ISNUMBER($F128)),
                SUMIF((OFFSET(CÁLCULO!$AM$15:$AW$15,$F128,0,OFFSET(ORÇAMENTO!$D$15,CRONO!$F128,0))),CRONO!W$12,OFFSET(CÁLCULO!$AB$15:$AL$15,$F128,0,OFFSET(ORÇAMENTO!$D$15,CRONO!$F128,0)))
                +IF(AND($F130&lt;&gt;"",$F130&lt;&gt;0),
                        SUMIF(CÁLCULO!$AM$15:$AW$36,CRONO!W$12,CÁLCULO!$AB$15:$AL$36)/(ORÇAMENTO!$X$15-CÁLCULO.TotalAdmLocal)*CRONO!$F130,
                        0),
                 W129*$S128),
          SUMIF(OFFSET($S130,1,0,$R128-2),($M128+1)&amp;"$",OFFSET(W130,1,0,$R128-2)))</f>
        <v>0</v>
      </c>
      <c r="X130" s="159">
        <f ca="1">IF($R128=2,
         IF(AND(ACOMPANHAMENTO="PLE",ISNUMBER($F128)),
                SUMIF((OFFSET(CÁLCULO!$AM$15:$AW$15,$F128,0,OFFSET(ORÇAMENTO!$D$15,CRONO!$F128,0))),CRONO!X$12,OFFSET(CÁLCULO!$AB$15:$AL$15,$F128,0,OFFSET(ORÇAMENTO!$D$15,CRONO!$F128,0)))
                +IF(AND($F130&lt;&gt;"",$F130&lt;&gt;0),
                        SUMIF(CÁLCULO!$AM$15:$AW$36,CRONO!X$12,CÁLCULO!$AB$15:$AL$36)/(ORÇAMENTO!$X$15-CÁLCULO.TotalAdmLocal)*CRONO!$F130,
                        0),
                 X129*$S128),
          SUMIF(OFFSET($S130,1,0,$R128-2),($M128+1)&amp;"$",OFFSET(X130,1,0,$R128-2)))</f>
        <v>0</v>
      </c>
      <c r="Y130" s="159">
        <f ca="1">IF($R128=2,
         IF(AND(ACOMPANHAMENTO="PLE",ISNUMBER($F128)),
                SUMIF((OFFSET(CÁLCULO!$AM$15:$AW$15,$F128,0,OFFSET(ORÇAMENTO!$D$15,CRONO!$F128,0))),CRONO!Y$12,OFFSET(CÁLCULO!$AB$15:$AL$15,$F128,0,OFFSET(ORÇAMENTO!$D$15,CRONO!$F128,0)))
                +IF(AND($F130&lt;&gt;"",$F130&lt;&gt;0),
                        SUMIF(CÁLCULO!$AM$15:$AW$36,CRONO!Y$12,CÁLCULO!$AB$15:$AL$36)/(ORÇAMENTO!$X$15-CÁLCULO.TotalAdmLocal)*CRONO!$F130,
                        0),
                 Y129*$S128),
          SUMIF(OFFSET($S130,1,0,$R128-2),($M128+1)&amp;"$",OFFSET(Y130,1,0,$R128-2)))</f>
        <v>0</v>
      </c>
      <c r="Z130" s="159">
        <f ca="1">IF($R128=2,
         IF(AND(ACOMPANHAMENTO="PLE",ISNUMBER($F128)),
                SUMIF((OFFSET(CÁLCULO!$AM$15:$AW$15,$F128,0,OFFSET(ORÇAMENTO!$D$15,CRONO!$F128,0))),CRONO!Z$12,OFFSET(CÁLCULO!$AB$15:$AL$15,$F128,0,OFFSET(ORÇAMENTO!$D$15,CRONO!$F128,0)))
                +IF(AND($F130&lt;&gt;"",$F130&lt;&gt;0),
                        SUMIF(CÁLCULO!$AM$15:$AW$36,CRONO!Z$12,CÁLCULO!$AB$15:$AL$36)/(ORÇAMENTO!$X$15-CÁLCULO.TotalAdmLocal)*CRONO!$F130,
                        0),
                 Z129*$S128),
          SUMIF(OFFSET($S130,1,0,$R128-2),($M128+1)&amp;"$",OFFSET(Z130,1,0,$R128-2)))</f>
        <v>0</v>
      </c>
      <c r="AA130" s="159">
        <f ca="1">IF($R128=2,
         IF(AND(ACOMPANHAMENTO="PLE",ISNUMBER($F128)),
                SUMIF((OFFSET(CÁLCULO!$AM$15:$AW$15,$F128,0,OFFSET(ORÇAMENTO!$D$15,CRONO!$F128,0))),CRONO!AA$12,OFFSET(CÁLCULO!$AB$15:$AL$15,$F128,0,OFFSET(ORÇAMENTO!$D$15,CRONO!$F128,0)))
                +IF(AND($F130&lt;&gt;"",$F130&lt;&gt;0),
                        SUMIF(CÁLCULO!$AM$15:$AW$36,CRONO!AA$12,CÁLCULO!$AB$15:$AL$36)/(ORÇAMENTO!$X$15-CÁLCULO.TotalAdmLocal)*CRONO!$F130,
                        0),
                 AA129*$S128),
          SUMIF(OFFSET($S130,1,0,$R128-2),($M128+1)&amp;"$",OFFSET(AA130,1,0,$R128-2)))</f>
        <v>0</v>
      </c>
      <c r="AB130" s="159">
        <f ca="1">IF($R128=2,
         IF(AND(ACOMPANHAMENTO="PLE",ISNUMBER($F128)),
                SUMIF((OFFSET(CÁLCULO!$AM$15:$AW$15,$F128,0,OFFSET(ORÇAMENTO!$D$15,CRONO!$F128,0))),CRONO!AB$12,OFFSET(CÁLCULO!$AB$15:$AL$15,$F128,0,OFFSET(ORÇAMENTO!$D$15,CRONO!$F128,0)))
                +IF(AND($F130&lt;&gt;"",$F130&lt;&gt;0),
                        SUMIF(CÁLCULO!$AM$15:$AW$36,CRONO!AB$12,CÁLCULO!$AB$15:$AL$36)/(ORÇAMENTO!$X$15-CÁLCULO.TotalAdmLocal)*CRONO!$F130,
                        0),
                 AB129*$S128),
          SUMIF(OFFSET($S130,1,0,$R128-2),($M128+1)&amp;"$",OFFSET(AB130,1,0,$R128-2)))</f>
        <v>0</v>
      </c>
      <c r="AC130" s="159">
        <f ca="1">IF($R128=2,
         IF(AND(ACOMPANHAMENTO="PLE",ISNUMBER($F128)),
                SUMIF((OFFSET(CÁLCULO!$AM$15:$AW$15,$F128,0,OFFSET(ORÇAMENTO!$D$15,CRONO!$F128,0))),CRONO!AC$12,OFFSET(CÁLCULO!$AB$15:$AL$15,$F128,0,OFFSET(ORÇAMENTO!$D$15,CRONO!$F128,0)))
                +IF(AND($F130&lt;&gt;"",$F130&lt;&gt;0),
                        SUMIF(CÁLCULO!$AM$15:$AW$36,CRONO!AC$12,CÁLCULO!$AB$15:$AL$36)/(ORÇAMENTO!$X$15-CÁLCULO.TotalAdmLocal)*CRONO!$F130,
                        0),
                 AC129*$S128),
          SUMIF(OFFSET($S130,1,0,$R128-2),($M128+1)&amp;"$",OFFSET(AC130,1,0,$R128-2)))</f>
        <v>0</v>
      </c>
      <c r="AD130" s="159">
        <f ca="1">IF($R128=2,
         IF(AND(ACOMPANHAMENTO="PLE",ISNUMBER($F128)),
                SUMIF((OFFSET(CÁLCULO!$AM$15:$AW$15,$F128,0,OFFSET(ORÇAMENTO!$D$15,CRONO!$F128,0))),CRONO!AD$12,OFFSET(CÁLCULO!$AB$15:$AL$15,$F128,0,OFFSET(ORÇAMENTO!$D$15,CRONO!$F128,0)))
                +IF(AND($F130&lt;&gt;"",$F130&lt;&gt;0),
                        SUMIF(CÁLCULO!$AM$15:$AW$36,CRONO!AD$12,CÁLCULO!$AB$15:$AL$36)/(ORÇAMENTO!$X$15-CÁLCULO.TotalAdmLocal)*CRONO!$F130,
                        0),
                 AD129*$S128),
          SUMIF(OFFSET($S130,1,0,$R128-2),($M128+1)&amp;"$",OFFSET(AD130,1,0,$R128-2)))</f>
        <v>0</v>
      </c>
      <c r="AE130" s="159">
        <f ca="1">IF($R128=2,
         IF(AND(ACOMPANHAMENTO="PLE",ISNUMBER($F128)),
                SUMIF((OFFSET(CÁLCULO!$AM$15:$AW$15,$F128,0,OFFSET(ORÇAMENTO!$D$15,CRONO!$F128,0))),CRONO!AE$12,OFFSET(CÁLCULO!$AB$15:$AL$15,$F128,0,OFFSET(ORÇAMENTO!$D$15,CRONO!$F128,0)))
                +IF(AND($F130&lt;&gt;"",$F130&lt;&gt;0),
                        SUMIF(CÁLCULO!$AM$15:$AW$36,CRONO!AE$12,CÁLCULO!$AB$15:$AL$36)/(ORÇAMENTO!$X$15-CÁLCULO.TotalAdmLocal)*CRONO!$F130,
                        0),
                 AE129*$S128),
          SUMIF(OFFSET($S130,1,0,$R128-2),($M128+1)&amp;"$",OFFSET(AE130,1,0,$R128-2)))</f>
        <v>0</v>
      </c>
      <c r="AF130" s="159">
        <f ca="1">IF($R128=2,
         IF(AND(ACOMPANHAMENTO="PLE",ISNUMBER($F128)),
                SUMIF((OFFSET(CÁLCULO!$AM$15:$AW$15,$F128,0,OFFSET(ORÇAMENTO!$D$15,CRONO!$F128,0))),CRONO!AF$12,OFFSET(CÁLCULO!$AB$15:$AL$15,$F128,0,OFFSET(ORÇAMENTO!$D$15,CRONO!$F128,0)))
                +IF(AND($F130&lt;&gt;"",$F130&lt;&gt;0),
                        SUMIF(CÁLCULO!$AM$15:$AW$36,CRONO!AF$12,CÁLCULO!$AB$15:$AL$36)/(ORÇAMENTO!$X$15-CÁLCULO.TotalAdmLocal)*CRONO!$F130,
                        0),
                 AF129*$S128),
          SUMIF(OFFSET($S130,1,0,$R128-2),($M128+1)&amp;"$",OFFSET(AF130,1,0,$R128-2)))</f>
        <v>0</v>
      </c>
      <c r="AG130" s="444"/>
    </row>
    <row r="131" spans="1:33" hidden="1" x14ac:dyDescent="0.25">
      <c r="A131" s="145" t="str">
        <f t="shared" ref="A131" ca="1" si="236">IF($M131&gt;1,CONCATENATE($I131," ",$J131),"")</f>
        <v/>
      </c>
      <c r="B131" s="144">
        <f t="shared" ref="B131" ca="1" si="237">OFFSET(B131,-3,0)+1</f>
        <v>40</v>
      </c>
      <c r="C131" s="144">
        <f ca="1">IF($R131&lt;&gt;2,0,IF($S131=0,1,IF(F132&gt;0,OFFSET(QCI!$M$13,SUBSTITUTE(F132,".",""),0),OFFSET(ORÇAMENTO!$AA$15,CRONO!$F131,0))/$S131))</f>
        <v>0</v>
      </c>
      <c r="D131" s="144">
        <f ca="1">IF($R131&lt;&gt;2,0,IF($S131=0,1,IF(F132&gt;0,OFFSET(QCI!$N$13,SUBSTITUTE(F132,".",""),0),OFFSET(ORÇAMENTO!$AB$15,CRONO!$F131,0))/$S131))</f>
        <v>0</v>
      </c>
      <c r="E131" s="147" t="e">
        <f ca="1">IF(AND($R131=2,ACOMPANHAMENTO="BM"),ROUND(E132,4),E133/$S131)</f>
        <v>#VALUE!</v>
      </c>
      <c r="F131" s="144" t="e">
        <f ca="1">IF(B131&lt;=ORÇAMENTO.MáximoListaCrono,MATCH(B131,ORÇAMENTO.ListaCrono,0),NA())</f>
        <v>#N/A</v>
      </c>
      <c r="G131" s="144" t="str">
        <f t="shared" ref="G131" ca="1" si="238">IF(AND($F132&lt;&gt;-1,$S131&gt;0),"F","")</f>
        <v/>
      </c>
      <c r="H131" s="617" t="str">
        <f ca="1">IF(OR(S131=0,S131=""),"Linha",IF(AND(OR(ACOMPANHAMENTO="PLE",$R131&lt;&gt;2),$F132=0),"Linha",ROUND(1-SUM(U131:AG131),4)))</f>
        <v>Linha</v>
      </c>
      <c r="I131" s="148" t="str">
        <f ca="1">IF($F132=0,OFFSET(ORÇAMENTO!O$15,$F131,0),IF($F132&lt;&gt;-1,OFFSET(QCI!$D$13,$F132,0),""))</f>
        <v/>
      </c>
      <c r="J131" s="149" t="str">
        <f ca="1">IF($F132=0,OFFSET(ORÇAMENTO!R$15,$F131,0),IF($F132&lt;&gt;-1,OFFSET(QCI!$G$13,$F132,0),""))</f>
        <v/>
      </c>
      <c r="K131" s="149"/>
      <c r="L131" s="149"/>
      <c r="M131" s="150">
        <f ca="1">IF($F132=0,OFFSET(ORÇAMENTO!C$15,$F131,0),1)</f>
        <v>1</v>
      </c>
      <c r="N131" s="151">
        <f ca="1">IF($F132=-1,0,IF(N$13&lt;=$M131,IF(ISERROR(MATCH(N$13,OFFSET($M131,1,0,ROW($M$164)-ROW($M131)-1),0)),ROW($M$164)-ROW($M131)-1,MATCH(N$13,OFFSET($M131,1,0,ROW($M$164)-ROW($M131)-1),0)-1),0))</f>
        <v>0</v>
      </c>
      <c r="O131" s="151">
        <f ca="1">IF($F132=-1,0,IF(O$13&lt;=$M131,IF(ISERROR(MATCH(O$13,OFFSET($M131,1,0,ROW($M$164)-ROW($M131)-1),0)),ROW($M$164)-ROW($M131)-1,MATCH(O$13,OFFSET($M131,1,0,ROW($M$164)-ROW($M131)-1),0)-1),0))</f>
        <v>0</v>
      </c>
      <c r="P131" s="151">
        <f ca="1">IF($F132=-1,0,IF(P$13&lt;=$M131,IF(ISERROR(MATCH(P$13,OFFSET($M131,1,0,ROW($M$164)-ROW($M131)-1),0)),ROW($M$164)-ROW($M131)-1,MATCH(P$13,OFFSET($M131,1,0,ROW($M$164)-ROW($M131)-1),0)-1),0))</f>
        <v>0</v>
      </c>
      <c r="Q131" s="151">
        <f ca="1">IF($F132=-1,0,IF(Q$13&lt;=$M131,IF(ISERROR(MATCH(Q$13,OFFSET($M131,1,0,ROW($M$164)-ROW($M131)-1),0)),ROW($M$164)-ROW($M131)-1,MATCH(Q$13,OFFSET($M131,1,0,ROW($M$164)-ROW($M131)-1),0)-1),0))</f>
        <v>0</v>
      </c>
      <c r="R131" s="151">
        <f t="shared" ref="R131" ca="1" si="239">MIN(OFFSET(M131,0,1,,M131))</f>
        <v>0</v>
      </c>
      <c r="S131" s="152" t="str">
        <f ca="1">IF($F132=0,OFFSET(ORÇAMENTO!X$15,$F131,0),IF($F132&lt;&gt;-1,OFFSET(QCI!$O$13,$F132,0),""))</f>
        <v/>
      </c>
      <c r="T131" s="618" t="s">
        <v>809</v>
      </c>
      <c r="U131" s="147" t="e">
        <f ca="1">IF(AND($R131=2,ACOMPANHAMENTO="BM"),ROUND(U132,4),U133/$S131)</f>
        <v>#VALUE!</v>
      </c>
      <c r="V131" s="147" t="e">
        <f ca="1">IF(AND($R131=2,ACOMPANHAMENTO="BM"),ROUND(V132,4),V133/$S131)</f>
        <v>#VALUE!</v>
      </c>
      <c r="W131" s="147" t="e">
        <f ca="1">IF(AND($R131=2,ACOMPANHAMENTO="BM"),ROUND(W132,4),W133/$S131)</f>
        <v>#VALUE!</v>
      </c>
      <c r="X131" s="147" t="e">
        <f ca="1">IF(AND($R131=2,ACOMPANHAMENTO="BM"),ROUND(X132,4),X133/$S131)</f>
        <v>#VALUE!</v>
      </c>
      <c r="Y131" s="147" t="e">
        <f ca="1">IF(AND($R131=2,ACOMPANHAMENTO="BM"),ROUND(Y132,4),Y133/$S131)</f>
        <v>#VALUE!</v>
      </c>
      <c r="Z131" s="147" t="e">
        <f ca="1">IF(AND($R131=2,ACOMPANHAMENTO="BM"),ROUND(Z132,4),Z133/$S131)</f>
        <v>#VALUE!</v>
      </c>
      <c r="AA131" s="147" t="e">
        <f ca="1">IF(AND($R131=2,ACOMPANHAMENTO="BM"),ROUND(AA132,4),AA133/$S131)</f>
        <v>#VALUE!</v>
      </c>
      <c r="AB131" s="147" t="e">
        <f ca="1">IF(AND($R131=2,ACOMPANHAMENTO="BM"),ROUND(AB132,4),AB133/$S131)</f>
        <v>#VALUE!</v>
      </c>
      <c r="AC131" s="147" t="e">
        <f ca="1">IF(AND($R131=2,ACOMPANHAMENTO="BM"),ROUND(AC132,4),AC133/$S131)</f>
        <v>#VALUE!</v>
      </c>
      <c r="AD131" s="147" t="e">
        <f ca="1">IF(AND($R131=2,ACOMPANHAMENTO="BM"),ROUND(AD132,4),AD133/$S131)</f>
        <v>#VALUE!</v>
      </c>
      <c r="AE131" s="147" t="e">
        <f ca="1">IF(AND($R131=2,ACOMPANHAMENTO="BM"),ROUND(AE132,4),AE133/$S131)</f>
        <v>#VALUE!</v>
      </c>
      <c r="AF131" s="147" t="e">
        <f ca="1">IF(AND($R131=2,ACOMPANHAMENTO="BM"),ROUND(AF132,4),AF133/$S131)</f>
        <v>#VALUE!</v>
      </c>
      <c r="AG131" s="444"/>
    </row>
    <row r="132" spans="1:33" ht="12.75" hidden="1" customHeight="1" x14ac:dyDescent="0.25">
      <c r="E132" s="501"/>
      <c r="F132" s="144">
        <f ca="1">IF(ISERROR(F131),IF(1+COUNTIF($M$13:OFFSET(M131,-1,0),1)&lt;=MAX(QCI!$D$13:$D$24),1+COUNTIF($M$13:OFFSET(M131,-1,0),1),-1),0)</f>
        <v>-1</v>
      </c>
      <c r="G132" s="144" t="str">
        <f ca="1">IF(ACOMPANHAMENTO="BM",OFFSET(G132,-1,0),"")</f>
        <v/>
      </c>
      <c r="H132" s="153" t="str">
        <f ca="1">IF(OR(S131=0,S131=""),"vazia",IF(AND(OR(ACOMPANHAMENTO="PLE",$R131&lt;&gt;2),$F132=0),"calculada","--&gt;"))</f>
        <v>vazia</v>
      </c>
      <c r="I132" s="154"/>
      <c r="J132" s="155" t="str">
        <f t="shared" ref="J132" ca="1" si="240">IF(AND(H131&lt;&gt;0,ISNUMBER(H131)),"PREENCHA ESTA LINHA --&gt;","")</f>
        <v/>
      </c>
      <c r="K132" s="155"/>
      <c r="L132" s="155"/>
      <c r="M132" s="156"/>
      <c r="N132" s="156"/>
      <c r="O132" s="156"/>
      <c r="P132" s="156"/>
      <c r="Q132" s="156"/>
      <c r="R132" s="156"/>
      <c r="S132" s="157"/>
      <c r="T132" s="158"/>
      <c r="U132" s="501"/>
      <c r="V132" s="501"/>
      <c r="W132" s="501"/>
      <c r="X132" s="501"/>
      <c r="Y132" s="501"/>
      <c r="Z132" s="501"/>
      <c r="AA132" s="501"/>
      <c r="AB132" s="501"/>
      <c r="AC132" s="501"/>
      <c r="AD132" s="501"/>
      <c r="AE132" s="501"/>
      <c r="AF132" s="501"/>
      <c r="AG132" s="444"/>
    </row>
    <row r="133" spans="1:33" ht="12.75" hidden="1" customHeight="1" x14ac:dyDescent="0.25">
      <c r="D133" s="443"/>
      <c r="E133" s="159">
        <f ca="1">IF($R131=2,
         IF(AND(ACOMPANHAMENTO="PLE",ISNUMBER($F131)),
                SUMIF((OFFSET(CÁLCULO!$AM$15:$AW$15,$F131,0,OFFSET(ORÇAMENTO!$D$15,CRONO!$F131,0))),CRONO!E$12,OFFSET(CÁLCULO!$AB$15:$AL$15,$F131,0,OFFSET(ORÇAMENTO!$D$15,CRONO!$F131,0)))
                +IF(AND($F133&lt;&gt;"",$F133&lt;&gt;0),
                        SUMIF(CÁLCULO!$AM$15:$AW$36,CRONO!E$12,CÁLCULO!$AB$15:$AL$36)/(ORÇAMENTO!$X$15-CÁLCULO.TotalAdmLocal)*CRONO!$F133,
                        0),
                 E132*$S131),
          SUMIF(OFFSET($S133,1,0,$R131-2),($M131+1)&amp;"$",OFFSET(E133,1,0,$R131-2)))</f>
        <v>0</v>
      </c>
      <c r="F133" s="144" t="str">
        <f ca="1">IF(OR($R131&lt;&gt;2,AUTOEVENTO&lt;&gt;"manual",$F132&gt;0),"",
        IF(Import.TipoArredondamento="Tradicional",
              SUMIF(OFFSET(CÁLCULO!$M$15,CRONO!$F131,0,OFFSET(ORÇAMENTO!$D$15,CRONO!$F131,0)),1,OFFSET(ORÇAMENTO!$X$15,CRONO!$F131,0,OFFSET(ORÇAMENTO!$D$15,CRONO!$F131,0))),
              0))</f>
        <v/>
      </c>
      <c r="H133" s="530"/>
      <c r="S133" s="160" t="str">
        <f t="shared" ref="S133" ca="1" si="241">M131&amp;"$"</f>
        <v>1$</v>
      </c>
      <c r="T133" s="161"/>
      <c r="U133" s="159">
        <f ca="1">IF($R131=2,
         IF(AND(ACOMPANHAMENTO="PLE",ISNUMBER($F131)),
                SUMIF((OFFSET(CÁLCULO!$AM$15:$AW$15,$F131,0,OFFSET(ORÇAMENTO!$D$15,CRONO!$F131,0))),CRONO!U$12,OFFSET(CÁLCULO!$AB$15:$AL$15,$F131,0,OFFSET(ORÇAMENTO!$D$15,CRONO!$F131,0)))
                +IF(AND($F133&lt;&gt;"",$F133&lt;&gt;0),
                        SUMIF(CÁLCULO!$AM$15:$AW$36,CRONO!U$12,CÁLCULO!$AB$15:$AL$36)/(ORÇAMENTO!$X$15-CÁLCULO.TotalAdmLocal)*CRONO!$F133,
                        0),
                 U132*$S131),
          SUMIF(OFFSET($S133,1,0,$R131-2),($M131+1)&amp;"$",OFFSET(U133,1,0,$R131-2)))</f>
        <v>0</v>
      </c>
      <c r="V133" s="159">
        <f ca="1">IF($R131=2,
         IF(AND(ACOMPANHAMENTO="PLE",ISNUMBER($F131)),
                SUMIF((OFFSET(CÁLCULO!$AM$15:$AW$15,$F131,0,OFFSET(ORÇAMENTO!$D$15,CRONO!$F131,0))),CRONO!V$12,OFFSET(CÁLCULO!$AB$15:$AL$15,$F131,0,OFFSET(ORÇAMENTO!$D$15,CRONO!$F131,0)))
                +IF(AND($F133&lt;&gt;"",$F133&lt;&gt;0),
                        SUMIF(CÁLCULO!$AM$15:$AW$36,CRONO!V$12,CÁLCULO!$AB$15:$AL$36)/(ORÇAMENTO!$X$15-CÁLCULO.TotalAdmLocal)*CRONO!$F133,
                        0),
                 V132*$S131),
          SUMIF(OFFSET($S133,1,0,$R131-2),($M131+1)&amp;"$",OFFSET(V133,1,0,$R131-2)))</f>
        <v>0</v>
      </c>
      <c r="W133" s="159">
        <f ca="1">IF($R131=2,
         IF(AND(ACOMPANHAMENTO="PLE",ISNUMBER($F131)),
                SUMIF((OFFSET(CÁLCULO!$AM$15:$AW$15,$F131,0,OFFSET(ORÇAMENTO!$D$15,CRONO!$F131,0))),CRONO!W$12,OFFSET(CÁLCULO!$AB$15:$AL$15,$F131,0,OFFSET(ORÇAMENTO!$D$15,CRONO!$F131,0)))
                +IF(AND($F133&lt;&gt;"",$F133&lt;&gt;0),
                        SUMIF(CÁLCULO!$AM$15:$AW$36,CRONO!W$12,CÁLCULO!$AB$15:$AL$36)/(ORÇAMENTO!$X$15-CÁLCULO.TotalAdmLocal)*CRONO!$F133,
                        0),
                 W132*$S131),
          SUMIF(OFFSET($S133,1,0,$R131-2),($M131+1)&amp;"$",OFFSET(W133,1,0,$R131-2)))</f>
        <v>0</v>
      </c>
      <c r="X133" s="159">
        <f ca="1">IF($R131=2,
         IF(AND(ACOMPANHAMENTO="PLE",ISNUMBER($F131)),
                SUMIF((OFFSET(CÁLCULO!$AM$15:$AW$15,$F131,0,OFFSET(ORÇAMENTO!$D$15,CRONO!$F131,0))),CRONO!X$12,OFFSET(CÁLCULO!$AB$15:$AL$15,$F131,0,OFFSET(ORÇAMENTO!$D$15,CRONO!$F131,0)))
                +IF(AND($F133&lt;&gt;"",$F133&lt;&gt;0),
                        SUMIF(CÁLCULO!$AM$15:$AW$36,CRONO!X$12,CÁLCULO!$AB$15:$AL$36)/(ORÇAMENTO!$X$15-CÁLCULO.TotalAdmLocal)*CRONO!$F133,
                        0),
                 X132*$S131),
          SUMIF(OFFSET($S133,1,0,$R131-2),($M131+1)&amp;"$",OFFSET(X133,1,0,$R131-2)))</f>
        <v>0</v>
      </c>
      <c r="Y133" s="159">
        <f ca="1">IF($R131=2,
         IF(AND(ACOMPANHAMENTO="PLE",ISNUMBER($F131)),
                SUMIF((OFFSET(CÁLCULO!$AM$15:$AW$15,$F131,0,OFFSET(ORÇAMENTO!$D$15,CRONO!$F131,0))),CRONO!Y$12,OFFSET(CÁLCULO!$AB$15:$AL$15,$F131,0,OFFSET(ORÇAMENTO!$D$15,CRONO!$F131,0)))
                +IF(AND($F133&lt;&gt;"",$F133&lt;&gt;0),
                        SUMIF(CÁLCULO!$AM$15:$AW$36,CRONO!Y$12,CÁLCULO!$AB$15:$AL$36)/(ORÇAMENTO!$X$15-CÁLCULO.TotalAdmLocal)*CRONO!$F133,
                        0),
                 Y132*$S131),
          SUMIF(OFFSET($S133,1,0,$R131-2),($M131+1)&amp;"$",OFFSET(Y133,1,0,$R131-2)))</f>
        <v>0</v>
      </c>
      <c r="Z133" s="159">
        <f ca="1">IF($R131=2,
         IF(AND(ACOMPANHAMENTO="PLE",ISNUMBER($F131)),
                SUMIF((OFFSET(CÁLCULO!$AM$15:$AW$15,$F131,0,OFFSET(ORÇAMENTO!$D$15,CRONO!$F131,0))),CRONO!Z$12,OFFSET(CÁLCULO!$AB$15:$AL$15,$F131,0,OFFSET(ORÇAMENTO!$D$15,CRONO!$F131,0)))
                +IF(AND($F133&lt;&gt;"",$F133&lt;&gt;0),
                        SUMIF(CÁLCULO!$AM$15:$AW$36,CRONO!Z$12,CÁLCULO!$AB$15:$AL$36)/(ORÇAMENTO!$X$15-CÁLCULO.TotalAdmLocal)*CRONO!$F133,
                        0),
                 Z132*$S131),
          SUMIF(OFFSET($S133,1,0,$R131-2),($M131+1)&amp;"$",OFFSET(Z133,1,0,$R131-2)))</f>
        <v>0</v>
      </c>
      <c r="AA133" s="159">
        <f ca="1">IF($R131=2,
         IF(AND(ACOMPANHAMENTO="PLE",ISNUMBER($F131)),
                SUMIF((OFFSET(CÁLCULO!$AM$15:$AW$15,$F131,0,OFFSET(ORÇAMENTO!$D$15,CRONO!$F131,0))),CRONO!AA$12,OFFSET(CÁLCULO!$AB$15:$AL$15,$F131,0,OFFSET(ORÇAMENTO!$D$15,CRONO!$F131,0)))
                +IF(AND($F133&lt;&gt;"",$F133&lt;&gt;0),
                        SUMIF(CÁLCULO!$AM$15:$AW$36,CRONO!AA$12,CÁLCULO!$AB$15:$AL$36)/(ORÇAMENTO!$X$15-CÁLCULO.TotalAdmLocal)*CRONO!$F133,
                        0),
                 AA132*$S131),
          SUMIF(OFFSET($S133,1,0,$R131-2),($M131+1)&amp;"$",OFFSET(AA133,1,0,$R131-2)))</f>
        <v>0</v>
      </c>
      <c r="AB133" s="159">
        <f ca="1">IF($R131=2,
         IF(AND(ACOMPANHAMENTO="PLE",ISNUMBER($F131)),
                SUMIF((OFFSET(CÁLCULO!$AM$15:$AW$15,$F131,0,OFFSET(ORÇAMENTO!$D$15,CRONO!$F131,0))),CRONO!AB$12,OFFSET(CÁLCULO!$AB$15:$AL$15,$F131,0,OFFSET(ORÇAMENTO!$D$15,CRONO!$F131,0)))
                +IF(AND($F133&lt;&gt;"",$F133&lt;&gt;0),
                        SUMIF(CÁLCULO!$AM$15:$AW$36,CRONO!AB$12,CÁLCULO!$AB$15:$AL$36)/(ORÇAMENTO!$X$15-CÁLCULO.TotalAdmLocal)*CRONO!$F133,
                        0),
                 AB132*$S131),
          SUMIF(OFFSET($S133,1,0,$R131-2),($M131+1)&amp;"$",OFFSET(AB133,1,0,$R131-2)))</f>
        <v>0</v>
      </c>
      <c r="AC133" s="159">
        <f ca="1">IF($R131=2,
         IF(AND(ACOMPANHAMENTO="PLE",ISNUMBER($F131)),
                SUMIF((OFFSET(CÁLCULO!$AM$15:$AW$15,$F131,0,OFFSET(ORÇAMENTO!$D$15,CRONO!$F131,0))),CRONO!AC$12,OFFSET(CÁLCULO!$AB$15:$AL$15,$F131,0,OFFSET(ORÇAMENTO!$D$15,CRONO!$F131,0)))
                +IF(AND($F133&lt;&gt;"",$F133&lt;&gt;0),
                        SUMIF(CÁLCULO!$AM$15:$AW$36,CRONO!AC$12,CÁLCULO!$AB$15:$AL$36)/(ORÇAMENTO!$X$15-CÁLCULO.TotalAdmLocal)*CRONO!$F133,
                        0),
                 AC132*$S131),
          SUMIF(OFFSET($S133,1,0,$R131-2),($M131+1)&amp;"$",OFFSET(AC133,1,0,$R131-2)))</f>
        <v>0</v>
      </c>
      <c r="AD133" s="159">
        <f ca="1">IF($R131=2,
         IF(AND(ACOMPANHAMENTO="PLE",ISNUMBER($F131)),
                SUMIF((OFFSET(CÁLCULO!$AM$15:$AW$15,$F131,0,OFFSET(ORÇAMENTO!$D$15,CRONO!$F131,0))),CRONO!AD$12,OFFSET(CÁLCULO!$AB$15:$AL$15,$F131,0,OFFSET(ORÇAMENTO!$D$15,CRONO!$F131,0)))
                +IF(AND($F133&lt;&gt;"",$F133&lt;&gt;0),
                        SUMIF(CÁLCULO!$AM$15:$AW$36,CRONO!AD$12,CÁLCULO!$AB$15:$AL$36)/(ORÇAMENTO!$X$15-CÁLCULO.TotalAdmLocal)*CRONO!$F133,
                        0),
                 AD132*$S131),
          SUMIF(OFFSET($S133,1,0,$R131-2),($M131+1)&amp;"$",OFFSET(AD133,1,0,$R131-2)))</f>
        <v>0</v>
      </c>
      <c r="AE133" s="159">
        <f ca="1">IF($R131=2,
         IF(AND(ACOMPANHAMENTO="PLE",ISNUMBER($F131)),
                SUMIF((OFFSET(CÁLCULO!$AM$15:$AW$15,$F131,0,OFFSET(ORÇAMENTO!$D$15,CRONO!$F131,0))),CRONO!AE$12,OFFSET(CÁLCULO!$AB$15:$AL$15,$F131,0,OFFSET(ORÇAMENTO!$D$15,CRONO!$F131,0)))
                +IF(AND($F133&lt;&gt;"",$F133&lt;&gt;0),
                        SUMIF(CÁLCULO!$AM$15:$AW$36,CRONO!AE$12,CÁLCULO!$AB$15:$AL$36)/(ORÇAMENTO!$X$15-CÁLCULO.TotalAdmLocal)*CRONO!$F133,
                        0),
                 AE132*$S131),
          SUMIF(OFFSET($S133,1,0,$R131-2),($M131+1)&amp;"$",OFFSET(AE133,1,0,$R131-2)))</f>
        <v>0</v>
      </c>
      <c r="AF133" s="159">
        <f ca="1">IF($R131=2,
         IF(AND(ACOMPANHAMENTO="PLE",ISNUMBER($F131)),
                SUMIF((OFFSET(CÁLCULO!$AM$15:$AW$15,$F131,0,OFFSET(ORÇAMENTO!$D$15,CRONO!$F131,0))),CRONO!AF$12,OFFSET(CÁLCULO!$AB$15:$AL$15,$F131,0,OFFSET(ORÇAMENTO!$D$15,CRONO!$F131,0)))
                +IF(AND($F133&lt;&gt;"",$F133&lt;&gt;0),
                        SUMIF(CÁLCULO!$AM$15:$AW$36,CRONO!AF$12,CÁLCULO!$AB$15:$AL$36)/(ORÇAMENTO!$X$15-CÁLCULO.TotalAdmLocal)*CRONO!$F133,
                        0),
                 AF132*$S131),
          SUMIF(OFFSET($S133,1,0,$R131-2),($M131+1)&amp;"$",OFFSET(AF133,1,0,$R131-2)))</f>
        <v>0</v>
      </c>
      <c r="AG133" s="444"/>
    </row>
    <row r="134" spans="1:33" hidden="1" x14ac:dyDescent="0.25">
      <c r="A134" s="145" t="str">
        <f t="shared" ref="A134" ca="1" si="242">IF($M134&gt;1,CONCATENATE($I134," ",$J134),"")</f>
        <v/>
      </c>
      <c r="B134" s="144">
        <f t="shared" ref="B134" ca="1" si="243">OFFSET(B134,-3,0)+1</f>
        <v>41</v>
      </c>
      <c r="C134" s="144">
        <f ca="1">IF($R134&lt;&gt;2,0,IF($S134=0,1,IF(F135&gt;0,OFFSET(QCI!$M$13,SUBSTITUTE(F135,".",""),0),OFFSET(ORÇAMENTO!$AA$15,CRONO!$F134,0))/$S134))</f>
        <v>0</v>
      </c>
      <c r="D134" s="144">
        <f ca="1">IF($R134&lt;&gt;2,0,IF($S134=0,1,IF(F135&gt;0,OFFSET(QCI!$N$13,SUBSTITUTE(F135,".",""),0),OFFSET(ORÇAMENTO!$AB$15,CRONO!$F134,0))/$S134))</f>
        <v>0</v>
      </c>
      <c r="E134" s="147" t="e">
        <f ca="1">IF(AND($R134=2,ACOMPANHAMENTO="BM"),ROUND(E135,4),E136/$S134)</f>
        <v>#VALUE!</v>
      </c>
      <c r="F134" s="144" t="e">
        <f ca="1">IF(B134&lt;=ORÇAMENTO.MáximoListaCrono,MATCH(B134,ORÇAMENTO.ListaCrono,0),NA())</f>
        <v>#N/A</v>
      </c>
      <c r="G134" s="144" t="str">
        <f t="shared" ref="G134" ca="1" si="244">IF(AND($F135&lt;&gt;-1,$S134&gt;0),"F","")</f>
        <v/>
      </c>
      <c r="H134" s="617" t="str">
        <f ca="1">IF(OR(S134=0,S134=""),"Linha",IF(AND(OR(ACOMPANHAMENTO="PLE",$R134&lt;&gt;2),$F135=0),"Linha",ROUND(1-SUM(U134:AG134),4)))</f>
        <v>Linha</v>
      </c>
      <c r="I134" s="148" t="str">
        <f ca="1">IF($F135=0,OFFSET(ORÇAMENTO!O$15,$F134,0),IF($F135&lt;&gt;-1,OFFSET(QCI!$D$13,$F135,0),""))</f>
        <v/>
      </c>
      <c r="J134" s="149" t="str">
        <f ca="1">IF($F135=0,OFFSET(ORÇAMENTO!R$15,$F134,0),IF($F135&lt;&gt;-1,OFFSET(QCI!$G$13,$F135,0),""))</f>
        <v/>
      </c>
      <c r="K134" s="149"/>
      <c r="L134" s="149"/>
      <c r="M134" s="150">
        <f ca="1">IF($F135=0,OFFSET(ORÇAMENTO!C$15,$F134,0),1)</f>
        <v>1</v>
      </c>
      <c r="N134" s="151">
        <f ca="1">IF($F135=-1,0,IF(N$13&lt;=$M134,IF(ISERROR(MATCH(N$13,OFFSET($M134,1,0,ROW($M$164)-ROW($M134)-1),0)),ROW($M$164)-ROW($M134)-1,MATCH(N$13,OFFSET($M134,1,0,ROW($M$164)-ROW($M134)-1),0)-1),0))</f>
        <v>0</v>
      </c>
      <c r="O134" s="151">
        <f ca="1">IF($F135=-1,0,IF(O$13&lt;=$M134,IF(ISERROR(MATCH(O$13,OFFSET($M134,1,0,ROW($M$164)-ROW($M134)-1),0)),ROW($M$164)-ROW($M134)-1,MATCH(O$13,OFFSET($M134,1,0,ROW($M$164)-ROW($M134)-1),0)-1),0))</f>
        <v>0</v>
      </c>
      <c r="P134" s="151">
        <f ca="1">IF($F135=-1,0,IF(P$13&lt;=$M134,IF(ISERROR(MATCH(P$13,OFFSET($M134,1,0,ROW($M$164)-ROW($M134)-1),0)),ROW($M$164)-ROW($M134)-1,MATCH(P$13,OFFSET($M134,1,0,ROW($M$164)-ROW($M134)-1),0)-1),0))</f>
        <v>0</v>
      </c>
      <c r="Q134" s="151">
        <f ca="1">IF($F135=-1,0,IF(Q$13&lt;=$M134,IF(ISERROR(MATCH(Q$13,OFFSET($M134,1,0,ROW($M$164)-ROW($M134)-1),0)),ROW($M$164)-ROW($M134)-1,MATCH(Q$13,OFFSET($M134,1,0,ROW($M$164)-ROW($M134)-1),0)-1),0))</f>
        <v>0</v>
      </c>
      <c r="R134" s="151">
        <f t="shared" ref="R134" ca="1" si="245">MIN(OFFSET(M134,0,1,,M134))</f>
        <v>0</v>
      </c>
      <c r="S134" s="152" t="str">
        <f ca="1">IF($F135=0,OFFSET(ORÇAMENTO!X$15,$F134,0),IF($F135&lt;&gt;-1,OFFSET(QCI!$O$13,$F135,0),""))</f>
        <v/>
      </c>
      <c r="T134" s="618" t="s">
        <v>809</v>
      </c>
      <c r="U134" s="147" t="e">
        <f ca="1">IF(AND($R134=2,ACOMPANHAMENTO="BM"),ROUND(U135,4),U136/$S134)</f>
        <v>#VALUE!</v>
      </c>
      <c r="V134" s="147" t="e">
        <f ca="1">IF(AND($R134=2,ACOMPANHAMENTO="BM"),ROUND(V135,4),V136/$S134)</f>
        <v>#VALUE!</v>
      </c>
      <c r="W134" s="147" t="e">
        <f ca="1">IF(AND($R134=2,ACOMPANHAMENTO="BM"),ROUND(W135,4),W136/$S134)</f>
        <v>#VALUE!</v>
      </c>
      <c r="X134" s="147" t="e">
        <f ca="1">IF(AND($R134=2,ACOMPANHAMENTO="BM"),ROUND(X135,4),X136/$S134)</f>
        <v>#VALUE!</v>
      </c>
      <c r="Y134" s="147" t="e">
        <f ca="1">IF(AND($R134=2,ACOMPANHAMENTO="BM"),ROUND(Y135,4),Y136/$S134)</f>
        <v>#VALUE!</v>
      </c>
      <c r="Z134" s="147" t="e">
        <f ca="1">IF(AND($R134=2,ACOMPANHAMENTO="BM"),ROUND(Z135,4),Z136/$S134)</f>
        <v>#VALUE!</v>
      </c>
      <c r="AA134" s="147" t="e">
        <f ca="1">IF(AND($R134=2,ACOMPANHAMENTO="BM"),ROUND(AA135,4),AA136/$S134)</f>
        <v>#VALUE!</v>
      </c>
      <c r="AB134" s="147" t="e">
        <f ca="1">IF(AND($R134=2,ACOMPANHAMENTO="BM"),ROUND(AB135,4),AB136/$S134)</f>
        <v>#VALUE!</v>
      </c>
      <c r="AC134" s="147" t="e">
        <f ca="1">IF(AND($R134=2,ACOMPANHAMENTO="BM"),ROUND(AC135,4),AC136/$S134)</f>
        <v>#VALUE!</v>
      </c>
      <c r="AD134" s="147" t="e">
        <f ca="1">IF(AND($R134=2,ACOMPANHAMENTO="BM"),ROUND(AD135,4),AD136/$S134)</f>
        <v>#VALUE!</v>
      </c>
      <c r="AE134" s="147" t="e">
        <f ca="1">IF(AND($R134=2,ACOMPANHAMENTO="BM"),ROUND(AE135,4),AE136/$S134)</f>
        <v>#VALUE!</v>
      </c>
      <c r="AF134" s="147" t="e">
        <f ca="1">IF(AND($R134=2,ACOMPANHAMENTO="BM"),ROUND(AF135,4),AF136/$S134)</f>
        <v>#VALUE!</v>
      </c>
      <c r="AG134" s="444"/>
    </row>
    <row r="135" spans="1:33" ht="12.75" hidden="1" customHeight="1" x14ac:dyDescent="0.25">
      <c r="E135" s="501"/>
      <c r="F135" s="144">
        <f ca="1">IF(ISERROR(F134),IF(1+COUNTIF($M$13:OFFSET(M134,-1,0),1)&lt;=MAX(QCI!$D$13:$D$24),1+COUNTIF($M$13:OFFSET(M134,-1,0),1),-1),0)</f>
        <v>-1</v>
      </c>
      <c r="G135" s="144" t="str">
        <f ca="1">IF(ACOMPANHAMENTO="BM",OFFSET(G135,-1,0),"")</f>
        <v/>
      </c>
      <c r="H135" s="153" t="str">
        <f ca="1">IF(OR(S134=0,S134=""),"vazia",IF(AND(OR(ACOMPANHAMENTO="PLE",$R134&lt;&gt;2),$F135=0),"calculada","--&gt;"))</f>
        <v>vazia</v>
      </c>
      <c r="I135" s="154"/>
      <c r="J135" s="155" t="str">
        <f t="shared" ref="J135" ca="1" si="246">IF(AND(H134&lt;&gt;0,ISNUMBER(H134)),"PREENCHA ESTA LINHA --&gt;","")</f>
        <v/>
      </c>
      <c r="K135" s="155"/>
      <c r="L135" s="155"/>
      <c r="M135" s="156"/>
      <c r="N135" s="156"/>
      <c r="O135" s="156"/>
      <c r="P135" s="156"/>
      <c r="Q135" s="156"/>
      <c r="R135" s="156"/>
      <c r="S135" s="157"/>
      <c r="T135" s="158"/>
      <c r="U135" s="501"/>
      <c r="V135" s="501"/>
      <c r="W135" s="501"/>
      <c r="X135" s="501"/>
      <c r="Y135" s="501"/>
      <c r="Z135" s="501"/>
      <c r="AA135" s="501"/>
      <c r="AB135" s="501"/>
      <c r="AC135" s="501"/>
      <c r="AD135" s="501"/>
      <c r="AE135" s="501"/>
      <c r="AF135" s="501"/>
      <c r="AG135" s="444"/>
    </row>
    <row r="136" spans="1:33" ht="12.75" hidden="1" customHeight="1" x14ac:dyDescent="0.25">
      <c r="D136" s="443"/>
      <c r="E136" s="159">
        <f ca="1">IF($R134=2,
         IF(AND(ACOMPANHAMENTO="PLE",ISNUMBER($F134)),
                SUMIF((OFFSET(CÁLCULO!$AM$15:$AW$15,$F134,0,OFFSET(ORÇAMENTO!$D$15,CRONO!$F134,0))),CRONO!E$12,OFFSET(CÁLCULO!$AB$15:$AL$15,$F134,0,OFFSET(ORÇAMENTO!$D$15,CRONO!$F134,0)))
                +IF(AND($F136&lt;&gt;"",$F136&lt;&gt;0),
                        SUMIF(CÁLCULO!$AM$15:$AW$36,CRONO!E$12,CÁLCULO!$AB$15:$AL$36)/(ORÇAMENTO!$X$15-CÁLCULO.TotalAdmLocal)*CRONO!$F136,
                        0),
                 E135*$S134),
          SUMIF(OFFSET($S136,1,0,$R134-2),($M134+1)&amp;"$",OFFSET(E136,1,0,$R134-2)))</f>
        <v>0</v>
      </c>
      <c r="F136" s="144" t="str">
        <f ca="1">IF(OR($R134&lt;&gt;2,AUTOEVENTO&lt;&gt;"manual",$F135&gt;0),"",
        IF(Import.TipoArredondamento="Tradicional",
              SUMIF(OFFSET(CÁLCULO!$M$15,CRONO!$F134,0,OFFSET(ORÇAMENTO!$D$15,CRONO!$F134,0)),1,OFFSET(ORÇAMENTO!$X$15,CRONO!$F134,0,OFFSET(ORÇAMENTO!$D$15,CRONO!$F134,0))),
              0))</f>
        <v/>
      </c>
      <c r="H136" s="530"/>
      <c r="S136" s="160" t="str">
        <f t="shared" ref="S136" ca="1" si="247">M134&amp;"$"</f>
        <v>1$</v>
      </c>
      <c r="T136" s="161"/>
      <c r="U136" s="159">
        <f ca="1">IF($R134=2,
         IF(AND(ACOMPANHAMENTO="PLE",ISNUMBER($F134)),
                SUMIF((OFFSET(CÁLCULO!$AM$15:$AW$15,$F134,0,OFFSET(ORÇAMENTO!$D$15,CRONO!$F134,0))),CRONO!U$12,OFFSET(CÁLCULO!$AB$15:$AL$15,$F134,0,OFFSET(ORÇAMENTO!$D$15,CRONO!$F134,0)))
                +IF(AND($F136&lt;&gt;"",$F136&lt;&gt;0),
                        SUMIF(CÁLCULO!$AM$15:$AW$36,CRONO!U$12,CÁLCULO!$AB$15:$AL$36)/(ORÇAMENTO!$X$15-CÁLCULO.TotalAdmLocal)*CRONO!$F136,
                        0),
                 U135*$S134),
          SUMIF(OFFSET($S136,1,0,$R134-2),($M134+1)&amp;"$",OFFSET(U136,1,0,$R134-2)))</f>
        <v>0</v>
      </c>
      <c r="V136" s="159">
        <f ca="1">IF($R134=2,
         IF(AND(ACOMPANHAMENTO="PLE",ISNUMBER($F134)),
                SUMIF((OFFSET(CÁLCULO!$AM$15:$AW$15,$F134,0,OFFSET(ORÇAMENTO!$D$15,CRONO!$F134,0))),CRONO!V$12,OFFSET(CÁLCULO!$AB$15:$AL$15,$F134,0,OFFSET(ORÇAMENTO!$D$15,CRONO!$F134,0)))
                +IF(AND($F136&lt;&gt;"",$F136&lt;&gt;0),
                        SUMIF(CÁLCULO!$AM$15:$AW$36,CRONO!V$12,CÁLCULO!$AB$15:$AL$36)/(ORÇAMENTO!$X$15-CÁLCULO.TotalAdmLocal)*CRONO!$F136,
                        0),
                 V135*$S134),
          SUMIF(OFFSET($S136,1,0,$R134-2),($M134+1)&amp;"$",OFFSET(V136,1,0,$R134-2)))</f>
        <v>0</v>
      </c>
      <c r="W136" s="159">
        <f ca="1">IF($R134=2,
         IF(AND(ACOMPANHAMENTO="PLE",ISNUMBER($F134)),
                SUMIF((OFFSET(CÁLCULO!$AM$15:$AW$15,$F134,0,OFFSET(ORÇAMENTO!$D$15,CRONO!$F134,0))),CRONO!W$12,OFFSET(CÁLCULO!$AB$15:$AL$15,$F134,0,OFFSET(ORÇAMENTO!$D$15,CRONO!$F134,0)))
                +IF(AND($F136&lt;&gt;"",$F136&lt;&gt;0),
                        SUMIF(CÁLCULO!$AM$15:$AW$36,CRONO!W$12,CÁLCULO!$AB$15:$AL$36)/(ORÇAMENTO!$X$15-CÁLCULO.TotalAdmLocal)*CRONO!$F136,
                        0),
                 W135*$S134),
          SUMIF(OFFSET($S136,1,0,$R134-2),($M134+1)&amp;"$",OFFSET(W136,1,0,$R134-2)))</f>
        <v>0</v>
      </c>
      <c r="X136" s="159">
        <f ca="1">IF($R134=2,
         IF(AND(ACOMPANHAMENTO="PLE",ISNUMBER($F134)),
                SUMIF((OFFSET(CÁLCULO!$AM$15:$AW$15,$F134,0,OFFSET(ORÇAMENTO!$D$15,CRONO!$F134,0))),CRONO!X$12,OFFSET(CÁLCULO!$AB$15:$AL$15,$F134,0,OFFSET(ORÇAMENTO!$D$15,CRONO!$F134,0)))
                +IF(AND($F136&lt;&gt;"",$F136&lt;&gt;0),
                        SUMIF(CÁLCULO!$AM$15:$AW$36,CRONO!X$12,CÁLCULO!$AB$15:$AL$36)/(ORÇAMENTO!$X$15-CÁLCULO.TotalAdmLocal)*CRONO!$F136,
                        0),
                 X135*$S134),
          SUMIF(OFFSET($S136,1,0,$R134-2),($M134+1)&amp;"$",OFFSET(X136,1,0,$R134-2)))</f>
        <v>0</v>
      </c>
      <c r="Y136" s="159">
        <f ca="1">IF($R134=2,
         IF(AND(ACOMPANHAMENTO="PLE",ISNUMBER($F134)),
                SUMIF((OFFSET(CÁLCULO!$AM$15:$AW$15,$F134,0,OFFSET(ORÇAMENTO!$D$15,CRONO!$F134,0))),CRONO!Y$12,OFFSET(CÁLCULO!$AB$15:$AL$15,$F134,0,OFFSET(ORÇAMENTO!$D$15,CRONO!$F134,0)))
                +IF(AND($F136&lt;&gt;"",$F136&lt;&gt;0),
                        SUMIF(CÁLCULO!$AM$15:$AW$36,CRONO!Y$12,CÁLCULO!$AB$15:$AL$36)/(ORÇAMENTO!$X$15-CÁLCULO.TotalAdmLocal)*CRONO!$F136,
                        0),
                 Y135*$S134),
          SUMIF(OFFSET($S136,1,0,$R134-2),($M134+1)&amp;"$",OFFSET(Y136,1,0,$R134-2)))</f>
        <v>0</v>
      </c>
      <c r="Z136" s="159">
        <f ca="1">IF($R134=2,
         IF(AND(ACOMPANHAMENTO="PLE",ISNUMBER($F134)),
                SUMIF((OFFSET(CÁLCULO!$AM$15:$AW$15,$F134,0,OFFSET(ORÇAMENTO!$D$15,CRONO!$F134,0))),CRONO!Z$12,OFFSET(CÁLCULO!$AB$15:$AL$15,$F134,0,OFFSET(ORÇAMENTO!$D$15,CRONO!$F134,0)))
                +IF(AND($F136&lt;&gt;"",$F136&lt;&gt;0),
                        SUMIF(CÁLCULO!$AM$15:$AW$36,CRONO!Z$12,CÁLCULO!$AB$15:$AL$36)/(ORÇAMENTO!$X$15-CÁLCULO.TotalAdmLocal)*CRONO!$F136,
                        0),
                 Z135*$S134),
          SUMIF(OFFSET($S136,1,0,$R134-2),($M134+1)&amp;"$",OFFSET(Z136,1,0,$R134-2)))</f>
        <v>0</v>
      </c>
      <c r="AA136" s="159">
        <f ca="1">IF($R134=2,
         IF(AND(ACOMPANHAMENTO="PLE",ISNUMBER($F134)),
                SUMIF((OFFSET(CÁLCULO!$AM$15:$AW$15,$F134,0,OFFSET(ORÇAMENTO!$D$15,CRONO!$F134,0))),CRONO!AA$12,OFFSET(CÁLCULO!$AB$15:$AL$15,$F134,0,OFFSET(ORÇAMENTO!$D$15,CRONO!$F134,0)))
                +IF(AND($F136&lt;&gt;"",$F136&lt;&gt;0),
                        SUMIF(CÁLCULO!$AM$15:$AW$36,CRONO!AA$12,CÁLCULO!$AB$15:$AL$36)/(ORÇAMENTO!$X$15-CÁLCULO.TotalAdmLocal)*CRONO!$F136,
                        0),
                 AA135*$S134),
          SUMIF(OFFSET($S136,1,0,$R134-2),($M134+1)&amp;"$",OFFSET(AA136,1,0,$R134-2)))</f>
        <v>0</v>
      </c>
      <c r="AB136" s="159">
        <f ca="1">IF($R134=2,
         IF(AND(ACOMPANHAMENTO="PLE",ISNUMBER($F134)),
                SUMIF((OFFSET(CÁLCULO!$AM$15:$AW$15,$F134,0,OFFSET(ORÇAMENTO!$D$15,CRONO!$F134,0))),CRONO!AB$12,OFFSET(CÁLCULO!$AB$15:$AL$15,$F134,0,OFFSET(ORÇAMENTO!$D$15,CRONO!$F134,0)))
                +IF(AND($F136&lt;&gt;"",$F136&lt;&gt;0),
                        SUMIF(CÁLCULO!$AM$15:$AW$36,CRONO!AB$12,CÁLCULO!$AB$15:$AL$36)/(ORÇAMENTO!$X$15-CÁLCULO.TotalAdmLocal)*CRONO!$F136,
                        0),
                 AB135*$S134),
          SUMIF(OFFSET($S136,1,0,$R134-2),($M134+1)&amp;"$",OFFSET(AB136,1,0,$R134-2)))</f>
        <v>0</v>
      </c>
      <c r="AC136" s="159">
        <f ca="1">IF($R134=2,
         IF(AND(ACOMPANHAMENTO="PLE",ISNUMBER($F134)),
                SUMIF((OFFSET(CÁLCULO!$AM$15:$AW$15,$F134,0,OFFSET(ORÇAMENTO!$D$15,CRONO!$F134,0))),CRONO!AC$12,OFFSET(CÁLCULO!$AB$15:$AL$15,$F134,0,OFFSET(ORÇAMENTO!$D$15,CRONO!$F134,0)))
                +IF(AND($F136&lt;&gt;"",$F136&lt;&gt;0),
                        SUMIF(CÁLCULO!$AM$15:$AW$36,CRONO!AC$12,CÁLCULO!$AB$15:$AL$36)/(ORÇAMENTO!$X$15-CÁLCULO.TotalAdmLocal)*CRONO!$F136,
                        0),
                 AC135*$S134),
          SUMIF(OFFSET($S136,1,0,$R134-2),($M134+1)&amp;"$",OFFSET(AC136,1,0,$R134-2)))</f>
        <v>0</v>
      </c>
      <c r="AD136" s="159">
        <f ca="1">IF($R134=2,
         IF(AND(ACOMPANHAMENTO="PLE",ISNUMBER($F134)),
                SUMIF((OFFSET(CÁLCULO!$AM$15:$AW$15,$F134,0,OFFSET(ORÇAMENTO!$D$15,CRONO!$F134,0))),CRONO!AD$12,OFFSET(CÁLCULO!$AB$15:$AL$15,$F134,0,OFFSET(ORÇAMENTO!$D$15,CRONO!$F134,0)))
                +IF(AND($F136&lt;&gt;"",$F136&lt;&gt;0),
                        SUMIF(CÁLCULO!$AM$15:$AW$36,CRONO!AD$12,CÁLCULO!$AB$15:$AL$36)/(ORÇAMENTO!$X$15-CÁLCULO.TotalAdmLocal)*CRONO!$F136,
                        0),
                 AD135*$S134),
          SUMIF(OFFSET($S136,1,0,$R134-2),($M134+1)&amp;"$",OFFSET(AD136,1,0,$R134-2)))</f>
        <v>0</v>
      </c>
      <c r="AE136" s="159">
        <f ca="1">IF($R134=2,
         IF(AND(ACOMPANHAMENTO="PLE",ISNUMBER($F134)),
                SUMIF((OFFSET(CÁLCULO!$AM$15:$AW$15,$F134,0,OFFSET(ORÇAMENTO!$D$15,CRONO!$F134,0))),CRONO!AE$12,OFFSET(CÁLCULO!$AB$15:$AL$15,$F134,0,OFFSET(ORÇAMENTO!$D$15,CRONO!$F134,0)))
                +IF(AND($F136&lt;&gt;"",$F136&lt;&gt;0),
                        SUMIF(CÁLCULO!$AM$15:$AW$36,CRONO!AE$12,CÁLCULO!$AB$15:$AL$36)/(ORÇAMENTO!$X$15-CÁLCULO.TotalAdmLocal)*CRONO!$F136,
                        0),
                 AE135*$S134),
          SUMIF(OFFSET($S136,1,0,$R134-2),($M134+1)&amp;"$",OFFSET(AE136,1,0,$R134-2)))</f>
        <v>0</v>
      </c>
      <c r="AF136" s="159">
        <f ca="1">IF($R134=2,
         IF(AND(ACOMPANHAMENTO="PLE",ISNUMBER($F134)),
                SUMIF((OFFSET(CÁLCULO!$AM$15:$AW$15,$F134,0,OFFSET(ORÇAMENTO!$D$15,CRONO!$F134,0))),CRONO!AF$12,OFFSET(CÁLCULO!$AB$15:$AL$15,$F134,0,OFFSET(ORÇAMENTO!$D$15,CRONO!$F134,0)))
                +IF(AND($F136&lt;&gt;"",$F136&lt;&gt;0),
                        SUMIF(CÁLCULO!$AM$15:$AW$36,CRONO!AF$12,CÁLCULO!$AB$15:$AL$36)/(ORÇAMENTO!$X$15-CÁLCULO.TotalAdmLocal)*CRONO!$F136,
                        0),
                 AF135*$S134),
          SUMIF(OFFSET($S136,1,0,$R134-2),($M134+1)&amp;"$",OFFSET(AF136,1,0,$R134-2)))</f>
        <v>0</v>
      </c>
      <c r="AG136" s="444"/>
    </row>
    <row r="137" spans="1:33" hidden="1" x14ac:dyDescent="0.25">
      <c r="A137" s="145" t="str">
        <f t="shared" ref="A137" ca="1" si="248">IF($M137&gt;1,CONCATENATE($I137," ",$J137),"")</f>
        <v/>
      </c>
      <c r="B137" s="144">
        <f t="shared" ref="B137" ca="1" si="249">OFFSET(B137,-3,0)+1</f>
        <v>42</v>
      </c>
      <c r="C137" s="144">
        <f ca="1">IF($R137&lt;&gt;2,0,IF($S137=0,1,IF(F138&gt;0,OFFSET(QCI!$M$13,SUBSTITUTE(F138,".",""),0),OFFSET(ORÇAMENTO!$AA$15,CRONO!$F137,0))/$S137))</f>
        <v>0</v>
      </c>
      <c r="D137" s="144">
        <f ca="1">IF($R137&lt;&gt;2,0,IF($S137=0,1,IF(F138&gt;0,OFFSET(QCI!$N$13,SUBSTITUTE(F138,".",""),0),OFFSET(ORÇAMENTO!$AB$15,CRONO!$F137,0))/$S137))</f>
        <v>0</v>
      </c>
      <c r="E137" s="147" t="e">
        <f ca="1">IF(AND($R137=2,ACOMPANHAMENTO="BM"),ROUND(E138,4),E139/$S137)</f>
        <v>#VALUE!</v>
      </c>
      <c r="F137" s="144" t="e">
        <f ca="1">IF(B137&lt;=ORÇAMENTO.MáximoListaCrono,MATCH(B137,ORÇAMENTO.ListaCrono,0),NA())</f>
        <v>#N/A</v>
      </c>
      <c r="G137" s="144" t="str">
        <f t="shared" ref="G137" ca="1" si="250">IF(AND($F138&lt;&gt;-1,$S137&gt;0),"F","")</f>
        <v/>
      </c>
      <c r="H137" s="617" t="str">
        <f ca="1">IF(OR(S137=0,S137=""),"Linha",IF(AND(OR(ACOMPANHAMENTO="PLE",$R137&lt;&gt;2),$F138=0),"Linha",ROUND(1-SUM(U137:AG137),4)))</f>
        <v>Linha</v>
      </c>
      <c r="I137" s="148" t="str">
        <f ca="1">IF($F138=0,OFFSET(ORÇAMENTO!O$15,$F137,0),IF($F138&lt;&gt;-1,OFFSET(QCI!$D$13,$F138,0),""))</f>
        <v/>
      </c>
      <c r="J137" s="149" t="str">
        <f ca="1">IF($F138=0,OFFSET(ORÇAMENTO!R$15,$F137,0),IF($F138&lt;&gt;-1,OFFSET(QCI!$G$13,$F138,0),""))</f>
        <v/>
      </c>
      <c r="K137" s="149"/>
      <c r="L137" s="149"/>
      <c r="M137" s="150">
        <f ca="1">IF($F138=0,OFFSET(ORÇAMENTO!C$15,$F137,0),1)</f>
        <v>1</v>
      </c>
      <c r="N137" s="151">
        <f ca="1">IF($F138=-1,0,IF(N$13&lt;=$M137,IF(ISERROR(MATCH(N$13,OFFSET($M137,1,0,ROW($M$164)-ROW($M137)-1),0)),ROW($M$164)-ROW($M137)-1,MATCH(N$13,OFFSET($M137,1,0,ROW($M$164)-ROW($M137)-1),0)-1),0))</f>
        <v>0</v>
      </c>
      <c r="O137" s="151">
        <f ca="1">IF($F138=-1,0,IF(O$13&lt;=$M137,IF(ISERROR(MATCH(O$13,OFFSET($M137,1,0,ROW($M$164)-ROW($M137)-1),0)),ROW($M$164)-ROW($M137)-1,MATCH(O$13,OFFSET($M137,1,0,ROW($M$164)-ROW($M137)-1),0)-1),0))</f>
        <v>0</v>
      </c>
      <c r="P137" s="151">
        <f ca="1">IF($F138=-1,0,IF(P$13&lt;=$M137,IF(ISERROR(MATCH(P$13,OFFSET($M137,1,0,ROW($M$164)-ROW($M137)-1),0)),ROW($M$164)-ROW($M137)-1,MATCH(P$13,OFFSET($M137,1,0,ROW($M$164)-ROW($M137)-1),0)-1),0))</f>
        <v>0</v>
      </c>
      <c r="Q137" s="151">
        <f ca="1">IF($F138=-1,0,IF(Q$13&lt;=$M137,IF(ISERROR(MATCH(Q$13,OFFSET($M137,1,0,ROW($M$164)-ROW($M137)-1),0)),ROW($M$164)-ROW($M137)-1,MATCH(Q$13,OFFSET($M137,1,0,ROW($M$164)-ROW($M137)-1),0)-1),0))</f>
        <v>0</v>
      </c>
      <c r="R137" s="151">
        <f t="shared" ref="R137" ca="1" si="251">MIN(OFFSET(M137,0,1,,M137))</f>
        <v>0</v>
      </c>
      <c r="S137" s="152" t="str">
        <f ca="1">IF($F138=0,OFFSET(ORÇAMENTO!X$15,$F137,0),IF($F138&lt;&gt;-1,OFFSET(QCI!$O$13,$F138,0),""))</f>
        <v/>
      </c>
      <c r="T137" s="618" t="s">
        <v>809</v>
      </c>
      <c r="U137" s="147" t="e">
        <f ca="1">IF(AND($R137=2,ACOMPANHAMENTO="BM"),ROUND(U138,4),U139/$S137)</f>
        <v>#VALUE!</v>
      </c>
      <c r="V137" s="147" t="e">
        <f ca="1">IF(AND($R137=2,ACOMPANHAMENTO="BM"),ROUND(V138,4),V139/$S137)</f>
        <v>#VALUE!</v>
      </c>
      <c r="W137" s="147" t="e">
        <f ca="1">IF(AND($R137=2,ACOMPANHAMENTO="BM"),ROUND(W138,4),W139/$S137)</f>
        <v>#VALUE!</v>
      </c>
      <c r="X137" s="147" t="e">
        <f ca="1">IF(AND($R137=2,ACOMPANHAMENTO="BM"),ROUND(X138,4),X139/$S137)</f>
        <v>#VALUE!</v>
      </c>
      <c r="Y137" s="147" t="e">
        <f ca="1">IF(AND($R137=2,ACOMPANHAMENTO="BM"),ROUND(Y138,4),Y139/$S137)</f>
        <v>#VALUE!</v>
      </c>
      <c r="Z137" s="147" t="e">
        <f ca="1">IF(AND($R137=2,ACOMPANHAMENTO="BM"),ROUND(Z138,4),Z139/$S137)</f>
        <v>#VALUE!</v>
      </c>
      <c r="AA137" s="147" t="e">
        <f ca="1">IF(AND($R137=2,ACOMPANHAMENTO="BM"),ROUND(AA138,4),AA139/$S137)</f>
        <v>#VALUE!</v>
      </c>
      <c r="AB137" s="147" t="e">
        <f ca="1">IF(AND($R137=2,ACOMPANHAMENTO="BM"),ROUND(AB138,4),AB139/$S137)</f>
        <v>#VALUE!</v>
      </c>
      <c r="AC137" s="147" t="e">
        <f ca="1">IF(AND($R137=2,ACOMPANHAMENTO="BM"),ROUND(AC138,4),AC139/$S137)</f>
        <v>#VALUE!</v>
      </c>
      <c r="AD137" s="147" t="e">
        <f ca="1">IF(AND($R137=2,ACOMPANHAMENTO="BM"),ROUND(AD138,4),AD139/$S137)</f>
        <v>#VALUE!</v>
      </c>
      <c r="AE137" s="147" t="e">
        <f ca="1">IF(AND($R137=2,ACOMPANHAMENTO="BM"),ROUND(AE138,4),AE139/$S137)</f>
        <v>#VALUE!</v>
      </c>
      <c r="AF137" s="147" t="e">
        <f ca="1">IF(AND($R137=2,ACOMPANHAMENTO="BM"),ROUND(AF138,4),AF139/$S137)</f>
        <v>#VALUE!</v>
      </c>
      <c r="AG137" s="444"/>
    </row>
    <row r="138" spans="1:33" ht="12.75" hidden="1" customHeight="1" x14ac:dyDescent="0.25">
      <c r="E138" s="501"/>
      <c r="F138" s="144">
        <f ca="1">IF(ISERROR(F137),IF(1+COUNTIF($M$13:OFFSET(M137,-1,0),1)&lt;=MAX(QCI!$D$13:$D$24),1+COUNTIF($M$13:OFFSET(M137,-1,0),1),-1),0)</f>
        <v>-1</v>
      </c>
      <c r="G138" s="144" t="str">
        <f ca="1">IF(ACOMPANHAMENTO="BM",OFFSET(G138,-1,0),"")</f>
        <v/>
      </c>
      <c r="H138" s="153" t="str">
        <f ca="1">IF(OR(S137=0,S137=""),"vazia",IF(AND(OR(ACOMPANHAMENTO="PLE",$R137&lt;&gt;2),$F138=0),"calculada","--&gt;"))</f>
        <v>vazia</v>
      </c>
      <c r="I138" s="154"/>
      <c r="J138" s="155" t="str">
        <f t="shared" ref="J138" ca="1" si="252">IF(AND(H137&lt;&gt;0,ISNUMBER(H137)),"PREENCHA ESTA LINHA --&gt;","")</f>
        <v/>
      </c>
      <c r="K138" s="155"/>
      <c r="L138" s="155"/>
      <c r="M138" s="156"/>
      <c r="N138" s="156"/>
      <c r="O138" s="156"/>
      <c r="P138" s="156"/>
      <c r="Q138" s="156"/>
      <c r="R138" s="156"/>
      <c r="S138" s="157"/>
      <c r="T138" s="158"/>
      <c r="U138" s="501"/>
      <c r="V138" s="501"/>
      <c r="W138" s="501"/>
      <c r="X138" s="501"/>
      <c r="Y138" s="501"/>
      <c r="Z138" s="501"/>
      <c r="AA138" s="501"/>
      <c r="AB138" s="501"/>
      <c r="AC138" s="501"/>
      <c r="AD138" s="501"/>
      <c r="AE138" s="501"/>
      <c r="AF138" s="501"/>
      <c r="AG138" s="444"/>
    </row>
    <row r="139" spans="1:33" ht="12.75" hidden="1" customHeight="1" x14ac:dyDescent="0.25">
      <c r="D139" s="443"/>
      <c r="E139" s="159">
        <f ca="1">IF($R137=2,
         IF(AND(ACOMPANHAMENTO="PLE",ISNUMBER($F137)),
                SUMIF((OFFSET(CÁLCULO!$AM$15:$AW$15,$F137,0,OFFSET(ORÇAMENTO!$D$15,CRONO!$F137,0))),CRONO!E$12,OFFSET(CÁLCULO!$AB$15:$AL$15,$F137,0,OFFSET(ORÇAMENTO!$D$15,CRONO!$F137,0)))
                +IF(AND($F139&lt;&gt;"",$F139&lt;&gt;0),
                        SUMIF(CÁLCULO!$AM$15:$AW$36,CRONO!E$12,CÁLCULO!$AB$15:$AL$36)/(ORÇAMENTO!$X$15-CÁLCULO.TotalAdmLocal)*CRONO!$F139,
                        0),
                 E138*$S137),
          SUMIF(OFFSET($S139,1,0,$R137-2),($M137+1)&amp;"$",OFFSET(E139,1,0,$R137-2)))</f>
        <v>0</v>
      </c>
      <c r="F139" s="144" t="str">
        <f ca="1">IF(OR($R137&lt;&gt;2,AUTOEVENTO&lt;&gt;"manual",$F138&gt;0),"",
        IF(Import.TipoArredondamento="Tradicional",
              SUMIF(OFFSET(CÁLCULO!$M$15,CRONO!$F137,0,OFFSET(ORÇAMENTO!$D$15,CRONO!$F137,0)),1,OFFSET(ORÇAMENTO!$X$15,CRONO!$F137,0,OFFSET(ORÇAMENTO!$D$15,CRONO!$F137,0))),
              0))</f>
        <v/>
      </c>
      <c r="H139" s="530"/>
      <c r="S139" s="160" t="str">
        <f t="shared" ref="S139" ca="1" si="253">M137&amp;"$"</f>
        <v>1$</v>
      </c>
      <c r="T139" s="161"/>
      <c r="U139" s="159">
        <f ca="1">IF($R137=2,
         IF(AND(ACOMPANHAMENTO="PLE",ISNUMBER($F137)),
                SUMIF((OFFSET(CÁLCULO!$AM$15:$AW$15,$F137,0,OFFSET(ORÇAMENTO!$D$15,CRONO!$F137,0))),CRONO!U$12,OFFSET(CÁLCULO!$AB$15:$AL$15,$F137,0,OFFSET(ORÇAMENTO!$D$15,CRONO!$F137,0)))
                +IF(AND($F139&lt;&gt;"",$F139&lt;&gt;0),
                        SUMIF(CÁLCULO!$AM$15:$AW$36,CRONO!U$12,CÁLCULO!$AB$15:$AL$36)/(ORÇAMENTO!$X$15-CÁLCULO.TotalAdmLocal)*CRONO!$F139,
                        0),
                 U138*$S137),
          SUMIF(OFFSET($S139,1,0,$R137-2),($M137+1)&amp;"$",OFFSET(U139,1,0,$R137-2)))</f>
        <v>0</v>
      </c>
      <c r="V139" s="159">
        <f ca="1">IF($R137=2,
         IF(AND(ACOMPANHAMENTO="PLE",ISNUMBER($F137)),
                SUMIF((OFFSET(CÁLCULO!$AM$15:$AW$15,$F137,0,OFFSET(ORÇAMENTO!$D$15,CRONO!$F137,0))),CRONO!V$12,OFFSET(CÁLCULO!$AB$15:$AL$15,$F137,0,OFFSET(ORÇAMENTO!$D$15,CRONO!$F137,0)))
                +IF(AND($F139&lt;&gt;"",$F139&lt;&gt;0),
                        SUMIF(CÁLCULO!$AM$15:$AW$36,CRONO!V$12,CÁLCULO!$AB$15:$AL$36)/(ORÇAMENTO!$X$15-CÁLCULO.TotalAdmLocal)*CRONO!$F139,
                        0),
                 V138*$S137),
          SUMIF(OFFSET($S139,1,0,$R137-2),($M137+1)&amp;"$",OFFSET(V139,1,0,$R137-2)))</f>
        <v>0</v>
      </c>
      <c r="W139" s="159">
        <f ca="1">IF($R137=2,
         IF(AND(ACOMPANHAMENTO="PLE",ISNUMBER($F137)),
                SUMIF((OFFSET(CÁLCULO!$AM$15:$AW$15,$F137,0,OFFSET(ORÇAMENTO!$D$15,CRONO!$F137,0))),CRONO!W$12,OFFSET(CÁLCULO!$AB$15:$AL$15,$F137,0,OFFSET(ORÇAMENTO!$D$15,CRONO!$F137,0)))
                +IF(AND($F139&lt;&gt;"",$F139&lt;&gt;0),
                        SUMIF(CÁLCULO!$AM$15:$AW$36,CRONO!W$12,CÁLCULO!$AB$15:$AL$36)/(ORÇAMENTO!$X$15-CÁLCULO.TotalAdmLocal)*CRONO!$F139,
                        0),
                 W138*$S137),
          SUMIF(OFFSET($S139,1,0,$R137-2),($M137+1)&amp;"$",OFFSET(W139,1,0,$R137-2)))</f>
        <v>0</v>
      </c>
      <c r="X139" s="159">
        <f ca="1">IF($R137=2,
         IF(AND(ACOMPANHAMENTO="PLE",ISNUMBER($F137)),
                SUMIF((OFFSET(CÁLCULO!$AM$15:$AW$15,$F137,0,OFFSET(ORÇAMENTO!$D$15,CRONO!$F137,0))),CRONO!X$12,OFFSET(CÁLCULO!$AB$15:$AL$15,$F137,0,OFFSET(ORÇAMENTO!$D$15,CRONO!$F137,0)))
                +IF(AND($F139&lt;&gt;"",$F139&lt;&gt;0),
                        SUMIF(CÁLCULO!$AM$15:$AW$36,CRONO!X$12,CÁLCULO!$AB$15:$AL$36)/(ORÇAMENTO!$X$15-CÁLCULO.TotalAdmLocal)*CRONO!$F139,
                        0),
                 X138*$S137),
          SUMIF(OFFSET($S139,1,0,$R137-2),($M137+1)&amp;"$",OFFSET(X139,1,0,$R137-2)))</f>
        <v>0</v>
      </c>
      <c r="Y139" s="159">
        <f ca="1">IF($R137=2,
         IF(AND(ACOMPANHAMENTO="PLE",ISNUMBER($F137)),
                SUMIF((OFFSET(CÁLCULO!$AM$15:$AW$15,$F137,0,OFFSET(ORÇAMENTO!$D$15,CRONO!$F137,0))),CRONO!Y$12,OFFSET(CÁLCULO!$AB$15:$AL$15,$F137,0,OFFSET(ORÇAMENTO!$D$15,CRONO!$F137,0)))
                +IF(AND($F139&lt;&gt;"",$F139&lt;&gt;0),
                        SUMIF(CÁLCULO!$AM$15:$AW$36,CRONO!Y$12,CÁLCULO!$AB$15:$AL$36)/(ORÇAMENTO!$X$15-CÁLCULO.TotalAdmLocal)*CRONO!$F139,
                        0),
                 Y138*$S137),
          SUMIF(OFFSET($S139,1,0,$R137-2),($M137+1)&amp;"$",OFFSET(Y139,1,0,$R137-2)))</f>
        <v>0</v>
      </c>
      <c r="Z139" s="159">
        <f ca="1">IF($R137=2,
         IF(AND(ACOMPANHAMENTO="PLE",ISNUMBER($F137)),
                SUMIF((OFFSET(CÁLCULO!$AM$15:$AW$15,$F137,0,OFFSET(ORÇAMENTO!$D$15,CRONO!$F137,0))),CRONO!Z$12,OFFSET(CÁLCULO!$AB$15:$AL$15,$F137,0,OFFSET(ORÇAMENTO!$D$15,CRONO!$F137,0)))
                +IF(AND($F139&lt;&gt;"",$F139&lt;&gt;0),
                        SUMIF(CÁLCULO!$AM$15:$AW$36,CRONO!Z$12,CÁLCULO!$AB$15:$AL$36)/(ORÇAMENTO!$X$15-CÁLCULO.TotalAdmLocal)*CRONO!$F139,
                        0),
                 Z138*$S137),
          SUMIF(OFFSET($S139,1,0,$R137-2),($M137+1)&amp;"$",OFFSET(Z139,1,0,$R137-2)))</f>
        <v>0</v>
      </c>
      <c r="AA139" s="159">
        <f ca="1">IF($R137=2,
         IF(AND(ACOMPANHAMENTO="PLE",ISNUMBER($F137)),
                SUMIF((OFFSET(CÁLCULO!$AM$15:$AW$15,$F137,0,OFFSET(ORÇAMENTO!$D$15,CRONO!$F137,0))),CRONO!AA$12,OFFSET(CÁLCULO!$AB$15:$AL$15,$F137,0,OFFSET(ORÇAMENTO!$D$15,CRONO!$F137,0)))
                +IF(AND($F139&lt;&gt;"",$F139&lt;&gt;0),
                        SUMIF(CÁLCULO!$AM$15:$AW$36,CRONO!AA$12,CÁLCULO!$AB$15:$AL$36)/(ORÇAMENTO!$X$15-CÁLCULO.TotalAdmLocal)*CRONO!$F139,
                        0),
                 AA138*$S137),
          SUMIF(OFFSET($S139,1,0,$R137-2),($M137+1)&amp;"$",OFFSET(AA139,1,0,$R137-2)))</f>
        <v>0</v>
      </c>
      <c r="AB139" s="159">
        <f ca="1">IF($R137=2,
         IF(AND(ACOMPANHAMENTO="PLE",ISNUMBER($F137)),
                SUMIF((OFFSET(CÁLCULO!$AM$15:$AW$15,$F137,0,OFFSET(ORÇAMENTO!$D$15,CRONO!$F137,0))),CRONO!AB$12,OFFSET(CÁLCULO!$AB$15:$AL$15,$F137,0,OFFSET(ORÇAMENTO!$D$15,CRONO!$F137,0)))
                +IF(AND($F139&lt;&gt;"",$F139&lt;&gt;0),
                        SUMIF(CÁLCULO!$AM$15:$AW$36,CRONO!AB$12,CÁLCULO!$AB$15:$AL$36)/(ORÇAMENTO!$X$15-CÁLCULO.TotalAdmLocal)*CRONO!$F139,
                        0),
                 AB138*$S137),
          SUMIF(OFFSET($S139,1,0,$R137-2),($M137+1)&amp;"$",OFFSET(AB139,1,0,$R137-2)))</f>
        <v>0</v>
      </c>
      <c r="AC139" s="159">
        <f ca="1">IF($R137=2,
         IF(AND(ACOMPANHAMENTO="PLE",ISNUMBER($F137)),
                SUMIF((OFFSET(CÁLCULO!$AM$15:$AW$15,$F137,0,OFFSET(ORÇAMENTO!$D$15,CRONO!$F137,0))),CRONO!AC$12,OFFSET(CÁLCULO!$AB$15:$AL$15,$F137,0,OFFSET(ORÇAMENTO!$D$15,CRONO!$F137,0)))
                +IF(AND($F139&lt;&gt;"",$F139&lt;&gt;0),
                        SUMIF(CÁLCULO!$AM$15:$AW$36,CRONO!AC$12,CÁLCULO!$AB$15:$AL$36)/(ORÇAMENTO!$X$15-CÁLCULO.TotalAdmLocal)*CRONO!$F139,
                        0),
                 AC138*$S137),
          SUMIF(OFFSET($S139,1,0,$R137-2),($M137+1)&amp;"$",OFFSET(AC139,1,0,$R137-2)))</f>
        <v>0</v>
      </c>
      <c r="AD139" s="159">
        <f ca="1">IF($R137=2,
         IF(AND(ACOMPANHAMENTO="PLE",ISNUMBER($F137)),
                SUMIF((OFFSET(CÁLCULO!$AM$15:$AW$15,$F137,0,OFFSET(ORÇAMENTO!$D$15,CRONO!$F137,0))),CRONO!AD$12,OFFSET(CÁLCULO!$AB$15:$AL$15,$F137,0,OFFSET(ORÇAMENTO!$D$15,CRONO!$F137,0)))
                +IF(AND($F139&lt;&gt;"",$F139&lt;&gt;0),
                        SUMIF(CÁLCULO!$AM$15:$AW$36,CRONO!AD$12,CÁLCULO!$AB$15:$AL$36)/(ORÇAMENTO!$X$15-CÁLCULO.TotalAdmLocal)*CRONO!$F139,
                        0),
                 AD138*$S137),
          SUMIF(OFFSET($S139,1,0,$R137-2),($M137+1)&amp;"$",OFFSET(AD139,1,0,$R137-2)))</f>
        <v>0</v>
      </c>
      <c r="AE139" s="159">
        <f ca="1">IF($R137=2,
         IF(AND(ACOMPANHAMENTO="PLE",ISNUMBER($F137)),
                SUMIF((OFFSET(CÁLCULO!$AM$15:$AW$15,$F137,0,OFFSET(ORÇAMENTO!$D$15,CRONO!$F137,0))),CRONO!AE$12,OFFSET(CÁLCULO!$AB$15:$AL$15,$F137,0,OFFSET(ORÇAMENTO!$D$15,CRONO!$F137,0)))
                +IF(AND($F139&lt;&gt;"",$F139&lt;&gt;0),
                        SUMIF(CÁLCULO!$AM$15:$AW$36,CRONO!AE$12,CÁLCULO!$AB$15:$AL$36)/(ORÇAMENTO!$X$15-CÁLCULO.TotalAdmLocal)*CRONO!$F139,
                        0),
                 AE138*$S137),
          SUMIF(OFFSET($S139,1,0,$R137-2),($M137+1)&amp;"$",OFFSET(AE139,1,0,$R137-2)))</f>
        <v>0</v>
      </c>
      <c r="AF139" s="159">
        <f ca="1">IF($R137=2,
         IF(AND(ACOMPANHAMENTO="PLE",ISNUMBER($F137)),
                SUMIF((OFFSET(CÁLCULO!$AM$15:$AW$15,$F137,0,OFFSET(ORÇAMENTO!$D$15,CRONO!$F137,0))),CRONO!AF$12,OFFSET(CÁLCULO!$AB$15:$AL$15,$F137,0,OFFSET(ORÇAMENTO!$D$15,CRONO!$F137,0)))
                +IF(AND($F139&lt;&gt;"",$F139&lt;&gt;0),
                        SUMIF(CÁLCULO!$AM$15:$AW$36,CRONO!AF$12,CÁLCULO!$AB$15:$AL$36)/(ORÇAMENTO!$X$15-CÁLCULO.TotalAdmLocal)*CRONO!$F139,
                        0),
                 AF138*$S137),
          SUMIF(OFFSET($S139,1,0,$R137-2),($M137+1)&amp;"$",OFFSET(AF139,1,0,$R137-2)))</f>
        <v>0</v>
      </c>
      <c r="AG139" s="444"/>
    </row>
    <row r="140" spans="1:33" hidden="1" x14ac:dyDescent="0.25">
      <c r="A140" s="145" t="str">
        <f t="shared" ref="A140" ca="1" si="254">IF($M140&gt;1,CONCATENATE($I140," ",$J140),"")</f>
        <v/>
      </c>
      <c r="B140" s="144">
        <f t="shared" ref="B140" ca="1" si="255">OFFSET(B140,-3,0)+1</f>
        <v>43</v>
      </c>
      <c r="C140" s="144">
        <f ca="1">IF($R140&lt;&gt;2,0,IF($S140=0,1,IF(F141&gt;0,OFFSET(QCI!$M$13,SUBSTITUTE(F141,".",""),0),OFFSET(ORÇAMENTO!$AA$15,CRONO!$F140,0))/$S140))</f>
        <v>0</v>
      </c>
      <c r="D140" s="144">
        <f ca="1">IF($R140&lt;&gt;2,0,IF($S140=0,1,IF(F141&gt;0,OFFSET(QCI!$N$13,SUBSTITUTE(F141,".",""),0),OFFSET(ORÇAMENTO!$AB$15,CRONO!$F140,0))/$S140))</f>
        <v>0</v>
      </c>
      <c r="E140" s="147" t="e">
        <f ca="1">IF(AND($R140=2,ACOMPANHAMENTO="BM"),ROUND(E141,4),E142/$S140)</f>
        <v>#VALUE!</v>
      </c>
      <c r="F140" s="144" t="e">
        <f ca="1">IF(B140&lt;=ORÇAMENTO.MáximoListaCrono,MATCH(B140,ORÇAMENTO.ListaCrono,0),NA())</f>
        <v>#N/A</v>
      </c>
      <c r="G140" s="144" t="str">
        <f t="shared" ref="G140" ca="1" si="256">IF(AND($F141&lt;&gt;-1,$S140&gt;0),"F","")</f>
        <v/>
      </c>
      <c r="H140" s="617" t="str">
        <f ca="1">IF(OR(S140=0,S140=""),"Linha",IF(AND(OR(ACOMPANHAMENTO="PLE",$R140&lt;&gt;2),$F141=0),"Linha",ROUND(1-SUM(U140:AG140),4)))</f>
        <v>Linha</v>
      </c>
      <c r="I140" s="148" t="str">
        <f ca="1">IF($F141=0,OFFSET(ORÇAMENTO!O$15,$F140,0),IF($F141&lt;&gt;-1,OFFSET(QCI!$D$13,$F141,0),""))</f>
        <v/>
      </c>
      <c r="J140" s="149" t="str">
        <f ca="1">IF($F141=0,OFFSET(ORÇAMENTO!R$15,$F140,0),IF($F141&lt;&gt;-1,OFFSET(QCI!$G$13,$F141,0),""))</f>
        <v/>
      </c>
      <c r="K140" s="149"/>
      <c r="L140" s="149"/>
      <c r="M140" s="150">
        <f ca="1">IF($F141=0,OFFSET(ORÇAMENTO!C$15,$F140,0),1)</f>
        <v>1</v>
      </c>
      <c r="N140" s="151">
        <f ca="1">IF($F141=-1,0,IF(N$13&lt;=$M140,IF(ISERROR(MATCH(N$13,OFFSET($M140,1,0,ROW($M$164)-ROW($M140)-1),0)),ROW($M$164)-ROW($M140)-1,MATCH(N$13,OFFSET($M140,1,0,ROW($M$164)-ROW($M140)-1),0)-1),0))</f>
        <v>0</v>
      </c>
      <c r="O140" s="151">
        <f ca="1">IF($F141=-1,0,IF(O$13&lt;=$M140,IF(ISERROR(MATCH(O$13,OFFSET($M140,1,0,ROW($M$164)-ROW($M140)-1),0)),ROW($M$164)-ROW($M140)-1,MATCH(O$13,OFFSET($M140,1,0,ROW($M$164)-ROW($M140)-1),0)-1),0))</f>
        <v>0</v>
      </c>
      <c r="P140" s="151">
        <f ca="1">IF($F141=-1,0,IF(P$13&lt;=$M140,IF(ISERROR(MATCH(P$13,OFFSET($M140,1,0,ROW($M$164)-ROW($M140)-1),0)),ROW($M$164)-ROW($M140)-1,MATCH(P$13,OFFSET($M140,1,0,ROW($M$164)-ROW($M140)-1),0)-1),0))</f>
        <v>0</v>
      </c>
      <c r="Q140" s="151">
        <f ca="1">IF($F141=-1,0,IF(Q$13&lt;=$M140,IF(ISERROR(MATCH(Q$13,OFFSET($M140,1,0,ROW($M$164)-ROW($M140)-1),0)),ROW($M$164)-ROW($M140)-1,MATCH(Q$13,OFFSET($M140,1,0,ROW($M$164)-ROW($M140)-1),0)-1),0))</f>
        <v>0</v>
      </c>
      <c r="R140" s="151">
        <f t="shared" ref="R140" ca="1" si="257">MIN(OFFSET(M140,0,1,,M140))</f>
        <v>0</v>
      </c>
      <c r="S140" s="152" t="str">
        <f ca="1">IF($F141=0,OFFSET(ORÇAMENTO!X$15,$F140,0),IF($F141&lt;&gt;-1,OFFSET(QCI!$O$13,$F141,0),""))</f>
        <v/>
      </c>
      <c r="T140" s="618" t="s">
        <v>809</v>
      </c>
      <c r="U140" s="147" t="e">
        <f ca="1">IF(AND($R140=2,ACOMPANHAMENTO="BM"),ROUND(U141,4),U142/$S140)</f>
        <v>#VALUE!</v>
      </c>
      <c r="V140" s="147" t="e">
        <f ca="1">IF(AND($R140=2,ACOMPANHAMENTO="BM"),ROUND(V141,4),V142/$S140)</f>
        <v>#VALUE!</v>
      </c>
      <c r="W140" s="147" t="e">
        <f ca="1">IF(AND($R140=2,ACOMPANHAMENTO="BM"),ROUND(W141,4),W142/$S140)</f>
        <v>#VALUE!</v>
      </c>
      <c r="X140" s="147" t="e">
        <f ca="1">IF(AND($R140=2,ACOMPANHAMENTO="BM"),ROUND(X141,4),X142/$S140)</f>
        <v>#VALUE!</v>
      </c>
      <c r="Y140" s="147" t="e">
        <f ca="1">IF(AND($R140=2,ACOMPANHAMENTO="BM"),ROUND(Y141,4),Y142/$S140)</f>
        <v>#VALUE!</v>
      </c>
      <c r="Z140" s="147" t="e">
        <f ca="1">IF(AND($R140=2,ACOMPANHAMENTO="BM"),ROUND(Z141,4),Z142/$S140)</f>
        <v>#VALUE!</v>
      </c>
      <c r="AA140" s="147" t="e">
        <f ca="1">IF(AND($R140=2,ACOMPANHAMENTO="BM"),ROUND(AA141,4),AA142/$S140)</f>
        <v>#VALUE!</v>
      </c>
      <c r="AB140" s="147" t="e">
        <f ca="1">IF(AND($R140=2,ACOMPANHAMENTO="BM"),ROUND(AB141,4),AB142/$S140)</f>
        <v>#VALUE!</v>
      </c>
      <c r="AC140" s="147" t="e">
        <f ca="1">IF(AND($R140=2,ACOMPANHAMENTO="BM"),ROUND(AC141,4),AC142/$S140)</f>
        <v>#VALUE!</v>
      </c>
      <c r="AD140" s="147" t="e">
        <f ca="1">IF(AND($R140=2,ACOMPANHAMENTO="BM"),ROUND(AD141,4),AD142/$S140)</f>
        <v>#VALUE!</v>
      </c>
      <c r="AE140" s="147" t="e">
        <f ca="1">IF(AND($R140=2,ACOMPANHAMENTO="BM"),ROUND(AE141,4),AE142/$S140)</f>
        <v>#VALUE!</v>
      </c>
      <c r="AF140" s="147" t="e">
        <f ca="1">IF(AND($R140=2,ACOMPANHAMENTO="BM"),ROUND(AF141,4),AF142/$S140)</f>
        <v>#VALUE!</v>
      </c>
      <c r="AG140" s="444"/>
    </row>
    <row r="141" spans="1:33" ht="12.75" hidden="1" customHeight="1" x14ac:dyDescent="0.25">
      <c r="E141" s="501"/>
      <c r="F141" s="144">
        <f ca="1">IF(ISERROR(F140),IF(1+COUNTIF($M$13:OFFSET(M140,-1,0),1)&lt;=MAX(QCI!$D$13:$D$24),1+COUNTIF($M$13:OFFSET(M140,-1,0),1),-1),0)</f>
        <v>-1</v>
      </c>
      <c r="G141" s="144" t="str">
        <f ca="1">IF(ACOMPANHAMENTO="BM",OFFSET(G141,-1,0),"")</f>
        <v/>
      </c>
      <c r="H141" s="153" t="str">
        <f ca="1">IF(OR(S140=0,S140=""),"vazia",IF(AND(OR(ACOMPANHAMENTO="PLE",$R140&lt;&gt;2),$F141=0),"calculada","--&gt;"))</f>
        <v>vazia</v>
      </c>
      <c r="I141" s="154"/>
      <c r="J141" s="155" t="str">
        <f t="shared" ref="J141" ca="1" si="258">IF(AND(H140&lt;&gt;0,ISNUMBER(H140)),"PREENCHA ESTA LINHA --&gt;","")</f>
        <v/>
      </c>
      <c r="K141" s="155"/>
      <c r="L141" s="155"/>
      <c r="M141" s="156"/>
      <c r="N141" s="156"/>
      <c r="O141" s="156"/>
      <c r="P141" s="156"/>
      <c r="Q141" s="156"/>
      <c r="R141" s="156"/>
      <c r="S141" s="157"/>
      <c r="T141" s="158"/>
      <c r="U141" s="501"/>
      <c r="V141" s="501"/>
      <c r="W141" s="501"/>
      <c r="X141" s="501"/>
      <c r="Y141" s="501"/>
      <c r="Z141" s="501"/>
      <c r="AA141" s="501"/>
      <c r="AB141" s="501"/>
      <c r="AC141" s="501"/>
      <c r="AD141" s="501"/>
      <c r="AE141" s="501"/>
      <c r="AF141" s="501"/>
      <c r="AG141" s="444"/>
    </row>
    <row r="142" spans="1:33" ht="12.75" hidden="1" customHeight="1" x14ac:dyDescent="0.25">
      <c r="D142" s="443"/>
      <c r="E142" s="159">
        <f ca="1">IF($R140=2,
         IF(AND(ACOMPANHAMENTO="PLE",ISNUMBER($F140)),
                SUMIF((OFFSET(CÁLCULO!$AM$15:$AW$15,$F140,0,OFFSET(ORÇAMENTO!$D$15,CRONO!$F140,0))),CRONO!E$12,OFFSET(CÁLCULO!$AB$15:$AL$15,$F140,0,OFFSET(ORÇAMENTO!$D$15,CRONO!$F140,0)))
                +IF(AND($F142&lt;&gt;"",$F142&lt;&gt;0),
                        SUMIF(CÁLCULO!$AM$15:$AW$36,CRONO!E$12,CÁLCULO!$AB$15:$AL$36)/(ORÇAMENTO!$X$15-CÁLCULO.TotalAdmLocal)*CRONO!$F142,
                        0),
                 E141*$S140),
          SUMIF(OFFSET($S142,1,0,$R140-2),($M140+1)&amp;"$",OFFSET(E142,1,0,$R140-2)))</f>
        <v>0</v>
      </c>
      <c r="F142" s="144" t="str">
        <f ca="1">IF(OR($R140&lt;&gt;2,AUTOEVENTO&lt;&gt;"manual",$F141&gt;0),"",
        IF(Import.TipoArredondamento="Tradicional",
              SUMIF(OFFSET(CÁLCULO!$M$15,CRONO!$F140,0,OFFSET(ORÇAMENTO!$D$15,CRONO!$F140,0)),1,OFFSET(ORÇAMENTO!$X$15,CRONO!$F140,0,OFFSET(ORÇAMENTO!$D$15,CRONO!$F140,0))),
              0))</f>
        <v/>
      </c>
      <c r="H142" s="530"/>
      <c r="S142" s="160" t="str">
        <f t="shared" ref="S142" ca="1" si="259">M140&amp;"$"</f>
        <v>1$</v>
      </c>
      <c r="T142" s="161"/>
      <c r="U142" s="159">
        <f ca="1">IF($R140=2,
         IF(AND(ACOMPANHAMENTO="PLE",ISNUMBER($F140)),
                SUMIF((OFFSET(CÁLCULO!$AM$15:$AW$15,$F140,0,OFFSET(ORÇAMENTO!$D$15,CRONO!$F140,0))),CRONO!U$12,OFFSET(CÁLCULO!$AB$15:$AL$15,$F140,0,OFFSET(ORÇAMENTO!$D$15,CRONO!$F140,0)))
                +IF(AND($F142&lt;&gt;"",$F142&lt;&gt;0),
                        SUMIF(CÁLCULO!$AM$15:$AW$36,CRONO!U$12,CÁLCULO!$AB$15:$AL$36)/(ORÇAMENTO!$X$15-CÁLCULO.TotalAdmLocal)*CRONO!$F142,
                        0),
                 U141*$S140),
          SUMIF(OFFSET($S142,1,0,$R140-2),($M140+1)&amp;"$",OFFSET(U142,1,0,$R140-2)))</f>
        <v>0</v>
      </c>
      <c r="V142" s="159">
        <f ca="1">IF($R140=2,
         IF(AND(ACOMPANHAMENTO="PLE",ISNUMBER($F140)),
                SUMIF((OFFSET(CÁLCULO!$AM$15:$AW$15,$F140,0,OFFSET(ORÇAMENTO!$D$15,CRONO!$F140,0))),CRONO!V$12,OFFSET(CÁLCULO!$AB$15:$AL$15,$F140,0,OFFSET(ORÇAMENTO!$D$15,CRONO!$F140,0)))
                +IF(AND($F142&lt;&gt;"",$F142&lt;&gt;0),
                        SUMIF(CÁLCULO!$AM$15:$AW$36,CRONO!V$12,CÁLCULO!$AB$15:$AL$36)/(ORÇAMENTO!$X$15-CÁLCULO.TotalAdmLocal)*CRONO!$F142,
                        0),
                 V141*$S140),
          SUMIF(OFFSET($S142,1,0,$R140-2),($M140+1)&amp;"$",OFFSET(V142,1,0,$R140-2)))</f>
        <v>0</v>
      </c>
      <c r="W142" s="159">
        <f ca="1">IF($R140=2,
         IF(AND(ACOMPANHAMENTO="PLE",ISNUMBER($F140)),
                SUMIF((OFFSET(CÁLCULO!$AM$15:$AW$15,$F140,0,OFFSET(ORÇAMENTO!$D$15,CRONO!$F140,0))),CRONO!W$12,OFFSET(CÁLCULO!$AB$15:$AL$15,$F140,0,OFFSET(ORÇAMENTO!$D$15,CRONO!$F140,0)))
                +IF(AND($F142&lt;&gt;"",$F142&lt;&gt;0),
                        SUMIF(CÁLCULO!$AM$15:$AW$36,CRONO!W$12,CÁLCULO!$AB$15:$AL$36)/(ORÇAMENTO!$X$15-CÁLCULO.TotalAdmLocal)*CRONO!$F142,
                        0),
                 W141*$S140),
          SUMIF(OFFSET($S142,1,0,$R140-2),($M140+1)&amp;"$",OFFSET(W142,1,0,$R140-2)))</f>
        <v>0</v>
      </c>
      <c r="X142" s="159">
        <f ca="1">IF($R140=2,
         IF(AND(ACOMPANHAMENTO="PLE",ISNUMBER($F140)),
                SUMIF((OFFSET(CÁLCULO!$AM$15:$AW$15,$F140,0,OFFSET(ORÇAMENTO!$D$15,CRONO!$F140,0))),CRONO!X$12,OFFSET(CÁLCULO!$AB$15:$AL$15,$F140,0,OFFSET(ORÇAMENTO!$D$15,CRONO!$F140,0)))
                +IF(AND($F142&lt;&gt;"",$F142&lt;&gt;0),
                        SUMIF(CÁLCULO!$AM$15:$AW$36,CRONO!X$12,CÁLCULO!$AB$15:$AL$36)/(ORÇAMENTO!$X$15-CÁLCULO.TotalAdmLocal)*CRONO!$F142,
                        0),
                 X141*$S140),
          SUMIF(OFFSET($S142,1,0,$R140-2),($M140+1)&amp;"$",OFFSET(X142,1,0,$R140-2)))</f>
        <v>0</v>
      </c>
      <c r="Y142" s="159">
        <f ca="1">IF($R140=2,
         IF(AND(ACOMPANHAMENTO="PLE",ISNUMBER($F140)),
                SUMIF((OFFSET(CÁLCULO!$AM$15:$AW$15,$F140,0,OFFSET(ORÇAMENTO!$D$15,CRONO!$F140,0))),CRONO!Y$12,OFFSET(CÁLCULO!$AB$15:$AL$15,$F140,0,OFFSET(ORÇAMENTO!$D$15,CRONO!$F140,0)))
                +IF(AND($F142&lt;&gt;"",$F142&lt;&gt;0),
                        SUMIF(CÁLCULO!$AM$15:$AW$36,CRONO!Y$12,CÁLCULO!$AB$15:$AL$36)/(ORÇAMENTO!$X$15-CÁLCULO.TotalAdmLocal)*CRONO!$F142,
                        0),
                 Y141*$S140),
          SUMIF(OFFSET($S142,1,0,$R140-2),($M140+1)&amp;"$",OFFSET(Y142,1,0,$R140-2)))</f>
        <v>0</v>
      </c>
      <c r="Z142" s="159">
        <f ca="1">IF($R140=2,
         IF(AND(ACOMPANHAMENTO="PLE",ISNUMBER($F140)),
                SUMIF((OFFSET(CÁLCULO!$AM$15:$AW$15,$F140,0,OFFSET(ORÇAMENTO!$D$15,CRONO!$F140,0))),CRONO!Z$12,OFFSET(CÁLCULO!$AB$15:$AL$15,$F140,0,OFFSET(ORÇAMENTO!$D$15,CRONO!$F140,0)))
                +IF(AND($F142&lt;&gt;"",$F142&lt;&gt;0),
                        SUMIF(CÁLCULO!$AM$15:$AW$36,CRONO!Z$12,CÁLCULO!$AB$15:$AL$36)/(ORÇAMENTO!$X$15-CÁLCULO.TotalAdmLocal)*CRONO!$F142,
                        0),
                 Z141*$S140),
          SUMIF(OFFSET($S142,1,0,$R140-2),($M140+1)&amp;"$",OFFSET(Z142,1,0,$R140-2)))</f>
        <v>0</v>
      </c>
      <c r="AA142" s="159">
        <f ca="1">IF($R140=2,
         IF(AND(ACOMPANHAMENTO="PLE",ISNUMBER($F140)),
                SUMIF((OFFSET(CÁLCULO!$AM$15:$AW$15,$F140,0,OFFSET(ORÇAMENTO!$D$15,CRONO!$F140,0))),CRONO!AA$12,OFFSET(CÁLCULO!$AB$15:$AL$15,$F140,0,OFFSET(ORÇAMENTO!$D$15,CRONO!$F140,0)))
                +IF(AND($F142&lt;&gt;"",$F142&lt;&gt;0),
                        SUMIF(CÁLCULO!$AM$15:$AW$36,CRONO!AA$12,CÁLCULO!$AB$15:$AL$36)/(ORÇAMENTO!$X$15-CÁLCULO.TotalAdmLocal)*CRONO!$F142,
                        0),
                 AA141*$S140),
          SUMIF(OFFSET($S142,1,0,$R140-2),($M140+1)&amp;"$",OFFSET(AA142,1,0,$R140-2)))</f>
        <v>0</v>
      </c>
      <c r="AB142" s="159">
        <f ca="1">IF($R140=2,
         IF(AND(ACOMPANHAMENTO="PLE",ISNUMBER($F140)),
                SUMIF((OFFSET(CÁLCULO!$AM$15:$AW$15,$F140,0,OFFSET(ORÇAMENTO!$D$15,CRONO!$F140,0))),CRONO!AB$12,OFFSET(CÁLCULO!$AB$15:$AL$15,$F140,0,OFFSET(ORÇAMENTO!$D$15,CRONO!$F140,0)))
                +IF(AND($F142&lt;&gt;"",$F142&lt;&gt;0),
                        SUMIF(CÁLCULO!$AM$15:$AW$36,CRONO!AB$12,CÁLCULO!$AB$15:$AL$36)/(ORÇAMENTO!$X$15-CÁLCULO.TotalAdmLocal)*CRONO!$F142,
                        0),
                 AB141*$S140),
          SUMIF(OFFSET($S142,1,0,$R140-2),($M140+1)&amp;"$",OFFSET(AB142,1,0,$R140-2)))</f>
        <v>0</v>
      </c>
      <c r="AC142" s="159">
        <f ca="1">IF($R140=2,
         IF(AND(ACOMPANHAMENTO="PLE",ISNUMBER($F140)),
                SUMIF((OFFSET(CÁLCULO!$AM$15:$AW$15,$F140,0,OFFSET(ORÇAMENTO!$D$15,CRONO!$F140,0))),CRONO!AC$12,OFFSET(CÁLCULO!$AB$15:$AL$15,$F140,0,OFFSET(ORÇAMENTO!$D$15,CRONO!$F140,0)))
                +IF(AND($F142&lt;&gt;"",$F142&lt;&gt;0),
                        SUMIF(CÁLCULO!$AM$15:$AW$36,CRONO!AC$12,CÁLCULO!$AB$15:$AL$36)/(ORÇAMENTO!$X$15-CÁLCULO.TotalAdmLocal)*CRONO!$F142,
                        0),
                 AC141*$S140),
          SUMIF(OFFSET($S142,1,0,$R140-2),($M140+1)&amp;"$",OFFSET(AC142,1,0,$R140-2)))</f>
        <v>0</v>
      </c>
      <c r="AD142" s="159">
        <f ca="1">IF($R140=2,
         IF(AND(ACOMPANHAMENTO="PLE",ISNUMBER($F140)),
                SUMIF((OFFSET(CÁLCULO!$AM$15:$AW$15,$F140,0,OFFSET(ORÇAMENTO!$D$15,CRONO!$F140,0))),CRONO!AD$12,OFFSET(CÁLCULO!$AB$15:$AL$15,$F140,0,OFFSET(ORÇAMENTO!$D$15,CRONO!$F140,0)))
                +IF(AND($F142&lt;&gt;"",$F142&lt;&gt;0),
                        SUMIF(CÁLCULO!$AM$15:$AW$36,CRONO!AD$12,CÁLCULO!$AB$15:$AL$36)/(ORÇAMENTO!$X$15-CÁLCULO.TotalAdmLocal)*CRONO!$F142,
                        0),
                 AD141*$S140),
          SUMIF(OFFSET($S142,1,0,$R140-2),($M140+1)&amp;"$",OFFSET(AD142,1,0,$R140-2)))</f>
        <v>0</v>
      </c>
      <c r="AE142" s="159">
        <f ca="1">IF($R140=2,
         IF(AND(ACOMPANHAMENTO="PLE",ISNUMBER($F140)),
                SUMIF((OFFSET(CÁLCULO!$AM$15:$AW$15,$F140,0,OFFSET(ORÇAMENTO!$D$15,CRONO!$F140,0))),CRONO!AE$12,OFFSET(CÁLCULO!$AB$15:$AL$15,$F140,0,OFFSET(ORÇAMENTO!$D$15,CRONO!$F140,0)))
                +IF(AND($F142&lt;&gt;"",$F142&lt;&gt;0),
                        SUMIF(CÁLCULO!$AM$15:$AW$36,CRONO!AE$12,CÁLCULO!$AB$15:$AL$36)/(ORÇAMENTO!$X$15-CÁLCULO.TotalAdmLocal)*CRONO!$F142,
                        0),
                 AE141*$S140),
          SUMIF(OFFSET($S142,1,0,$R140-2),($M140+1)&amp;"$",OFFSET(AE142,1,0,$R140-2)))</f>
        <v>0</v>
      </c>
      <c r="AF142" s="159">
        <f ca="1">IF($R140=2,
         IF(AND(ACOMPANHAMENTO="PLE",ISNUMBER($F140)),
                SUMIF((OFFSET(CÁLCULO!$AM$15:$AW$15,$F140,0,OFFSET(ORÇAMENTO!$D$15,CRONO!$F140,0))),CRONO!AF$12,OFFSET(CÁLCULO!$AB$15:$AL$15,$F140,0,OFFSET(ORÇAMENTO!$D$15,CRONO!$F140,0)))
                +IF(AND($F142&lt;&gt;"",$F142&lt;&gt;0),
                        SUMIF(CÁLCULO!$AM$15:$AW$36,CRONO!AF$12,CÁLCULO!$AB$15:$AL$36)/(ORÇAMENTO!$X$15-CÁLCULO.TotalAdmLocal)*CRONO!$F142,
                        0),
                 AF141*$S140),
          SUMIF(OFFSET($S142,1,0,$R140-2),($M140+1)&amp;"$",OFFSET(AF142,1,0,$R140-2)))</f>
        <v>0</v>
      </c>
      <c r="AG142" s="444"/>
    </row>
    <row r="143" spans="1:33" hidden="1" x14ac:dyDescent="0.25">
      <c r="A143" s="145" t="str">
        <f t="shared" ref="A143" ca="1" si="260">IF($M143&gt;1,CONCATENATE($I143," ",$J143),"")</f>
        <v/>
      </c>
      <c r="B143" s="144">
        <f t="shared" ref="B143" ca="1" si="261">OFFSET(B143,-3,0)+1</f>
        <v>44</v>
      </c>
      <c r="C143" s="144">
        <f ca="1">IF($R143&lt;&gt;2,0,IF($S143=0,1,IF(F144&gt;0,OFFSET(QCI!$M$13,SUBSTITUTE(F144,".",""),0),OFFSET(ORÇAMENTO!$AA$15,CRONO!$F143,0))/$S143))</f>
        <v>0</v>
      </c>
      <c r="D143" s="144">
        <f ca="1">IF($R143&lt;&gt;2,0,IF($S143=0,1,IF(F144&gt;0,OFFSET(QCI!$N$13,SUBSTITUTE(F144,".",""),0),OFFSET(ORÇAMENTO!$AB$15,CRONO!$F143,0))/$S143))</f>
        <v>0</v>
      </c>
      <c r="E143" s="147" t="e">
        <f ca="1">IF(AND($R143=2,ACOMPANHAMENTO="BM"),ROUND(E144,4),E145/$S143)</f>
        <v>#VALUE!</v>
      </c>
      <c r="F143" s="144" t="e">
        <f ca="1">IF(B143&lt;=ORÇAMENTO.MáximoListaCrono,MATCH(B143,ORÇAMENTO.ListaCrono,0),NA())</f>
        <v>#N/A</v>
      </c>
      <c r="G143" s="144" t="str">
        <f t="shared" ref="G143" ca="1" si="262">IF(AND($F144&lt;&gt;-1,$S143&gt;0),"F","")</f>
        <v/>
      </c>
      <c r="H143" s="617" t="str">
        <f ca="1">IF(OR(S143=0,S143=""),"Linha",IF(AND(OR(ACOMPANHAMENTO="PLE",$R143&lt;&gt;2),$F144=0),"Linha",ROUND(1-SUM(U143:AG143),4)))</f>
        <v>Linha</v>
      </c>
      <c r="I143" s="148" t="str">
        <f ca="1">IF($F144=0,OFFSET(ORÇAMENTO!O$15,$F143,0),IF($F144&lt;&gt;-1,OFFSET(QCI!$D$13,$F144,0),""))</f>
        <v/>
      </c>
      <c r="J143" s="149" t="str">
        <f ca="1">IF($F144=0,OFFSET(ORÇAMENTO!R$15,$F143,0),IF($F144&lt;&gt;-1,OFFSET(QCI!$G$13,$F144,0),""))</f>
        <v/>
      </c>
      <c r="K143" s="149"/>
      <c r="L143" s="149"/>
      <c r="M143" s="150">
        <f ca="1">IF($F144=0,OFFSET(ORÇAMENTO!C$15,$F143,0),1)</f>
        <v>1</v>
      </c>
      <c r="N143" s="151">
        <f ca="1">IF($F144=-1,0,IF(N$13&lt;=$M143,IF(ISERROR(MATCH(N$13,OFFSET($M143,1,0,ROW($M$164)-ROW($M143)-1),0)),ROW($M$164)-ROW($M143)-1,MATCH(N$13,OFFSET($M143,1,0,ROW($M$164)-ROW($M143)-1),0)-1),0))</f>
        <v>0</v>
      </c>
      <c r="O143" s="151">
        <f ca="1">IF($F144=-1,0,IF(O$13&lt;=$M143,IF(ISERROR(MATCH(O$13,OFFSET($M143,1,0,ROW($M$164)-ROW($M143)-1),0)),ROW($M$164)-ROW($M143)-1,MATCH(O$13,OFFSET($M143,1,0,ROW($M$164)-ROW($M143)-1),0)-1),0))</f>
        <v>0</v>
      </c>
      <c r="P143" s="151">
        <f ca="1">IF($F144=-1,0,IF(P$13&lt;=$M143,IF(ISERROR(MATCH(P$13,OFFSET($M143,1,0,ROW($M$164)-ROW($M143)-1),0)),ROW($M$164)-ROW($M143)-1,MATCH(P$13,OFFSET($M143,1,0,ROW($M$164)-ROW($M143)-1),0)-1),0))</f>
        <v>0</v>
      </c>
      <c r="Q143" s="151">
        <f ca="1">IF($F144=-1,0,IF(Q$13&lt;=$M143,IF(ISERROR(MATCH(Q$13,OFFSET($M143,1,0,ROW($M$164)-ROW($M143)-1),0)),ROW($M$164)-ROW($M143)-1,MATCH(Q$13,OFFSET($M143,1,0,ROW($M$164)-ROW($M143)-1),0)-1),0))</f>
        <v>0</v>
      </c>
      <c r="R143" s="151">
        <f t="shared" ref="R143" ca="1" si="263">MIN(OFFSET(M143,0,1,,M143))</f>
        <v>0</v>
      </c>
      <c r="S143" s="152" t="str">
        <f ca="1">IF($F144=0,OFFSET(ORÇAMENTO!X$15,$F143,0),IF($F144&lt;&gt;-1,OFFSET(QCI!$O$13,$F144,0),""))</f>
        <v/>
      </c>
      <c r="T143" s="618" t="s">
        <v>809</v>
      </c>
      <c r="U143" s="147" t="e">
        <f ca="1">IF(AND($R143=2,ACOMPANHAMENTO="BM"),ROUND(U144,4),U145/$S143)</f>
        <v>#VALUE!</v>
      </c>
      <c r="V143" s="147" t="e">
        <f ca="1">IF(AND($R143=2,ACOMPANHAMENTO="BM"),ROUND(V144,4),V145/$S143)</f>
        <v>#VALUE!</v>
      </c>
      <c r="W143" s="147" t="e">
        <f ca="1">IF(AND($R143=2,ACOMPANHAMENTO="BM"),ROUND(W144,4),W145/$S143)</f>
        <v>#VALUE!</v>
      </c>
      <c r="X143" s="147" t="e">
        <f ca="1">IF(AND($R143=2,ACOMPANHAMENTO="BM"),ROUND(X144,4),X145/$S143)</f>
        <v>#VALUE!</v>
      </c>
      <c r="Y143" s="147" t="e">
        <f ca="1">IF(AND($R143=2,ACOMPANHAMENTO="BM"),ROUND(Y144,4),Y145/$S143)</f>
        <v>#VALUE!</v>
      </c>
      <c r="Z143" s="147" t="e">
        <f ca="1">IF(AND($R143=2,ACOMPANHAMENTO="BM"),ROUND(Z144,4),Z145/$S143)</f>
        <v>#VALUE!</v>
      </c>
      <c r="AA143" s="147" t="e">
        <f ca="1">IF(AND($R143=2,ACOMPANHAMENTO="BM"),ROUND(AA144,4),AA145/$S143)</f>
        <v>#VALUE!</v>
      </c>
      <c r="AB143" s="147" t="e">
        <f ca="1">IF(AND($R143=2,ACOMPANHAMENTO="BM"),ROUND(AB144,4),AB145/$S143)</f>
        <v>#VALUE!</v>
      </c>
      <c r="AC143" s="147" t="e">
        <f ca="1">IF(AND($R143=2,ACOMPANHAMENTO="BM"),ROUND(AC144,4),AC145/$S143)</f>
        <v>#VALUE!</v>
      </c>
      <c r="AD143" s="147" t="e">
        <f ca="1">IF(AND($R143=2,ACOMPANHAMENTO="BM"),ROUND(AD144,4),AD145/$S143)</f>
        <v>#VALUE!</v>
      </c>
      <c r="AE143" s="147" t="e">
        <f ca="1">IF(AND($R143=2,ACOMPANHAMENTO="BM"),ROUND(AE144,4),AE145/$S143)</f>
        <v>#VALUE!</v>
      </c>
      <c r="AF143" s="147" t="e">
        <f ca="1">IF(AND($R143=2,ACOMPANHAMENTO="BM"),ROUND(AF144,4),AF145/$S143)</f>
        <v>#VALUE!</v>
      </c>
      <c r="AG143" s="444"/>
    </row>
    <row r="144" spans="1:33" ht="12.75" hidden="1" customHeight="1" x14ac:dyDescent="0.25">
      <c r="E144" s="501"/>
      <c r="F144" s="144">
        <f ca="1">IF(ISERROR(F143),IF(1+COUNTIF($M$13:OFFSET(M143,-1,0),1)&lt;=MAX(QCI!$D$13:$D$24),1+COUNTIF($M$13:OFFSET(M143,-1,0),1),-1),0)</f>
        <v>-1</v>
      </c>
      <c r="G144" s="144" t="str">
        <f ca="1">IF(ACOMPANHAMENTO="BM",OFFSET(G144,-1,0),"")</f>
        <v/>
      </c>
      <c r="H144" s="153" t="str">
        <f ca="1">IF(OR(S143=0,S143=""),"vazia",IF(AND(OR(ACOMPANHAMENTO="PLE",$R143&lt;&gt;2),$F144=0),"calculada","--&gt;"))</f>
        <v>vazia</v>
      </c>
      <c r="I144" s="154"/>
      <c r="J144" s="155" t="str">
        <f t="shared" ref="J144" ca="1" si="264">IF(AND(H143&lt;&gt;0,ISNUMBER(H143)),"PREENCHA ESTA LINHA --&gt;","")</f>
        <v/>
      </c>
      <c r="K144" s="155"/>
      <c r="L144" s="155"/>
      <c r="M144" s="156"/>
      <c r="N144" s="156"/>
      <c r="O144" s="156"/>
      <c r="P144" s="156"/>
      <c r="Q144" s="156"/>
      <c r="R144" s="156"/>
      <c r="S144" s="157"/>
      <c r="T144" s="158"/>
      <c r="U144" s="501"/>
      <c r="V144" s="501"/>
      <c r="W144" s="501"/>
      <c r="X144" s="501"/>
      <c r="Y144" s="501"/>
      <c r="Z144" s="501"/>
      <c r="AA144" s="501"/>
      <c r="AB144" s="501"/>
      <c r="AC144" s="501"/>
      <c r="AD144" s="501"/>
      <c r="AE144" s="501"/>
      <c r="AF144" s="501"/>
      <c r="AG144" s="444"/>
    </row>
    <row r="145" spans="1:33" ht="12.75" hidden="1" customHeight="1" x14ac:dyDescent="0.25">
      <c r="D145" s="443"/>
      <c r="E145" s="159">
        <f ca="1">IF($R143=2,
         IF(AND(ACOMPANHAMENTO="PLE",ISNUMBER($F143)),
                SUMIF((OFFSET(CÁLCULO!$AM$15:$AW$15,$F143,0,OFFSET(ORÇAMENTO!$D$15,CRONO!$F143,0))),CRONO!E$12,OFFSET(CÁLCULO!$AB$15:$AL$15,$F143,0,OFFSET(ORÇAMENTO!$D$15,CRONO!$F143,0)))
                +IF(AND($F145&lt;&gt;"",$F145&lt;&gt;0),
                        SUMIF(CÁLCULO!$AM$15:$AW$36,CRONO!E$12,CÁLCULO!$AB$15:$AL$36)/(ORÇAMENTO!$X$15-CÁLCULO.TotalAdmLocal)*CRONO!$F145,
                        0),
                 E144*$S143),
          SUMIF(OFFSET($S145,1,0,$R143-2),($M143+1)&amp;"$",OFFSET(E145,1,0,$R143-2)))</f>
        <v>0</v>
      </c>
      <c r="F145" s="144" t="str">
        <f ca="1">IF(OR($R143&lt;&gt;2,AUTOEVENTO&lt;&gt;"manual",$F144&gt;0),"",
        IF(Import.TipoArredondamento="Tradicional",
              SUMIF(OFFSET(CÁLCULO!$M$15,CRONO!$F143,0,OFFSET(ORÇAMENTO!$D$15,CRONO!$F143,0)),1,OFFSET(ORÇAMENTO!$X$15,CRONO!$F143,0,OFFSET(ORÇAMENTO!$D$15,CRONO!$F143,0))),
              0))</f>
        <v/>
      </c>
      <c r="H145" s="530"/>
      <c r="S145" s="160" t="str">
        <f t="shared" ref="S145" ca="1" si="265">M143&amp;"$"</f>
        <v>1$</v>
      </c>
      <c r="T145" s="161"/>
      <c r="U145" s="159">
        <f ca="1">IF($R143=2,
         IF(AND(ACOMPANHAMENTO="PLE",ISNUMBER($F143)),
                SUMIF((OFFSET(CÁLCULO!$AM$15:$AW$15,$F143,0,OFFSET(ORÇAMENTO!$D$15,CRONO!$F143,0))),CRONO!U$12,OFFSET(CÁLCULO!$AB$15:$AL$15,$F143,0,OFFSET(ORÇAMENTO!$D$15,CRONO!$F143,0)))
                +IF(AND($F145&lt;&gt;"",$F145&lt;&gt;0),
                        SUMIF(CÁLCULO!$AM$15:$AW$36,CRONO!U$12,CÁLCULO!$AB$15:$AL$36)/(ORÇAMENTO!$X$15-CÁLCULO.TotalAdmLocal)*CRONO!$F145,
                        0),
                 U144*$S143),
          SUMIF(OFFSET($S145,1,0,$R143-2),($M143+1)&amp;"$",OFFSET(U145,1,0,$R143-2)))</f>
        <v>0</v>
      </c>
      <c r="V145" s="159">
        <f ca="1">IF($R143=2,
         IF(AND(ACOMPANHAMENTO="PLE",ISNUMBER($F143)),
                SUMIF((OFFSET(CÁLCULO!$AM$15:$AW$15,$F143,0,OFFSET(ORÇAMENTO!$D$15,CRONO!$F143,0))),CRONO!V$12,OFFSET(CÁLCULO!$AB$15:$AL$15,$F143,0,OFFSET(ORÇAMENTO!$D$15,CRONO!$F143,0)))
                +IF(AND($F145&lt;&gt;"",$F145&lt;&gt;0),
                        SUMIF(CÁLCULO!$AM$15:$AW$36,CRONO!V$12,CÁLCULO!$AB$15:$AL$36)/(ORÇAMENTO!$X$15-CÁLCULO.TotalAdmLocal)*CRONO!$F145,
                        0),
                 V144*$S143),
          SUMIF(OFFSET($S145,1,0,$R143-2),($M143+1)&amp;"$",OFFSET(V145,1,0,$R143-2)))</f>
        <v>0</v>
      </c>
      <c r="W145" s="159">
        <f ca="1">IF($R143=2,
         IF(AND(ACOMPANHAMENTO="PLE",ISNUMBER($F143)),
                SUMIF((OFFSET(CÁLCULO!$AM$15:$AW$15,$F143,0,OFFSET(ORÇAMENTO!$D$15,CRONO!$F143,0))),CRONO!W$12,OFFSET(CÁLCULO!$AB$15:$AL$15,$F143,0,OFFSET(ORÇAMENTO!$D$15,CRONO!$F143,0)))
                +IF(AND($F145&lt;&gt;"",$F145&lt;&gt;0),
                        SUMIF(CÁLCULO!$AM$15:$AW$36,CRONO!W$12,CÁLCULO!$AB$15:$AL$36)/(ORÇAMENTO!$X$15-CÁLCULO.TotalAdmLocal)*CRONO!$F145,
                        0),
                 W144*$S143),
          SUMIF(OFFSET($S145,1,0,$R143-2),($M143+1)&amp;"$",OFFSET(W145,1,0,$R143-2)))</f>
        <v>0</v>
      </c>
      <c r="X145" s="159">
        <f ca="1">IF($R143=2,
         IF(AND(ACOMPANHAMENTO="PLE",ISNUMBER($F143)),
                SUMIF((OFFSET(CÁLCULO!$AM$15:$AW$15,$F143,0,OFFSET(ORÇAMENTO!$D$15,CRONO!$F143,0))),CRONO!X$12,OFFSET(CÁLCULO!$AB$15:$AL$15,$F143,0,OFFSET(ORÇAMENTO!$D$15,CRONO!$F143,0)))
                +IF(AND($F145&lt;&gt;"",$F145&lt;&gt;0),
                        SUMIF(CÁLCULO!$AM$15:$AW$36,CRONO!X$12,CÁLCULO!$AB$15:$AL$36)/(ORÇAMENTO!$X$15-CÁLCULO.TotalAdmLocal)*CRONO!$F145,
                        0),
                 X144*$S143),
          SUMIF(OFFSET($S145,1,0,$R143-2),($M143+1)&amp;"$",OFFSET(X145,1,0,$R143-2)))</f>
        <v>0</v>
      </c>
      <c r="Y145" s="159">
        <f ca="1">IF($R143=2,
         IF(AND(ACOMPANHAMENTO="PLE",ISNUMBER($F143)),
                SUMIF((OFFSET(CÁLCULO!$AM$15:$AW$15,$F143,0,OFFSET(ORÇAMENTO!$D$15,CRONO!$F143,0))),CRONO!Y$12,OFFSET(CÁLCULO!$AB$15:$AL$15,$F143,0,OFFSET(ORÇAMENTO!$D$15,CRONO!$F143,0)))
                +IF(AND($F145&lt;&gt;"",$F145&lt;&gt;0),
                        SUMIF(CÁLCULO!$AM$15:$AW$36,CRONO!Y$12,CÁLCULO!$AB$15:$AL$36)/(ORÇAMENTO!$X$15-CÁLCULO.TotalAdmLocal)*CRONO!$F145,
                        0),
                 Y144*$S143),
          SUMIF(OFFSET($S145,1,0,$R143-2),($M143+1)&amp;"$",OFFSET(Y145,1,0,$R143-2)))</f>
        <v>0</v>
      </c>
      <c r="Z145" s="159">
        <f ca="1">IF($R143=2,
         IF(AND(ACOMPANHAMENTO="PLE",ISNUMBER($F143)),
                SUMIF((OFFSET(CÁLCULO!$AM$15:$AW$15,$F143,0,OFFSET(ORÇAMENTO!$D$15,CRONO!$F143,0))),CRONO!Z$12,OFFSET(CÁLCULO!$AB$15:$AL$15,$F143,0,OFFSET(ORÇAMENTO!$D$15,CRONO!$F143,0)))
                +IF(AND($F145&lt;&gt;"",$F145&lt;&gt;0),
                        SUMIF(CÁLCULO!$AM$15:$AW$36,CRONO!Z$12,CÁLCULO!$AB$15:$AL$36)/(ORÇAMENTO!$X$15-CÁLCULO.TotalAdmLocal)*CRONO!$F145,
                        0),
                 Z144*$S143),
          SUMIF(OFFSET($S145,1,0,$R143-2),($M143+1)&amp;"$",OFFSET(Z145,1,0,$R143-2)))</f>
        <v>0</v>
      </c>
      <c r="AA145" s="159">
        <f ca="1">IF($R143=2,
         IF(AND(ACOMPANHAMENTO="PLE",ISNUMBER($F143)),
                SUMIF((OFFSET(CÁLCULO!$AM$15:$AW$15,$F143,0,OFFSET(ORÇAMENTO!$D$15,CRONO!$F143,0))),CRONO!AA$12,OFFSET(CÁLCULO!$AB$15:$AL$15,$F143,0,OFFSET(ORÇAMENTO!$D$15,CRONO!$F143,0)))
                +IF(AND($F145&lt;&gt;"",$F145&lt;&gt;0),
                        SUMIF(CÁLCULO!$AM$15:$AW$36,CRONO!AA$12,CÁLCULO!$AB$15:$AL$36)/(ORÇAMENTO!$X$15-CÁLCULO.TotalAdmLocal)*CRONO!$F145,
                        0),
                 AA144*$S143),
          SUMIF(OFFSET($S145,1,0,$R143-2),($M143+1)&amp;"$",OFFSET(AA145,1,0,$R143-2)))</f>
        <v>0</v>
      </c>
      <c r="AB145" s="159">
        <f ca="1">IF($R143=2,
         IF(AND(ACOMPANHAMENTO="PLE",ISNUMBER($F143)),
                SUMIF((OFFSET(CÁLCULO!$AM$15:$AW$15,$F143,0,OFFSET(ORÇAMENTO!$D$15,CRONO!$F143,0))),CRONO!AB$12,OFFSET(CÁLCULO!$AB$15:$AL$15,$F143,0,OFFSET(ORÇAMENTO!$D$15,CRONO!$F143,0)))
                +IF(AND($F145&lt;&gt;"",$F145&lt;&gt;0),
                        SUMIF(CÁLCULO!$AM$15:$AW$36,CRONO!AB$12,CÁLCULO!$AB$15:$AL$36)/(ORÇAMENTO!$X$15-CÁLCULO.TotalAdmLocal)*CRONO!$F145,
                        0),
                 AB144*$S143),
          SUMIF(OFFSET($S145,1,0,$R143-2),($M143+1)&amp;"$",OFFSET(AB145,1,0,$R143-2)))</f>
        <v>0</v>
      </c>
      <c r="AC145" s="159">
        <f ca="1">IF($R143=2,
         IF(AND(ACOMPANHAMENTO="PLE",ISNUMBER($F143)),
                SUMIF((OFFSET(CÁLCULO!$AM$15:$AW$15,$F143,0,OFFSET(ORÇAMENTO!$D$15,CRONO!$F143,0))),CRONO!AC$12,OFFSET(CÁLCULO!$AB$15:$AL$15,$F143,0,OFFSET(ORÇAMENTO!$D$15,CRONO!$F143,0)))
                +IF(AND($F145&lt;&gt;"",$F145&lt;&gt;0),
                        SUMIF(CÁLCULO!$AM$15:$AW$36,CRONO!AC$12,CÁLCULO!$AB$15:$AL$36)/(ORÇAMENTO!$X$15-CÁLCULO.TotalAdmLocal)*CRONO!$F145,
                        0),
                 AC144*$S143),
          SUMIF(OFFSET($S145,1,0,$R143-2),($M143+1)&amp;"$",OFFSET(AC145,1,0,$R143-2)))</f>
        <v>0</v>
      </c>
      <c r="AD145" s="159">
        <f ca="1">IF($R143=2,
         IF(AND(ACOMPANHAMENTO="PLE",ISNUMBER($F143)),
                SUMIF((OFFSET(CÁLCULO!$AM$15:$AW$15,$F143,0,OFFSET(ORÇAMENTO!$D$15,CRONO!$F143,0))),CRONO!AD$12,OFFSET(CÁLCULO!$AB$15:$AL$15,$F143,0,OFFSET(ORÇAMENTO!$D$15,CRONO!$F143,0)))
                +IF(AND($F145&lt;&gt;"",$F145&lt;&gt;0),
                        SUMIF(CÁLCULO!$AM$15:$AW$36,CRONO!AD$12,CÁLCULO!$AB$15:$AL$36)/(ORÇAMENTO!$X$15-CÁLCULO.TotalAdmLocal)*CRONO!$F145,
                        0),
                 AD144*$S143),
          SUMIF(OFFSET($S145,1,0,$R143-2),($M143+1)&amp;"$",OFFSET(AD145,1,0,$R143-2)))</f>
        <v>0</v>
      </c>
      <c r="AE145" s="159">
        <f ca="1">IF($R143=2,
         IF(AND(ACOMPANHAMENTO="PLE",ISNUMBER($F143)),
                SUMIF((OFFSET(CÁLCULO!$AM$15:$AW$15,$F143,0,OFFSET(ORÇAMENTO!$D$15,CRONO!$F143,0))),CRONO!AE$12,OFFSET(CÁLCULO!$AB$15:$AL$15,$F143,0,OFFSET(ORÇAMENTO!$D$15,CRONO!$F143,0)))
                +IF(AND($F145&lt;&gt;"",$F145&lt;&gt;0),
                        SUMIF(CÁLCULO!$AM$15:$AW$36,CRONO!AE$12,CÁLCULO!$AB$15:$AL$36)/(ORÇAMENTO!$X$15-CÁLCULO.TotalAdmLocal)*CRONO!$F145,
                        0),
                 AE144*$S143),
          SUMIF(OFFSET($S145,1,0,$R143-2),($M143+1)&amp;"$",OFFSET(AE145,1,0,$R143-2)))</f>
        <v>0</v>
      </c>
      <c r="AF145" s="159">
        <f ca="1">IF($R143=2,
         IF(AND(ACOMPANHAMENTO="PLE",ISNUMBER($F143)),
                SUMIF((OFFSET(CÁLCULO!$AM$15:$AW$15,$F143,0,OFFSET(ORÇAMENTO!$D$15,CRONO!$F143,0))),CRONO!AF$12,OFFSET(CÁLCULO!$AB$15:$AL$15,$F143,0,OFFSET(ORÇAMENTO!$D$15,CRONO!$F143,0)))
                +IF(AND($F145&lt;&gt;"",$F145&lt;&gt;0),
                        SUMIF(CÁLCULO!$AM$15:$AW$36,CRONO!AF$12,CÁLCULO!$AB$15:$AL$36)/(ORÇAMENTO!$X$15-CÁLCULO.TotalAdmLocal)*CRONO!$F145,
                        0),
                 AF144*$S143),
          SUMIF(OFFSET($S145,1,0,$R143-2),($M143+1)&amp;"$",OFFSET(AF145,1,0,$R143-2)))</f>
        <v>0</v>
      </c>
      <c r="AG145" s="444"/>
    </row>
    <row r="146" spans="1:33" hidden="1" x14ac:dyDescent="0.25">
      <c r="A146" s="145" t="str">
        <f t="shared" ref="A146" ca="1" si="266">IF($M146&gt;1,CONCATENATE($I146," ",$J146),"")</f>
        <v/>
      </c>
      <c r="B146" s="144">
        <f t="shared" ref="B146" ca="1" si="267">OFFSET(B146,-3,0)+1</f>
        <v>45</v>
      </c>
      <c r="C146" s="144">
        <f ca="1">IF($R146&lt;&gt;2,0,IF($S146=0,1,IF(F147&gt;0,OFFSET(QCI!$M$13,SUBSTITUTE(F147,".",""),0),OFFSET(ORÇAMENTO!$AA$15,CRONO!$F146,0))/$S146))</f>
        <v>0</v>
      </c>
      <c r="D146" s="144">
        <f ca="1">IF($R146&lt;&gt;2,0,IF($S146=0,1,IF(F147&gt;0,OFFSET(QCI!$N$13,SUBSTITUTE(F147,".",""),0),OFFSET(ORÇAMENTO!$AB$15,CRONO!$F146,0))/$S146))</f>
        <v>0</v>
      </c>
      <c r="E146" s="147" t="e">
        <f ca="1">IF(AND($R146=2,ACOMPANHAMENTO="BM"),ROUND(E147,4),E148/$S146)</f>
        <v>#VALUE!</v>
      </c>
      <c r="F146" s="144" t="e">
        <f ca="1">IF(B146&lt;=ORÇAMENTO.MáximoListaCrono,MATCH(B146,ORÇAMENTO.ListaCrono,0),NA())</f>
        <v>#N/A</v>
      </c>
      <c r="G146" s="144" t="str">
        <f t="shared" ref="G146" ca="1" si="268">IF(AND($F147&lt;&gt;-1,$S146&gt;0),"F","")</f>
        <v/>
      </c>
      <c r="H146" s="617" t="str">
        <f ca="1">IF(OR(S146=0,S146=""),"Linha",IF(AND(OR(ACOMPANHAMENTO="PLE",$R146&lt;&gt;2),$F147=0),"Linha",ROUND(1-SUM(U146:AG146),4)))</f>
        <v>Linha</v>
      </c>
      <c r="I146" s="148" t="str">
        <f ca="1">IF($F147=0,OFFSET(ORÇAMENTO!O$15,$F146,0),IF($F147&lt;&gt;-1,OFFSET(QCI!$D$13,$F147,0),""))</f>
        <v/>
      </c>
      <c r="J146" s="149" t="str">
        <f ca="1">IF($F147=0,OFFSET(ORÇAMENTO!R$15,$F146,0),IF($F147&lt;&gt;-1,OFFSET(QCI!$G$13,$F147,0),""))</f>
        <v/>
      </c>
      <c r="K146" s="149"/>
      <c r="L146" s="149"/>
      <c r="M146" s="150">
        <f ca="1">IF($F147=0,OFFSET(ORÇAMENTO!C$15,$F146,0),1)</f>
        <v>1</v>
      </c>
      <c r="N146" s="151">
        <f ca="1">IF($F147=-1,0,IF(N$13&lt;=$M146,IF(ISERROR(MATCH(N$13,OFFSET($M146,1,0,ROW($M$164)-ROW($M146)-1),0)),ROW($M$164)-ROW($M146)-1,MATCH(N$13,OFFSET($M146,1,0,ROW($M$164)-ROW($M146)-1),0)-1),0))</f>
        <v>0</v>
      </c>
      <c r="O146" s="151">
        <f ca="1">IF($F147=-1,0,IF(O$13&lt;=$M146,IF(ISERROR(MATCH(O$13,OFFSET($M146,1,0,ROW($M$164)-ROW($M146)-1),0)),ROW($M$164)-ROW($M146)-1,MATCH(O$13,OFFSET($M146,1,0,ROW($M$164)-ROW($M146)-1),0)-1),0))</f>
        <v>0</v>
      </c>
      <c r="P146" s="151">
        <f ca="1">IF($F147=-1,0,IF(P$13&lt;=$M146,IF(ISERROR(MATCH(P$13,OFFSET($M146,1,0,ROW($M$164)-ROW($M146)-1),0)),ROW($M$164)-ROW($M146)-1,MATCH(P$13,OFFSET($M146,1,0,ROW($M$164)-ROW($M146)-1),0)-1),0))</f>
        <v>0</v>
      </c>
      <c r="Q146" s="151">
        <f ca="1">IF($F147=-1,0,IF(Q$13&lt;=$M146,IF(ISERROR(MATCH(Q$13,OFFSET($M146,1,0,ROW($M$164)-ROW($M146)-1),0)),ROW($M$164)-ROW($M146)-1,MATCH(Q$13,OFFSET($M146,1,0,ROW($M$164)-ROW($M146)-1),0)-1),0))</f>
        <v>0</v>
      </c>
      <c r="R146" s="151">
        <f t="shared" ref="R146" ca="1" si="269">MIN(OFFSET(M146,0,1,,M146))</f>
        <v>0</v>
      </c>
      <c r="S146" s="152" t="str">
        <f ca="1">IF($F147=0,OFFSET(ORÇAMENTO!X$15,$F146,0),IF($F147&lt;&gt;-1,OFFSET(QCI!$O$13,$F147,0),""))</f>
        <v/>
      </c>
      <c r="T146" s="618" t="s">
        <v>809</v>
      </c>
      <c r="U146" s="147" t="e">
        <f ca="1">IF(AND($R146=2,ACOMPANHAMENTO="BM"),ROUND(U147,4),U148/$S146)</f>
        <v>#VALUE!</v>
      </c>
      <c r="V146" s="147" t="e">
        <f ca="1">IF(AND($R146=2,ACOMPANHAMENTO="BM"),ROUND(V147,4),V148/$S146)</f>
        <v>#VALUE!</v>
      </c>
      <c r="W146" s="147" t="e">
        <f ca="1">IF(AND($R146=2,ACOMPANHAMENTO="BM"),ROUND(W147,4),W148/$S146)</f>
        <v>#VALUE!</v>
      </c>
      <c r="X146" s="147" t="e">
        <f ca="1">IF(AND($R146=2,ACOMPANHAMENTO="BM"),ROUND(X147,4),X148/$S146)</f>
        <v>#VALUE!</v>
      </c>
      <c r="Y146" s="147" t="e">
        <f ca="1">IF(AND($R146=2,ACOMPANHAMENTO="BM"),ROUND(Y147,4),Y148/$S146)</f>
        <v>#VALUE!</v>
      </c>
      <c r="Z146" s="147" t="e">
        <f ca="1">IF(AND($R146=2,ACOMPANHAMENTO="BM"),ROUND(Z147,4),Z148/$S146)</f>
        <v>#VALUE!</v>
      </c>
      <c r="AA146" s="147" t="e">
        <f ca="1">IF(AND($R146=2,ACOMPANHAMENTO="BM"),ROUND(AA147,4),AA148/$S146)</f>
        <v>#VALUE!</v>
      </c>
      <c r="AB146" s="147" t="e">
        <f ca="1">IF(AND($R146=2,ACOMPANHAMENTO="BM"),ROUND(AB147,4),AB148/$S146)</f>
        <v>#VALUE!</v>
      </c>
      <c r="AC146" s="147" t="e">
        <f ca="1">IF(AND($R146=2,ACOMPANHAMENTO="BM"),ROUND(AC147,4),AC148/$S146)</f>
        <v>#VALUE!</v>
      </c>
      <c r="AD146" s="147" t="e">
        <f ca="1">IF(AND($R146=2,ACOMPANHAMENTO="BM"),ROUND(AD147,4),AD148/$S146)</f>
        <v>#VALUE!</v>
      </c>
      <c r="AE146" s="147" t="e">
        <f ca="1">IF(AND($R146=2,ACOMPANHAMENTO="BM"),ROUND(AE147,4),AE148/$S146)</f>
        <v>#VALUE!</v>
      </c>
      <c r="AF146" s="147" t="e">
        <f ca="1">IF(AND($R146=2,ACOMPANHAMENTO="BM"),ROUND(AF147,4),AF148/$S146)</f>
        <v>#VALUE!</v>
      </c>
      <c r="AG146" s="444"/>
    </row>
    <row r="147" spans="1:33" ht="12.75" hidden="1" customHeight="1" x14ac:dyDescent="0.25">
      <c r="E147" s="501"/>
      <c r="F147" s="144">
        <f ca="1">IF(ISERROR(F146),IF(1+COUNTIF($M$13:OFFSET(M146,-1,0),1)&lt;=MAX(QCI!$D$13:$D$24),1+COUNTIF($M$13:OFFSET(M146,-1,0),1),-1),0)</f>
        <v>-1</v>
      </c>
      <c r="G147" s="144" t="str">
        <f ca="1">IF(ACOMPANHAMENTO="BM",OFFSET(G147,-1,0),"")</f>
        <v/>
      </c>
      <c r="H147" s="153" t="str">
        <f ca="1">IF(OR(S146=0,S146=""),"vazia",IF(AND(OR(ACOMPANHAMENTO="PLE",$R146&lt;&gt;2),$F147=0),"calculada","--&gt;"))</f>
        <v>vazia</v>
      </c>
      <c r="I147" s="154"/>
      <c r="J147" s="155" t="str">
        <f t="shared" ref="J147" ca="1" si="270">IF(AND(H146&lt;&gt;0,ISNUMBER(H146)),"PREENCHA ESTA LINHA --&gt;","")</f>
        <v/>
      </c>
      <c r="K147" s="155"/>
      <c r="L147" s="155"/>
      <c r="M147" s="156"/>
      <c r="N147" s="156"/>
      <c r="O147" s="156"/>
      <c r="P147" s="156"/>
      <c r="Q147" s="156"/>
      <c r="R147" s="156"/>
      <c r="S147" s="157"/>
      <c r="T147" s="158"/>
      <c r="U147" s="501"/>
      <c r="V147" s="501"/>
      <c r="W147" s="501"/>
      <c r="X147" s="501"/>
      <c r="Y147" s="501"/>
      <c r="Z147" s="501"/>
      <c r="AA147" s="501"/>
      <c r="AB147" s="501"/>
      <c r="AC147" s="501"/>
      <c r="AD147" s="501"/>
      <c r="AE147" s="501"/>
      <c r="AF147" s="501"/>
      <c r="AG147" s="444"/>
    </row>
    <row r="148" spans="1:33" ht="12.75" hidden="1" customHeight="1" x14ac:dyDescent="0.25">
      <c r="D148" s="443"/>
      <c r="E148" s="159">
        <f ca="1">IF($R146=2,
         IF(AND(ACOMPANHAMENTO="PLE",ISNUMBER($F146)),
                SUMIF((OFFSET(CÁLCULO!$AM$15:$AW$15,$F146,0,OFFSET(ORÇAMENTO!$D$15,CRONO!$F146,0))),CRONO!E$12,OFFSET(CÁLCULO!$AB$15:$AL$15,$F146,0,OFFSET(ORÇAMENTO!$D$15,CRONO!$F146,0)))
                +IF(AND($F148&lt;&gt;"",$F148&lt;&gt;0),
                        SUMIF(CÁLCULO!$AM$15:$AW$36,CRONO!E$12,CÁLCULO!$AB$15:$AL$36)/(ORÇAMENTO!$X$15-CÁLCULO.TotalAdmLocal)*CRONO!$F148,
                        0),
                 E147*$S146),
          SUMIF(OFFSET($S148,1,0,$R146-2),($M146+1)&amp;"$",OFFSET(E148,1,0,$R146-2)))</f>
        <v>0</v>
      </c>
      <c r="F148" s="144" t="str">
        <f ca="1">IF(OR($R146&lt;&gt;2,AUTOEVENTO&lt;&gt;"manual",$F147&gt;0),"",
        IF(Import.TipoArredondamento="Tradicional",
              SUMIF(OFFSET(CÁLCULO!$M$15,CRONO!$F146,0,OFFSET(ORÇAMENTO!$D$15,CRONO!$F146,0)),1,OFFSET(ORÇAMENTO!$X$15,CRONO!$F146,0,OFFSET(ORÇAMENTO!$D$15,CRONO!$F146,0))),
              0))</f>
        <v/>
      </c>
      <c r="H148" s="530"/>
      <c r="S148" s="160" t="str">
        <f t="shared" ref="S148" ca="1" si="271">M146&amp;"$"</f>
        <v>1$</v>
      </c>
      <c r="T148" s="161"/>
      <c r="U148" s="159">
        <f ca="1">IF($R146=2,
         IF(AND(ACOMPANHAMENTO="PLE",ISNUMBER($F146)),
                SUMIF((OFFSET(CÁLCULO!$AM$15:$AW$15,$F146,0,OFFSET(ORÇAMENTO!$D$15,CRONO!$F146,0))),CRONO!U$12,OFFSET(CÁLCULO!$AB$15:$AL$15,$F146,0,OFFSET(ORÇAMENTO!$D$15,CRONO!$F146,0)))
                +IF(AND($F148&lt;&gt;"",$F148&lt;&gt;0),
                        SUMIF(CÁLCULO!$AM$15:$AW$36,CRONO!U$12,CÁLCULO!$AB$15:$AL$36)/(ORÇAMENTO!$X$15-CÁLCULO.TotalAdmLocal)*CRONO!$F148,
                        0),
                 U147*$S146),
          SUMIF(OFFSET($S148,1,0,$R146-2),($M146+1)&amp;"$",OFFSET(U148,1,0,$R146-2)))</f>
        <v>0</v>
      </c>
      <c r="V148" s="159">
        <f ca="1">IF($R146=2,
         IF(AND(ACOMPANHAMENTO="PLE",ISNUMBER($F146)),
                SUMIF((OFFSET(CÁLCULO!$AM$15:$AW$15,$F146,0,OFFSET(ORÇAMENTO!$D$15,CRONO!$F146,0))),CRONO!V$12,OFFSET(CÁLCULO!$AB$15:$AL$15,$F146,0,OFFSET(ORÇAMENTO!$D$15,CRONO!$F146,0)))
                +IF(AND($F148&lt;&gt;"",$F148&lt;&gt;0),
                        SUMIF(CÁLCULO!$AM$15:$AW$36,CRONO!V$12,CÁLCULO!$AB$15:$AL$36)/(ORÇAMENTO!$X$15-CÁLCULO.TotalAdmLocal)*CRONO!$F148,
                        0),
                 V147*$S146),
          SUMIF(OFFSET($S148,1,0,$R146-2),($M146+1)&amp;"$",OFFSET(V148,1,0,$R146-2)))</f>
        <v>0</v>
      </c>
      <c r="W148" s="159">
        <f ca="1">IF($R146=2,
         IF(AND(ACOMPANHAMENTO="PLE",ISNUMBER($F146)),
                SUMIF((OFFSET(CÁLCULO!$AM$15:$AW$15,$F146,0,OFFSET(ORÇAMENTO!$D$15,CRONO!$F146,0))),CRONO!W$12,OFFSET(CÁLCULO!$AB$15:$AL$15,$F146,0,OFFSET(ORÇAMENTO!$D$15,CRONO!$F146,0)))
                +IF(AND($F148&lt;&gt;"",$F148&lt;&gt;0),
                        SUMIF(CÁLCULO!$AM$15:$AW$36,CRONO!W$12,CÁLCULO!$AB$15:$AL$36)/(ORÇAMENTO!$X$15-CÁLCULO.TotalAdmLocal)*CRONO!$F148,
                        0),
                 W147*$S146),
          SUMIF(OFFSET($S148,1,0,$R146-2),($M146+1)&amp;"$",OFFSET(W148,1,0,$R146-2)))</f>
        <v>0</v>
      </c>
      <c r="X148" s="159">
        <f ca="1">IF($R146=2,
         IF(AND(ACOMPANHAMENTO="PLE",ISNUMBER($F146)),
                SUMIF((OFFSET(CÁLCULO!$AM$15:$AW$15,$F146,0,OFFSET(ORÇAMENTO!$D$15,CRONO!$F146,0))),CRONO!X$12,OFFSET(CÁLCULO!$AB$15:$AL$15,$F146,0,OFFSET(ORÇAMENTO!$D$15,CRONO!$F146,0)))
                +IF(AND($F148&lt;&gt;"",$F148&lt;&gt;0),
                        SUMIF(CÁLCULO!$AM$15:$AW$36,CRONO!X$12,CÁLCULO!$AB$15:$AL$36)/(ORÇAMENTO!$X$15-CÁLCULO.TotalAdmLocal)*CRONO!$F148,
                        0),
                 X147*$S146),
          SUMIF(OFFSET($S148,1,0,$R146-2),($M146+1)&amp;"$",OFFSET(X148,1,0,$R146-2)))</f>
        <v>0</v>
      </c>
      <c r="Y148" s="159">
        <f ca="1">IF($R146=2,
         IF(AND(ACOMPANHAMENTO="PLE",ISNUMBER($F146)),
                SUMIF((OFFSET(CÁLCULO!$AM$15:$AW$15,$F146,0,OFFSET(ORÇAMENTO!$D$15,CRONO!$F146,0))),CRONO!Y$12,OFFSET(CÁLCULO!$AB$15:$AL$15,$F146,0,OFFSET(ORÇAMENTO!$D$15,CRONO!$F146,0)))
                +IF(AND($F148&lt;&gt;"",$F148&lt;&gt;0),
                        SUMIF(CÁLCULO!$AM$15:$AW$36,CRONO!Y$12,CÁLCULO!$AB$15:$AL$36)/(ORÇAMENTO!$X$15-CÁLCULO.TotalAdmLocal)*CRONO!$F148,
                        0),
                 Y147*$S146),
          SUMIF(OFFSET($S148,1,0,$R146-2),($M146+1)&amp;"$",OFFSET(Y148,1,0,$R146-2)))</f>
        <v>0</v>
      </c>
      <c r="Z148" s="159">
        <f ca="1">IF($R146=2,
         IF(AND(ACOMPANHAMENTO="PLE",ISNUMBER($F146)),
                SUMIF((OFFSET(CÁLCULO!$AM$15:$AW$15,$F146,0,OFFSET(ORÇAMENTO!$D$15,CRONO!$F146,0))),CRONO!Z$12,OFFSET(CÁLCULO!$AB$15:$AL$15,$F146,0,OFFSET(ORÇAMENTO!$D$15,CRONO!$F146,0)))
                +IF(AND($F148&lt;&gt;"",$F148&lt;&gt;0),
                        SUMIF(CÁLCULO!$AM$15:$AW$36,CRONO!Z$12,CÁLCULO!$AB$15:$AL$36)/(ORÇAMENTO!$X$15-CÁLCULO.TotalAdmLocal)*CRONO!$F148,
                        0),
                 Z147*$S146),
          SUMIF(OFFSET($S148,1,0,$R146-2),($M146+1)&amp;"$",OFFSET(Z148,1,0,$R146-2)))</f>
        <v>0</v>
      </c>
      <c r="AA148" s="159">
        <f ca="1">IF($R146=2,
         IF(AND(ACOMPANHAMENTO="PLE",ISNUMBER($F146)),
                SUMIF((OFFSET(CÁLCULO!$AM$15:$AW$15,$F146,0,OFFSET(ORÇAMENTO!$D$15,CRONO!$F146,0))),CRONO!AA$12,OFFSET(CÁLCULO!$AB$15:$AL$15,$F146,0,OFFSET(ORÇAMENTO!$D$15,CRONO!$F146,0)))
                +IF(AND($F148&lt;&gt;"",$F148&lt;&gt;0),
                        SUMIF(CÁLCULO!$AM$15:$AW$36,CRONO!AA$12,CÁLCULO!$AB$15:$AL$36)/(ORÇAMENTO!$X$15-CÁLCULO.TotalAdmLocal)*CRONO!$F148,
                        0),
                 AA147*$S146),
          SUMIF(OFFSET($S148,1,0,$R146-2),($M146+1)&amp;"$",OFFSET(AA148,1,0,$R146-2)))</f>
        <v>0</v>
      </c>
      <c r="AB148" s="159">
        <f ca="1">IF($R146=2,
         IF(AND(ACOMPANHAMENTO="PLE",ISNUMBER($F146)),
                SUMIF((OFFSET(CÁLCULO!$AM$15:$AW$15,$F146,0,OFFSET(ORÇAMENTO!$D$15,CRONO!$F146,0))),CRONO!AB$12,OFFSET(CÁLCULO!$AB$15:$AL$15,$F146,0,OFFSET(ORÇAMENTO!$D$15,CRONO!$F146,0)))
                +IF(AND($F148&lt;&gt;"",$F148&lt;&gt;0),
                        SUMIF(CÁLCULO!$AM$15:$AW$36,CRONO!AB$12,CÁLCULO!$AB$15:$AL$36)/(ORÇAMENTO!$X$15-CÁLCULO.TotalAdmLocal)*CRONO!$F148,
                        0),
                 AB147*$S146),
          SUMIF(OFFSET($S148,1,0,$R146-2),($M146+1)&amp;"$",OFFSET(AB148,1,0,$R146-2)))</f>
        <v>0</v>
      </c>
      <c r="AC148" s="159">
        <f ca="1">IF($R146=2,
         IF(AND(ACOMPANHAMENTO="PLE",ISNUMBER($F146)),
                SUMIF((OFFSET(CÁLCULO!$AM$15:$AW$15,$F146,0,OFFSET(ORÇAMENTO!$D$15,CRONO!$F146,0))),CRONO!AC$12,OFFSET(CÁLCULO!$AB$15:$AL$15,$F146,0,OFFSET(ORÇAMENTO!$D$15,CRONO!$F146,0)))
                +IF(AND($F148&lt;&gt;"",$F148&lt;&gt;0),
                        SUMIF(CÁLCULO!$AM$15:$AW$36,CRONO!AC$12,CÁLCULO!$AB$15:$AL$36)/(ORÇAMENTO!$X$15-CÁLCULO.TotalAdmLocal)*CRONO!$F148,
                        0),
                 AC147*$S146),
          SUMIF(OFFSET($S148,1,0,$R146-2),($M146+1)&amp;"$",OFFSET(AC148,1,0,$R146-2)))</f>
        <v>0</v>
      </c>
      <c r="AD148" s="159">
        <f ca="1">IF($R146=2,
         IF(AND(ACOMPANHAMENTO="PLE",ISNUMBER($F146)),
                SUMIF((OFFSET(CÁLCULO!$AM$15:$AW$15,$F146,0,OFFSET(ORÇAMENTO!$D$15,CRONO!$F146,0))),CRONO!AD$12,OFFSET(CÁLCULO!$AB$15:$AL$15,$F146,0,OFFSET(ORÇAMENTO!$D$15,CRONO!$F146,0)))
                +IF(AND($F148&lt;&gt;"",$F148&lt;&gt;0),
                        SUMIF(CÁLCULO!$AM$15:$AW$36,CRONO!AD$12,CÁLCULO!$AB$15:$AL$36)/(ORÇAMENTO!$X$15-CÁLCULO.TotalAdmLocal)*CRONO!$F148,
                        0),
                 AD147*$S146),
          SUMIF(OFFSET($S148,1,0,$R146-2),($M146+1)&amp;"$",OFFSET(AD148,1,0,$R146-2)))</f>
        <v>0</v>
      </c>
      <c r="AE148" s="159">
        <f ca="1">IF($R146=2,
         IF(AND(ACOMPANHAMENTO="PLE",ISNUMBER($F146)),
                SUMIF((OFFSET(CÁLCULO!$AM$15:$AW$15,$F146,0,OFFSET(ORÇAMENTO!$D$15,CRONO!$F146,0))),CRONO!AE$12,OFFSET(CÁLCULO!$AB$15:$AL$15,$F146,0,OFFSET(ORÇAMENTO!$D$15,CRONO!$F146,0)))
                +IF(AND($F148&lt;&gt;"",$F148&lt;&gt;0),
                        SUMIF(CÁLCULO!$AM$15:$AW$36,CRONO!AE$12,CÁLCULO!$AB$15:$AL$36)/(ORÇAMENTO!$X$15-CÁLCULO.TotalAdmLocal)*CRONO!$F148,
                        0),
                 AE147*$S146),
          SUMIF(OFFSET($S148,1,0,$R146-2),($M146+1)&amp;"$",OFFSET(AE148,1,0,$R146-2)))</f>
        <v>0</v>
      </c>
      <c r="AF148" s="159">
        <f ca="1">IF($R146=2,
         IF(AND(ACOMPANHAMENTO="PLE",ISNUMBER($F146)),
                SUMIF((OFFSET(CÁLCULO!$AM$15:$AW$15,$F146,0,OFFSET(ORÇAMENTO!$D$15,CRONO!$F146,0))),CRONO!AF$12,OFFSET(CÁLCULO!$AB$15:$AL$15,$F146,0,OFFSET(ORÇAMENTO!$D$15,CRONO!$F146,0)))
                +IF(AND($F148&lt;&gt;"",$F148&lt;&gt;0),
                        SUMIF(CÁLCULO!$AM$15:$AW$36,CRONO!AF$12,CÁLCULO!$AB$15:$AL$36)/(ORÇAMENTO!$X$15-CÁLCULO.TotalAdmLocal)*CRONO!$F148,
                        0),
                 AF147*$S146),
          SUMIF(OFFSET($S148,1,0,$R146-2),($M146+1)&amp;"$",OFFSET(AF148,1,0,$R146-2)))</f>
        <v>0</v>
      </c>
      <c r="AG148" s="444"/>
    </row>
    <row r="149" spans="1:33" hidden="1" x14ac:dyDescent="0.25">
      <c r="A149" s="145" t="str">
        <f t="shared" ref="A149" ca="1" si="272">IF($M149&gt;1,CONCATENATE($I149," ",$J149),"")</f>
        <v/>
      </c>
      <c r="B149" s="144">
        <f t="shared" ref="B149" ca="1" si="273">OFFSET(B149,-3,0)+1</f>
        <v>46</v>
      </c>
      <c r="C149" s="144">
        <f ca="1">IF($R149&lt;&gt;2,0,IF($S149=0,1,IF(F150&gt;0,OFFSET(QCI!$M$13,SUBSTITUTE(F150,".",""),0),OFFSET(ORÇAMENTO!$AA$15,CRONO!$F149,0))/$S149))</f>
        <v>0</v>
      </c>
      <c r="D149" s="144">
        <f ca="1">IF($R149&lt;&gt;2,0,IF($S149=0,1,IF(F150&gt;0,OFFSET(QCI!$N$13,SUBSTITUTE(F150,".",""),0),OFFSET(ORÇAMENTO!$AB$15,CRONO!$F149,0))/$S149))</f>
        <v>0</v>
      </c>
      <c r="E149" s="147" t="e">
        <f ca="1">IF(AND($R149=2,ACOMPANHAMENTO="BM"),ROUND(E150,4),E151/$S149)</f>
        <v>#VALUE!</v>
      </c>
      <c r="F149" s="144" t="e">
        <f ca="1">IF(B149&lt;=ORÇAMENTO.MáximoListaCrono,MATCH(B149,ORÇAMENTO.ListaCrono,0),NA())</f>
        <v>#N/A</v>
      </c>
      <c r="G149" s="144" t="str">
        <f t="shared" ref="G149" ca="1" si="274">IF(AND($F150&lt;&gt;-1,$S149&gt;0),"F","")</f>
        <v/>
      </c>
      <c r="H149" s="617" t="str">
        <f ca="1">IF(OR(S149=0,S149=""),"Linha",IF(AND(OR(ACOMPANHAMENTO="PLE",$R149&lt;&gt;2),$F150=0),"Linha",ROUND(1-SUM(U149:AG149),4)))</f>
        <v>Linha</v>
      </c>
      <c r="I149" s="148" t="str">
        <f ca="1">IF($F150=0,OFFSET(ORÇAMENTO!O$15,$F149,0),IF($F150&lt;&gt;-1,OFFSET(QCI!$D$13,$F150,0),""))</f>
        <v/>
      </c>
      <c r="J149" s="149" t="str">
        <f ca="1">IF($F150=0,OFFSET(ORÇAMENTO!R$15,$F149,0),IF($F150&lt;&gt;-1,OFFSET(QCI!$G$13,$F150,0),""))</f>
        <v/>
      </c>
      <c r="K149" s="149"/>
      <c r="L149" s="149"/>
      <c r="M149" s="150">
        <f ca="1">IF($F150=0,OFFSET(ORÇAMENTO!C$15,$F149,0),1)</f>
        <v>1</v>
      </c>
      <c r="N149" s="151">
        <f ca="1">IF($F150=-1,0,IF(N$13&lt;=$M149,IF(ISERROR(MATCH(N$13,OFFSET($M149,1,0,ROW($M$164)-ROW($M149)-1),0)),ROW($M$164)-ROW($M149)-1,MATCH(N$13,OFFSET($M149,1,0,ROW($M$164)-ROW($M149)-1),0)-1),0))</f>
        <v>0</v>
      </c>
      <c r="O149" s="151">
        <f ca="1">IF($F150=-1,0,IF(O$13&lt;=$M149,IF(ISERROR(MATCH(O$13,OFFSET($M149,1,0,ROW($M$164)-ROW($M149)-1),0)),ROW($M$164)-ROW($M149)-1,MATCH(O$13,OFFSET($M149,1,0,ROW($M$164)-ROW($M149)-1),0)-1),0))</f>
        <v>0</v>
      </c>
      <c r="P149" s="151">
        <f ca="1">IF($F150=-1,0,IF(P$13&lt;=$M149,IF(ISERROR(MATCH(P$13,OFFSET($M149,1,0,ROW($M$164)-ROW($M149)-1),0)),ROW($M$164)-ROW($M149)-1,MATCH(P$13,OFFSET($M149,1,0,ROW($M$164)-ROW($M149)-1),0)-1),0))</f>
        <v>0</v>
      </c>
      <c r="Q149" s="151">
        <f ca="1">IF($F150=-1,0,IF(Q$13&lt;=$M149,IF(ISERROR(MATCH(Q$13,OFFSET($M149,1,0,ROW($M$164)-ROW($M149)-1),0)),ROW($M$164)-ROW($M149)-1,MATCH(Q$13,OFFSET($M149,1,0,ROW($M$164)-ROW($M149)-1),0)-1),0))</f>
        <v>0</v>
      </c>
      <c r="R149" s="151">
        <f t="shared" ref="R149" ca="1" si="275">MIN(OFFSET(M149,0,1,,M149))</f>
        <v>0</v>
      </c>
      <c r="S149" s="152" t="str">
        <f ca="1">IF($F150=0,OFFSET(ORÇAMENTO!X$15,$F149,0),IF($F150&lt;&gt;-1,OFFSET(QCI!$O$13,$F150,0),""))</f>
        <v/>
      </c>
      <c r="T149" s="618" t="s">
        <v>809</v>
      </c>
      <c r="U149" s="147" t="e">
        <f ca="1">IF(AND($R149=2,ACOMPANHAMENTO="BM"),ROUND(U150,4),U151/$S149)</f>
        <v>#VALUE!</v>
      </c>
      <c r="V149" s="147" t="e">
        <f ca="1">IF(AND($R149=2,ACOMPANHAMENTO="BM"),ROUND(V150,4),V151/$S149)</f>
        <v>#VALUE!</v>
      </c>
      <c r="W149" s="147" t="e">
        <f ca="1">IF(AND($R149=2,ACOMPANHAMENTO="BM"),ROUND(W150,4),W151/$S149)</f>
        <v>#VALUE!</v>
      </c>
      <c r="X149" s="147" t="e">
        <f ca="1">IF(AND($R149=2,ACOMPANHAMENTO="BM"),ROUND(X150,4),X151/$S149)</f>
        <v>#VALUE!</v>
      </c>
      <c r="Y149" s="147" t="e">
        <f ca="1">IF(AND($R149=2,ACOMPANHAMENTO="BM"),ROUND(Y150,4),Y151/$S149)</f>
        <v>#VALUE!</v>
      </c>
      <c r="Z149" s="147" t="e">
        <f ca="1">IF(AND($R149=2,ACOMPANHAMENTO="BM"),ROUND(Z150,4),Z151/$S149)</f>
        <v>#VALUE!</v>
      </c>
      <c r="AA149" s="147" t="e">
        <f ca="1">IF(AND($R149=2,ACOMPANHAMENTO="BM"),ROUND(AA150,4),AA151/$S149)</f>
        <v>#VALUE!</v>
      </c>
      <c r="AB149" s="147" t="e">
        <f ca="1">IF(AND($R149=2,ACOMPANHAMENTO="BM"),ROUND(AB150,4),AB151/$S149)</f>
        <v>#VALUE!</v>
      </c>
      <c r="AC149" s="147" t="e">
        <f ca="1">IF(AND($R149=2,ACOMPANHAMENTO="BM"),ROUND(AC150,4),AC151/$S149)</f>
        <v>#VALUE!</v>
      </c>
      <c r="AD149" s="147" t="e">
        <f ca="1">IF(AND($R149=2,ACOMPANHAMENTO="BM"),ROUND(AD150,4),AD151/$S149)</f>
        <v>#VALUE!</v>
      </c>
      <c r="AE149" s="147" t="e">
        <f ca="1">IF(AND($R149=2,ACOMPANHAMENTO="BM"),ROUND(AE150,4),AE151/$S149)</f>
        <v>#VALUE!</v>
      </c>
      <c r="AF149" s="147" t="e">
        <f ca="1">IF(AND($R149=2,ACOMPANHAMENTO="BM"),ROUND(AF150,4),AF151/$S149)</f>
        <v>#VALUE!</v>
      </c>
      <c r="AG149" s="444"/>
    </row>
    <row r="150" spans="1:33" ht="12.75" hidden="1" customHeight="1" x14ac:dyDescent="0.25">
      <c r="E150" s="501"/>
      <c r="F150" s="144">
        <f ca="1">IF(ISERROR(F149),IF(1+COUNTIF($M$13:OFFSET(M149,-1,0),1)&lt;=MAX(QCI!$D$13:$D$24),1+COUNTIF($M$13:OFFSET(M149,-1,0),1),-1),0)</f>
        <v>-1</v>
      </c>
      <c r="G150" s="144" t="str">
        <f ca="1">IF(ACOMPANHAMENTO="BM",OFFSET(G150,-1,0),"")</f>
        <v/>
      </c>
      <c r="H150" s="153" t="str">
        <f ca="1">IF(OR(S149=0,S149=""),"vazia",IF(AND(OR(ACOMPANHAMENTO="PLE",$R149&lt;&gt;2),$F150=0),"calculada","--&gt;"))</f>
        <v>vazia</v>
      </c>
      <c r="I150" s="154"/>
      <c r="J150" s="155" t="str">
        <f t="shared" ref="J150" ca="1" si="276">IF(AND(H149&lt;&gt;0,ISNUMBER(H149)),"PREENCHA ESTA LINHA --&gt;","")</f>
        <v/>
      </c>
      <c r="K150" s="155"/>
      <c r="L150" s="155"/>
      <c r="M150" s="156"/>
      <c r="N150" s="156"/>
      <c r="O150" s="156"/>
      <c r="P150" s="156"/>
      <c r="Q150" s="156"/>
      <c r="R150" s="156"/>
      <c r="S150" s="157"/>
      <c r="T150" s="158"/>
      <c r="U150" s="501"/>
      <c r="V150" s="501"/>
      <c r="W150" s="501"/>
      <c r="X150" s="501"/>
      <c r="Y150" s="501"/>
      <c r="Z150" s="501"/>
      <c r="AA150" s="501"/>
      <c r="AB150" s="501"/>
      <c r="AC150" s="501"/>
      <c r="AD150" s="501"/>
      <c r="AE150" s="501"/>
      <c r="AF150" s="501"/>
      <c r="AG150" s="444"/>
    </row>
    <row r="151" spans="1:33" ht="12.75" hidden="1" customHeight="1" x14ac:dyDescent="0.25">
      <c r="D151" s="443"/>
      <c r="E151" s="159">
        <f ca="1">IF($R149=2,
         IF(AND(ACOMPANHAMENTO="PLE",ISNUMBER($F149)),
                SUMIF((OFFSET(CÁLCULO!$AM$15:$AW$15,$F149,0,OFFSET(ORÇAMENTO!$D$15,CRONO!$F149,0))),CRONO!E$12,OFFSET(CÁLCULO!$AB$15:$AL$15,$F149,0,OFFSET(ORÇAMENTO!$D$15,CRONO!$F149,0)))
                +IF(AND($F151&lt;&gt;"",$F151&lt;&gt;0),
                        SUMIF(CÁLCULO!$AM$15:$AW$36,CRONO!E$12,CÁLCULO!$AB$15:$AL$36)/(ORÇAMENTO!$X$15-CÁLCULO.TotalAdmLocal)*CRONO!$F151,
                        0),
                 E150*$S149),
          SUMIF(OFFSET($S151,1,0,$R149-2),($M149+1)&amp;"$",OFFSET(E151,1,0,$R149-2)))</f>
        <v>0</v>
      </c>
      <c r="F151" s="144" t="str">
        <f ca="1">IF(OR($R149&lt;&gt;2,AUTOEVENTO&lt;&gt;"manual",$F150&gt;0),"",
        IF(Import.TipoArredondamento="Tradicional",
              SUMIF(OFFSET(CÁLCULO!$M$15,CRONO!$F149,0,OFFSET(ORÇAMENTO!$D$15,CRONO!$F149,0)),1,OFFSET(ORÇAMENTO!$X$15,CRONO!$F149,0,OFFSET(ORÇAMENTO!$D$15,CRONO!$F149,0))),
              0))</f>
        <v/>
      </c>
      <c r="H151" s="530"/>
      <c r="S151" s="160" t="str">
        <f t="shared" ref="S151" ca="1" si="277">M149&amp;"$"</f>
        <v>1$</v>
      </c>
      <c r="T151" s="161"/>
      <c r="U151" s="159">
        <f ca="1">IF($R149=2,
         IF(AND(ACOMPANHAMENTO="PLE",ISNUMBER($F149)),
                SUMIF((OFFSET(CÁLCULO!$AM$15:$AW$15,$F149,0,OFFSET(ORÇAMENTO!$D$15,CRONO!$F149,0))),CRONO!U$12,OFFSET(CÁLCULO!$AB$15:$AL$15,$F149,0,OFFSET(ORÇAMENTO!$D$15,CRONO!$F149,0)))
                +IF(AND($F151&lt;&gt;"",$F151&lt;&gt;0),
                        SUMIF(CÁLCULO!$AM$15:$AW$36,CRONO!U$12,CÁLCULO!$AB$15:$AL$36)/(ORÇAMENTO!$X$15-CÁLCULO.TotalAdmLocal)*CRONO!$F151,
                        0),
                 U150*$S149),
          SUMIF(OFFSET($S151,1,0,$R149-2),($M149+1)&amp;"$",OFFSET(U151,1,0,$R149-2)))</f>
        <v>0</v>
      </c>
      <c r="V151" s="159">
        <f ca="1">IF($R149=2,
         IF(AND(ACOMPANHAMENTO="PLE",ISNUMBER($F149)),
                SUMIF((OFFSET(CÁLCULO!$AM$15:$AW$15,$F149,0,OFFSET(ORÇAMENTO!$D$15,CRONO!$F149,0))),CRONO!V$12,OFFSET(CÁLCULO!$AB$15:$AL$15,$F149,0,OFFSET(ORÇAMENTO!$D$15,CRONO!$F149,0)))
                +IF(AND($F151&lt;&gt;"",$F151&lt;&gt;0),
                        SUMIF(CÁLCULO!$AM$15:$AW$36,CRONO!V$12,CÁLCULO!$AB$15:$AL$36)/(ORÇAMENTO!$X$15-CÁLCULO.TotalAdmLocal)*CRONO!$F151,
                        0),
                 V150*$S149),
          SUMIF(OFFSET($S151,1,0,$R149-2),($M149+1)&amp;"$",OFFSET(V151,1,0,$R149-2)))</f>
        <v>0</v>
      </c>
      <c r="W151" s="159">
        <f ca="1">IF($R149=2,
         IF(AND(ACOMPANHAMENTO="PLE",ISNUMBER($F149)),
                SUMIF((OFFSET(CÁLCULO!$AM$15:$AW$15,$F149,0,OFFSET(ORÇAMENTO!$D$15,CRONO!$F149,0))),CRONO!W$12,OFFSET(CÁLCULO!$AB$15:$AL$15,$F149,0,OFFSET(ORÇAMENTO!$D$15,CRONO!$F149,0)))
                +IF(AND($F151&lt;&gt;"",$F151&lt;&gt;0),
                        SUMIF(CÁLCULO!$AM$15:$AW$36,CRONO!W$12,CÁLCULO!$AB$15:$AL$36)/(ORÇAMENTO!$X$15-CÁLCULO.TotalAdmLocal)*CRONO!$F151,
                        0),
                 W150*$S149),
          SUMIF(OFFSET($S151,1,0,$R149-2),($M149+1)&amp;"$",OFFSET(W151,1,0,$R149-2)))</f>
        <v>0</v>
      </c>
      <c r="X151" s="159">
        <f ca="1">IF($R149=2,
         IF(AND(ACOMPANHAMENTO="PLE",ISNUMBER($F149)),
                SUMIF((OFFSET(CÁLCULO!$AM$15:$AW$15,$F149,0,OFFSET(ORÇAMENTO!$D$15,CRONO!$F149,0))),CRONO!X$12,OFFSET(CÁLCULO!$AB$15:$AL$15,$F149,0,OFFSET(ORÇAMENTO!$D$15,CRONO!$F149,0)))
                +IF(AND($F151&lt;&gt;"",$F151&lt;&gt;0),
                        SUMIF(CÁLCULO!$AM$15:$AW$36,CRONO!X$12,CÁLCULO!$AB$15:$AL$36)/(ORÇAMENTO!$X$15-CÁLCULO.TotalAdmLocal)*CRONO!$F151,
                        0),
                 X150*$S149),
          SUMIF(OFFSET($S151,1,0,$R149-2),($M149+1)&amp;"$",OFFSET(X151,1,0,$R149-2)))</f>
        <v>0</v>
      </c>
      <c r="Y151" s="159">
        <f ca="1">IF($R149=2,
         IF(AND(ACOMPANHAMENTO="PLE",ISNUMBER($F149)),
                SUMIF((OFFSET(CÁLCULO!$AM$15:$AW$15,$F149,0,OFFSET(ORÇAMENTO!$D$15,CRONO!$F149,0))),CRONO!Y$12,OFFSET(CÁLCULO!$AB$15:$AL$15,$F149,0,OFFSET(ORÇAMENTO!$D$15,CRONO!$F149,0)))
                +IF(AND($F151&lt;&gt;"",$F151&lt;&gt;0),
                        SUMIF(CÁLCULO!$AM$15:$AW$36,CRONO!Y$12,CÁLCULO!$AB$15:$AL$36)/(ORÇAMENTO!$X$15-CÁLCULO.TotalAdmLocal)*CRONO!$F151,
                        0),
                 Y150*$S149),
          SUMIF(OFFSET($S151,1,0,$R149-2),($M149+1)&amp;"$",OFFSET(Y151,1,0,$R149-2)))</f>
        <v>0</v>
      </c>
      <c r="Z151" s="159">
        <f ca="1">IF($R149=2,
         IF(AND(ACOMPANHAMENTO="PLE",ISNUMBER($F149)),
                SUMIF((OFFSET(CÁLCULO!$AM$15:$AW$15,$F149,0,OFFSET(ORÇAMENTO!$D$15,CRONO!$F149,0))),CRONO!Z$12,OFFSET(CÁLCULO!$AB$15:$AL$15,$F149,0,OFFSET(ORÇAMENTO!$D$15,CRONO!$F149,0)))
                +IF(AND($F151&lt;&gt;"",$F151&lt;&gt;0),
                        SUMIF(CÁLCULO!$AM$15:$AW$36,CRONO!Z$12,CÁLCULO!$AB$15:$AL$36)/(ORÇAMENTO!$X$15-CÁLCULO.TotalAdmLocal)*CRONO!$F151,
                        0),
                 Z150*$S149),
          SUMIF(OFFSET($S151,1,0,$R149-2),($M149+1)&amp;"$",OFFSET(Z151,1,0,$R149-2)))</f>
        <v>0</v>
      </c>
      <c r="AA151" s="159">
        <f ca="1">IF($R149=2,
         IF(AND(ACOMPANHAMENTO="PLE",ISNUMBER($F149)),
                SUMIF((OFFSET(CÁLCULO!$AM$15:$AW$15,$F149,0,OFFSET(ORÇAMENTO!$D$15,CRONO!$F149,0))),CRONO!AA$12,OFFSET(CÁLCULO!$AB$15:$AL$15,$F149,0,OFFSET(ORÇAMENTO!$D$15,CRONO!$F149,0)))
                +IF(AND($F151&lt;&gt;"",$F151&lt;&gt;0),
                        SUMIF(CÁLCULO!$AM$15:$AW$36,CRONO!AA$12,CÁLCULO!$AB$15:$AL$36)/(ORÇAMENTO!$X$15-CÁLCULO.TotalAdmLocal)*CRONO!$F151,
                        0),
                 AA150*$S149),
          SUMIF(OFFSET($S151,1,0,$R149-2),($M149+1)&amp;"$",OFFSET(AA151,1,0,$R149-2)))</f>
        <v>0</v>
      </c>
      <c r="AB151" s="159">
        <f ca="1">IF($R149=2,
         IF(AND(ACOMPANHAMENTO="PLE",ISNUMBER($F149)),
                SUMIF((OFFSET(CÁLCULO!$AM$15:$AW$15,$F149,0,OFFSET(ORÇAMENTO!$D$15,CRONO!$F149,0))),CRONO!AB$12,OFFSET(CÁLCULO!$AB$15:$AL$15,$F149,0,OFFSET(ORÇAMENTO!$D$15,CRONO!$F149,0)))
                +IF(AND($F151&lt;&gt;"",$F151&lt;&gt;0),
                        SUMIF(CÁLCULO!$AM$15:$AW$36,CRONO!AB$12,CÁLCULO!$AB$15:$AL$36)/(ORÇAMENTO!$X$15-CÁLCULO.TotalAdmLocal)*CRONO!$F151,
                        0),
                 AB150*$S149),
          SUMIF(OFFSET($S151,1,0,$R149-2),($M149+1)&amp;"$",OFFSET(AB151,1,0,$R149-2)))</f>
        <v>0</v>
      </c>
      <c r="AC151" s="159">
        <f ca="1">IF($R149=2,
         IF(AND(ACOMPANHAMENTO="PLE",ISNUMBER($F149)),
                SUMIF((OFFSET(CÁLCULO!$AM$15:$AW$15,$F149,0,OFFSET(ORÇAMENTO!$D$15,CRONO!$F149,0))),CRONO!AC$12,OFFSET(CÁLCULO!$AB$15:$AL$15,$F149,0,OFFSET(ORÇAMENTO!$D$15,CRONO!$F149,0)))
                +IF(AND($F151&lt;&gt;"",$F151&lt;&gt;0),
                        SUMIF(CÁLCULO!$AM$15:$AW$36,CRONO!AC$12,CÁLCULO!$AB$15:$AL$36)/(ORÇAMENTO!$X$15-CÁLCULO.TotalAdmLocal)*CRONO!$F151,
                        0),
                 AC150*$S149),
          SUMIF(OFFSET($S151,1,0,$R149-2),($M149+1)&amp;"$",OFFSET(AC151,1,0,$R149-2)))</f>
        <v>0</v>
      </c>
      <c r="AD151" s="159">
        <f ca="1">IF($R149=2,
         IF(AND(ACOMPANHAMENTO="PLE",ISNUMBER($F149)),
                SUMIF((OFFSET(CÁLCULO!$AM$15:$AW$15,$F149,0,OFFSET(ORÇAMENTO!$D$15,CRONO!$F149,0))),CRONO!AD$12,OFFSET(CÁLCULO!$AB$15:$AL$15,$F149,0,OFFSET(ORÇAMENTO!$D$15,CRONO!$F149,0)))
                +IF(AND($F151&lt;&gt;"",$F151&lt;&gt;0),
                        SUMIF(CÁLCULO!$AM$15:$AW$36,CRONO!AD$12,CÁLCULO!$AB$15:$AL$36)/(ORÇAMENTO!$X$15-CÁLCULO.TotalAdmLocal)*CRONO!$F151,
                        0),
                 AD150*$S149),
          SUMIF(OFFSET($S151,1,0,$R149-2),($M149+1)&amp;"$",OFFSET(AD151,1,0,$R149-2)))</f>
        <v>0</v>
      </c>
      <c r="AE151" s="159">
        <f ca="1">IF($R149=2,
         IF(AND(ACOMPANHAMENTO="PLE",ISNUMBER($F149)),
                SUMIF((OFFSET(CÁLCULO!$AM$15:$AW$15,$F149,0,OFFSET(ORÇAMENTO!$D$15,CRONO!$F149,0))),CRONO!AE$12,OFFSET(CÁLCULO!$AB$15:$AL$15,$F149,0,OFFSET(ORÇAMENTO!$D$15,CRONO!$F149,0)))
                +IF(AND($F151&lt;&gt;"",$F151&lt;&gt;0),
                        SUMIF(CÁLCULO!$AM$15:$AW$36,CRONO!AE$12,CÁLCULO!$AB$15:$AL$36)/(ORÇAMENTO!$X$15-CÁLCULO.TotalAdmLocal)*CRONO!$F151,
                        0),
                 AE150*$S149),
          SUMIF(OFFSET($S151,1,0,$R149-2),($M149+1)&amp;"$",OFFSET(AE151,1,0,$R149-2)))</f>
        <v>0</v>
      </c>
      <c r="AF151" s="159">
        <f ca="1">IF($R149=2,
         IF(AND(ACOMPANHAMENTO="PLE",ISNUMBER($F149)),
                SUMIF((OFFSET(CÁLCULO!$AM$15:$AW$15,$F149,0,OFFSET(ORÇAMENTO!$D$15,CRONO!$F149,0))),CRONO!AF$12,OFFSET(CÁLCULO!$AB$15:$AL$15,$F149,0,OFFSET(ORÇAMENTO!$D$15,CRONO!$F149,0)))
                +IF(AND($F151&lt;&gt;"",$F151&lt;&gt;0),
                        SUMIF(CÁLCULO!$AM$15:$AW$36,CRONO!AF$12,CÁLCULO!$AB$15:$AL$36)/(ORÇAMENTO!$X$15-CÁLCULO.TotalAdmLocal)*CRONO!$F151,
                        0),
                 AF150*$S149),
          SUMIF(OFFSET($S151,1,0,$R149-2),($M149+1)&amp;"$",OFFSET(AF151,1,0,$R149-2)))</f>
        <v>0</v>
      </c>
      <c r="AG151" s="444"/>
    </row>
    <row r="152" spans="1:33" hidden="1" x14ac:dyDescent="0.25">
      <c r="A152" s="145" t="str">
        <f t="shared" ref="A152" ca="1" si="278">IF($M152&gt;1,CONCATENATE($I152," ",$J152),"")</f>
        <v/>
      </c>
      <c r="B152" s="144">
        <f t="shared" ref="B152" ca="1" si="279">OFFSET(B152,-3,0)+1</f>
        <v>47</v>
      </c>
      <c r="C152" s="144">
        <f ca="1">IF($R152&lt;&gt;2,0,IF($S152=0,1,IF(F153&gt;0,OFFSET(QCI!$M$13,SUBSTITUTE(F153,".",""),0),OFFSET(ORÇAMENTO!$AA$15,CRONO!$F152,0))/$S152))</f>
        <v>0</v>
      </c>
      <c r="D152" s="144">
        <f ca="1">IF($R152&lt;&gt;2,0,IF($S152=0,1,IF(F153&gt;0,OFFSET(QCI!$N$13,SUBSTITUTE(F153,".",""),0),OFFSET(ORÇAMENTO!$AB$15,CRONO!$F152,0))/$S152))</f>
        <v>0</v>
      </c>
      <c r="E152" s="147" t="e">
        <f ca="1">IF(AND($R152=2,ACOMPANHAMENTO="BM"),ROUND(E153,4),E154/$S152)</f>
        <v>#VALUE!</v>
      </c>
      <c r="F152" s="144" t="e">
        <f ca="1">IF(B152&lt;=ORÇAMENTO.MáximoListaCrono,MATCH(B152,ORÇAMENTO.ListaCrono,0),NA())</f>
        <v>#N/A</v>
      </c>
      <c r="G152" s="144" t="str">
        <f t="shared" ref="G152" ca="1" si="280">IF(AND($F153&lt;&gt;-1,$S152&gt;0),"F","")</f>
        <v/>
      </c>
      <c r="H152" s="617" t="str">
        <f ca="1">IF(OR(S152=0,S152=""),"Linha",IF(AND(OR(ACOMPANHAMENTO="PLE",$R152&lt;&gt;2),$F153=0),"Linha",ROUND(1-SUM(U152:AG152),4)))</f>
        <v>Linha</v>
      </c>
      <c r="I152" s="148" t="str">
        <f ca="1">IF($F153=0,OFFSET(ORÇAMENTO!O$15,$F152,0),IF($F153&lt;&gt;-1,OFFSET(QCI!$D$13,$F153,0),""))</f>
        <v/>
      </c>
      <c r="J152" s="149" t="str">
        <f ca="1">IF($F153=0,OFFSET(ORÇAMENTO!R$15,$F152,0),IF($F153&lt;&gt;-1,OFFSET(QCI!$G$13,$F153,0),""))</f>
        <v/>
      </c>
      <c r="K152" s="149"/>
      <c r="L152" s="149"/>
      <c r="M152" s="150">
        <f ca="1">IF($F153=0,OFFSET(ORÇAMENTO!C$15,$F152,0),1)</f>
        <v>1</v>
      </c>
      <c r="N152" s="151">
        <f ca="1">IF($F153=-1,0,IF(N$13&lt;=$M152,IF(ISERROR(MATCH(N$13,OFFSET($M152,1,0,ROW($M$164)-ROW($M152)-1),0)),ROW($M$164)-ROW($M152)-1,MATCH(N$13,OFFSET($M152,1,0,ROW($M$164)-ROW($M152)-1),0)-1),0))</f>
        <v>0</v>
      </c>
      <c r="O152" s="151">
        <f ca="1">IF($F153=-1,0,IF(O$13&lt;=$M152,IF(ISERROR(MATCH(O$13,OFFSET($M152,1,0,ROW($M$164)-ROW($M152)-1),0)),ROW($M$164)-ROW($M152)-1,MATCH(O$13,OFFSET($M152,1,0,ROW($M$164)-ROW($M152)-1),0)-1),0))</f>
        <v>0</v>
      </c>
      <c r="P152" s="151">
        <f ca="1">IF($F153=-1,0,IF(P$13&lt;=$M152,IF(ISERROR(MATCH(P$13,OFFSET($M152,1,0,ROW($M$164)-ROW($M152)-1),0)),ROW($M$164)-ROW($M152)-1,MATCH(P$13,OFFSET($M152,1,0,ROW($M$164)-ROW($M152)-1),0)-1),0))</f>
        <v>0</v>
      </c>
      <c r="Q152" s="151">
        <f ca="1">IF($F153=-1,0,IF(Q$13&lt;=$M152,IF(ISERROR(MATCH(Q$13,OFFSET($M152,1,0,ROW($M$164)-ROW($M152)-1),0)),ROW($M$164)-ROW($M152)-1,MATCH(Q$13,OFFSET($M152,1,0,ROW($M$164)-ROW($M152)-1),0)-1),0))</f>
        <v>0</v>
      </c>
      <c r="R152" s="151">
        <f t="shared" ref="R152" ca="1" si="281">MIN(OFFSET(M152,0,1,,M152))</f>
        <v>0</v>
      </c>
      <c r="S152" s="152" t="str">
        <f ca="1">IF($F153=0,OFFSET(ORÇAMENTO!X$15,$F152,0),IF($F153&lt;&gt;-1,OFFSET(QCI!$O$13,$F153,0),""))</f>
        <v/>
      </c>
      <c r="T152" s="618" t="s">
        <v>809</v>
      </c>
      <c r="U152" s="147" t="e">
        <f ca="1">IF(AND($R152=2,ACOMPANHAMENTO="BM"),ROUND(U153,4),U154/$S152)</f>
        <v>#VALUE!</v>
      </c>
      <c r="V152" s="147" t="e">
        <f ca="1">IF(AND($R152=2,ACOMPANHAMENTO="BM"),ROUND(V153,4),V154/$S152)</f>
        <v>#VALUE!</v>
      </c>
      <c r="W152" s="147" t="e">
        <f ca="1">IF(AND($R152=2,ACOMPANHAMENTO="BM"),ROUND(W153,4),W154/$S152)</f>
        <v>#VALUE!</v>
      </c>
      <c r="X152" s="147" t="e">
        <f ca="1">IF(AND($R152=2,ACOMPANHAMENTO="BM"),ROUND(X153,4),X154/$S152)</f>
        <v>#VALUE!</v>
      </c>
      <c r="Y152" s="147" t="e">
        <f ca="1">IF(AND($R152=2,ACOMPANHAMENTO="BM"),ROUND(Y153,4),Y154/$S152)</f>
        <v>#VALUE!</v>
      </c>
      <c r="Z152" s="147" t="e">
        <f ca="1">IF(AND($R152=2,ACOMPANHAMENTO="BM"),ROUND(Z153,4),Z154/$S152)</f>
        <v>#VALUE!</v>
      </c>
      <c r="AA152" s="147" t="e">
        <f ca="1">IF(AND($R152=2,ACOMPANHAMENTO="BM"),ROUND(AA153,4),AA154/$S152)</f>
        <v>#VALUE!</v>
      </c>
      <c r="AB152" s="147" t="e">
        <f ca="1">IF(AND($R152=2,ACOMPANHAMENTO="BM"),ROUND(AB153,4),AB154/$S152)</f>
        <v>#VALUE!</v>
      </c>
      <c r="AC152" s="147" t="e">
        <f ca="1">IF(AND($R152=2,ACOMPANHAMENTO="BM"),ROUND(AC153,4),AC154/$S152)</f>
        <v>#VALUE!</v>
      </c>
      <c r="AD152" s="147" t="e">
        <f ca="1">IF(AND($R152=2,ACOMPANHAMENTO="BM"),ROUND(AD153,4),AD154/$S152)</f>
        <v>#VALUE!</v>
      </c>
      <c r="AE152" s="147" t="e">
        <f ca="1">IF(AND($R152=2,ACOMPANHAMENTO="BM"),ROUND(AE153,4),AE154/$S152)</f>
        <v>#VALUE!</v>
      </c>
      <c r="AF152" s="147" t="e">
        <f ca="1">IF(AND($R152=2,ACOMPANHAMENTO="BM"),ROUND(AF153,4),AF154/$S152)</f>
        <v>#VALUE!</v>
      </c>
      <c r="AG152" s="444"/>
    </row>
    <row r="153" spans="1:33" ht="12.75" hidden="1" customHeight="1" x14ac:dyDescent="0.25">
      <c r="E153" s="501"/>
      <c r="F153" s="144">
        <f ca="1">IF(ISERROR(F152),IF(1+COUNTIF($M$13:OFFSET(M152,-1,0),1)&lt;=MAX(QCI!$D$13:$D$24),1+COUNTIF($M$13:OFFSET(M152,-1,0),1),-1),0)</f>
        <v>-1</v>
      </c>
      <c r="G153" s="144" t="str">
        <f ca="1">IF(ACOMPANHAMENTO="BM",OFFSET(G153,-1,0),"")</f>
        <v/>
      </c>
      <c r="H153" s="153" t="str">
        <f ca="1">IF(OR(S152=0,S152=""),"vazia",IF(AND(OR(ACOMPANHAMENTO="PLE",$R152&lt;&gt;2),$F153=0),"calculada","--&gt;"))</f>
        <v>vazia</v>
      </c>
      <c r="I153" s="154"/>
      <c r="J153" s="155" t="str">
        <f t="shared" ref="J153" ca="1" si="282">IF(AND(H152&lt;&gt;0,ISNUMBER(H152)),"PREENCHA ESTA LINHA --&gt;","")</f>
        <v/>
      </c>
      <c r="K153" s="155"/>
      <c r="L153" s="155"/>
      <c r="M153" s="156"/>
      <c r="N153" s="156"/>
      <c r="O153" s="156"/>
      <c r="P153" s="156"/>
      <c r="Q153" s="156"/>
      <c r="R153" s="156"/>
      <c r="S153" s="157"/>
      <c r="T153" s="158"/>
      <c r="U153" s="501"/>
      <c r="V153" s="501"/>
      <c r="W153" s="501"/>
      <c r="X153" s="501"/>
      <c r="Y153" s="501"/>
      <c r="Z153" s="501"/>
      <c r="AA153" s="501"/>
      <c r="AB153" s="501"/>
      <c r="AC153" s="501"/>
      <c r="AD153" s="501"/>
      <c r="AE153" s="501"/>
      <c r="AF153" s="501"/>
      <c r="AG153" s="444"/>
    </row>
    <row r="154" spans="1:33" ht="12.75" hidden="1" customHeight="1" x14ac:dyDescent="0.25">
      <c r="D154" s="443"/>
      <c r="E154" s="159">
        <f ca="1">IF($R152=2,
         IF(AND(ACOMPANHAMENTO="PLE",ISNUMBER($F152)),
                SUMIF((OFFSET(CÁLCULO!$AM$15:$AW$15,$F152,0,OFFSET(ORÇAMENTO!$D$15,CRONO!$F152,0))),CRONO!E$12,OFFSET(CÁLCULO!$AB$15:$AL$15,$F152,0,OFFSET(ORÇAMENTO!$D$15,CRONO!$F152,0)))
                +IF(AND($F154&lt;&gt;"",$F154&lt;&gt;0),
                        SUMIF(CÁLCULO!$AM$15:$AW$36,CRONO!E$12,CÁLCULO!$AB$15:$AL$36)/(ORÇAMENTO!$X$15-CÁLCULO.TotalAdmLocal)*CRONO!$F154,
                        0),
                 E153*$S152),
          SUMIF(OFFSET($S154,1,0,$R152-2),($M152+1)&amp;"$",OFFSET(E154,1,0,$R152-2)))</f>
        <v>0</v>
      </c>
      <c r="F154" s="144" t="str">
        <f ca="1">IF(OR($R152&lt;&gt;2,AUTOEVENTO&lt;&gt;"manual",$F153&gt;0),"",
        IF(Import.TipoArredondamento="Tradicional",
              SUMIF(OFFSET(CÁLCULO!$M$15,CRONO!$F152,0,OFFSET(ORÇAMENTO!$D$15,CRONO!$F152,0)),1,OFFSET(ORÇAMENTO!$X$15,CRONO!$F152,0,OFFSET(ORÇAMENTO!$D$15,CRONO!$F152,0))),
              0))</f>
        <v/>
      </c>
      <c r="H154" s="530"/>
      <c r="S154" s="160" t="str">
        <f t="shared" ref="S154" ca="1" si="283">M152&amp;"$"</f>
        <v>1$</v>
      </c>
      <c r="T154" s="161"/>
      <c r="U154" s="159">
        <f ca="1">IF($R152=2,
         IF(AND(ACOMPANHAMENTO="PLE",ISNUMBER($F152)),
                SUMIF((OFFSET(CÁLCULO!$AM$15:$AW$15,$F152,0,OFFSET(ORÇAMENTO!$D$15,CRONO!$F152,0))),CRONO!U$12,OFFSET(CÁLCULO!$AB$15:$AL$15,$F152,0,OFFSET(ORÇAMENTO!$D$15,CRONO!$F152,0)))
                +IF(AND($F154&lt;&gt;"",$F154&lt;&gt;0),
                        SUMIF(CÁLCULO!$AM$15:$AW$36,CRONO!U$12,CÁLCULO!$AB$15:$AL$36)/(ORÇAMENTO!$X$15-CÁLCULO.TotalAdmLocal)*CRONO!$F154,
                        0),
                 U153*$S152),
          SUMIF(OFFSET($S154,1,0,$R152-2),($M152+1)&amp;"$",OFFSET(U154,1,0,$R152-2)))</f>
        <v>0</v>
      </c>
      <c r="V154" s="159">
        <f ca="1">IF($R152=2,
         IF(AND(ACOMPANHAMENTO="PLE",ISNUMBER($F152)),
                SUMIF((OFFSET(CÁLCULO!$AM$15:$AW$15,$F152,0,OFFSET(ORÇAMENTO!$D$15,CRONO!$F152,0))),CRONO!V$12,OFFSET(CÁLCULO!$AB$15:$AL$15,$F152,0,OFFSET(ORÇAMENTO!$D$15,CRONO!$F152,0)))
                +IF(AND($F154&lt;&gt;"",$F154&lt;&gt;0),
                        SUMIF(CÁLCULO!$AM$15:$AW$36,CRONO!V$12,CÁLCULO!$AB$15:$AL$36)/(ORÇAMENTO!$X$15-CÁLCULO.TotalAdmLocal)*CRONO!$F154,
                        0),
                 V153*$S152),
          SUMIF(OFFSET($S154,1,0,$R152-2),($M152+1)&amp;"$",OFFSET(V154,1,0,$R152-2)))</f>
        <v>0</v>
      </c>
      <c r="W154" s="159">
        <f ca="1">IF($R152=2,
         IF(AND(ACOMPANHAMENTO="PLE",ISNUMBER($F152)),
                SUMIF((OFFSET(CÁLCULO!$AM$15:$AW$15,$F152,0,OFFSET(ORÇAMENTO!$D$15,CRONO!$F152,0))),CRONO!W$12,OFFSET(CÁLCULO!$AB$15:$AL$15,$F152,0,OFFSET(ORÇAMENTO!$D$15,CRONO!$F152,0)))
                +IF(AND($F154&lt;&gt;"",$F154&lt;&gt;0),
                        SUMIF(CÁLCULO!$AM$15:$AW$36,CRONO!W$12,CÁLCULO!$AB$15:$AL$36)/(ORÇAMENTO!$X$15-CÁLCULO.TotalAdmLocal)*CRONO!$F154,
                        0),
                 W153*$S152),
          SUMIF(OFFSET($S154,1,0,$R152-2),($M152+1)&amp;"$",OFFSET(W154,1,0,$R152-2)))</f>
        <v>0</v>
      </c>
      <c r="X154" s="159">
        <f ca="1">IF($R152=2,
         IF(AND(ACOMPANHAMENTO="PLE",ISNUMBER($F152)),
                SUMIF((OFFSET(CÁLCULO!$AM$15:$AW$15,$F152,0,OFFSET(ORÇAMENTO!$D$15,CRONO!$F152,0))),CRONO!X$12,OFFSET(CÁLCULO!$AB$15:$AL$15,$F152,0,OFFSET(ORÇAMENTO!$D$15,CRONO!$F152,0)))
                +IF(AND($F154&lt;&gt;"",$F154&lt;&gt;0),
                        SUMIF(CÁLCULO!$AM$15:$AW$36,CRONO!X$12,CÁLCULO!$AB$15:$AL$36)/(ORÇAMENTO!$X$15-CÁLCULO.TotalAdmLocal)*CRONO!$F154,
                        0),
                 X153*$S152),
          SUMIF(OFFSET($S154,1,0,$R152-2),($M152+1)&amp;"$",OFFSET(X154,1,0,$R152-2)))</f>
        <v>0</v>
      </c>
      <c r="Y154" s="159">
        <f ca="1">IF($R152=2,
         IF(AND(ACOMPANHAMENTO="PLE",ISNUMBER($F152)),
                SUMIF((OFFSET(CÁLCULO!$AM$15:$AW$15,$F152,0,OFFSET(ORÇAMENTO!$D$15,CRONO!$F152,0))),CRONO!Y$12,OFFSET(CÁLCULO!$AB$15:$AL$15,$F152,0,OFFSET(ORÇAMENTO!$D$15,CRONO!$F152,0)))
                +IF(AND($F154&lt;&gt;"",$F154&lt;&gt;0),
                        SUMIF(CÁLCULO!$AM$15:$AW$36,CRONO!Y$12,CÁLCULO!$AB$15:$AL$36)/(ORÇAMENTO!$X$15-CÁLCULO.TotalAdmLocal)*CRONO!$F154,
                        0),
                 Y153*$S152),
          SUMIF(OFFSET($S154,1,0,$R152-2),($M152+1)&amp;"$",OFFSET(Y154,1,0,$R152-2)))</f>
        <v>0</v>
      </c>
      <c r="Z154" s="159">
        <f ca="1">IF($R152=2,
         IF(AND(ACOMPANHAMENTO="PLE",ISNUMBER($F152)),
                SUMIF((OFFSET(CÁLCULO!$AM$15:$AW$15,$F152,0,OFFSET(ORÇAMENTO!$D$15,CRONO!$F152,0))),CRONO!Z$12,OFFSET(CÁLCULO!$AB$15:$AL$15,$F152,0,OFFSET(ORÇAMENTO!$D$15,CRONO!$F152,0)))
                +IF(AND($F154&lt;&gt;"",$F154&lt;&gt;0),
                        SUMIF(CÁLCULO!$AM$15:$AW$36,CRONO!Z$12,CÁLCULO!$AB$15:$AL$36)/(ORÇAMENTO!$X$15-CÁLCULO.TotalAdmLocal)*CRONO!$F154,
                        0),
                 Z153*$S152),
          SUMIF(OFFSET($S154,1,0,$R152-2),($M152+1)&amp;"$",OFFSET(Z154,1,0,$R152-2)))</f>
        <v>0</v>
      </c>
      <c r="AA154" s="159">
        <f ca="1">IF($R152=2,
         IF(AND(ACOMPANHAMENTO="PLE",ISNUMBER($F152)),
                SUMIF((OFFSET(CÁLCULO!$AM$15:$AW$15,$F152,0,OFFSET(ORÇAMENTO!$D$15,CRONO!$F152,0))),CRONO!AA$12,OFFSET(CÁLCULO!$AB$15:$AL$15,$F152,0,OFFSET(ORÇAMENTO!$D$15,CRONO!$F152,0)))
                +IF(AND($F154&lt;&gt;"",$F154&lt;&gt;0),
                        SUMIF(CÁLCULO!$AM$15:$AW$36,CRONO!AA$12,CÁLCULO!$AB$15:$AL$36)/(ORÇAMENTO!$X$15-CÁLCULO.TotalAdmLocal)*CRONO!$F154,
                        0),
                 AA153*$S152),
          SUMIF(OFFSET($S154,1,0,$R152-2),($M152+1)&amp;"$",OFFSET(AA154,1,0,$R152-2)))</f>
        <v>0</v>
      </c>
      <c r="AB154" s="159">
        <f ca="1">IF($R152=2,
         IF(AND(ACOMPANHAMENTO="PLE",ISNUMBER($F152)),
                SUMIF((OFFSET(CÁLCULO!$AM$15:$AW$15,$F152,0,OFFSET(ORÇAMENTO!$D$15,CRONO!$F152,0))),CRONO!AB$12,OFFSET(CÁLCULO!$AB$15:$AL$15,$F152,0,OFFSET(ORÇAMENTO!$D$15,CRONO!$F152,0)))
                +IF(AND($F154&lt;&gt;"",$F154&lt;&gt;0),
                        SUMIF(CÁLCULO!$AM$15:$AW$36,CRONO!AB$12,CÁLCULO!$AB$15:$AL$36)/(ORÇAMENTO!$X$15-CÁLCULO.TotalAdmLocal)*CRONO!$F154,
                        0),
                 AB153*$S152),
          SUMIF(OFFSET($S154,1,0,$R152-2),($M152+1)&amp;"$",OFFSET(AB154,1,0,$R152-2)))</f>
        <v>0</v>
      </c>
      <c r="AC154" s="159">
        <f ca="1">IF($R152=2,
         IF(AND(ACOMPANHAMENTO="PLE",ISNUMBER($F152)),
                SUMIF((OFFSET(CÁLCULO!$AM$15:$AW$15,$F152,0,OFFSET(ORÇAMENTO!$D$15,CRONO!$F152,0))),CRONO!AC$12,OFFSET(CÁLCULO!$AB$15:$AL$15,$F152,0,OFFSET(ORÇAMENTO!$D$15,CRONO!$F152,0)))
                +IF(AND($F154&lt;&gt;"",$F154&lt;&gt;0),
                        SUMIF(CÁLCULO!$AM$15:$AW$36,CRONO!AC$12,CÁLCULO!$AB$15:$AL$36)/(ORÇAMENTO!$X$15-CÁLCULO.TotalAdmLocal)*CRONO!$F154,
                        0),
                 AC153*$S152),
          SUMIF(OFFSET($S154,1,0,$R152-2),($M152+1)&amp;"$",OFFSET(AC154,1,0,$R152-2)))</f>
        <v>0</v>
      </c>
      <c r="AD154" s="159">
        <f ca="1">IF($R152=2,
         IF(AND(ACOMPANHAMENTO="PLE",ISNUMBER($F152)),
                SUMIF((OFFSET(CÁLCULO!$AM$15:$AW$15,$F152,0,OFFSET(ORÇAMENTO!$D$15,CRONO!$F152,0))),CRONO!AD$12,OFFSET(CÁLCULO!$AB$15:$AL$15,$F152,0,OFFSET(ORÇAMENTO!$D$15,CRONO!$F152,0)))
                +IF(AND($F154&lt;&gt;"",$F154&lt;&gt;0),
                        SUMIF(CÁLCULO!$AM$15:$AW$36,CRONO!AD$12,CÁLCULO!$AB$15:$AL$36)/(ORÇAMENTO!$X$15-CÁLCULO.TotalAdmLocal)*CRONO!$F154,
                        0),
                 AD153*$S152),
          SUMIF(OFFSET($S154,1,0,$R152-2),($M152+1)&amp;"$",OFFSET(AD154,1,0,$R152-2)))</f>
        <v>0</v>
      </c>
      <c r="AE154" s="159">
        <f ca="1">IF($R152=2,
         IF(AND(ACOMPANHAMENTO="PLE",ISNUMBER($F152)),
                SUMIF((OFFSET(CÁLCULO!$AM$15:$AW$15,$F152,0,OFFSET(ORÇAMENTO!$D$15,CRONO!$F152,0))),CRONO!AE$12,OFFSET(CÁLCULO!$AB$15:$AL$15,$F152,0,OFFSET(ORÇAMENTO!$D$15,CRONO!$F152,0)))
                +IF(AND($F154&lt;&gt;"",$F154&lt;&gt;0),
                        SUMIF(CÁLCULO!$AM$15:$AW$36,CRONO!AE$12,CÁLCULO!$AB$15:$AL$36)/(ORÇAMENTO!$X$15-CÁLCULO.TotalAdmLocal)*CRONO!$F154,
                        0),
                 AE153*$S152),
          SUMIF(OFFSET($S154,1,0,$R152-2),($M152+1)&amp;"$",OFFSET(AE154,1,0,$R152-2)))</f>
        <v>0</v>
      </c>
      <c r="AF154" s="159">
        <f ca="1">IF($R152=2,
         IF(AND(ACOMPANHAMENTO="PLE",ISNUMBER($F152)),
                SUMIF((OFFSET(CÁLCULO!$AM$15:$AW$15,$F152,0,OFFSET(ORÇAMENTO!$D$15,CRONO!$F152,0))),CRONO!AF$12,OFFSET(CÁLCULO!$AB$15:$AL$15,$F152,0,OFFSET(ORÇAMENTO!$D$15,CRONO!$F152,0)))
                +IF(AND($F154&lt;&gt;"",$F154&lt;&gt;0),
                        SUMIF(CÁLCULO!$AM$15:$AW$36,CRONO!AF$12,CÁLCULO!$AB$15:$AL$36)/(ORÇAMENTO!$X$15-CÁLCULO.TotalAdmLocal)*CRONO!$F154,
                        0),
                 AF153*$S152),
          SUMIF(OFFSET($S154,1,0,$R152-2),($M152+1)&amp;"$",OFFSET(AF154,1,0,$R152-2)))</f>
        <v>0</v>
      </c>
      <c r="AG154" s="444"/>
    </row>
    <row r="155" spans="1:33" hidden="1" x14ac:dyDescent="0.25">
      <c r="A155" s="145" t="str">
        <f t="shared" ref="A155" ca="1" si="284">IF($M155&gt;1,CONCATENATE($I155," ",$J155),"")</f>
        <v/>
      </c>
      <c r="B155" s="144">
        <f t="shared" ref="B155" ca="1" si="285">OFFSET(B155,-3,0)+1</f>
        <v>48</v>
      </c>
      <c r="C155" s="144">
        <f ca="1">IF($R155&lt;&gt;2,0,IF($S155=0,1,IF(F156&gt;0,OFFSET(QCI!$M$13,SUBSTITUTE(F156,".",""),0),OFFSET(ORÇAMENTO!$AA$15,CRONO!$F155,0))/$S155))</f>
        <v>0</v>
      </c>
      <c r="D155" s="144">
        <f ca="1">IF($R155&lt;&gt;2,0,IF($S155=0,1,IF(F156&gt;0,OFFSET(QCI!$N$13,SUBSTITUTE(F156,".",""),0),OFFSET(ORÇAMENTO!$AB$15,CRONO!$F155,0))/$S155))</f>
        <v>0</v>
      </c>
      <c r="E155" s="147" t="e">
        <f ca="1">IF(AND($R155=2,ACOMPANHAMENTO="BM"),ROUND(E156,4),E157/$S155)</f>
        <v>#VALUE!</v>
      </c>
      <c r="F155" s="144" t="e">
        <f ca="1">IF(B155&lt;=ORÇAMENTO.MáximoListaCrono,MATCH(B155,ORÇAMENTO.ListaCrono,0),NA())</f>
        <v>#N/A</v>
      </c>
      <c r="G155" s="144" t="str">
        <f t="shared" ref="G155" ca="1" si="286">IF(AND($F156&lt;&gt;-1,$S155&gt;0),"F","")</f>
        <v/>
      </c>
      <c r="H155" s="617" t="str">
        <f ca="1">IF(OR(S155=0,S155=""),"Linha",IF(AND(OR(ACOMPANHAMENTO="PLE",$R155&lt;&gt;2),$F156=0),"Linha",ROUND(1-SUM(U155:AG155),4)))</f>
        <v>Linha</v>
      </c>
      <c r="I155" s="148" t="str">
        <f ca="1">IF($F156=0,OFFSET(ORÇAMENTO!O$15,$F155,0),IF($F156&lt;&gt;-1,OFFSET(QCI!$D$13,$F156,0),""))</f>
        <v/>
      </c>
      <c r="J155" s="149" t="str">
        <f ca="1">IF($F156=0,OFFSET(ORÇAMENTO!R$15,$F155,0),IF($F156&lt;&gt;-1,OFFSET(QCI!$G$13,$F156,0),""))</f>
        <v/>
      </c>
      <c r="K155" s="149"/>
      <c r="L155" s="149"/>
      <c r="M155" s="150">
        <f ca="1">IF($F156=0,OFFSET(ORÇAMENTO!C$15,$F155,0),1)</f>
        <v>1</v>
      </c>
      <c r="N155" s="151">
        <f ca="1">IF($F156=-1,0,IF(N$13&lt;=$M155,IF(ISERROR(MATCH(N$13,OFFSET($M155,1,0,ROW($M$164)-ROW($M155)-1),0)),ROW($M$164)-ROW($M155)-1,MATCH(N$13,OFFSET($M155,1,0,ROW($M$164)-ROW($M155)-1),0)-1),0))</f>
        <v>0</v>
      </c>
      <c r="O155" s="151">
        <f ca="1">IF($F156=-1,0,IF(O$13&lt;=$M155,IF(ISERROR(MATCH(O$13,OFFSET($M155,1,0,ROW($M$164)-ROW($M155)-1),0)),ROW($M$164)-ROW($M155)-1,MATCH(O$13,OFFSET($M155,1,0,ROW($M$164)-ROW($M155)-1),0)-1),0))</f>
        <v>0</v>
      </c>
      <c r="P155" s="151">
        <f ca="1">IF($F156=-1,0,IF(P$13&lt;=$M155,IF(ISERROR(MATCH(P$13,OFFSET($M155,1,0,ROW($M$164)-ROW($M155)-1),0)),ROW($M$164)-ROW($M155)-1,MATCH(P$13,OFFSET($M155,1,0,ROW($M$164)-ROW($M155)-1),0)-1),0))</f>
        <v>0</v>
      </c>
      <c r="Q155" s="151">
        <f ca="1">IF($F156=-1,0,IF(Q$13&lt;=$M155,IF(ISERROR(MATCH(Q$13,OFFSET($M155,1,0,ROW($M$164)-ROW($M155)-1),0)),ROW($M$164)-ROW($M155)-1,MATCH(Q$13,OFFSET($M155,1,0,ROW($M$164)-ROW($M155)-1),0)-1),0))</f>
        <v>0</v>
      </c>
      <c r="R155" s="151">
        <f t="shared" ref="R155" ca="1" si="287">MIN(OFFSET(M155,0,1,,M155))</f>
        <v>0</v>
      </c>
      <c r="S155" s="152" t="str">
        <f ca="1">IF($F156=0,OFFSET(ORÇAMENTO!X$15,$F155,0),IF($F156&lt;&gt;-1,OFFSET(QCI!$O$13,$F156,0),""))</f>
        <v/>
      </c>
      <c r="T155" s="618" t="s">
        <v>809</v>
      </c>
      <c r="U155" s="147" t="e">
        <f ca="1">IF(AND($R155=2,ACOMPANHAMENTO="BM"),ROUND(U156,4),U157/$S155)</f>
        <v>#VALUE!</v>
      </c>
      <c r="V155" s="147" t="e">
        <f ca="1">IF(AND($R155=2,ACOMPANHAMENTO="BM"),ROUND(V156,4),V157/$S155)</f>
        <v>#VALUE!</v>
      </c>
      <c r="W155" s="147" t="e">
        <f ca="1">IF(AND($R155=2,ACOMPANHAMENTO="BM"),ROUND(W156,4),W157/$S155)</f>
        <v>#VALUE!</v>
      </c>
      <c r="X155" s="147" t="e">
        <f ca="1">IF(AND($R155=2,ACOMPANHAMENTO="BM"),ROUND(X156,4),X157/$S155)</f>
        <v>#VALUE!</v>
      </c>
      <c r="Y155" s="147" t="e">
        <f ca="1">IF(AND($R155=2,ACOMPANHAMENTO="BM"),ROUND(Y156,4),Y157/$S155)</f>
        <v>#VALUE!</v>
      </c>
      <c r="Z155" s="147" t="e">
        <f ca="1">IF(AND($R155=2,ACOMPANHAMENTO="BM"),ROUND(Z156,4),Z157/$S155)</f>
        <v>#VALUE!</v>
      </c>
      <c r="AA155" s="147" t="e">
        <f ca="1">IF(AND($R155=2,ACOMPANHAMENTO="BM"),ROUND(AA156,4),AA157/$S155)</f>
        <v>#VALUE!</v>
      </c>
      <c r="AB155" s="147" t="e">
        <f ca="1">IF(AND($R155=2,ACOMPANHAMENTO="BM"),ROUND(AB156,4),AB157/$S155)</f>
        <v>#VALUE!</v>
      </c>
      <c r="AC155" s="147" t="e">
        <f ca="1">IF(AND($R155=2,ACOMPANHAMENTO="BM"),ROUND(AC156,4),AC157/$S155)</f>
        <v>#VALUE!</v>
      </c>
      <c r="AD155" s="147" t="e">
        <f ca="1">IF(AND($R155=2,ACOMPANHAMENTO="BM"),ROUND(AD156,4),AD157/$S155)</f>
        <v>#VALUE!</v>
      </c>
      <c r="AE155" s="147" t="e">
        <f ca="1">IF(AND($R155=2,ACOMPANHAMENTO="BM"),ROUND(AE156,4),AE157/$S155)</f>
        <v>#VALUE!</v>
      </c>
      <c r="AF155" s="147" t="e">
        <f ca="1">IF(AND($R155=2,ACOMPANHAMENTO="BM"),ROUND(AF156,4),AF157/$S155)</f>
        <v>#VALUE!</v>
      </c>
      <c r="AG155" s="444"/>
    </row>
    <row r="156" spans="1:33" ht="12.75" hidden="1" customHeight="1" x14ac:dyDescent="0.25">
      <c r="E156" s="501"/>
      <c r="F156" s="144">
        <f ca="1">IF(ISERROR(F155),IF(1+COUNTIF($M$13:OFFSET(M155,-1,0),1)&lt;=MAX(QCI!$D$13:$D$24),1+COUNTIF($M$13:OFFSET(M155,-1,0),1),-1),0)</f>
        <v>-1</v>
      </c>
      <c r="G156" s="144" t="str">
        <f ca="1">IF(ACOMPANHAMENTO="BM",OFFSET(G156,-1,0),"")</f>
        <v/>
      </c>
      <c r="H156" s="153" t="str">
        <f ca="1">IF(OR(S155=0,S155=""),"vazia",IF(AND(OR(ACOMPANHAMENTO="PLE",$R155&lt;&gt;2),$F156=0),"calculada","--&gt;"))</f>
        <v>vazia</v>
      </c>
      <c r="I156" s="154"/>
      <c r="J156" s="155" t="str">
        <f t="shared" ref="J156" ca="1" si="288">IF(AND(H155&lt;&gt;0,ISNUMBER(H155)),"PREENCHA ESTA LINHA --&gt;","")</f>
        <v/>
      </c>
      <c r="K156" s="155"/>
      <c r="L156" s="155"/>
      <c r="M156" s="156"/>
      <c r="N156" s="156"/>
      <c r="O156" s="156"/>
      <c r="P156" s="156"/>
      <c r="Q156" s="156"/>
      <c r="R156" s="156"/>
      <c r="S156" s="157"/>
      <c r="T156" s="158"/>
      <c r="U156" s="501"/>
      <c r="V156" s="501"/>
      <c r="W156" s="501"/>
      <c r="X156" s="501"/>
      <c r="Y156" s="501"/>
      <c r="Z156" s="501"/>
      <c r="AA156" s="501"/>
      <c r="AB156" s="501"/>
      <c r="AC156" s="501"/>
      <c r="AD156" s="501"/>
      <c r="AE156" s="501"/>
      <c r="AF156" s="501"/>
      <c r="AG156" s="444"/>
    </row>
    <row r="157" spans="1:33" ht="12.75" hidden="1" customHeight="1" x14ac:dyDescent="0.25">
      <c r="D157" s="443"/>
      <c r="E157" s="159">
        <f ca="1">IF($R155=2,
         IF(AND(ACOMPANHAMENTO="PLE",ISNUMBER($F155)),
                SUMIF((OFFSET(CÁLCULO!$AM$15:$AW$15,$F155,0,OFFSET(ORÇAMENTO!$D$15,CRONO!$F155,0))),CRONO!E$12,OFFSET(CÁLCULO!$AB$15:$AL$15,$F155,0,OFFSET(ORÇAMENTO!$D$15,CRONO!$F155,0)))
                +IF(AND($F157&lt;&gt;"",$F157&lt;&gt;0),
                        SUMIF(CÁLCULO!$AM$15:$AW$36,CRONO!E$12,CÁLCULO!$AB$15:$AL$36)/(ORÇAMENTO!$X$15-CÁLCULO.TotalAdmLocal)*CRONO!$F157,
                        0),
                 E156*$S155),
          SUMIF(OFFSET($S157,1,0,$R155-2),($M155+1)&amp;"$",OFFSET(E157,1,0,$R155-2)))</f>
        <v>0</v>
      </c>
      <c r="F157" s="144" t="str">
        <f ca="1">IF(OR($R155&lt;&gt;2,AUTOEVENTO&lt;&gt;"manual",$F156&gt;0),"",
        IF(Import.TipoArredondamento="Tradicional",
              SUMIF(OFFSET(CÁLCULO!$M$15,CRONO!$F155,0,OFFSET(ORÇAMENTO!$D$15,CRONO!$F155,0)),1,OFFSET(ORÇAMENTO!$X$15,CRONO!$F155,0,OFFSET(ORÇAMENTO!$D$15,CRONO!$F155,0))),
              0))</f>
        <v/>
      </c>
      <c r="H157" s="530"/>
      <c r="S157" s="160" t="str">
        <f t="shared" ref="S157" ca="1" si="289">M155&amp;"$"</f>
        <v>1$</v>
      </c>
      <c r="T157" s="161"/>
      <c r="U157" s="159">
        <f ca="1">IF($R155=2,
         IF(AND(ACOMPANHAMENTO="PLE",ISNUMBER($F155)),
                SUMIF((OFFSET(CÁLCULO!$AM$15:$AW$15,$F155,0,OFFSET(ORÇAMENTO!$D$15,CRONO!$F155,0))),CRONO!U$12,OFFSET(CÁLCULO!$AB$15:$AL$15,$F155,0,OFFSET(ORÇAMENTO!$D$15,CRONO!$F155,0)))
                +IF(AND($F157&lt;&gt;"",$F157&lt;&gt;0),
                        SUMIF(CÁLCULO!$AM$15:$AW$36,CRONO!U$12,CÁLCULO!$AB$15:$AL$36)/(ORÇAMENTO!$X$15-CÁLCULO.TotalAdmLocal)*CRONO!$F157,
                        0),
                 U156*$S155),
          SUMIF(OFFSET($S157,1,0,$R155-2),($M155+1)&amp;"$",OFFSET(U157,1,0,$R155-2)))</f>
        <v>0</v>
      </c>
      <c r="V157" s="159">
        <f ca="1">IF($R155=2,
         IF(AND(ACOMPANHAMENTO="PLE",ISNUMBER($F155)),
                SUMIF((OFFSET(CÁLCULO!$AM$15:$AW$15,$F155,0,OFFSET(ORÇAMENTO!$D$15,CRONO!$F155,0))),CRONO!V$12,OFFSET(CÁLCULO!$AB$15:$AL$15,$F155,0,OFFSET(ORÇAMENTO!$D$15,CRONO!$F155,0)))
                +IF(AND($F157&lt;&gt;"",$F157&lt;&gt;0),
                        SUMIF(CÁLCULO!$AM$15:$AW$36,CRONO!V$12,CÁLCULO!$AB$15:$AL$36)/(ORÇAMENTO!$X$15-CÁLCULO.TotalAdmLocal)*CRONO!$F157,
                        0),
                 V156*$S155),
          SUMIF(OFFSET($S157,1,0,$R155-2),($M155+1)&amp;"$",OFFSET(V157,1,0,$R155-2)))</f>
        <v>0</v>
      </c>
      <c r="W157" s="159">
        <f ca="1">IF($R155=2,
         IF(AND(ACOMPANHAMENTO="PLE",ISNUMBER($F155)),
                SUMIF((OFFSET(CÁLCULO!$AM$15:$AW$15,$F155,0,OFFSET(ORÇAMENTO!$D$15,CRONO!$F155,0))),CRONO!W$12,OFFSET(CÁLCULO!$AB$15:$AL$15,$F155,0,OFFSET(ORÇAMENTO!$D$15,CRONO!$F155,0)))
                +IF(AND($F157&lt;&gt;"",$F157&lt;&gt;0),
                        SUMIF(CÁLCULO!$AM$15:$AW$36,CRONO!W$12,CÁLCULO!$AB$15:$AL$36)/(ORÇAMENTO!$X$15-CÁLCULO.TotalAdmLocal)*CRONO!$F157,
                        0),
                 W156*$S155),
          SUMIF(OFFSET($S157,1,0,$R155-2),($M155+1)&amp;"$",OFFSET(W157,1,0,$R155-2)))</f>
        <v>0</v>
      </c>
      <c r="X157" s="159">
        <f ca="1">IF($R155=2,
         IF(AND(ACOMPANHAMENTO="PLE",ISNUMBER($F155)),
                SUMIF((OFFSET(CÁLCULO!$AM$15:$AW$15,$F155,0,OFFSET(ORÇAMENTO!$D$15,CRONO!$F155,0))),CRONO!X$12,OFFSET(CÁLCULO!$AB$15:$AL$15,$F155,0,OFFSET(ORÇAMENTO!$D$15,CRONO!$F155,0)))
                +IF(AND($F157&lt;&gt;"",$F157&lt;&gt;0),
                        SUMIF(CÁLCULO!$AM$15:$AW$36,CRONO!X$12,CÁLCULO!$AB$15:$AL$36)/(ORÇAMENTO!$X$15-CÁLCULO.TotalAdmLocal)*CRONO!$F157,
                        0),
                 X156*$S155),
          SUMIF(OFFSET($S157,1,0,$R155-2),($M155+1)&amp;"$",OFFSET(X157,1,0,$R155-2)))</f>
        <v>0</v>
      </c>
      <c r="Y157" s="159">
        <f ca="1">IF($R155=2,
         IF(AND(ACOMPANHAMENTO="PLE",ISNUMBER($F155)),
                SUMIF((OFFSET(CÁLCULO!$AM$15:$AW$15,$F155,0,OFFSET(ORÇAMENTO!$D$15,CRONO!$F155,0))),CRONO!Y$12,OFFSET(CÁLCULO!$AB$15:$AL$15,$F155,0,OFFSET(ORÇAMENTO!$D$15,CRONO!$F155,0)))
                +IF(AND($F157&lt;&gt;"",$F157&lt;&gt;0),
                        SUMIF(CÁLCULO!$AM$15:$AW$36,CRONO!Y$12,CÁLCULO!$AB$15:$AL$36)/(ORÇAMENTO!$X$15-CÁLCULO.TotalAdmLocal)*CRONO!$F157,
                        0),
                 Y156*$S155),
          SUMIF(OFFSET($S157,1,0,$R155-2),($M155+1)&amp;"$",OFFSET(Y157,1,0,$R155-2)))</f>
        <v>0</v>
      </c>
      <c r="Z157" s="159">
        <f ca="1">IF($R155=2,
         IF(AND(ACOMPANHAMENTO="PLE",ISNUMBER($F155)),
                SUMIF((OFFSET(CÁLCULO!$AM$15:$AW$15,$F155,0,OFFSET(ORÇAMENTO!$D$15,CRONO!$F155,0))),CRONO!Z$12,OFFSET(CÁLCULO!$AB$15:$AL$15,$F155,0,OFFSET(ORÇAMENTO!$D$15,CRONO!$F155,0)))
                +IF(AND($F157&lt;&gt;"",$F157&lt;&gt;0),
                        SUMIF(CÁLCULO!$AM$15:$AW$36,CRONO!Z$12,CÁLCULO!$AB$15:$AL$36)/(ORÇAMENTO!$X$15-CÁLCULO.TotalAdmLocal)*CRONO!$F157,
                        0),
                 Z156*$S155),
          SUMIF(OFFSET($S157,1,0,$R155-2),($M155+1)&amp;"$",OFFSET(Z157,1,0,$R155-2)))</f>
        <v>0</v>
      </c>
      <c r="AA157" s="159">
        <f ca="1">IF($R155=2,
         IF(AND(ACOMPANHAMENTO="PLE",ISNUMBER($F155)),
                SUMIF((OFFSET(CÁLCULO!$AM$15:$AW$15,$F155,0,OFFSET(ORÇAMENTO!$D$15,CRONO!$F155,0))),CRONO!AA$12,OFFSET(CÁLCULO!$AB$15:$AL$15,$F155,0,OFFSET(ORÇAMENTO!$D$15,CRONO!$F155,0)))
                +IF(AND($F157&lt;&gt;"",$F157&lt;&gt;0),
                        SUMIF(CÁLCULO!$AM$15:$AW$36,CRONO!AA$12,CÁLCULO!$AB$15:$AL$36)/(ORÇAMENTO!$X$15-CÁLCULO.TotalAdmLocal)*CRONO!$F157,
                        0),
                 AA156*$S155),
          SUMIF(OFFSET($S157,1,0,$R155-2),($M155+1)&amp;"$",OFFSET(AA157,1,0,$R155-2)))</f>
        <v>0</v>
      </c>
      <c r="AB157" s="159">
        <f ca="1">IF($R155=2,
         IF(AND(ACOMPANHAMENTO="PLE",ISNUMBER($F155)),
                SUMIF((OFFSET(CÁLCULO!$AM$15:$AW$15,$F155,0,OFFSET(ORÇAMENTO!$D$15,CRONO!$F155,0))),CRONO!AB$12,OFFSET(CÁLCULO!$AB$15:$AL$15,$F155,0,OFFSET(ORÇAMENTO!$D$15,CRONO!$F155,0)))
                +IF(AND($F157&lt;&gt;"",$F157&lt;&gt;0),
                        SUMIF(CÁLCULO!$AM$15:$AW$36,CRONO!AB$12,CÁLCULO!$AB$15:$AL$36)/(ORÇAMENTO!$X$15-CÁLCULO.TotalAdmLocal)*CRONO!$F157,
                        0),
                 AB156*$S155),
          SUMIF(OFFSET($S157,1,0,$R155-2),($M155+1)&amp;"$",OFFSET(AB157,1,0,$R155-2)))</f>
        <v>0</v>
      </c>
      <c r="AC157" s="159">
        <f ca="1">IF($R155=2,
         IF(AND(ACOMPANHAMENTO="PLE",ISNUMBER($F155)),
                SUMIF((OFFSET(CÁLCULO!$AM$15:$AW$15,$F155,0,OFFSET(ORÇAMENTO!$D$15,CRONO!$F155,0))),CRONO!AC$12,OFFSET(CÁLCULO!$AB$15:$AL$15,$F155,0,OFFSET(ORÇAMENTO!$D$15,CRONO!$F155,0)))
                +IF(AND($F157&lt;&gt;"",$F157&lt;&gt;0),
                        SUMIF(CÁLCULO!$AM$15:$AW$36,CRONO!AC$12,CÁLCULO!$AB$15:$AL$36)/(ORÇAMENTO!$X$15-CÁLCULO.TotalAdmLocal)*CRONO!$F157,
                        0),
                 AC156*$S155),
          SUMIF(OFFSET($S157,1,0,$R155-2),($M155+1)&amp;"$",OFFSET(AC157,1,0,$R155-2)))</f>
        <v>0</v>
      </c>
      <c r="AD157" s="159">
        <f ca="1">IF($R155=2,
         IF(AND(ACOMPANHAMENTO="PLE",ISNUMBER($F155)),
                SUMIF((OFFSET(CÁLCULO!$AM$15:$AW$15,$F155,0,OFFSET(ORÇAMENTO!$D$15,CRONO!$F155,0))),CRONO!AD$12,OFFSET(CÁLCULO!$AB$15:$AL$15,$F155,0,OFFSET(ORÇAMENTO!$D$15,CRONO!$F155,0)))
                +IF(AND($F157&lt;&gt;"",$F157&lt;&gt;0),
                        SUMIF(CÁLCULO!$AM$15:$AW$36,CRONO!AD$12,CÁLCULO!$AB$15:$AL$36)/(ORÇAMENTO!$X$15-CÁLCULO.TotalAdmLocal)*CRONO!$F157,
                        0),
                 AD156*$S155),
          SUMIF(OFFSET($S157,1,0,$R155-2),($M155+1)&amp;"$",OFFSET(AD157,1,0,$R155-2)))</f>
        <v>0</v>
      </c>
      <c r="AE157" s="159">
        <f ca="1">IF($R155=2,
         IF(AND(ACOMPANHAMENTO="PLE",ISNUMBER($F155)),
                SUMIF((OFFSET(CÁLCULO!$AM$15:$AW$15,$F155,0,OFFSET(ORÇAMENTO!$D$15,CRONO!$F155,0))),CRONO!AE$12,OFFSET(CÁLCULO!$AB$15:$AL$15,$F155,0,OFFSET(ORÇAMENTO!$D$15,CRONO!$F155,0)))
                +IF(AND($F157&lt;&gt;"",$F157&lt;&gt;0),
                        SUMIF(CÁLCULO!$AM$15:$AW$36,CRONO!AE$12,CÁLCULO!$AB$15:$AL$36)/(ORÇAMENTO!$X$15-CÁLCULO.TotalAdmLocal)*CRONO!$F157,
                        0),
                 AE156*$S155),
          SUMIF(OFFSET($S157,1,0,$R155-2),($M155+1)&amp;"$",OFFSET(AE157,1,0,$R155-2)))</f>
        <v>0</v>
      </c>
      <c r="AF157" s="159">
        <f ca="1">IF($R155=2,
         IF(AND(ACOMPANHAMENTO="PLE",ISNUMBER($F155)),
                SUMIF((OFFSET(CÁLCULO!$AM$15:$AW$15,$F155,0,OFFSET(ORÇAMENTO!$D$15,CRONO!$F155,0))),CRONO!AF$12,OFFSET(CÁLCULO!$AB$15:$AL$15,$F155,0,OFFSET(ORÇAMENTO!$D$15,CRONO!$F155,0)))
                +IF(AND($F157&lt;&gt;"",$F157&lt;&gt;0),
                        SUMIF(CÁLCULO!$AM$15:$AW$36,CRONO!AF$12,CÁLCULO!$AB$15:$AL$36)/(ORÇAMENTO!$X$15-CÁLCULO.TotalAdmLocal)*CRONO!$F157,
                        0),
                 AF156*$S155),
          SUMIF(OFFSET($S157,1,0,$R155-2),($M155+1)&amp;"$",OFFSET(AF157,1,0,$R155-2)))</f>
        <v>0</v>
      </c>
      <c r="AG157" s="444"/>
    </row>
    <row r="158" spans="1:33" hidden="1" x14ac:dyDescent="0.25">
      <c r="A158" s="145" t="str">
        <f t="shared" ref="A158" ca="1" si="290">IF($M158&gt;1,CONCATENATE($I158," ",$J158),"")</f>
        <v/>
      </c>
      <c r="B158" s="144">
        <f t="shared" ref="B158" ca="1" si="291">OFFSET(B158,-3,0)+1</f>
        <v>49</v>
      </c>
      <c r="C158" s="144">
        <f ca="1">IF($R158&lt;&gt;2,0,IF($S158=0,1,IF(F159&gt;0,OFFSET(QCI!$M$13,SUBSTITUTE(F159,".",""),0),OFFSET(ORÇAMENTO!$AA$15,CRONO!$F158,0))/$S158))</f>
        <v>0</v>
      </c>
      <c r="D158" s="144">
        <f ca="1">IF($R158&lt;&gt;2,0,IF($S158=0,1,IF(F159&gt;0,OFFSET(QCI!$N$13,SUBSTITUTE(F159,".",""),0),OFFSET(ORÇAMENTO!$AB$15,CRONO!$F158,0))/$S158))</f>
        <v>0</v>
      </c>
      <c r="E158" s="147" t="e">
        <f ca="1">IF(AND($R158=2,ACOMPANHAMENTO="BM"),ROUND(E159,4),E160/$S158)</f>
        <v>#VALUE!</v>
      </c>
      <c r="F158" s="144" t="e">
        <f ca="1">IF(B158&lt;=ORÇAMENTO.MáximoListaCrono,MATCH(B158,ORÇAMENTO.ListaCrono,0),NA())</f>
        <v>#N/A</v>
      </c>
      <c r="G158" s="144" t="str">
        <f t="shared" ref="G158" ca="1" si="292">IF(AND($F159&lt;&gt;-1,$S158&gt;0),"F","")</f>
        <v/>
      </c>
      <c r="H158" s="617" t="str">
        <f ca="1">IF(OR(S158=0,S158=""),"Linha",IF(AND(OR(ACOMPANHAMENTO="PLE",$R158&lt;&gt;2),$F159=0),"Linha",ROUND(1-SUM(U158:AG158),4)))</f>
        <v>Linha</v>
      </c>
      <c r="I158" s="148" t="str">
        <f ca="1">IF($F159=0,OFFSET(ORÇAMENTO!O$15,$F158,0),IF($F159&lt;&gt;-1,OFFSET(QCI!$D$13,$F159,0),""))</f>
        <v/>
      </c>
      <c r="J158" s="149" t="str">
        <f ca="1">IF($F159=0,OFFSET(ORÇAMENTO!R$15,$F158,0),IF($F159&lt;&gt;-1,OFFSET(QCI!$G$13,$F159,0),""))</f>
        <v/>
      </c>
      <c r="K158" s="149"/>
      <c r="L158" s="149"/>
      <c r="M158" s="150">
        <f ca="1">IF($F159=0,OFFSET(ORÇAMENTO!C$15,$F158,0),1)</f>
        <v>1</v>
      </c>
      <c r="N158" s="151">
        <f t="shared" ref="N158" ca="1" si="293">IF($F159=-1,0,IF(N$13&lt;=$M158,IF(ISERROR(MATCH(N$13,OFFSET($M158,1,0,ROW($M$164)-ROW($M158)-1),0)),ROW($M$164)-ROW($M158)-1,MATCH(N$13,OFFSET($M158,1,0,ROW($M$164)-ROW($M158)-1),0)-1),0))</f>
        <v>0</v>
      </c>
      <c r="O158" s="151">
        <f t="shared" ref="O158" ca="1" si="294">IF($F159=-1,0,IF(O$13&lt;=$M158,IF(ISERROR(MATCH(O$13,OFFSET($M158,1,0,ROW($M$164)-ROW($M158)-1),0)),ROW($M$164)-ROW($M158)-1,MATCH(O$13,OFFSET($M158,1,0,ROW($M$164)-ROW($M158)-1),0)-1),0))</f>
        <v>0</v>
      </c>
      <c r="P158" s="151">
        <f t="shared" ref="P158" ca="1" si="295">IF($F159=-1,0,IF(P$13&lt;=$M158,IF(ISERROR(MATCH(P$13,OFFSET($M158,1,0,ROW($M$164)-ROW($M158)-1),0)),ROW($M$164)-ROW($M158)-1,MATCH(P$13,OFFSET($M158,1,0,ROW($M$164)-ROW($M158)-1),0)-1),0))</f>
        <v>0</v>
      </c>
      <c r="Q158" s="151">
        <f t="shared" ref="Q158" ca="1" si="296">IF($F159=-1,0,IF(Q$13&lt;=$M158,IF(ISERROR(MATCH(Q$13,OFFSET($M158,1,0,ROW($M$164)-ROW($M158)-1),0)),ROW($M$164)-ROW($M158)-1,MATCH(Q$13,OFFSET($M158,1,0,ROW($M$164)-ROW($M158)-1),0)-1),0))</f>
        <v>0</v>
      </c>
      <c r="R158" s="151">
        <f t="shared" ref="R158" ca="1" si="297">MIN(OFFSET(M158,0,1,,M158))</f>
        <v>0</v>
      </c>
      <c r="S158" s="152" t="str">
        <f ca="1">IF($F159=0,OFFSET(ORÇAMENTO!X$15,$F158,0),IF($F159&lt;&gt;-1,OFFSET(QCI!$O$13,$F159,0),""))</f>
        <v/>
      </c>
      <c r="T158" s="618" t="s">
        <v>809</v>
      </c>
      <c r="U158" s="147" t="e">
        <f ca="1">IF(AND($R158=2,ACOMPANHAMENTO="BM"),ROUND(U159,4),U160/$S158)</f>
        <v>#VALUE!</v>
      </c>
      <c r="V158" s="147" t="e">
        <f ca="1">IF(AND($R158=2,ACOMPANHAMENTO="BM"),ROUND(V159,4),V160/$S158)</f>
        <v>#VALUE!</v>
      </c>
      <c r="W158" s="147" t="e">
        <f ca="1">IF(AND($R158=2,ACOMPANHAMENTO="BM"),ROUND(W159,4),W160/$S158)</f>
        <v>#VALUE!</v>
      </c>
      <c r="X158" s="147" t="e">
        <f ca="1">IF(AND($R158=2,ACOMPANHAMENTO="BM"),ROUND(X159,4),X160/$S158)</f>
        <v>#VALUE!</v>
      </c>
      <c r="Y158" s="147" t="e">
        <f ca="1">IF(AND($R158=2,ACOMPANHAMENTO="BM"),ROUND(Y159,4),Y160/$S158)</f>
        <v>#VALUE!</v>
      </c>
      <c r="Z158" s="147" t="e">
        <f ca="1">IF(AND($R158=2,ACOMPANHAMENTO="BM"),ROUND(Z159,4),Z160/$S158)</f>
        <v>#VALUE!</v>
      </c>
      <c r="AA158" s="147" t="e">
        <f ca="1">IF(AND($R158=2,ACOMPANHAMENTO="BM"),ROUND(AA159,4),AA160/$S158)</f>
        <v>#VALUE!</v>
      </c>
      <c r="AB158" s="147" t="e">
        <f ca="1">IF(AND($R158=2,ACOMPANHAMENTO="BM"),ROUND(AB159,4),AB160/$S158)</f>
        <v>#VALUE!</v>
      </c>
      <c r="AC158" s="147" t="e">
        <f ca="1">IF(AND($R158=2,ACOMPANHAMENTO="BM"),ROUND(AC159,4),AC160/$S158)</f>
        <v>#VALUE!</v>
      </c>
      <c r="AD158" s="147" t="e">
        <f ca="1">IF(AND($R158=2,ACOMPANHAMENTO="BM"),ROUND(AD159,4),AD160/$S158)</f>
        <v>#VALUE!</v>
      </c>
      <c r="AE158" s="147" t="e">
        <f ca="1">IF(AND($R158=2,ACOMPANHAMENTO="BM"),ROUND(AE159,4),AE160/$S158)</f>
        <v>#VALUE!</v>
      </c>
      <c r="AF158" s="147" t="e">
        <f ca="1">IF(AND($R158=2,ACOMPANHAMENTO="BM"),ROUND(AF159,4),AF160/$S158)</f>
        <v>#VALUE!</v>
      </c>
      <c r="AG158" s="444"/>
    </row>
    <row r="159" spans="1:33" ht="12.75" hidden="1" customHeight="1" x14ac:dyDescent="0.25">
      <c r="E159" s="501"/>
      <c r="F159" s="144">
        <f ca="1">IF(ISERROR(F158),IF(1+COUNTIF($M$13:OFFSET(M158,-1,0),1)&lt;=MAX(QCI!$D$13:$D$24),1+COUNTIF($M$13:OFFSET(M158,-1,0),1),-1),0)</f>
        <v>-1</v>
      </c>
      <c r="G159" s="144" t="str">
        <f ca="1">IF(ACOMPANHAMENTO="BM",OFFSET(G159,-1,0),"")</f>
        <v/>
      </c>
      <c r="H159" s="153" t="str">
        <f ca="1">IF(OR(S158=0,S158=""),"vazia",IF(AND(OR(ACOMPANHAMENTO="PLE",$R158&lt;&gt;2),$F159=0),"calculada","--&gt;"))</f>
        <v>vazia</v>
      </c>
      <c r="I159" s="154"/>
      <c r="J159" s="155" t="str">
        <f t="shared" ref="J159" ca="1" si="298">IF(AND(H158&lt;&gt;0,ISNUMBER(H158)),"PREENCHA ESTA LINHA --&gt;","")</f>
        <v/>
      </c>
      <c r="K159" s="155"/>
      <c r="L159" s="155"/>
      <c r="M159" s="156"/>
      <c r="N159" s="156"/>
      <c r="O159" s="156"/>
      <c r="P159" s="156"/>
      <c r="Q159" s="156"/>
      <c r="R159" s="156"/>
      <c r="S159" s="157"/>
      <c r="T159" s="158"/>
      <c r="U159" s="501"/>
      <c r="V159" s="501"/>
      <c r="W159" s="501"/>
      <c r="X159" s="501"/>
      <c r="Y159" s="501"/>
      <c r="Z159" s="501"/>
      <c r="AA159" s="501"/>
      <c r="AB159" s="501"/>
      <c r="AC159" s="501"/>
      <c r="AD159" s="501"/>
      <c r="AE159" s="501"/>
      <c r="AF159" s="501"/>
      <c r="AG159" s="444"/>
    </row>
    <row r="160" spans="1:33" ht="12.75" hidden="1" customHeight="1" x14ac:dyDescent="0.25">
      <c r="D160" s="443"/>
      <c r="E160" s="159">
        <f ca="1">IF($R158=2,
         IF(AND(ACOMPANHAMENTO="PLE",ISNUMBER($F158)),
                SUMIF((OFFSET(CÁLCULO!$AM$15:$AW$15,$F158,0,OFFSET(ORÇAMENTO!$D$15,CRONO!$F158,0))),CRONO!E$12,OFFSET(CÁLCULO!$AB$15:$AL$15,$F158,0,OFFSET(ORÇAMENTO!$D$15,CRONO!$F158,0)))
                +IF(AND($F160&lt;&gt;"",$F160&lt;&gt;0),
                        SUMIF(CÁLCULO!$AM$15:$AW$36,CRONO!E$12,CÁLCULO!$AB$15:$AL$36)/(ORÇAMENTO!$X$15-CÁLCULO.TotalAdmLocal)*CRONO!$F160,
                        0),
                 E159*$S158),
          SUMIF(OFFSET($S160,1,0,$R158-2),($M158+1)&amp;"$",OFFSET(E160,1,0,$R158-2)))</f>
        <v>0</v>
      </c>
      <c r="F160" s="144" t="str">
        <f ca="1">IF(OR($R158&lt;&gt;2,AUTOEVENTO&lt;&gt;"manual",$F159&gt;0),"",
        IF(Import.TipoArredondamento="Tradicional",
              SUMIF(OFFSET(CÁLCULO!$M$15,CRONO!$F158,0,OFFSET(ORÇAMENTO!$D$15,CRONO!$F158,0)),1,OFFSET(ORÇAMENTO!$X$15,CRONO!$F158,0,OFFSET(ORÇAMENTO!$D$15,CRONO!$F158,0))),
              0))</f>
        <v/>
      </c>
      <c r="H160" s="530"/>
      <c r="S160" s="160" t="str">
        <f t="shared" ref="S160" ca="1" si="299">M158&amp;"$"</f>
        <v>1$</v>
      </c>
      <c r="T160" s="161"/>
      <c r="U160" s="159">
        <f ca="1">IF($R158=2,
         IF(AND(ACOMPANHAMENTO="PLE",ISNUMBER($F158)),
                SUMIF((OFFSET(CÁLCULO!$AM$15:$AW$15,$F158,0,OFFSET(ORÇAMENTO!$D$15,CRONO!$F158,0))),CRONO!U$12,OFFSET(CÁLCULO!$AB$15:$AL$15,$F158,0,OFFSET(ORÇAMENTO!$D$15,CRONO!$F158,0)))
                +IF(AND($F160&lt;&gt;"",$F160&lt;&gt;0),
                        SUMIF(CÁLCULO!$AM$15:$AW$36,CRONO!U$12,CÁLCULO!$AB$15:$AL$36)/(ORÇAMENTO!$X$15-CÁLCULO.TotalAdmLocal)*CRONO!$F160,
                        0),
                 U159*$S158),
          SUMIF(OFFSET($S160,1,0,$R158-2),($M158+1)&amp;"$",OFFSET(U160,1,0,$R158-2)))</f>
        <v>0</v>
      </c>
      <c r="V160" s="159">
        <f ca="1">IF($R158=2,
         IF(AND(ACOMPANHAMENTO="PLE",ISNUMBER($F158)),
                SUMIF((OFFSET(CÁLCULO!$AM$15:$AW$15,$F158,0,OFFSET(ORÇAMENTO!$D$15,CRONO!$F158,0))),CRONO!V$12,OFFSET(CÁLCULO!$AB$15:$AL$15,$F158,0,OFFSET(ORÇAMENTO!$D$15,CRONO!$F158,0)))
                +IF(AND($F160&lt;&gt;"",$F160&lt;&gt;0),
                        SUMIF(CÁLCULO!$AM$15:$AW$36,CRONO!V$12,CÁLCULO!$AB$15:$AL$36)/(ORÇAMENTO!$X$15-CÁLCULO.TotalAdmLocal)*CRONO!$F160,
                        0),
                 V159*$S158),
          SUMIF(OFFSET($S160,1,0,$R158-2),($M158+1)&amp;"$",OFFSET(V160,1,0,$R158-2)))</f>
        <v>0</v>
      </c>
      <c r="W160" s="159">
        <f ca="1">IF($R158=2,
         IF(AND(ACOMPANHAMENTO="PLE",ISNUMBER($F158)),
                SUMIF((OFFSET(CÁLCULO!$AM$15:$AW$15,$F158,0,OFFSET(ORÇAMENTO!$D$15,CRONO!$F158,0))),CRONO!W$12,OFFSET(CÁLCULO!$AB$15:$AL$15,$F158,0,OFFSET(ORÇAMENTO!$D$15,CRONO!$F158,0)))
                +IF(AND($F160&lt;&gt;"",$F160&lt;&gt;0),
                        SUMIF(CÁLCULO!$AM$15:$AW$36,CRONO!W$12,CÁLCULO!$AB$15:$AL$36)/(ORÇAMENTO!$X$15-CÁLCULO.TotalAdmLocal)*CRONO!$F160,
                        0),
                 W159*$S158),
          SUMIF(OFFSET($S160,1,0,$R158-2),($M158+1)&amp;"$",OFFSET(W160,1,0,$R158-2)))</f>
        <v>0</v>
      </c>
      <c r="X160" s="159">
        <f ca="1">IF($R158=2,
         IF(AND(ACOMPANHAMENTO="PLE",ISNUMBER($F158)),
                SUMIF((OFFSET(CÁLCULO!$AM$15:$AW$15,$F158,0,OFFSET(ORÇAMENTO!$D$15,CRONO!$F158,0))),CRONO!X$12,OFFSET(CÁLCULO!$AB$15:$AL$15,$F158,0,OFFSET(ORÇAMENTO!$D$15,CRONO!$F158,0)))
                +IF(AND($F160&lt;&gt;"",$F160&lt;&gt;0),
                        SUMIF(CÁLCULO!$AM$15:$AW$36,CRONO!X$12,CÁLCULO!$AB$15:$AL$36)/(ORÇAMENTO!$X$15-CÁLCULO.TotalAdmLocal)*CRONO!$F160,
                        0),
                 X159*$S158),
          SUMIF(OFFSET($S160,1,0,$R158-2),($M158+1)&amp;"$",OFFSET(X160,1,0,$R158-2)))</f>
        <v>0</v>
      </c>
      <c r="Y160" s="159">
        <f ca="1">IF($R158=2,
         IF(AND(ACOMPANHAMENTO="PLE",ISNUMBER($F158)),
                SUMIF((OFFSET(CÁLCULO!$AM$15:$AW$15,$F158,0,OFFSET(ORÇAMENTO!$D$15,CRONO!$F158,0))),CRONO!Y$12,OFFSET(CÁLCULO!$AB$15:$AL$15,$F158,0,OFFSET(ORÇAMENTO!$D$15,CRONO!$F158,0)))
                +IF(AND($F160&lt;&gt;"",$F160&lt;&gt;0),
                        SUMIF(CÁLCULO!$AM$15:$AW$36,CRONO!Y$12,CÁLCULO!$AB$15:$AL$36)/(ORÇAMENTO!$X$15-CÁLCULO.TotalAdmLocal)*CRONO!$F160,
                        0),
                 Y159*$S158),
          SUMIF(OFFSET($S160,1,0,$R158-2),($M158+1)&amp;"$",OFFSET(Y160,1,0,$R158-2)))</f>
        <v>0</v>
      </c>
      <c r="Z160" s="159">
        <f ca="1">IF($R158=2,
         IF(AND(ACOMPANHAMENTO="PLE",ISNUMBER($F158)),
                SUMIF((OFFSET(CÁLCULO!$AM$15:$AW$15,$F158,0,OFFSET(ORÇAMENTO!$D$15,CRONO!$F158,0))),CRONO!Z$12,OFFSET(CÁLCULO!$AB$15:$AL$15,$F158,0,OFFSET(ORÇAMENTO!$D$15,CRONO!$F158,0)))
                +IF(AND($F160&lt;&gt;"",$F160&lt;&gt;0),
                        SUMIF(CÁLCULO!$AM$15:$AW$36,CRONO!Z$12,CÁLCULO!$AB$15:$AL$36)/(ORÇAMENTO!$X$15-CÁLCULO.TotalAdmLocal)*CRONO!$F160,
                        0),
                 Z159*$S158),
          SUMIF(OFFSET($S160,1,0,$R158-2),($M158+1)&amp;"$",OFFSET(Z160,1,0,$R158-2)))</f>
        <v>0</v>
      </c>
      <c r="AA160" s="159">
        <f ca="1">IF($R158=2,
         IF(AND(ACOMPANHAMENTO="PLE",ISNUMBER($F158)),
                SUMIF((OFFSET(CÁLCULO!$AM$15:$AW$15,$F158,0,OFFSET(ORÇAMENTO!$D$15,CRONO!$F158,0))),CRONO!AA$12,OFFSET(CÁLCULO!$AB$15:$AL$15,$F158,0,OFFSET(ORÇAMENTO!$D$15,CRONO!$F158,0)))
                +IF(AND($F160&lt;&gt;"",$F160&lt;&gt;0),
                        SUMIF(CÁLCULO!$AM$15:$AW$36,CRONO!AA$12,CÁLCULO!$AB$15:$AL$36)/(ORÇAMENTO!$X$15-CÁLCULO.TotalAdmLocal)*CRONO!$F160,
                        0),
                 AA159*$S158),
          SUMIF(OFFSET($S160,1,0,$R158-2),($M158+1)&amp;"$",OFFSET(AA160,1,0,$R158-2)))</f>
        <v>0</v>
      </c>
      <c r="AB160" s="159">
        <f ca="1">IF($R158=2,
         IF(AND(ACOMPANHAMENTO="PLE",ISNUMBER($F158)),
                SUMIF((OFFSET(CÁLCULO!$AM$15:$AW$15,$F158,0,OFFSET(ORÇAMENTO!$D$15,CRONO!$F158,0))),CRONO!AB$12,OFFSET(CÁLCULO!$AB$15:$AL$15,$F158,0,OFFSET(ORÇAMENTO!$D$15,CRONO!$F158,0)))
                +IF(AND($F160&lt;&gt;"",$F160&lt;&gt;0),
                        SUMIF(CÁLCULO!$AM$15:$AW$36,CRONO!AB$12,CÁLCULO!$AB$15:$AL$36)/(ORÇAMENTO!$X$15-CÁLCULO.TotalAdmLocal)*CRONO!$F160,
                        0),
                 AB159*$S158),
          SUMIF(OFFSET($S160,1,0,$R158-2),($M158+1)&amp;"$",OFFSET(AB160,1,0,$R158-2)))</f>
        <v>0</v>
      </c>
      <c r="AC160" s="159">
        <f ca="1">IF($R158=2,
         IF(AND(ACOMPANHAMENTO="PLE",ISNUMBER($F158)),
                SUMIF((OFFSET(CÁLCULO!$AM$15:$AW$15,$F158,0,OFFSET(ORÇAMENTO!$D$15,CRONO!$F158,0))),CRONO!AC$12,OFFSET(CÁLCULO!$AB$15:$AL$15,$F158,0,OFFSET(ORÇAMENTO!$D$15,CRONO!$F158,0)))
                +IF(AND($F160&lt;&gt;"",$F160&lt;&gt;0),
                        SUMIF(CÁLCULO!$AM$15:$AW$36,CRONO!AC$12,CÁLCULO!$AB$15:$AL$36)/(ORÇAMENTO!$X$15-CÁLCULO.TotalAdmLocal)*CRONO!$F160,
                        0),
                 AC159*$S158),
          SUMIF(OFFSET($S160,1,0,$R158-2),($M158+1)&amp;"$",OFFSET(AC160,1,0,$R158-2)))</f>
        <v>0</v>
      </c>
      <c r="AD160" s="159">
        <f ca="1">IF($R158=2,
         IF(AND(ACOMPANHAMENTO="PLE",ISNUMBER($F158)),
                SUMIF((OFFSET(CÁLCULO!$AM$15:$AW$15,$F158,0,OFFSET(ORÇAMENTO!$D$15,CRONO!$F158,0))),CRONO!AD$12,OFFSET(CÁLCULO!$AB$15:$AL$15,$F158,0,OFFSET(ORÇAMENTO!$D$15,CRONO!$F158,0)))
                +IF(AND($F160&lt;&gt;"",$F160&lt;&gt;0),
                        SUMIF(CÁLCULO!$AM$15:$AW$36,CRONO!AD$12,CÁLCULO!$AB$15:$AL$36)/(ORÇAMENTO!$X$15-CÁLCULO.TotalAdmLocal)*CRONO!$F160,
                        0),
                 AD159*$S158),
          SUMIF(OFFSET($S160,1,0,$R158-2),($M158+1)&amp;"$",OFFSET(AD160,1,0,$R158-2)))</f>
        <v>0</v>
      </c>
      <c r="AE160" s="159">
        <f ca="1">IF($R158=2,
         IF(AND(ACOMPANHAMENTO="PLE",ISNUMBER($F158)),
                SUMIF((OFFSET(CÁLCULO!$AM$15:$AW$15,$F158,0,OFFSET(ORÇAMENTO!$D$15,CRONO!$F158,0))),CRONO!AE$12,OFFSET(CÁLCULO!$AB$15:$AL$15,$F158,0,OFFSET(ORÇAMENTO!$D$15,CRONO!$F158,0)))
                +IF(AND($F160&lt;&gt;"",$F160&lt;&gt;0),
                        SUMIF(CÁLCULO!$AM$15:$AW$36,CRONO!AE$12,CÁLCULO!$AB$15:$AL$36)/(ORÇAMENTO!$X$15-CÁLCULO.TotalAdmLocal)*CRONO!$F160,
                        0),
                 AE159*$S158),
          SUMIF(OFFSET($S160,1,0,$R158-2),($M158+1)&amp;"$",OFFSET(AE160,1,0,$R158-2)))</f>
        <v>0</v>
      </c>
      <c r="AF160" s="159">
        <f ca="1">IF($R158=2,
         IF(AND(ACOMPANHAMENTO="PLE",ISNUMBER($F158)),
                SUMIF((OFFSET(CÁLCULO!$AM$15:$AW$15,$F158,0,OFFSET(ORÇAMENTO!$D$15,CRONO!$F158,0))),CRONO!AF$12,OFFSET(CÁLCULO!$AB$15:$AL$15,$F158,0,OFFSET(ORÇAMENTO!$D$15,CRONO!$F158,0)))
                +IF(AND($F160&lt;&gt;"",$F160&lt;&gt;0),
                        SUMIF(CÁLCULO!$AM$15:$AW$36,CRONO!AF$12,CÁLCULO!$AB$15:$AL$36)/(ORÇAMENTO!$X$15-CÁLCULO.TotalAdmLocal)*CRONO!$F160,
                        0),
                 AF159*$S158),
          SUMIF(OFFSET($S160,1,0,$R158-2),($M158+1)&amp;"$",OFFSET(AF160,1,0,$R158-2)))</f>
        <v>0</v>
      </c>
      <c r="AG160" s="444"/>
    </row>
    <row r="161" spans="1:33" hidden="1" x14ac:dyDescent="0.25">
      <c r="A161" s="145" t="str">
        <f t="shared" ref="A161" ca="1" si="300">IF($M161&gt;1,CONCATENATE($I161," ",$J161),"")</f>
        <v/>
      </c>
      <c r="B161" s="144">
        <f t="shared" ref="B161" ca="1" si="301">OFFSET(B161,-3,0)+1</f>
        <v>50</v>
      </c>
      <c r="C161" s="144">
        <f ca="1">IF($R161&lt;&gt;2,0,IF($S161=0,1,IF(F162&gt;0,OFFSET(QCI!$M$13,SUBSTITUTE(F162,".",""),0),OFFSET(ORÇAMENTO!$AA$15,CRONO!$F161,0))/$S161))</f>
        <v>0</v>
      </c>
      <c r="D161" s="144">
        <f ca="1">IF($R161&lt;&gt;2,0,IF($S161=0,1,IF(F162&gt;0,OFFSET(QCI!$N$13,SUBSTITUTE(F162,".",""),0),OFFSET(ORÇAMENTO!$AB$15,CRONO!$F161,0))/$S161))</f>
        <v>0</v>
      </c>
      <c r="E161" s="147" t="e">
        <f ca="1">IF(AND($R161=2,ACOMPANHAMENTO="BM"),ROUND(E162,4),E163/$S161)</f>
        <v>#VALUE!</v>
      </c>
      <c r="F161" s="144" t="e">
        <f ca="1">IF(B161&lt;=ORÇAMENTO.MáximoListaCrono,MATCH(B161,ORÇAMENTO.ListaCrono,0),NA())</f>
        <v>#N/A</v>
      </c>
      <c r="G161" s="144" t="str">
        <f t="shared" ref="G161" ca="1" si="302">IF(AND($F162&lt;&gt;-1,$S161&gt;0),"F","")</f>
        <v/>
      </c>
      <c r="H161" s="617" t="str">
        <f ca="1">IF(OR(S161=0,S161=""),"Linha",IF(AND(OR(ACOMPANHAMENTO="PLE",$R161&lt;&gt;2),$F162=0),"Linha",ROUND(1-SUM(U161:AG161),4)))</f>
        <v>Linha</v>
      </c>
      <c r="I161" s="148" t="str">
        <f ca="1">IF($F162=0,OFFSET(ORÇAMENTO!O$15,$F161,0),IF($F162&lt;&gt;-1,OFFSET(QCI!$D$13,$F162,0),""))</f>
        <v/>
      </c>
      <c r="J161" s="149" t="str">
        <f ca="1">IF($F162=0,OFFSET(ORÇAMENTO!R$15,$F161,0),IF($F162&lt;&gt;-1,OFFSET(QCI!$G$13,$F162,0),""))</f>
        <v/>
      </c>
      <c r="K161" s="149"/>
      <c r="L161" s="149"/>
      <c r="M161" s="150">
        <f ca="1">IF($F162=0,OFFSET(ORÇAMENTO!C$15,$F161,0),1)</f>
        <v>1</v>
      </c>
      <c r="N161" s="151">
        <f t="shared" ref="N161" ca="1" si="303">IF($F162=-1,0,IF(N$13&lt;=$M161,IF(ISERROR(MATCH(N$13,OFFSET($M161,1,0,ROW($M$164)-ROW($M161)-1),0)),ROW($M$164)-ROW($M161)-1,MATCH(N$13,OFFSET($M161,1,0,ROW($M$164)-ROW($M161)-1),0)-1),0))</f>
        <v>0</v>
      </c>
      <c r="O161" s="151">
        <f t="shared" ref="O161" ca="1" si="304">IF($F162=-1,0,IF(O$13&lt;=$M161,IF(ISERROR(MATCH(O$13,OFFSET($M161,1,0,ROW($M$164)-ROW($M161)-1),0)),ROW($M$164)-ROW($M161)-1,MATCH(O$13,OFFSET($M161,1,0,ROW($M$164)-ROW($M161)-1),0)-1),0))</f>
        <v>0</v>
      </c>
      <c r="P161" s="151">
        <f t="shared" ref="P161" ca="1" si="305">IF($F162=-1,0,IF(P$13&lt;=$M161,IF(ISERROR(MATCH(P$13,OFFSET($M161,1,0,ROW($M$164)-ROW($M161)-1),0)),ROW($M$164)-ROW($M161)-1,MATCH(P$13,OFFSET($M161,1,0,ROW($M$164)-ROW($M161)-1),0)-1),0))</f>
        <v>0</v>
      </c>
      <c r="Q161" s="151">
        <f t="shared" ref="Q161" ca="1" si="306">IF($F162=-1,0,IF(Q$13&lt;=$M161,IF(ISERROR(MATCH(Q$13,OFFSET($M161,1,0,ROW($M$164)-ROW($M161)-1),0)),ROW($M$164)-ROW($M161)-1,MATCH(Q$13,OFFSET($M161,1,0,ROW($M$164)-ROW($M161)-1),0)-1),0))</f>
        <v>0</v>
      </c>
      <c r="R161" s="151">
        <f t="shared" ref="R161" ca="1" si="307">MIN(OFFSET(M161,0,1,,M161))</f>
        <v>0</v>
      </c>
      <c r="S161" s="152" t="str">
        <f ca="1">IF($F162=0,OFFSET(ORÇAMENTO!X$15,$F161,0),IF($F162&lt;&gt;-1,OFFSET(QCI!$O$13,$F162,0),""))</f>
        <v/>
      </c>
      <c r="T161" s="618" t="s">
        <v>809</v>
      </c>
      <c r="U161" s="147" t="e">
        <f ca="1">IF(AND($R161=2,ACOMPANHAMENTO="BM"),ROUND(U162,4),U163/$S161)</f>
        <v>#VALUE!</v>
      </c>
      <c r="V161" s="147" t="e">
        <f ca="1">IF(AND($R161=2,ACOMPANHAMENTO="BM"),ROUND(V162,4),V163/$S161)</f>
        <v>#VALUE!</v>
      </c>
      <c r="W161" s="147" t="e">
        <f ca="1">IF(AND($R161=2,ACOMPANHAMENTO="BM"),ROUND(W162,4),W163/$S161)</f>
        <v>#VALUE!</v>
      </c>
      <c r="X161" s="147" t="e">
        <f ca="1">IF(AND($R161=2,ACOMPANHAMENTO="BM"),ROUND(X162,4),X163/$S161)</f>
        <v>#VALUE!</v>
      </c>
      <c r="Y161" s="147" t="e">
        <f ca="1">IF(AND($R161=2,ACOMPANHAMENTO="BM"),ROUND(Y162,4),Y163/$S161)</f>
        <v>#VALUE!</v>
      </c>
      <c r="Z161" s="147" t="e">
        <f ca="1">IF(AND($R161=2,ACOMPANHAMENTO="BM"),ROUND(Z162,4),Z163/$S161)</f>
        <v>#VALUE!</v>
      </c>
      <c r="AA161" s="147" t="e">
        <f ca="1">IF(AND($R161=2,ACOMPANHAMENTO="BM"),ROUND(AA162,4),AA163/$S161)</f>
        <v>#VALUE!</v>
      </c>
      <c r="AB161" s="147" t="e">
        <f ca="1">IF(AND($R161=2,ACOMPANHAMENTO="BM"),ROUND(AB162,4),AB163/$S161)</f>
        <v>#VALUE!</v>
      </c>
      <c r="AC161" s="147" t="e">
        <f ca="1">IF(AND($R161=2,ACOMPANHAMENTO="BM"),ROUND(AC162,4),AC163/$S161)</f>
        <v>#VALUE!</v>
      </c>
      <c r="AD161" s="147" t="e">
        <f ca="1">IF(AND($R161=2,ACOMPANHAMENTO="BM"),ROUND(AD162,4),AD163/$S161)</f>
        <v>#VALUE!</v>
      </c>
      <c r="AE161" s="147" t="e">
        <f ca="1">IF(AND($R161=2,ACOMPANHAMENTO="BM"),ROUND(AE162,4),AE163/$S161)</f>
        <v>#VALUE!</v>
      </c>
      <c r="AF161" s="147" t="e">
        <f ca="1">IF(AND($R161=2,ACOMPANHAMENTO="BM"),ROUND(AF162,4),AF163/$S161)</f>
        <v>#VALUE!</v>
      </c>
      <c r="AG161" s="444"/>
    </row>
    <row r="162" spans="1:33" ht="12.75" hidden="1" customHeight="1" x14ac:dyDescent="0.25">
      <c r="E162" s="501"/>
      <c r="F162" s="144">
        <f ca="1">IF(ISERROR(F161),IF(1+COUNTIF($M$13:OFFSET(M161,-1,0),1)&lt;=MAX(QCI!$D$13:$D$24),1+COUNTIF($M$13:OFFSET(M161,-1,0),1),-1),0)</f>
        <v>-1</v>
      </c>
      <c r="G162" s="144" t="str">
        <f ca="1">IF(ACOMPANHAMENTO="BM",OFFSET(G162,-1,0),"")</f>
        <v/>
      </c>
      <c r="H162" s="153" t="str">
        <f ca="1">IF(OR(S161=0,S161=""),"vazia",IF(AND(OR(ACOMPANHAMENTO="PLE",$R161&lt;&gt;2),$F162=0),"calculada","--&gt;"))</f>
        <v>vazia</v>
      </c>
      <c r="I162" s="154"/>
      <c r="J162" s="155" t="str">
        <f t="shared" ref="J162" ca="1" si="308">IF(AND(H161&lt;&gt;0,ISNUMBER(H161)),"PREENCHA ESTA LINHA --&gt;","")</f>
        <v/>
      </c>
      <c r="K162" s="155"/>
      <c r="L162" s="155"/>
      <c r="M162" s="156"/>
      <c r="N162" s="156"/>
      <c r="O162" s="156"/>
      <c r="P162" s="156"/>
      <c r="Q162" s="156"/>
      <c r="R162" s="156"/>
      <c r="S162" s="157"/>
      <c r="T162" s="158"/>
      <c r="U162" s="501"/>
      <c r="V162" s="501"/>
      <c r="W162" s="501"/>
      <c r="X162" s="501"/>
      <c r="Y162" s="501"/>
      <c r="Z162" s="501"/>
      <c r="AA162" s="501"/>
      <c r="AB162" s="501"/>
      <c r="AC162" s="501"/>
      <c r="AD162" s="501"/>
      <c r="AE162" s="501"/>
      <c r="AF162" s="501"/>
      <c r="AG162" s="444"/>
    </row>
    <row r="163" spans="1:33" ht="12.75" hidden="1" customHeight="1" x14ac:dyDescent="0.25">
      <c r="D163" s="443"/>
      <c r="E163" s="159">
        <f ca="1">IF($R161=2,
         IF(AND(ACOMPANHAMENTO="PLE",ISNUMBER($F161)),
                SUMIF((OFFSET(CÁLCULO!$AM$15:$AW$15,$F161,0,OFFSET(ORÇAMENTO!$D$15,CRONO!$F161,0))),CRONO!E$12,OFFSET(CÁLCULO!$AB$15:$AL$15,$F161,0,OFFSET(ORÇAMENTO!$D$15,CRONO!$F161,0)))
                +IF(AND($F163&lt;&gt;"",$F163&lt;&gt;0),
                        SUMIF(CÁLCULO!$AM$15:$AW$36,CRONO!E$12,CÁLCULO!$AB$15:$AL$36)/(ORÇAMENTO!$X$15-CÁLCULO.TotalAdmLocal)*CRONO!$F163,
                        0),
                 E162*$S161),
          SUMIF(OFFSET($S163,1,0,$R161-2),($M161+1)&amp;"$",OFFSET(E163,1,0,$R161-2)))</f>
        <v>0</v>
      </c>
      <c r="F163" s="144" t="str">
        <f ca="1">IF(OR($R161&lt;&gt;2,AUTOEVENTO&lt;&gt;"manual",$F162&gt;0),"",
        IF(Import.TipoArredondamento="Tradicional",
              SUMIF(OFFSET(CÁLCULO!$M$15,CRONO!$F161,0,OFFSET(ORÇAMENTO!$D$15,CRONO!$F161,0)),1,OFFSET(ORÇAMENTO!$X$15,CRONO!$F161,0,OFFSET(ORÇAMENTO!$D$15,CRONO!$F161,0))),
              0))</f>
        <v/>
      </c>
      <c r="H163" s="530"/>
      <c r="S163" s="160" t="str">
        <f t="shared" ref="S163" ca="1" si="309">M161&amp;"$"</f>
        <v>1$</v>
      </c>
      <c r="T163" s="161"/>
      <c r="U163" s="159">
        <f ca="1">IF($R161=2,
         IF(AND(ACOMPANHAMENTO="PLE",ISNUMBER($F161)),
                SUMIF((OFFSET(CÁLCULO!$AM$15:$AW$15,$F161,0,OFFSET(ORÇAMENTO!$D$15,CRONO!$F161,0))),CRONO!U$12,OFFSET(CÁLCULO!$AB$15:$AL$15,$F161,0,OFFSET(ORÇAMENTO!$D$15,CRONO!$F161,0)))
                +IF(AND($F163&lt;&gt;"",$F163&lt;&gt;0),
                        SUMIF(CÁLCULO!$AM$15:$AW$36,CRONO!U$12,CÁLCULO!$AB$15:$AL$36)/(ORÇAMENTO!$X$15-CÁLCULO.TotalAdmLocal)*CRONO!$F163,
                        0),
                 U162*$S161),
          SUMIF(OFFSET($S163,1,0,$R161-2),($M161+1)&amp;"$",OFFSET(U163,1,0,$R161-2)))</f>
        <v>0</v>
      </c>
      <c r="V163" s="159">
        <f ca="1">IF($R161=2,
         IF(AND(ACOMPANHAMENTO="PLE",ISNUMBER($F161)),
                SUMIF((OFFSET(CÁLCULO!$AM$15:$AW$15,$F161,0,OFFSET(ORÇAMENTO!$D$15,CRONO!$F161,0))),CRONO!V$12,OFFSET(CÁLCULO!$AB$15:$AL$15,$F161,0,OFFSET(ORÇAMENTO!$D$15,CRONO!$F161,0)))
                +IF(AND($F163&lt;&gt;"",$F163&lt;&gt;0),
                        SUMIF(CÁLCULO!$AM$15:$AW$36,CRONO!V$12,CÁLCULO!$AB$15:$AL$36)/(ORÇAMENTO!$X$15-CÁLCULO.TotalAdmLocal)*CRONO!$F163,
                        0),
                 V162*$S161),
          SUMIF(OFFSET($S163,1,0,$R161-2),($M161+1)&amp;"$",OFFSET(V163,1,0,$R161-2)))</f>
        <v>0</v>
      </c>
      <c r="W163" s="159">
        <f ca="1">IF($R161=2,
         IF(AND(ACOMPANHAMENTO="PLE",ISNUMBER($F161)),
                SUMIF((OFFSET(CÁLCULO!$AM$15:$AW$15,$F161,0,OFFSET(ORÇAMENTO!$D$15,CRONO!$F161,0))),CRONO!W$12,OFFSET(CÁLCULO!$AB$15:$AL$15,$F161,0,OFFSET(ORÇAMENTO!$D$15,CRONO!$F161,0)))
                +IF(AND($F163&lt;&gt;"",$F163&lt;&gt;0),
                        SUMIF(CÁLCULO!$AM$15:$AW$36,CRONO!W$12,CÁLCULO!$AB$15:$AL$36)/(ORÇAMENTO!$X$15-CÁLCULO.TotalAdmLocal)*CRONO!$F163,
                        0),
                 W162*$S161),
          SUMIF(OFFSET($S163,1,0,$R161-2),($M161+1)&amp;"$",OFFSET(W163,1,0,$R161-2)))</f>
        <v>0</v>
      </c>
      <c r="X163" s="159">
        <f ca="1">IF($R161=2,
         IF(AND(ACOMPANHAMENTO="PLE",ISNUMBER($F161)),
                SUMIF((OFFSET(CÁLCULO!$AM$15:$AW$15,$F161,0,OFFSET(ORÇAMENTO!$D$15,CRONO!$F161,0))),CRONO!X$12,OFFSET(CÁLCULO!$AB$15:$AL$15,$F161,0,OFFSET(ORÇAMENTO!$D$15,CRONO!$F161,0)))
                +IF(AND($F163&lt;&gt;"",$F163&lt;&gt;0),
                        SUMIF(CÁLCULO!$AM$15:$AW$36,CRONO!X$12,CÁLCULO!$AB$15:$AL$36)/(ORÇAMENTO!$X$15-CÁLCULO.TotalAdmLocal)*CRONO!$F163,
                        0),
                 X162*$S161),
          SUMIF(OFFSET($S163,1,0,$R161-2),($M161+1)&amp;"$",OFFSET(X163,1,0,$R161-2)))</f>
        <v>0</v>
      </c>
      <c r="Y163" s="159">
        <f ca="1">IF($R161=2,
         IF(AND(ACOMPANHAMENTO="PLE",ISNUMBER($F161)),
                SUMIF((OFFSET(CÁLCULO!$AM$15:$AW$15,$F161,0,OFFSET(ORÇAMENTO!$D$15,CRONO!$F161,0))),CRONO!Y$12,OFFSET(CÁLCULO!$AB$15:$AL$15,$F161,0,OFFSET(ORÇAMENTO!$D$15,CRONO!$F161,0)))
                +IF(AND($F163&lt;&gt;"",$F163&lt;&gt;0),
                        SUMIF(CÁLCULO!$AM$15:$AW$36,CRONO!Y$12,CÁLCULO!$AB$15:$AL$36)/(ORÇAMENTO!$X$15-CÁLCULO.TotalAdmLocal)*CRONO!$F163,
                        0),
                 Y162*$S161),
          SUMIF(OFFSET($S163,1,0,$R161-2),($M161+1)&amp;"$",OFFSET(Y163,1,0,$R161-2)))</f>
        <v>0</v>
      </c>
      <c r="Z163" s="159">
        <f ca="1">IF($R161=2,
         IF(AND(ACOMPANHAMENTO="PLE",ISNUMBER($F161)),
                SUMIF((OFFSET(CÁLCULO!$AM$15:$AW$15,$F161,0,OFFSET(ORÇAMENTO!$D$15,CRONO!$F161,0))),CRONO!Z$12,OFFSET(CÁLCULO!$AB$15:$AL$15,$F161,0,OFFSET(ORÇAMENTO!$D$15,CRONO!$F161,0)))
                +IF(AND($F163&lt;&gt;"",$F163&lt;&gt;0),
                        SUMIF(CÁLCULO!$AM$15:$AW$36,CRONO!Z$12,CÁLCULO!$AB$15:$AL$36)/(ORÇAMENTO!$X$15-CÁLCULO.TotalAdmLocal)*CRONO!$F163,
                        0),
                 Z162*$S161),
          SUMIF(OFFSET($S163,1,0,$R161-2),($M161+1)&amp;"$",OFFSET(Z163,1,0,$R161-2)))</f>
        <v>0</v>
      </c>
      <c r="AA163" s="159">
        <f ca="1">IF($R161=2,
         IF(AND(ACOMPANHAMENTO="PLE",ISNUMBER($F161)),
                SUMIF((OFFSET(CÁLCULO!$AM$15:$AW$15,$F161,0,OFFSET(ORÇAMENTO!$D$15,CRONO!$F161,0))),CRONO!AA$12,OFFSET(CÁLCULO!$AB$15:$AL$15,$F161,0,OFFSET(ORÇAMENTO!$D$15,CRONO!$F161,0)))
                +IF(AND($F163&lt;&gt;"",$F163&lt;&gt;0),
                        SUMIF(CÁLCULO!$AM$15:$AW$36,CRONO!AA$12,CÁLCULO!$AB$15:$AL$36)/(ORÇAMENTO!$X$15-CÁLCULO.TotalAdmLocal)*CRONO!$F163,
                        0),
                 AA162*$S161),
          SUMIF(OFFSET($S163,1,0,$R161-2),($M161+1)&amp;"$",OFFSET(AA163,1,0,$R161-2)))</f>
        <v>0</v>
      </c>
      <c r="AB163" s="159">
        <f ca="1">IF($R161=2,
         IF(AND(ACOMPANHAMENTO="PLE",ISNUMBER($F161)),
                SUMIF((OFFSET(CÁLCULO!$AM$15:$AW$15,$F161,0,OFFSET(ORÇAMENTO!$D$15,CRONO!$F161,0))),CRONO!AB$12,OFFSET(CÁLCULO!$AB$15:$AL$15,$F161,0,OFFSET(ORÇAMENTO!$D$15,CRONO!$F161,0)))
                +IF(AND($F163&lt;&gt;"",$F163&lt;&gt;0),
                        SUMIF(CÁLCULO!$AM$15:$AW$36,CRONO!AB$12,CÁLCULO!$AB$15:$AL$36)/(ORÇAMENTO!$X$15-CÁLCULO.TotalAdmLocal)*CRONO!$F163,
                        0),
                 AB162*$S161),
          SUMIF(OFFSET($S163,1,0,$R161-2),($M161+1)&amp;"$",OFFSET(AB163,1,0,$R161-2)))</f>
        <v>0</v>
      </c>
      <c r="AC163" s="159">
        <f ca="1">IF($R161=2,
         IF(AND(ACOMPANHAMENTO="PLE",ISNUMBER($F161)),
                SUMIF((OFFSET(CÁLCULO!$AM$15:$AW$15,$F161,0,OFFSET(ORÇAMENTO!$D$15,CRONO!$F161,0))),CRONO!AC$12,OFFSET(CÁLCULO!$AB$15:$AL$15,$F161,0,OFFSET(ORÇAMENTO!$D$15,CRONO!$F161,0)))
                +IF(AND($F163&lt;&gt;"",$F163&lt;&gt;0),
                        SUMIF(CÁLCULO!$AM$15:$AW$36,CRONO!AC$12,CÁLCULO!$AB$15:$AL$36)/(ORÇAMENTO!$X$15-CÁLCULO.TotalAdmLocal)*CRONO!$F163,
                        0),
                 AC162*$S161),
          SUMIF(OFFSET($S163,1,0,$R161-2),($M161+1)&amp;"$",OFFSET(AC163,1,0,$R161-2)))</f>
        <v>0</v>
      </c>
      <c r="AD163" s="159">
        <f ca="1">IF($R161=2,
         IF(AND(ACOMPANHAMENTO="PLE",ISNUMBER($F161)),
                SUMIF((OFFSET(CÁLCULO!$AM$15:$AW$15,$F161,0,OFFSET(ORÇAMENTO!$D$15,CRONO!$F161,0))),CRONO!AD$12,OFFSET(CÁLCULO!$AB$15:$AL$15,$F161,0,OFFSET(ORÇAMENTO!$D$15,CRONO!$F161,0)))
                +IF(AND($F163&lt;&gt;"",$F163&lt;&gt;0),
                        SUMIF(CÁLCULO!$AM$15:$AW$36,CRONO!AD$12,CÁLCULO!$AB$15:$AL$36)/(ORÇAMENTO!$X$15-CÁLCULO.TotalAdmLocal)*CRONO!$F163,
                        0),
                 AD162*$S161),
          SUMIF(OFFSET($S163,1,0,$R161-2),($M161+1)&amp;"$",OFFSET(AD163,1,0,$R161-2)))</f>
        <v>0</v>
      </c>
      <c r="AE163" s="159">
        <f ca="1">IF($R161=2,
         IF(AND(ACOMPANHAMENTO="PLE",ISNUMBER($F161)),
                SUMIF((OFFSET(CÁLCULO!$AM$15:$AW$15,$F161,0,OFFSET(ORÇAMENTO!$D$15,CRONO!$F161,0))),CRONO!AE$12,OFFSET(CÁLCULO!$AB$15:$AL$15,$F161,0,OFFSET(ORÇAMENTO!$D$15,CRONO!$F161,0)))
                +IF(AND($F163&lt;&gt;"",$F163&lt;&gt;0),
                        SUMIF(CÁLCULO!$AM$15:$AW$36,CRONO!AE$12,CÁLCULO!$AB$15:$AL$36)/(ORÇAMENTO!$X$15-CÁLCULO.TotalAdmLocal)*CRONO!$F163,
                        0),
                 AE162*$S161),
          SUMIF(OFFSET($S163,1,0,$R161-2),($M161+1)&amp;"$",OFFSET(AE163,1,0,$R161-2)))</f>
        <v>0</v>
      </c>
      <c r="AF163" s="159">
        <f ca="1">IF($R161=2,
         IF(AND(ACOMPANHAMENTO="PLE",ISNUMBER($F161)),
                SUMIF((OFFSET(CÁLCULO!$AM$15:$AW$15,$F161,0,OFFSET(ORÇAMENTO!$D$15,CRONO!$F161,0))),CRONO!AF$12,OFFSET(CÁLCULO!$AB$15:$AL$15,$F161,0,OFFSET(ORÇAMENTO!$D$15,CRONO!$F161,0)))
                +IF(AND($F163&lt;&gt;"",$F163&lt;&gt;0),
                        SUMIF(CÁLCULO!$AM$15:$AW$36,CRONO!AF$12,CÁLCULO!$AB$15:$AL$36)/(ORÇAMENTO!$X$15-CÁLCULO.TotalAdmLocal)*CRONO!$F163,
                        0),
                 AF162*$S161),
          SUMIF(OFFSET($S163,1,0,$R161-2),($M161+1)&amp;"$",OFFSET(AF163,1,0,$R161-2)))</f>
        <v>0</v>
      </c>
      <c r="AG163" s="444"/>
    </row>
    <row r="164" spans="1:33" ht="5.0999999999999996" customHeight="1" x14ac:dyDescent="0.25">
      <c r="E164" s="624"/>
      <c r="G164" s="144" t="s">
        <v>542</v>
      </c>
      <c r="H164" s="345"/>
      <c r="I164" s="625"/>
      <c r="J164" s="626"/>
      <c r="K164" s="626"/>
      <c r="L164" s="626"/>
      <c r="M164" s="627" t="s">
        <v>821</v>
      </c>
      <c r="N164" s="627"/>
      <c r="O164" s="627"/>
      <c r="P164" s="627"/>
      <c r="Q164" s="627"/>
      <c r="R164" s="627"/>
      <c r="S164" s="628"/>
      <c r="T164" s="628"/>
      <c r="U164" s="626"/>
      <c r="V164" s="626"/>
      <c r="W164" s="626"/>
      <c r="X164" s="626"/>
      <c r="Y164" s="626"/>
      <c r="Z164" s="626"/>
      <c r="AA164" s="626"/>
      <c r="AB164" s="626"/>
      <c r="AC164" s="626"/>
      <c r="AD164" s="626"/>
      <c r="AE164" s="626"/>
      <c r="AF164" s="626"/>
      <c r="AG164" s="444"/>
    </row>
    <row r="165" spans="1:33" ht="12.75" customHeight="1" x14ac:dyDescent="0.25">
      <c r="E165" s="438">
        <f ca="1">E169/$R$165</f>
        <v>0</v>
      </c>
      <c r="G165" s="144" t="s">
        <v>542</v>
      </c>
      <c r="I165" s="753" t="str">
        <f ca="1">"Total:    R$ "&amp;TEXT(R165,"#.##0,00")</f>
        <v>Total:    R$ 6.242.923,63</v>
      </c>
      <c r="J165" s="753"/>
      <c r="K165" s="753"/>
      <c r="L165" s="629"/>
      <c r="R165" s="176">
        <f ca="1">SUMIF(M12:M164,1,S12:S164)</f>
        <v>6242923.6299999999</v>
      </c>
      <c r="S165" s="177"/>
      <c r="T165" s="178" t="s">
        <v>822</v>
      </c>
      <c r="U165" s="438">
        <f t="shared" ref="U165:AF165" ca="1" si="310">ROUND(U169,2)/$R$165</f>
        <v>0.11865210018595086</v>
      </c>
      <c r="V165" s="438">
        <f t="shared" ca="1" si="310"/>
        <v>0.10394358772573997</v>
      </c>
      <c r="W165" s="438">
        <f t="shared" ca="1" si="310"/>
        <v>0.10556035906529262</v>
      </c>
      <c r="X165" s="438">
        <f t="shared" ca="1" si="310"/>
        <v>0.12288397639744955</v>
      </c>
      <c r="Y165" s="438">
        <f t="shared" ca="1" si="310"/>
        <v>0.12288397639744955</v>
      </c>
      <c r="Z165" s="438">
        <f t="shared" ca="1" si="310"/>
        <v>0.10556035746347901</v>
      </c>
      <c r="AA165" s="438">
        <f t="shared" ca="1" si="310"/>
        <v>0.11025830376848612</v>
      </c>
      <c r="AB165" s="438">
        <f t="shared" ca="1" si="310"/>
        <v>0.10394358772573997</v>
      </c>
      <c r="AC165" s="438">
        <f t="shared" ca="1" si="310"/>
        <v>0.10631375127041238</v>
      </c>
      <c r="AD165" s="438">
        <f t="shared" ca="1" si="310"/>
        <v>0</v>
      </c>
      <c r="AE165" s="438">
        <f t="shared" ca="1" si="310"/>
        <v>0</v>
      </c>
      <c r="AF165" s="448">
        <f t="shared" ca="1" si="310"/>
        <v>0</v>
      </c>
      <c r="AG165" s="444"/>
    </row>
    <row r="166" spans="1:33" ht="15" customHeight="1" x14ac:dyDescent="0.25">
      <c r="E166" s="179">
        <f ca="1">ROUND(E171,2)-ROUND(D171,2)</f>
        <v>0</v>
      </c>
      <c r="G166" s="144" t="s">
        <v>542</v>
      </c>
      <c r="I166" s="753"/>
      <c r="J166" s="753"/>
      <c r="K166" s="753"/>
      <c r="L166" s="180"/>
      <c r="R166" s="176"/>
      <c r="S166" s="181"/>
      <c r="T166" s="182" t="str">
        <f>IF(import.recurso="FGTS","Financiamento:","Repasse:")</f>
        <v>Repasse:</v>
      </c>
      <c r="U166" s="179">
        <f ca="1">ROUND(U171,2)</f>
        <v>711912.6</v>
      </c>
      <c r="V166" s="179">
        <f t="shared" ref="V166:AF166" ca="1" si="311">ROUND(V171,2)-ROUND(U171,2)</f>
        <v>623661.52999999991</v>
      </c>
      <c r="W166" s="179">
        <f t="shared" ca="1" si="311"/>
        <v>633362.15000000014</v>
      </c>
      <c r="X166" s="179">
        <f t="shared" ca="1" si="311"/>
        <v>737303.8600000001</v>
      </c>
      <c r="Y166" s="179">
        <f t="shared" ca="1" si="311"/>
        <v>737303.85000000009</v>
      </c>
      <c r="Z166" s="179">
        <f t="shared" ca="1" si="311"/>
        <v>633362.14999999991</v>
      </c>
      <c r="AA166" s="179">
        <f t="shared" ca="1" si="311"/>
        <v>661549.82999999961</v>
      </c>
      <c r="AB166" s="179">
        <f t="shared" ca="1" si="311"/>
        <v>623661.52000000048</v>
      </c>
      <c r="AC166" s="179">
        <f t="shared" ca="1" si="311"/>
        <v>637882.50999999978</v>
      </c>
      <c r="AD166" s="179">
        <f t="shared" ca="1" si="311"/>
        <v>0</v>
      </c>
      <c r="AE166" s="179">
        <f t="shared" ca="1" si="311"/>
        <v>0</v>
      </c>
      <c r="AF166" s="449">
        <f t="shared" ca="1" si="311"/>
        <v>0</v>
      </c>
      <c r="AG166" s="444"/>
    </row>
    <row r="167" spans="1:33" ht="12.75" customHeight="1" x14ac:dyDescent="0.25">
      <c r="E167" s="439">
        <f ca="1">ROUND(E172,2)-ROUND(D172,2)</f>
        <v>0</v>
      </c>
      <c r="G167" s="144" t="s">
        <v>542</v>
      </c>
      <c r="I167" s="183"/>
      <c r="L167" s="184" t="s">
        <v>823</v>
      </c>
      <c r="R167" s="176"/>
      <c r="S167" s="185"/>
      <c r="T167" s="186" t="s">
        <v>824</v>
      </c>
      <c r="U167" s="439">
        <f ca="1">ROUND(U172,2)</f>
        <v>28823.4</v>
      </c>
      <c r="V167" s="439">
        <f t="shared" ref="V167:AF167" ca="1" si="312">ROUND(V172,2)-ROUND(U172,2)</f>
        <v>25250.35</v>
      </c>
      <c r="W167" s="439">
        <f t="shared" ca="1" si="312"/>
        <v>25643.11</v>
      </c>
      <c r="X167" s="439">
        <f t="shared" ca="1" si="312"/>
        <v>29851.42</v>
      </c>
      <c r="Y167" s="439">
        <f t="shared" ca="1" si="312"/>
        <v>29851.420000000013</v>
      </c>
      <c r="Z167" s="439">
        <f t="shared" ca="1" si="312"/>
        <v>25643.109999999986</v>
      </c>
      <c r="AA167" s="439">
        <f t="shared" ca="1" si="312"/>
        <v>26784.339999999997</v>
      </c>
      <c r="AB167" s="439">
        <f t="shared" ca="1" si="312"/>
        <v>25250.360000000015</v>
      </c>
      <c r="AC167" s="439">
        <f t="shared" ca="1" si="312"/>
        <v>25826.119999999995</v>
      </c>
      <c r="AD167" s="439">
        <f t="shared" ca="1" si="312"/>
        <v>0</v>
      </c>
      <c r="AE167" s="439">
        <f t="shared" ca="1" si="312"/>
        <v>0</v>
      </c>
      <c r="AF167" s="450">
        <f t="shared" ca="1" si="312"/>
        <v>0</v>
      </c>
      <c r="AG167" s="444"/>
    </row>
    <row r="168" spans="1:33" x14ac:dyDescent="0.25">
      <c r="E168" s="187">
        <f ca="1">ROUND(E173,2)-ROUND(D173,2)</f>
        <v>0</v>
      </c>
      <c r="G168" s="144" t="s">
        <v>542</v>
      </c>
      <c r="I168" s="183"/>
      <c r="L168" s="184"/>
      <c r="R168" s="176"/>
      <c r="S168" s="188"/>
      <c r="T168" s="189" t="s">
        <v>825</v>
      </c>
      <c r="U168" s="187">
        <f ca="1">ROUND(U173,2)</f>
        <v>0</v>
      </c>
      <c r="V168" s="187">
        <f t="shared" ref="V168:AF168" ca="1" si="313">ROUND(V173,2)-ROUND(U173,2)</f>
        <v>0</v>
      </c>
      <c r="W168" s="187">
        <f t="shared" ca="1" si="313"/>
        <v>0</v>
      </c>
      <c r="X168" s="187">
        <f t="shared" ca="1" si="313"/>
        <v>0</v>
      </c>
      <c r="Y168" s="187">
        <f t="shared" ca="1" si="313"/>
        <v>0</v>
      </c>
      <c r="Z168" s="187">
        <f t="shared" ca="1" si="313"/>
        <v>0</v>
      </c>
      <c r="AA168" s="187">
        <f t="shared" ca="1" si="313"/>
        <v>0</v>
      </c>
      <c r="AB168" s="187">
        <f t="shared" ca="1" si="313"/>
        <v>0</v>
      </c>
      <c r="AC168" s="187">
        <f t="shared" ca="1" si="313"/>
        <v>0</v>
      </c>
      <c r="AD168" s="187">
        <f t="shared" ca="1" si="313"/>
        <v>0</v>
      </c>
      <c r="AE168" s="187">
        <f t="shared" ca="1" si="313"/>
        <v>0</v>
      </c>
      <c r="AF168" s="451">
        <f t="shared" ca="1" si="313"/>
        <v>0</v>
      </c>
      <c r="AG168" s="444"/>
    </row>
    <row r="169" spans="1:33" x14ac:dyDescent="0.25">
      <c r="E169" s="440">
        <f ca="1">ROUND(E174,2)-ROUND(D175,2)</f>
        <v>0</v>
      </c>
      <c r="G169" s="144" t="s">
        <v>542</v>
      </c>
      <c r="H169" s="446"/>
      <c r="L169" s="190"/>
      <c r="S169" s="191"/>
      <c r="T169" s="192" t="s">
        <v>826</v>
      </c>
      <c r="U169" s="440">
        <f ca="1">ROUND(U174,2)</f>
        <v>740736</v>
      </c>
      <c r="V169" s="440">
        <f t="shared" ref="V169:AF169" ca="1" si="314">ROUND(V174,2)-ROUND(U174,2)</f>
        <v>648911.87999999989</v>
      </c>
      <c r="W169" s="440">
        <f t="shared" ca="1" si="314"/>
        <v>659005.26</v>
      </c>
      <c r="X169" s="440">
        <f t="shared" ca="1" si="314"/>
        <v>767155.28</v>
      </c>
      <c r="Y169" s="440">
        <f t="shared" ca="1" si="314"/>
        <v>767155.28000000026</v>
      </c>
      <c r="Z169" s="440">
        <f t="shared" ca="1" si="314"/>
        <v>659005.25</v>
      </c>
      <c r="AA169" s="440">
        <f t="shared" ca="1" si="314"/>
        <v>688334.16999999993</v>
      </c>
      <c r="AB169" s="440">
        <f t="shared" ca="1" si="314"/>
        <v>648911.87999999989</v>
      </c>
      <c r="AC169" s="440">
        <f t="shared" ca="1" si="314"/>
        <v>663708.62999999989</v>
      </c>
      <c r="AD169" s="440">
        <f t="shared" ca="1" si="314"/>
        <v>0</v>
      </c>
      <c r="AE169" s="440">
        <f t="shared" ca="1" si="314"/>
        <v>0</v>
      </c>
      <c r="AF169" s="452">
        <f t="shared" ca="1" si="314"/>
        <v>0</v>
      </c>
      <c r="AG169" s="444"/>
    </row>
    <row r="170" spans="1:33" x14ac:dyDescent="0.25">
      <c r="E170" s="438">
        <f ca="1">ROUND(E174,2)/$R$165</f>
        <v>0</v>
      </c>
      <c r="G170" s="144" t="s">
        <v>542</v>
      </c>
      <c r="L170" s="629"/>
      <c r="S170" s="177"/>
      <c r="T170" s="178" t="s">
        <v>822</v>
      </c>
      <c r="U170" s="438">
        <f t="shared" ref="U170:AF170" ca="1" si="315">ROUND(U174,2)/$R$165</f>
        <v>0.11865210018595086</v>
      </c>
      <c r="V170" s="438">
        <f t="shared" ca="1" si="315"/>
        <v>0.22259568791169082</v>
      </c>
      <c r="W170" s="438">
        <f t="shared" ca="1" si="315"/>
        <v>0.32815604697698342</v>
      </c>
      <c r="X170" s="438">
        <f t="shared" ca="1" si="315"/>
        <v>0.451040023374433</v>
      </c>
      <c r="Y170" s="438">
        <f t="shared" ca="1" si="315"/>
        <v>0.57392399977188258</v>
      </c>
      <c r="Z170" s="438">
        <f t="shared" ca="1" si="315"/>
        <v>0.6794843572353616</v>
      </c>
      <c r="AA170" s="438">
        <f t="shared" ca="1" si="315"/>
        <v>0.78974266100384771</v>
      </c>
      <c r="AB170" s="438">
        <f t="shared" ca="1" si="315"/>
        <v>0.89368624872958768</v>
      </c>
      <c r="AC170" s="438">
        <f t="shared" ca="1" si="315"/>
        <v>1</v>
      </c>
      <c r="AD170" s="438">
        <f t="shared" ca="1" si="315"/>
        <v>1</v>
      </c>
      <c r="AE170" s="438">
        <f t="shared" ca="1" si="315"/>
        <v>1</v>
      </c>
      <c r="AF170" s="448">
        <f t="shared" ca="1" si="315"/>
        <v>1</v>
      </c>
      <c r="AG170" s="444"/>
    </row>
    <row r="171" spans="1:33" x14ac:dyDescent="0.25">
      <c r="E171" s="179">
        <f ca="1">ROUND(E174-E173-E172,2)</f>
        <v>0</v>
      </c>
      <c r="G171" s="144" t="s">
        <v>542</v>
      </c>
      <c r="L171" s="180"/>
      <c r="S171" s="181"/>
      <c r="T171" s="182" t="str">
        <f>IF(import.recurso="FGTS","Financiamento:","Repasse:")</f>
        <v>Repasse:</v>
      </c>
      <c r="U171" s="179">
        <f t="shared" ref="U171:AF171" ca="1" si="316">ROUND(U174-U173-U172,2)</f>
        <v>711912.6</v>
      </c>
      <c r="V171" s="179">
        <f t="shared" ca="1" si="316"/>
        <v>1335574.1299999999</v>
      </c>
      <c r="W171" s="179">
        <f t="shared" ca="1" si="316"/>
        <v>1968936.28</v>
      </c>
      <c r="X171" s="179">
        <f t="shared" ca="1" si="316"/>
        <v>2706240.14</v>
      </c>
      <c r="Y171" s="179">
        <f t="shared" ca="1" si="316"/>
        <v>3443543.99</v>
      </c>
      <c r="Z171" s="179">
        <f t="shared" ca="1" si="316"/>
        <v>4076906.14</v>
      </c>
      <c r="AA171" s="179">
        <f t="shared" ca="1" si="316"/>
        <v>4738455.97</v>
      </c>
      <c r="AB171" s="179">
        <f t="shared" ca="1" si="316"/>
        <v>5362117.49</v>
      </c>
      <c r="AC171" s="179">
        <f t="shared" ca="1" si="316"/>
        <v>6000000</v>
      </c>
      <c r="AD171" s="179">
        <f t="shared" ca="1" si="316"/>
        <v>6000000</v>
      </c>
      <c r="AE171" s="179">
        <f t="shared" ca="1" si="316"/>
        <v>6000000</v>
      </c>
      <c r="AF171" s="449">
        <f t="shared" ca="1" si="316"/>
        <v>6000000</v>
      </c>
      <c r="AG171" s="444"/>
    </row>
    <row r="172" spans="1:33" x14ac:dyDescent="0.25">
      <c r="E172" s="439">
        <f t="array" aca="1" ref="E172" ca="1">D172+SUM((OFFSET($C$13,1,0):OFFSET($C$164,-3,0))*IF(ISNUMBER(OFFSET(E$11,5,0):OFFSET(E$164,-1,0)),OFFSET(E$11,5,0):OFFSET(E$164,-1,0),0))</f>
        <v>0</v>
      </c>
      <c r="G172" s="144" t="s">
        <v>542</v>
      </c>
      <c r="L172" s="184" t="s">
        <v>827</v>
      </c>
      <c r="S172" s="185"/>
      <c r="T172" s="186" t="s">
        <v>824</v>
      </c>
      <c r="U172" s="439" cm="1">
        <f t="array" aca="1" ref="U172" ca="1">SUM((OFFSET($C$13,1,0):OFFSET($C$164,-3,0))*IF(ISNUMBER(OFFSET(U$11,5,0):OFFSET(U$164,-1,0)),OFFSET(U$11,5,0):OFFSET(U$164,-1,0),0))</f>
        <v>28823.39889896461</v>
      </c>
      <c r="V172" s="439">
        <f t="array" aca="1" ref="V172" ca="1">U172+SUM((OFFSET($C$13,1,0):OFFSET($C$164,-3,0))*IF(ISNUMBER(OFFSET(V$11,5,0):OFFSET(V$164,-1,0)),OFFSET(V$11,5,0):OFFSET(V$164,-1,0),0))</f>
        <v>54073.752523862611</v>
      </c>
      <c r="W172" s="439">
        <f t="array" aca="1" ref="W172" ca="1">V172+SUM((OFFSET($C$13,1,0):OFFSET($C$164,-3,0))*IF(ISNUMBER(OFFSET(W$11,5,0):OFFSET(W$164,-1,0)),OFFSET(W$11,5,0):OFFSET(W$164,-1,0),0))</f>
        <v>79716.857967743286</v>
      </c>
      <c r="X172" s="439">
        <f t="array" aca="1" ref="X172" ca="1">W172+SUM((OFFSET($C$13,1,0):OFFSET($C$164,-3,0))*IF(ISNUMBER(OFFSET(X$11,5,0):OFFSET(X$164,-1,0)),OFFSET(X$11,5,0):OFFSET(X$164,-1,0),0))</f>
        <v>109568.27958145065</v>
      </c>
      <c r="Y172" s="439">
        <f t="array" aca="1" ref="Y172" ca="1">X172+SUM((OFFSET($C$13,1,0):OFFSET($C$164,-3,0))*IF(ISNUMBER(OFFSET(Y$11,5,0):OFFSET(Y$164,-1,0)),OFFSET(Y$11,5,0):OFFSET(Y$164,-1,0),0))</f>
        <v>139419.70119515801</v>
      </c>
      <c r="Z172" s="439">
        <f t="array" aca="1" ref="Z172" ca="1">Y172+SUM((OFFSET($C$13,1,0):OFFSET($C$164,-3,0))*IF(ISNUMBER(OFFSET(Z$11,5,0):OFFSET(Z$164,-1,0)),OFFSET(Z$11,5,0):OFFSET(Z$164,-1,0),0))</f>
        <v>165062.80663903867</v>
      </c>
      <c r="AA172" s="439">
        <f t="array" aca="1" ref="AA172" ca="1">Z172+SUM((OFFSET($C$13,1,0):OFFSET($C$164,-3,0))*IF(ISNUMBER(OFFSET(AA$11,5,0):OFFSET(AA$164,-1,0)),OFFSET(AA$11,5,0):OFFSET(AA$164,-1,0),0))</f>
        <v>191847.15399749836</v>
      </c>
      <c r="AB172" s="439">
        <f t="array" aca="1" ref="AB172" ca="1">AA172+SUM((OFFSET($C$13,1,0):OFFSET($C$164,-3,0))*IF(ISNUMBER(OFFSET(AB$11,5,0):OFFSET(AB$164,-1,0)),OFFSET(AB$11,5,0):OFFSET(AB$164,-1,0),0))</f>
        <v>217097.50762239637</v>
      </c>
      <c r="AC172" s="439">
        <f t="array" aca="1" ref="AC172" ca="1">AB172+SUM((OFFSET($C$13,1,0):OFFSET($C$164,-3,0))*IF(ISNUMBER(OFFSET(AC$11,5,0):OFFSET(AC$164,-1,0)),OFFSET(AC$11,5,0):OFFSET(AC$164,-1,0),0))</f>
        <v>242923.62999999986</v>
      </c>
      <c r="AD172" s="439">
        <f t="array" aca="1" ref="AD172" ca="1">AC172+SUM((OFFSET($C$13,1,0):OFFSET($C$164,-3,0))*IF(ISNUMBER(OFFSET(AD$11,5,0):OFFSET(AD$164,-1,0)),OFFSET(AD$11,5,0):OFFSET(AD$164,-1,0),0))</f>
        <v>242923.62999999986</v>
      </c>
      <c r="AE172" s="439">
        <f t="array" aca="1" ref="AE172" ca="1">AD172+SUM((OFFSET($C$13,1,0):OFFSET($C$164,-3,0))*IF(ISNUMBER(OFFSET(AE$11,5,0):OFFSET(AE$164,-1,0)),OFFSET(AE$11,5,0):OFFSET(AE$164,-1,0),0))</f>
        <v>242923.62999999986</v>
      </c>
      <c r="AF172" s="450">
        <f t="array" aca="1" ref="AF172" ca="1">AE172+SUM((OFFSET($C$13,1,0):OFFSET($C$164,-3,0))*IF(ISNUMBER(OFFSET(AF$11,5,0):OFFSET(AF$164,-1,0)),OFFSET(AF$11,5,0):OFFSET(AF$164,-1,0),0))</f>
        <v>242923.62999999986</v>
      </c>
      <c r="AG172" s="444"/>
    </row>
    <row r="173" spans="1:33" x14ac:dyDescent="0.25">
      <c r="E173" s="187">
        <f t="array" aca="1" ref="E173" ca="1">D173+SUM((OFFSET($D$13,1,0):OFFSET($D$164,-3,0))*IF(ISNUMBER(OFFSET(E$11,5,0):OFFSET(E$164,-1,0)),OFFSET(E$11,5,0):OFFSET(E$164,-1,0),0))</f>
        <v>0</v>
      </c>
      <c r="G173" s="144" t="s">
        <v>542</v>
      </c>
      <c r="L173" s="184"/>
      <c r="S173" s="188"/>
      <c r="T173" s="189" t="s">
        <v>825</v>
      </c>
      <c r="U173" s="187">
        <f t="array" aca="1" ref="U173" ca="1">SUM((OFFSET($D$13,1,0):OFFSET($D$164,-3,0))*IF(ISNUMBER(OFFSET(U$11,5,0):OFFSET(U$164,-1,0)),OFFSET(U$11,5,0):OFFSET(U$164,-1,0),0))</f>
        <v>0</v>
      </c>
      <c r="V173" s="187">
        <f t="array" aca="1" ref="V173" ca="1">U173+SUM((OFFSET($D$13,1,0):OFFSET($D$164,-3,0))*IF(ISNUMBER(OFFSET(V$11,5,0):OFFSET(V$164,-1,0)),OFFSET(V$11,5,0):OFFSET(V$164,-1,0),0))</f>
        <v>0</v>
      </c>
      <c r="W173" s="187">
        <f t="array" aca="1" ref="W173" ca="1">V173+SUM((OFFSET($D$13,1,0):OFFSET($D$164,-3,0))*IF(ISNUMBER(OFFSET(W$11,5,0):OFFSET(W$164,-1,0)),OFFSET(W$11,5,0):OFFSET(W$164,-1,0),0))</f>
        <v>0</v>
      </c>
      <c r="X173" s="187">
        <f t="array" aca="1" ref="X173" ca="1">W173+SUM((OFFSET($D$13,1,0):OFFSET($D$164,-3,0))*IF(ISNUMBER(OFFSET(X$11,5,0):OFFSET(X$164,-1,0)),OFFSET(X$11,5,0):OFFSET(X$164,-1,0),0))</f>
        <v>0</v>
      </c>
      <c r="Y173" s="187">
        <f t="array" aca="1" ref="Y173" ca="1">X173+SUM((OFFSET($D$13,1,0):OFFSET($D$164,-3,0))*IF(ISNUMBER(OFFSET(Y$11,5,0):OFFSET(Y$164,-1,0)),OFFSET(Y$11,5,0):OFFSET(Y$164,-1,0),0))</f>
        <v>0</v>
      </c>
      <c r="Z173" s="187">
        <f t="array" aca="1" ref="Z173" ca="1">Y173+SUM((OFFSET($D$13,1,0):OFFSET($D$164,-3,0))*IF(ISNUMBER(OFFSET(Z$11,5,0):OFFSET(Z$164,-1,0)),OFFSET(Z$11,5,0):OFFSET(Z$164,-1,0),0))</f>
        <v>0</v>
      </c>
      <c r="AA173" s="187">
        <f t="array" aca="1" ref="AA173" ca="1">Z173+SUM((OFFSET($D$13,1,0):OFFSET($D$164,-3,0))*IF(ISNUMBER(OFFSET(AA$11,5,0):OFFSET(AA$164,-1,0)),OFFSET(AA$11,5,0):OFFSET(AA$164,-1,0),0))</f>
        <v>0</v>
      </c>
      <c r="AB173" s="187">
        <f t="array" aca="1" ref="AB173" ca="1">AA173+SUM((OFFSET($D$13,1,0):OFFSET($D$164,-3,0))*IF(ISNUMBER(OFFSET(AB$11,5,0):OFFSET(AB$164,-1,0)),OFFSET(AB$11,5,0):OFFSET(AB$164,-1,0),0))</f>
        <v>0</v>
      </c>
      <c r="AC173" s="187">
        <f t="array" aca="1" ref="AC173" ca="1">AB173+SUM((OFFSET($D$13,1,0):OFFSET($D$164,-3,0))*IF(ISNUMBER(OFFSET(AC$11,5,0):OFFSET(AC$164,-1,0)),OFFSET(AC$11,5,0):OFFSET(AC$164,-1,0),0))</f>
        <v>0</v>
      </c>
      <c r="AD173" s="187">
        <f t="array" aca="1" ref="AD173" ca="1">AC173+SUM((OFFSET($D$13,1,0):OFFSET($D$164,-3,0))*IF(ISNUMBER(OFFSET(AD$11,5,0):OFFSET(AD$164,-1,0)),OFFSET(AD$11,5,0):OFFSET(AD$164,-1,0),0))</f>
        <v>0</v>
      </c>
      <c r="AE173" s="187">
        <f t="array" aca="1" ref="AE173" ca="1">AD173+SUM((OFFSET($D$13,1,0):OFFSET($D$164,-3,0))*IF(ISNUMBER(OFFSET(AE$11,5,0):OFFSET(AE$164,-1,0)),OFFSET(AE$11,5,0):OFFSET(AE$164,-1,0),0))</f>
        <v>0</v>
      </c>
      <c r="AF173" s="451">
        <f t="array" aca="1" ref="AF173" ca="1">AE173+SUM((OFFSET($D$13,1,0):OFFSET($D$164,-3,0))*IF(ISNUMBER(OFFSET(AF$11,5,0):OFFSET(AF$164,-1,0)),OFFSET(AF$11,5,0):OFFSET(AF$164,-1,0),0))</f>
        <v>0</v>
      </c>
      <c r="AG173" s="444"/>
    </row>
    <row r="174" spans="1:33" ht="13.8" thickBot="1" x14ac:dyDescent="0.3">
      <c r="D174" s="443"/>
      <c r="E174" s="441">
        <f ca="1">SUMIF($S$12:$S$164,"1$",E12:E164)+IF(E$12&gt;1,OFFSET(E174,0,-1),0)</f>
        <v>0</v>
      </c>
      <c r="G174" s="144" t="s">
        <v>542</v>
      </c>
      <c r="H174" s="432" t="str">
        <f>IF(ACOMPANHAMENTO="BM","Selecione o Macrosserviço da Administração Local:","")</f>
        <v>Selecione o Macrosserviço da Administração Local:</v>
      </c>
      <c r="I174"/>
      <c r="L174" s="184"/>
      <c r="S174" s="185"/>
      <c r="T174" s="436" t="s">
        <v>826</v>
      </c>
      <c r="U174" s="441">
        <f t="shared" ref="U174:AF174" ca="1" si="317">SUMIF($S$12:$S$164,"1$",U12:U164)+IF(U$12&gt;1,OFFSET(U174,0,-1),0)</f>
        <v>740736.00037700008</v>
      </c>
      <c r="V174" s="441">
        <f t="shared" ca="1" si="317"/>
        <v>1389647.8798460001</v>
      </c>
      <c r="W174" s="441">
        <f t="shared" ca="1" si="317"/>
        <v>2048653.1356220001</v>
      </c>
      <c r="X174" s="441">
        <f t="shared" ca="1" si="317"/>
        <v>2815808.415581</v>
      </c>
      <c r="Y174" s="441">
        <f t="shared" ca="1" si="317"/>
        <v>3582963.6955400002</v>
      </c>
      <c r="Z174" s="441">
        <f t="shared" ca="1" si="317"/>
        <v>4241968.951316</v>
      </c>
      <c r="AA174" s="441">
        <f t="shared" ca="1" si="317"/>
        <v>4930303.1205289997</v>
      </c>
      <c r="AB174" s="441">
        <f t="shared" ca="1" si="317"/>
        <v>5579214.9999979995</v>
      </c>
      <c r="AC174" s="441">
        <f t="shared" ca="1" si="317"/>
        <v>6242923.6299999999</v>
      </c>
      <c r="AD174" s="441">
        <f t="shared" ca="1" si="317"/>
        <v>6242923.6299999999</v>
      </c>
      <c r="AE174" s="441">
        <f t="shared" ca="1" si="317"/>
        <v>6242923.6299999999</v>
      </c>
      <c r="AF174" s="453">
        <f t="shared" ca="1" si="317"/>
        <v>6242923.6299999999</v>
      </c>
      <c r="AG174" s="444"/>
    </row>
    <row r="175" spans="1:33" ht="13.8" thickBot="1" x14ac:dyDescent="0.3">
      <c r="D175" s="443"/>
      <c r="E175" s="442" t="str">
        <f ca="1">IF($F$175="","",
  IF(ACOMPANHAMENTO="PLE",
     IF(AUTOEVENTO="Manual",
         IF(AdmLocal="Automática",
              E170,
              SUMIF(OFFSET(CRONOPLE!$F$14,CRONOPLE!$A$8+1,1,1,OFFSET(CRONOPLE!$AF$12,0,-1)),"&lt;="&amp;E$12,OFFSET(EVENTOS!$G$14,CRONOPLE!$A$8+1,1,1,OFFSET(CRONOPLE!$AF$12,0,-1)))/OFFSET(EVENTOS!$G$14,CRONOPLE!$A$8+1,-1)),
         SUM(OFFSET($T$13,$F$175+2,1,1,E$12))/OFFSET($S$13,$F$175,0)),
     IF(ACOMPANHAMENTO="BM",SUM(OFFSET($T$13,$F$175+2,1,1,E$12))/OFFSET($S$13,$F$175,0),"")))</f>
        <v/>
      </c>
      <c r="F175" s="144" t="str">
        <f>IF(ACOMPANHAMENTO="PLE",
    IF(AUTOEVENTO="Manual",
        IF(AdmLocal="Automática",1,IF(CRONOPLE!$D$8&lt;&gt;"","",MATCH(Import.EventoAdmLocal,EVENTOS!$B$15:$B$65,0))),
        IF(CRONOPLE!$D$8&lt;&gt;"","",MATCH(CRONOPLE!$A$10,CRONO!$F$13:$F$164,0)-1)),
    IF($H$176&lt;&gt;"","",MATCH(Import.MacrosserviçoAdmLocal,$A$13:$A$164,0)-1))</f>
        <v/>
      </c>
      <c r="G175" s="144" t="s">
        <v>542</v>
      </c>
      <c r="H175" s="722"/>
      <c r="I175" s="758"/>
      <c r="J175" s="723"/>
      <c r="L175" s="190"/>
      <c r="S175" s="435"/>
      <c r="T175" s="437" t="s">
        <v>828</v>
      </c>
      <c r="U175" s="442" t="str">
        <f ca="1">IF($F$175="","",
  IF(ACOMPANHAMENTO="PLE",
     IF(AUTOEVENTO="Manual",
         IF(AdmLocal="Automática",
              U170,
              SUMIF(OFFSET(CRONOPLE!$F$14,CRONOPLE!$A$8+1,1,1,OFFSET(CRONOPLE!$AF$12,0,-1)),"&lt;="&amp;U$12,OFFSET(EVENTOS!$G$14,CRONOPLE!$A$8+1,1,1,OFFSET(CRONOPLE!$AF$12,0,-1)))/OFFSET(EVENTOS!$G$14,CRONOPLE!$A$8+1,-1)),
         SUM(OFFSET($T$13,$F$175+2,1,1,U$12))/OFFSET($S$13,$F$175,0)),
     IF(ACOMPANHAMENTO="BM",SUM(OFFSET($T$13,$F$175+2,1,1,U$12))/OFFSET($S$13,$F$175,0),"")))</f>
        <v/>
      </c>
      <c r="V175" s="442" t="str">
        <f ca="1">IF($F$175="","",
  IF(ACOMPANHAMENTO="PLE",
     IF(AUTOEVENTO="Manual",
         IF(AdmLocal="Automática",
              V170,
              SUMIF(OFFSET(CRONOPLE!$F$14,CRONOPLE!$A$8+1,1,1,OFFSET(CRONOPLE!$AF$12,0,-1)),"&lt;="&amp;V$12,OFFSET(EVENTOS!$G$14,CRONOPLE!$A$8+1,1,1,OFFSET(CRONOPLE!$AF$12,0,-1)))/OFFSET(EVENTOS!$G$14,CRONOPLE!$A$8+1,-1)),
         SUM(OFFSET($T$13,$F$175+2,1,1,V$12))/OFFSET($S$13,$F$175,0)),
     IF(ACOMPANHAMENTO="BM",SUM(OFFSET($T$13,$F$175+2,1,1,V$12))/OFFSET($S$13,$F$175,0),"")))</f>
        <v/>
      </c>
      <c r="W175" s="442" t="str">
        <f ca="1">IF($F$175="","",
  IF(ACOMPANHAMENTO="PLE",
     IF(AUTOEVENTO="Manual",
         IF(AdmLocal="Automática",
              W170,
              SUMIF(OFFSET(CRONOPLE!$F$14,CRONOPLE!$A$8+1,1,1,OFFSET(CRONOPLE!$AF$12,0,-1)),"&lt;="&amp;W$12,OFFSET(EVENTOS!$G$14,CRONOPLE!$A$8+1,1,1,OFFSET(CRONOPLE!$AF$12,0,-1)))/OFFSET(EVENTOS!$G$14,CRONOPLE!$A$8+1,-1)),
         SUM(OFFSET($T$13,$F$175+2,1,1,W$12))/OFFSET($S$13,$F$175,0)),
     IF(ACOMPANHAMENTO="BM",SUM(OFFSET($T$13,$F$175+2,1,1,W$12))/OFFSET($S$13,$F$175,0),"")))</f>
        <v/>
      </c>
      <c r="X175" s="442" t="str">
        <f ca="1">IF($F$175="","",
  IF(ACOMPANHAMENTO="PLE",
     IF(AUTOEVENTO="Manual",
         IF(AdmLocal="Automática",
              X170,
              SUMIF(OFFSET(CRONOPLE!$F$14,CRONOPLE!$A$8+1,1,1,OFFSET(CRONOPLE!$AF$12,0,-1)),"&lt;="&amp;X$12,OFFSET(EVENTOS!$G$14,CRONOPLE!$A$8+1,1,1,OFFSET(CRONOPLE!$AF$12,0,-1)))/OFFSET(EVENTOS!$G$14,CRONOPLE!$A$8+1,-1)),
         SUM(OFFSET($T$13,$F$175+2,1,1,X$12))/OFFSET($S$13,$F$175,0)),
     IF(ACOMPANHAMENTO="BM",SUM(OFFSET($T$13,$F$175+2,1,1,X$12))/OFFSET($S$13,$F$175,0),"")))</f>
        <v/>
      </c>
      <c r="Y175" s="442" t="str">
        <f ca="1">IF($F$175="","",
  IF(ACOMPANHAMENTO="PLE",
     IF(AUTOEVENTO="Manual",
         IF(AdmLocal="Automática",
              Y170,
              SUMIF(OFFSET(CRONOPLE!$F$14,CRONOPLE!$A$8+1,1,1,OFFSET(CRONOPLE!$AF$12,0,-1)),"&lt;="&amp;Y$12,OFFSET(EVENTOS!$G$14,CRONOPLE!$A$8+1,1,1,OFFSET(CRONOPLE!$AF$12,0,-1)))/OFFSET(EVENTOS!$G$14,CRONOPLE!$A$8+1,-1)),
         SUM(OFFSET($T$13,$F$175+2,1,1,Y$12))/OFFSET($S$13,$F$175,0)),
     IF(ACOMPANHAMENTO="BM",SUM(OFFSET($T$13,$F$175+2,1,1,Y$12))/OFFSET($S$13,$F$175,0),"")))</f>
        <v/>
      </c>
      <c r="Z175" s="442" t="str">
        <f ca="1">IF($F$175="","",
  IF(ACOMPANHAMENTO="PLE",
     IF(AUTOEVENTO="Manual",
         IF(AdmLocal="Automática",
              Z170,
              SUMIF(OFFSET(CRONOPLE!$F$14,CRONOPLE!$A$8+1,1,1,OFFSET(CRONOPLE!$AF$12,0,-1)),"&lt;="&amp;Z$12,OFFSET(EVENTOS!$G$14,CRONOPLE!$A$8+1,1,1,OFFSET(CRONOPLE!$AF$12,0,-1)))/OFFSET(EVENTOS!$G$14,CRONOPLE!$A$8+1,-1)),
         SUM(OFFSET($T$13,$F$175+2,1,1,Z$12))/OFFSET($S$13,$F$175,0)),
     IF(ACOMPANHAMENTO="BM",SUM(OFFSET($T$13,$F$175+2,1,1,Z$12))/OFFSET($S$13,$F$175,0),"")))</f>
        <v/>
      </c>
      <c r="AA175" s="442" t="str">
        <f ca="1">IF($F$175="","",
  IF(ACOMPANHAMENTO="PLE",
     IF(AUTOEVENTO="Manual",
         IF(AdmLocal="Automática",
              AA170,
              SUMIF(OFFSET(CRONOPLE!$F$14,CRONOPLE!$A$8+1,1,1,OFFSET(CRONOPLE!$AF$12,0,-1)),"&lt;="&amp;AA$12,OFFSET(EVENTOS!$G$14,CRONOPLE!$A$8+1,1,1,OFFSET(CRONOPLE!$AF$12,0,-1)))/OFFSET(EVENTOS!$G$14,CRONOPLE!$A$8+1,-1)),
         SUM(OFFSET($T$13,$F$175+2,1,1,AA$12))/OFFSET($S$13,$F$175,0)),
     IF(ACOMPANHAMENTO="BM",SUM(OFFSET($T$13,$F$175+2,1,1,AA$12))/OFFSET($S$13,$F$175,0),"")))</f>
        <v/>
      </c>
      <c r="AB175" s="442" t="str">
        <f ca="1">IF($F$175="","",
  IF(ACOMPANHAMENTO="PLE",
     IF(AUTOEVENTO="Manual",
         IF(AdmLocal="Automática",
              AB170,
              SUMIF(OFFSET(CRONOPLE!$F$14,CRONOPLE!$A$8+1,1,1,OFFSET(CRONOPLE!$AF$12,0,-1)),"&lt;="&amp;AB$12,OFFSET(EVENTOS!$G$14,CRONOPLE!$A$8+1,1,1,OFFSET(CRONOPLE!$AF$12,0,-1)))/OFFSET(EVENTOS!$G$14,CRONOPLE!$A$8+1,-1)),
         SUM(OFFSET($T$13,$F$175+2,1,1,AB$12))/OFFSET($S$13,$F$175,0)),
     IF(ACOMPANHAMENTO="BM",SUM(OFFSET($T$13,$F$175+2,1,1,AB$12))/OFFSET($S$13,$F$175,0),"")))</f>
        <v/>
      </c>
      <c r="AC175" s="442" t="str">
        <f ca="1">IF($F$175="","",
  IF(ACOMPANHAMENTO="PLE",
     IF(AUTOEVENTO="Manual",
         IF(AdmLocal="Automática",
              AC170,
              SUMIF(OFFSET(CRONOPLE!$F$14,CRONOPLE!$A$8+1,1,1,OFFSET(CRONOPLE!$AF$12,0,-1)),"&lt;="&amp;AC$12,OFFSET(EVENTOS!$G$14,CRONOPLE!$A$8+1,1,1,OFFSET(CRONOPLE!$AF$12,0,-1)))/OFFSET(EVENTOS!$G$14,CRONOPLE!$A$8+1,-1)),
         SUM(OFFSET($T$13,$F$175+2,1,1,AC$12))/OFFSET($S$13,$F$175,0)),
     IF(ACOMPANHAMENTO="BM",SUM(OFFSET($T$13,$F$175+2,1,1,AC$12))/OFFSET($S$13,$F$175,0),"")))</f>
        <v/>
      </c>
      <c r="AD175" s="442" t="str">
        <f ca="1">IF($F$175="","",
  IF(ACOMPANHAMENTO="PLE",
     IF(AUTOEVENTO="Manual",
         IF(AdmLocal="Automática",
              AD170,
              SUMIF(OFFSET(CRONOPLE!$F$14,CRONOPLE!$A$8+1,1,1,OFFSET(CRONOPLE!$AF$12,0,-1)),"&lt;="&amp;AD$12,OFFSET(EVENTOS!$G$14,CRONOPLE!$A$8+1,1,1,OFFSET(CRONOPLE!$AF$12,0,-1)))/OFFSET(EVENTOS!$G$14,CRONOPLE!$A$8+1,-1)),
         SUM(OFFSET($T$13,$F$175+2,1,1,AD$12))/OFFSET($S$13,$F$175,0)),
     IF(ACOMPANHAMENTO="BM",SUM(OFFSET($T$13,$F$175+2,1,1,AD$12))/OFFSET($S$13,$F$175,0),"")))</f>
        <v/>
      </c>
      <c r="AE175" s="442" t="str">
        <f ca="1">IF($F$175="","",
  IF(ACOMPANHAMENTO="PLE",
     IF(AUTOEVENTO="Manual",
         IF(AdmLocal="Automática",
              AE170,
              SUMIF(OFFSET(CRONOPLE!$F$14,CRONOPLE!$A$8+1,1,1,OFFSET(CRONOPLE!$AF$12,0,-1)),"&lt;="&amp;AE$12,OFFSET(EVENTOS!$G$14,CRONOPLE!$A$8+1,1,1,OFFSET(CRONOPLE!$AF$12,0,-1)))/OFFSET(EVENTOS!$G$14,CRONOPLE!$A$8+1,-1)),
         SUM(OFFSET($T$13,$F$175+2,1,1,AE$12))/OFFSET($S$13,$F$175,0)),
     IF(ACOMPANHAMENTO="BM",SUM(OFFSET($T$13,$F$175+2,1,1,AE$12))/OFFSET($S$13,$F$175,0),"")))</f>
        <v/>
      </c>
      <c r="AF175" s="454" t="str">
        <f ca="1">IF($F$175="","",
  IF(ACOMPANHAMENTO="PLE",
     IF(AUTOEVENTO="Manual",
         IF(AdmLocal="Automática",
              AF170,
              SUMIF(OFFSET(CRONOPLE!$F$14,CRONOPLE!$A$8+1,1,1,OFFSET(CRONOPLE!$AF$12,0,-1)),"&lt;="&amp;AF$12,OFFSET(EVENTOS!$G$14,CRONOPLE!$A$8+1,1,1,OFFSET(CRONOPLE!$AF$12,0,-1)))/OFFSET(EVENTOS!$G$14,CRONOPLE!$A$8+1,-1)),
         SUM(OFFSET($T$13,$F$175+2,1,1,AF$12))/OFFSET($S$13,$F$175,0)),
     IF(ACOMPANHAMENTO="BM",SUM(OFFSET($T$13,$F$175+2,1,1,AF$12))/OFFSET($S$13,$F$175,0),"")))</f>
        <v/>
      </c>
      <c r="AG175" s="444"/>
    </row>
    <row r="176" spans="1:33" ht="16.95" customHeight="1" x14ac:dyDescent="0.3">
      <c r="G176" s="144" t="s">
        <v>542</v>
      </c>
      <c r="H176" s="484" t="str">
        <f>IF(AND(ACOMPANHAMENTO="BM",$H$175=""),"↑ Não foi indicado o Macrosserviço de Administração Local","")</f>
        <v>↑ Não foi indicado o Macrosserviço de Administração Local</v>
      </c>
      <c r="T176" s="497" t="str">
        <f ca="1">IF(COUNTIF(U176:AG176,"%Adm&gt;%Global")&gt;0,"Verificar proporcionalidade da Administração Local","")</f>
        <v/>
      </c>
      <c r="U176" s="445" t="str">
        <f ca="1">IF(U175="","",IF(ROUND(U175,4)&gt;ROUND(U170,4),"%Adm&gt;%Global",""))</f>
        <v/>
      </c>
      <c r="V176" s="445" t="str">
        <f t="shared" ref="V176:AG176" ca="1" si="318">IF(V175="","",IF(ROUND(V175,4)&gt;ROUND(V170,4),"%Adm&gt;%Global",""))</f>
        <v/>
      </c>
      <c r="W176" s="445" t="str">
        <f t="shared" ca="1" si="318"/>
        <v/>
      </c>
      <c r="X176" s="445" t="str">
        <f t="shared" ca="1" si="318"/>
        <v/>
      </c>
      <c r="Y176" s="445" t="str">
        <f t="shared" ca="1" si="318"/>
        <v/>
      </c>
      <c r="Z176" s="445" t="str">
        <f t="shared" ca="1" si="318"/>
        <v/>
      </c>
      <c r="AA176" s="445" t="str">
        <f t="shared" ca="1" si="318"/>
        <v/>
      </c>
      <c r="AB176" s="445" t="str">
        <f t="shared" ca="1" si="318"/>
        <v/>
      </c>
      <c r="AC176" s="445" t="str">
        <f t="shared" ca="1" si="318"/>
        <v/>
      </c>
      <c r="AD176" s="445" t="str">
        <f t="shared" ca="1" si="318"/>
        <v/>
      </c>
      <c r="AE176" s="445" t="str">
        <f t="shared" ca="1" si="318"/>
        <v/>
      </c>
      <c r="AF176" s="445" t="str">
        <f t="shared" ca="1" si="318"/>
        <v/>
      </c>
      <c r="AG176" s="445" t="str">
        <f t="shared" si="318"/>
        <v/>
      </c>
    </row>
    <row r="177" spans="7:32" ht="32.25" customHeight="1" x14ac:dyDescent="0.25">
      <c r="G177" s="144" t="s">
        <v>542</v>
      </c>
      <c r="I177" s="713" t="str">
        <f>Import.Município</f>
        <v>URUARÁ-PARÁ</v>
      </c>
      <c r="J177" s="713"/>
      <c r="K177" s="713"/>
      <c r="L177" s="713"/>
      <c r="M177" s="713"/>
      <c r="N177" s="713"/>
      <c r="O177" s="713"/>
      <c r="P177" s="713"/>
      <c r="Q177" s="713"/>
      <c r="R177" s="713"/>
      <c r="S177" s="713"/>
      <c r="AA177" s="371"/>
      <c r="AB177" s="371"/>
      <c r="AC177" s="371"/>
      <c r="AD177" s="371"/>
      <c r="AE177" s="373"/>
      <c r="AF177" s="373"/>
    </row>
    <row r="178" spans="7:32" x14ac:dyDescent="0.25">
      <c r="G178" s="144" t="s">
        <v>542</v>
      </c>
      <c r="I178" s="7" t="s">
        <v>700</v>
      </c>
      <c r="J178"/>
      <c r="K178"/>
      <c r="L178"/>
      <c r="AA178" s="535" t="s">
        <v>703</v>
      </c>
      <c r="AB178" s="535"/>
      <c r="AC178" s="535"/>
      <c r="AD178" s="535"/>
      <c r="AE178" s="144"/>
      <c r="AF178" s="144"/>
    </row>
    <row r="179" spans="7:32" x14ac:dyDescent="0.25">
      <c r="G179" s="144" t="s">
        <v>542</v>
      </c>
      <c r="I179"/>
      <c r="J179"/>
      <c r="K179"/>
      <c r="L179"/>
      <c r="AA179" s="316" t="str">
        <f t="array" aca="1" ref="AA179:AA181" ca="1">OFFSET(Import.RespOrçamento,0,-1) &amp; " " &amp; Import.RespOrçamento</f>
        <v>Nome: DOUGLAS NASCIMENTO DOS SANTOS</v>
      </c>
      <c r="AC179"/>
      <c r="AD179" s="57"/>
      <c r="AE179" s="144"/>
      <c r="AF179" s="144"/>
    </row>
    <row r="180" spans="7:32" x14ac:dyDescent="0.25">
      <c r="G180" s="144" t="s">
        <v>542</v>
      </c>
      <c r="I180" s="757">
        <f>DADOS!$C$25</f>
        <v>46144</v>
      </c>
      <c r="J180" s="757"/>
      <c r="K180" s="757"/>
      <c r="L180" s="142"/>
      <c r="M180" s="193"/>
      <c r="N180" s="193"/>
      <c r="O180" s="193"/>
      <c r="P180" s="193"/>
      <c r="Q180" s="193"/>
      <c r="R180" s="193"/>
      <c r="S180" s="194"/>
      <c r="AA180" s="316" t="str">
        <f ca="1"/>
        <v>CREA/CAU: 151536623-5</v>
      </c>
      <c r="AC180" s="57"/>
      <c r="AD180" s="57"/>
      <c r="AE180" s="144"/>
      <c r="AF180" s="144"/>
    </row>
    <row r="181" spans="7:32" x14ac:dyDescent="0.25">
      <c r="G181" s="144" t="s">
        <v>542</v>
      </c>
      <c r="I181" s="7" t="s">
        <v>701</v>
      </c>
      <c r="J181"/>
      <c r="K181"/>
      <c r="L181"/>
      <c r="AA181" s="316" t="str">
        <f ca="1"/>
        <v xml:space="preserve">ART/RRT: </v>
      </c>
      <c r="AC181" s="57"/>
      <c r="AD181" s="57"/>
      <c r="AE181" s="144"/>
      <c r="AF181" s="144"/>
    </row>
  </sheetData>
  <sheetProtection algorithmName="SHA-512" hashValue="e7ysHUkTo6+RVABPKM5zjrAerYhitt2E7WkdDCi0M6WsXuBQ+3S6fa0SaWpdnZTl1tu+lv2W8TB5YxA3cNML9A==" saltValue="66zBnQlUPTA88nS9tKCJKg==" spinCount="100000" sheet="1" objects="1" scenarios="1" autoFilter="0"/>
  <autoFilter ref="G13:G181" xr:uid="{00000000-0009-0000-0000-000008000000}">
    <filterColumn colId="0">
      <customFilters>
        <customFilter operator="notEqual" val=" "/>
      </customFilters>
    </filterColumn>
  </autoFilter>
  <mergeCells count="18">
    <mergeCell ref="G8:G11"/>
    <mergeCell ref="I8:J8"/>
    <mergeCell ref="H7:H9"/>
    <mergeCell ref="AE4:AF4"/>
    <mergeCell ref="AE5:AF5"/>
    <mergeCell ref="Z8:AE8"/>
    <mergeCell ref="H12:H13"/>
    <mergeCell ref="I12:I13"/>
    <mergeCell ref="J12:J13"/>
    <mergeCell ref="I180:K180"/>
    <mergeCell ref="I177:S177"/>
    <mergeCell ref="H175:J175"/>
    <mergeCell ref="S12:S13"/>
    <mergeCell ref="T12:T13"/>
    <mergeCell ref="L8:T8"/>
    <mergeCell ref="U8:Y8"/>
    <mergeCell ref="K10:T11"/>
    <mergeCell ref="I165:K166"/>
  </mergeCells>
  <phoneticPr fontId="38" type="noConversion"/>
  <conditionalFormatting sqref="U12:U13">
    <cfRule type="expression" dxfId="346" priority="8709" stopIfTrue="1">
      <formula>NOT(ISNUMBER(T$12))</formula>
    </cfRule>
  </conditionalFormatting>
  <conditionalFormatting sqref="E2 U2:AF2">
    <cfRule type="expression" dxfId="345" priority="8710" stopIfTrue="1">
      <formula>AND(ISNUMBER($H1),$H1&lt;&gt;0)</formula>
    </cfRule>
  </conditionalFormatting>
  <conditionalFormatting sqref="I2:S2">
    <cfRule type="expression" dxfId="344" priority="8711" stopIfTrue="1">
      <formula>$M1=2</formula>
    </cfRule>
    <cfRule type="expression" dxfId="343" priority="8712" stopIfTrue="1">
      <formula>AND($M1=1,$S1&lt;&gt;"")</formula>
    </cfRule>
  </conditionalFormatting>
  <conditionalFormatting sqref="I1:S1">
    <cfRule type="expression" dxfId="342" priority="8713" stopIfTrue="1">
      <formula>$M1=2</formula>
    </cfRule>
    <cfRule type="expression" dxfId="341" priority="8714" stopIfTrue="1">
      <formula>AND($M1=1,$S1&lt;&gt;"")</formula>
    </cfRule>
  </conditionalFormatting>
  <conditionalFormatting sqref="E165 E167 E169:E170 E172 E174 U167:AF167 U169:AF170 U172:AF172 U174:AF174 U165:AF165">
    <cfRule type="expression" dxfId="340" priority="8715" stopIfTrue="1">
      <formula>D$170=1</formula>
    </cfRule>
  </conditionalFormatting>
  <conditionalFormatting sqref="E166 E168 E171 E173 E175 U168:AF168 U171:AF171 U173:AF173 U175:AF175 U166:AF166">
    <cfRule type="expression" dxfId="339" priority="8716" stopIfTrue="1">
      <formula>D$170=1</formula>
    </cfRule>
  </conditionalFormatting>
  <conditionalFormatting sqref="AF7:AF8">
    <cfRule type="expression" dxfId="338" priority="8720" stopIfTrue="1">
      <formula>OR(TIPOORCAMENTO&lt;&gt;"Licitado",QCI.ExisteManual)</formula>
    </cfRule>
  </conditionalFormatting>
  <conditionalFormatting sqref="Z7:AE8">
    <cfRule type="expression" dxfId="337" priority="8708" stopIfTrue="1">
      <formula>QCI.ExisteManual</formula>
    </cfRule>
  </conditionalFormatting>
  <conditionalFormatting sqref="H2">
    <cfRule type="expression" dxfId="336" priority="4854">
      <formula>AND(H1&lt;&gt;0,ISNUMBER(H1))</formula>
    </cfRule>
  </conditionalFormatting>
  <conditionalFormatting sqref="E175 U175:AF175">
    <cfRule type="expression" dxfId="335" priority="4845">
      <formula>ROUND(E175,4)&gt;ROUND(E170,4)</formula>
    </cfRule>
  </conditionalFormatting>
  <conditionalFormatting sqref="H1">
    <cfRule type="expression" dxfId="334" priority="4844">
      <formula>AND(H1&lt;&gt;0,ISNUMBER(H1))</formula>
    </cfRule>
  </conditionalFormatting>
  <conditionalFormatting sqref="H175:J175">
    <cfRule type="expression" dxfId="333" priority="4843">
      <formula>$H$174=""</formula>
    </cfRule>
  </conditionalFormatting>
  <conditionalFormatting sqref="E175">
    <cfRule type="expression" dxfId="332" priority="4836" stopIfTrue="1">
      <formula>D$170=1</formula>
    </cfRule>
  </conditionalFormatting>
  <conditionalFormatting sqref="E1">
    <cfRule type="expression" dxfId="331" priority="4833" stopIfTrue="1">
      <formula>E1&lt;&gt;0</formula>
    </cfRule>
  </conditionalFormatting>
  <conditionalFormatting sqref="E2">
    <cfRule type="expression" dxfId="330" priority="4832">
      <formula>AND(_xlfn.SINGLE(ACOMPANHAMENTO)="BM",E2&gt;ROUND(E2,4))</formula>
    </cfRule>
  </conditionalFormatting>
  <conditionalFormatting sqref="E175">
    <cfRule type="expression" dxfId="329" priority="4831" stopIfTrue="1">
      <formula>D$170=1</formula>
    </cfRule>
  </conditionalFormatting>
  <conditionalFormatting sqref="U1:AF1">
    <cfRule type="expression" dxfId="328" priority="4830" stopIfTrue="1">
      <formula>U1&lt;&gt;0</formula>
    </cfRule>
  </conditionalFormatting>
  <conditionalFormatting sqref="U2:AF2">
    <cfRule type="expression" dxfId="327" priority="4829">
      <formula>AND(_xlfn.SINGLE(ACOMPANHAMENTO)="BM",U2&gt;ROUND(U2,4))</formula>
    </cfRule>
  </conditionalFormatting>
  <conditionalFormatting sqref="E15 E18 E21 U15:AF15 U18:AF18 U21:AF21">
    <cfRule type="expression" dxfId="326" priority="183" stopIfTrue="1">
      <formula>AND(ISNUMBER($H14),$H14&lt;&gt;0)</formula>
    </cfRule>
  </conditionalFormatting>
  <conditionalFormatting sqref="I15:S15 I18:S18 I21:S21">
    <cfRule type="expression" dxfId="325" priority="184" stopIfTrue="1">
      <formula>$M14=2</formula>
    </cfRule>
    <cfRule type="expression" dxfId="324" priority="185" stopIfTrue="1">
      <formula>AND($M14=1,$S14&lt;&gt;"")</formula>
    </cfRule>
  </conditionalFormatting>
  <conditionalFormatting sqref="I14:S14 I17:S17 I20:S20">
    <cfRule type="expression" dxfId="323" priority="186" stopIfTrue="1">
      <formula>$M14=2</formula>
    </cfRule>
    <cfRule type="expression" dxfId="322" priority="187" stopIfTrue="1">
      <formula>AND($M14=1,$S14&lt;&gt;"")</formula>
    </cfRule>
  </conditionalFormatting>
  <conditionalFormatting sqref="H15 H18 H21">
    <cfRule type="expression" dxfId="321" priority="182">
      <formula>AND(H14&lt;&gt;0,ISNUMBER(H14))</formula>
    </cfRule>
  </conditionalFormatting>
  <conditionalFormatting sqref="H14 H17 H20">
    <cfRule type="expression" dxfId="320" priority="181">
      <formula>AND(H14&lt;&gt;0,ISNUMBER(H14))</formula>
    </cfRule>
  </conditionalFormatting>
  <conditionalFormatting sqref="E14 E17 E20">
    <cfRule type="expression" dxfId="319" priority="180" stopIfTrue="1">
      <formula>E14&lt;&gt;0</formula>
    </cfRule>
  </conditionalFormatting>
  <conditionalFormatting sqref="E15 E18 E21">
    <cfRule type="expression" dxfId="318" priority="179">
      <formula>AND(_xlfn.SINGLE(ACOMPANHAMENTO)="BM",E15&gt;ROUND(E15,4))</formula>
    </cfRule>
  </conditionalFormatting>
  <conditionalFormatting sqref="U14:AF14 U17:AF17 U20:AF20">
    <cfRule type="expression" dxfId="317" priority="178" stopIfTrue="1">
      <formula>U14&lt;&gt;0</formula>
    </cfRule>
  </conditionalFormatting>
  <conditionalFormatting sqref="U15:AF15 U18:AF18 U21:AF21">
    <cfRule type="expression" dxfId="316" priority="177">
      <formula>AND(_xlfn.SINGLE(ACOMPANHAMENTO)="BM",U15&gt;ROUND(U15,4))</formula>
    </cfRule>
  </conditionalFormatting>
  <conditionalFormatting sqref="E24 E27 E30 U24:AF24 U27:AF27 U30:AF30">
    <cfRule type="expression" dxfId="315" priority="172" stopIfTrue="1">
      <formula>AND(ISNUMBER($H23),$H23&lt;&gt;0)</formula>
    </cfRule>
  </conditionalFormatting>
  <conditionalFormatting sqref="I24:S24 I27:S27 I30:S30">
    <cfRule type="expression" dxfId="314" priority="173" stopIfTrue="1">
      <formula>$M23=2</formula>
    </cfRule>
    <cfRule type="expression" dxfId="313" priority="174" stopIfTrue="1">
      <formula>AND($M23=1,$S23&lt;&gt;"")</formula>
    </cfRule>
  </conditionalFormatting>
  <conditionalFormatting sqref="I23:S23 I26:S26 I29:S29">
    <cfRule type="expression" dxfId="312" priority="175" stopIfTrue="1">
      <formula>$M23=2</formula>
    </cfRule>
    <cfRule type="expression" dxfId="311" priority="176" stopIfTrue="1">
      <formula>AND($M23=1,$S23&lt;&gt;"")</formula>
    </cfRule>
  </conditionalFormatting>
  <conditionalFormatting sqref="H24 H27 H30">
    <cfRule type="expression" dxfId="310" priority="171">
      <formula>AND(H23&lt;&gt;0,ISNUMBER(H23))</formula>
    </cfRule>
  </conditionalFormatting>
  <conditionalFormatting sqref="H23 H26 H29">
    <cfRule type="expression" dxfId="309" priority="170">
      <formula>AND(H23&lt;&gt;0,ISNUMBER(H23))</formula>
    </cfRule>
  </conditionalFormatting>
  <conditionalFormatting sqref="E23 E26 E29">
    <cfRule type="expression" dxfId="308" priority="169" stopIfTrue="1">
      <formula>E23&lt;&gt;0</formula>
    </cfRule>
  </conditionalFormatting>
  <conditionalFormatting sqref="E24 E27 E30">
    <cfRule type="expression" dxfId="307" priority="168">
      <formula>AND(_xlfn.SINGLE(ACOMPANHAMENTO)="BM",E24&gt;ROUND(E24,4))</formula>
    </cfRule>
  </conditionalFormatting>
  <conditionalFormatting sqref="U23:AF23 U26:AF26 U29:AF29">
    <cfRule type="expression" dxfId="306" priority="167" stopIfTrue="1">
      <formula>U23&lt;&gt;0</formula>
    </cfRule>
  </conditionalFormatting>
  <conditionalFormatting sqref="U24:AF24 U27:AF27 U30:AF30">
    <cfRule type="expression" dxfId="305" priority="166">
      <formula>AND(_xlfn.SINGLE(ACOMPANHAMENTO)="BM",U24&gt;ROUND(U24,4))</formula>
    </cfRule>
  </conditionalFormatting>
  <conditionalFormatting sqref="E33 E36 E39 U33:AF33 U36:AF36 U39:AF39">
    <cfRule type="expression" dxfId="304" priority="161" stopIfTrue="1">
      <formula>AND(ISNUMBER($H32),$H32&lt;&gt;0)</formula>
    </cfRule>
  </conditionalFormatting>
  <conditionalFormatting sqref="I33:S33 I36:S36 I39:S39">
    <cfRule type="expression" dxfId="303" priority="162" stopIfTrue="1">
      <formula>$M32=2</formula>
    </cfRule>
    <cfRule type="expression" dxfId="302" priority="163" stopIfTrue="1">
      <formula>AND($M32=1,$S32&lt;&gt;"")</formula>
    </cfRule>
  </conditionalFormatting>
  <conditionalFormatting sqref="I32:S32 I35:S35 I38:S38">
    <cfRule type="expression" dxfId="301" priority="164" stopIfTrue="1">
      <formula>$M32=2</formula>
    </cfRule>
    <cfRule type="expression" dxfId="300" priority="165" stopIfTrue="1">
      <formula>AND($M32=1,$S32&lt;&gt;"")</formula>
    </cfRule>
  </conditionalFormatting>
  <conditionalFormatting sqref="H33 H36 H39">
    <cfRule type="expression" dxfId="299" priority="160">
      <formula>AND(H32&lt;&gt;0,ISNUMBER(H32))</formula>
    </cfRule>
  </conditionalFormatting>
  <conditionalFormatting sqref="H32 H35 H38">
    <cfRule type="expression" dxfId="298" priority="159">
      <formula>AND(H32&lt;&gt;0,ISNUMBER(H32))</formula>
    </cfRule>
  </conditionalFormatting>
  <conditionalFormatting sqref="E32 E35 E38">
    <cfRule type="expression" dxfId="297" priority="158" stopIfTrue="1">
      <formula>E32&lt;&gt;0</formula>
    </cfRule>
  </conditionalFormatting>
  <conditionalFormatting sqref="E33 E36 E39">
    <cfRule type="expression" dxfId="296" priority="157">
      <formula>AND(_xlfn.SINGLE(ACOMPANHAMENTO)="BM",E33&gt;ROUND(E33,4))</formula>
    </cfRule>
  </conditionalFormatting>
  <conditionalFormatting sqref="U32:AF32 U35:AF35 U38:AF38">
    <cfRule type="expression" dxfId="295" priority="156" stopIfTrue="1">
      <formula>U32&lt;&gt;0</formula>
    </cfRule>
  </conditionalFormatting>
  <conditionalFormatting sqref="U33:AF33 U36:AF36 U39:AF39">
    <cfRule type="expression" dxfId="294" priority="155">
      <formula>AND(_xlfn.SINGLE(ACOMPANHAMENTO)="BM",U33&gt;ROUND(U33,4))</formula>
    </cfRule>
  </conditionalFormatting>
  <conditionalFormatting sqref="E42 E45 E48 U42:AF42 U45:AF45 U48:AF48">
    <cfRule type="expression" dxfId="293" priority="150" stopIfTrue="1">
      <formula>AND(ISNUMBER($H41),$H41&lt;&gt;0)</formula>
    </cfRule>
  </conditionalFormatting>
  <conditionalFormatting sqref="I42:S42 I45:S45 I48:S48">
    <cfRule type="expression" dxfId="292" priority="151" stopIfTrue="1">
      <formula>$M41=2</formula>
    </cfRule>
    <cfRule type="expression" dxfId="291" priority="152" stopIfTrue="1">
      <formula>AND($M41=1,$S41&lt;&gt;"")</formula>
    </cfRule>
  </conditionalFormatting>
  <conditionalFormatting sqref="I41:S41 I44:S44 I47:S47">
    <cfRule type="expression" dxfId="290" priority="153" stopIfTrue="1">
      <formula>$M41=2</formula>
    </cfRule>
    <cfRule type="expression" dxfId="289" priority="154" stopIfTrue="1">
      <formula>AND($M41=1,$S41&lt;&gt;"")</formula>
    </cfRule>
  </conditionalFormatting>
  <conditionalFormatting sqref="H42 H45 H48">
    <cfRule type="expression" dxfId="288" priority="149">
      <formula>AND(H41&lt;&gt;0,ISNUMBER(H41))</formula>
    </cfRule>
  </conditionalFormatting>
  <conditionalFormatting sqref="H41 H44 H47">
    <cfRule type="expression" dxfId="287" priority="148">
      <formula>AND(H41&lt;&gt;0,ISNUMBER(H41))</formula>
    </cfRule>
  </conditionalFormatting>
  <conditionalFormatting sqref="E41 E44 E47">
    <cfRule type="expression" dxfId="286" priority="147" stopIfTrue="1">
      <formula>E41&lt;&gt;0</formula>
    </cfRule>
  </conditionalFormatting>
  <conditionalFormatting sqref="E42 E45 E48">
    <cfRule type="expression" dxfId="285" priority="146">
      <formula>AND(_xlfn.SINGLE(ACOMPANHAMENTO)="BM",E42&gt;ROUND(E42,4))</formula>
    </cfRule>
  </conditionalFormatting>
  <conditionalFormatting sqref="U41:AF41 U44:AF44 U47:AF47">
    <cfRule type="expression" dxfId="284" priority="145" stopIfTrue="1">
      <formula>U41&lt;&gt;0</formula>
    </cfRule>
  </conditionalFormatting>
  <conditionalFormatting sqref="U42:AF42 U45:AF45 U48:AF48">
    <cfRule type="expression" dxfId="283" priority="144">
      <formula>AND(_xlfn.SINGLE(ACOMPANHAMENTO)="BM",U42&gt;ROUND(U42,4))</formula>
    </cfRule>
  </conditionalFormatting>
  <conditionalFormatting sqref="E51 E54 E57 U51:AF51 U54:AF54 U57:AF57">
    <cfRule type="expression" dxfId="282" priority="139" stopIfTrue="1">
      <formula>AND(ISNUMBER($H50),$H50&lt;&gt;0)</formula>
    </cfRule>
  </conditionalFormatting>
  <conditionalFormatting sqref="I51:S51 I54:S54 I57:S57">
    <cfRule type="expression" dxfId="281" priority="140" stopIfTrue="1">
      <formula>$M50=2</formula>
    </cfRule>
    <cfRule type="expression" dxfId="280" priority="141" stopIfTrue="1">
      <formula>AND($M50=1,$S50&lt;&gt;"")</formula>
    </cfRule>
  </conditionalFormatting>
  <conditionalFormatting sqref="I50:S50 I53:S53 I56:S56">
    <cfRule type="expression" dxfId="279" priority="142" stopIfTrue="1">
      <formula>$M50=2</formula>
    </cfRule>
    <cfRule type="expression" dxfId="278" priority="143" stopIfTrue="1">
      <formula>AND($M50=1,$S50&lt;&gt;"")</formula>
    </cfRule>
  </conditionalFormatting>
  <conditionalFormatting sqref="H51 H54 H57">
    <cfRule type="expression" dxfId="277" priority="138">
      <formula>AND(H50&lt;&gt;0,ISNUMBER(H50))</formula>
    </cfRule>
  </conditionalFormatting>
  <conditionalFormatting sqref="H50 H53 H56">
    <cfRule type="expression" dxfId="276" priority="137">
      <formula>AND(H50&lt;&gt;0,ISNUMBER(H50))</formula>
    </cfRule>
  </conditionalFormatting>
  <conditionalFormatting sqref="E50 E53 E56">
    <cfRule type="expression" dxfId="275" priority="136" stopIfTrue="1">
      <formula>E50&lt;&gt;0</formula>
    </cfRule>
  </conditionalFormatting>
  <conditionalFormatting sqref="E51 E54 E57">
    <cfRule type="expression" dxfId="274" priority="135">
      <formula>AND(_xlfn.SINGLE(ACOMPANHAMENTO)="BM",E51&gt;ROUND(E51,4))</formula>
    </cfRule>
  </conditionalFormatting>
  <conditionalFormatting sqref="U50:AF50 U53:AF53 U56:AF56">
    <cfRule type="expression" dxfId="273" priority="134" stopIfTrue="1">
      <formula>U50&lt;&gt;0</formula>
    </cfRule>
  </conditionalFormatting>
  <conditionalFormatting sqref="U51:AF51 U54:AF54 U57:AF57">
    <cfRule type="expression" dxfId="272" priority="133">
      <formula>AND(_xlfn.SINGLE(ACOMPANHAMENTO)="BM",U51&gt;ROUND(U51,4))</formula>
    </cfRule>
  </conditionalFormatting>
  <conditionalFormatting sqref="E60 E63 E66 U60:AF60 U63:AF63 U66:AF66">
    <cfRule type="expression" dxfId="271" priority="128" stopIfTrue="1">
      <formula>AND(ISNUMBER($H59),$H59&lt;&gt;0)</formula>
    </cfRule>
  </conditionalFormatting>
  <conditionalFormatting sqref="I60:S60 I63:S63 I66:S66">
    <cfRule type="expression" dxfId="270" priority="129" stopIfTrue="1">
      <formula>$M59=2</formula>
    </cfRule>
    <cfRule type="expression" dxfId="269" priority="130" stopIfTrue="1">
      <formula>AND($M59=1,$S59&lt;&gt;"")</formula>
    </cfRule>
  </conditionalFormatting>
  <conditionalFormatting sqref="I59:S59 I62:S62 I65:S65">
    <cfRule type="expression" dxfId="268" priority="131" stopIfTrue="1">
      <formula>$M59=2</formula>
    </cfRule>
    <cfRule type="expression" dxfId="267" priority="132" stopIfTrue="1">
      <formula>AND($M59=1,$S59&lt;&gt;"")</formula>
    </cfRule>
  </conditionalFormatting>
  <conditionalFormatting sqref="H60 H63 H66">
    <cfRule type="expression" dxfId="266" priority="127">
      <formula>AND(H59&lt;&gt;0,ISNUMBER(H59))</formula>
    </cfRule>
  </conditionalFormatting>
  <conditionalFormatting sqref="H59 H62 H65">
    <cfRule type="expression" dxfId="265" priority="126">
      <formula>AND(H59&lt;&gt;0,ISNUMBER(H59))</formula>
    </cfRule>
  </conditionalFormatting>
  <conditionalFormatting sqref="E59 E62 E65">
    <cfRule type="expression" dxfId="264" priority="125" stopIfTrue="1">
      <formula>E59&lt;&gt;0</formula>
    </cfRule>
  </conditionalFormatting>
  <conditionalFormatting sqref="E60 E63 E66">
    <cfRule type="expression" dxfId="263" priority="124">
      <formula>AND(_xlfn.SINGLE(ACOMPANHAMENTO)="BM",E60&gt;ROUND(E60,4))</formula>
    </cfRule>
  </conditionalFormatting>
  <conditionalFormatting sqref="U59:AF59 U62:AF62 U65:AF65">
    <cfRule type="expression" dxfId="262" priority="123" stopIfTrue="1">
      <formula>U59&lt;&gt;0</formula>
    </cfRule>
  </conditionalFormatting>
  <conditionalFormatting sqref="U60:AF60 U63:AF63 U66:AF66">
    <cfRule type="expression" dxfId="261" priority="122">
      <formula>AND(_xlfn.SINGLE(ACOMPANHAMENTO)="BM",U60&gt;ROUND(U60,4))</formula>
    </cfRule>
  </conditionalFormatting>
  <conditionalFormatting sqref="E69 E72 E75 U69:AF69 U72:AF72 U75:AF75">
    <cfRule type="expression" dxfId="260" priority="117" stopIfTrue="1">
      <formula>AND(ISNUMBER($H68),$H68&lt;&gt;0)</formula>
    </cfRule>
  </conditionalFormatting>
  <conditionalFormatting sqref="I69:S69 I72:S72 I75:S75">
    <cfRule type="expression" dxfId="259" priority="118" stopIfTrue="1">
      <formula>$M68=2</formula>
    </cfRule>
    <cfRule type="expression" dxfId="258" priority="119" stopIfTrue="1">
      <formula>AND($M68=1,$S68&lt;&gt;"")</formula>
    </cfRule>
  </conditionalFormatting>
  <conditionalFormatting sqref="I68:S68 I71:S71 I74:S74">
    <cfRule type="expression" dxfId="257" priority="120" stopIfTrue="1">
      <formula>$M68=2</formula>
    </cfRule>
    <cfRule type="expression" dxfId="256" priority="121" stopIfTrue="1">
      <formula>AND($M68=1,$S68&lt;&gt;"")</formula>
    </cfRule>
  </conditionalFormatting>
  <conditionalFormatting sqref="H69 H72 H75">
    <cfRule type="expression" dxfId="255" priority="116">
      <formula>AND(H68&lt;&gt;0,ISNUMBER(H68))</formula>
    </cfRule>
  </conditionalFormatting>
  <conditionalFormatting sqref="H68 H71 H74">
    <cfRule type="expression" dxfId="254" priority="115">
      <formula>AND(H68&lt;&gt;0,ISNUMBER(H68))</formula>
    </cfRule>
  </conditionalFormatting>
  <conditionalFormatting sqref="E68 E71 E74">
    <cfRule type="expression" dxfId="253" priority="114" stopIfTrue="1">
      <formula>E68&lt;&gt;0</formula>
    </cfRule>
  </conditionalFormatting>
  <conditionalFormatting sqref="E69 E72 E75">
    <cfRule type="expression" dxfId="252" priority="113">
      <formula>AND(_xlfn.SINGLE(ACOMPANHAMENTO)="BM",E69&gt;ROUND(E69,4))</formula>
    </cfRule>
  </conditionalFormatting>
  <conditionalFormatting sqref="U68:AF68 U71:AF71 U74:AF74">
    <cfRule type="expression" dxfId="251" priority="112" stopIfTrue="1">
      <formula>U68&lt;&gt;0</formula>
    </cfRule>
  </conditionalFormatting>
  <conditionalFormatting sqref="U69:AF69 U72:AF72 U75:AF75">
    <cfRule type="expression" dxfId="250" priority="111">
      <formula>AND(_xlfn.SINGLE(ACOMPANHAMENTO)="BM",U69&gt;ROUND(U69,4))</formula>
    </cfRule>
  </conditionalFormatting>
  <conditionalFormatting sqref="E78 E81 E84 U78:AF78 U81:AF81 U84:AF84">
    <cfRule type="expression" dxfId="249" priority="106" stopIfTrue="1">
      <formula>AND(ISNUMBER($H77),$H77&lt;&gt;0)</formula>
    </cfRule>
  </conditionalFormatting>
  <conditionalFormatting sqref="I78:S78 I81:S81 I84:S84">
    <cfRule type="expression" dxfId="248" priority="107" stopIfTrue="1">
      <formula>$M77=2</formula>
    </cfRule>
    <cfRule type="expression" dxfId="247" priority="108" stopIfTrue="1">
      <formula>AND($M77=1,$S77&lt;&gt;"")</formula>
    </cfRule>
  </conditionalFormatting>
  <conditionalFormatting sqref="I77:S77 I80:S80 I83:S83">
    <cfRule type="expression" dxfId="246" priority="109" stopIfTrue="1">
      <formula>$M77=2</formula>
    </cfRule>
    <cfRule type="expression" dxfId="245" priority="110" stopIfTrue="1">
      <formula>AND($M77=1,$S77&lt;&gt;"")</formula>
    </cfRule>
  </conditionalFormatting>
  <conditionalFormatting sqref="H78 H81 H84">
    <cfRule type="expression" dxfId="244" priority="105">
      <formula>AND(H77&lt;&gt;0,ISNUMBER(H77))</formula>
    </cfRule>
  </conditionalFormatting>
  <conditionalFormatting sqref="H77 H80 H83">
    <cfRule type="expression" dxfId="243" priority="104">
      <formula>AND(H77&lt;&gt;0,ISNUMBER(H77))</formula>
    </cfRule>
  </conditionalFormatting>
  <conditionalFormatting sqref="E77 E80 E83">
    <cfRule type="expression" dxfId="242" priority="103" stopIfTrue="1">
      <formula>E77&lt;&gt;0</formula>
    </cfRule>
  </conditionalFormatting>
  <conditionalFormatting sqref="E78 E81 E84">
    <cfRule type="expression" dxfId="241" priority="102">
      <formula>AND(_xlfn.SINGLE(ACOMPANHAMENTO)="BM",E78&gt;ROUND(E78,4))</formula>
    </cfRule>
  </conditionalFormatting>
  <conditionalFormatting sqref="U77:AF77 U80:AF80 U83:AF83">
    <cfRule type="expression" dxfId="240" priority="101" stopIfTrue="1">
      <formula>U77&lt;&gt;0</formula>
    </cfRule>
  </conditionalFormatting>
  <conditionalFormatting sqref="U78:AF78 U81:AF81 U84:AF84">
    <cfRule type="expression" dxfId="239" priority="100">
      <formula>AND(_xlfn.SINGLE(ACOMPANHAMENTO)="BM",U78&gt;ROUND(U78,4))</formula>
    </cfRule>
  </conditionalFormatting>
  <conditionalFormatting sqref="E87 E90 E93 U87:AF87 U90:AF90 U93:AF93">
    <cfRule type="expression" dxfId="238" priority="95" stopIfTrue="1">
      <formula>AND(ISNUMBER($H86),$H86&lt;&gt;0)</formula>
    </cfRule>
  </conditionalFormatting>
  <conditionalFormatting sqref="I87:S87 I90:S90 I93:S93">
    <cfRule type="expression" dxfId="237" priority="96" stopIfTrue="1">
      <formula>$M86=2</formula>
    </cfRule>
    <cfRule type="expression" dxfId="236" priority="97" stopIfTrue="1">
      <formula>AND($M86=1,$S86&lt;&gt;"")</formula>
    </cfRule>
  </conditionalFormatting>
  <conditionalFormatting sqref="I86:S86 I89:S89 I92:S92">
    <cfRule type="expression" dxfId="235" priority="98" stopIfTrue="1">
      <formula>$M86=2</formula>
    </cfRule>
    <cfRule type="expression" dxfId="234" priority="99" stopIfTrue="1">
      <formula>AND($M86=1,$S86&lt;&gt;"")</formula>
    </cfRule>
  </conditionalFormatting>
  <conditionalFormatting sqref="H87 H90 H93">
    <cfRule type="expression" dxfId="233" priority="94">
      <formula>AND(H86&lt;&gt;0,ISNUMBER(H86))</formula>
    </cfRule>
  </conditionalFormatting>
  <conditionalFormatting sqref="H86 H89 H92">
    <cfRule type="expression" dxfId="232" priority="93">
      <formula>AND(H86&lt;&gt;0,ISNUMBER(H86))</formula>
    </cfRule>
  </conditionalFormatting>
  <conditionalFormatting sqref="E86 E89 E92">
    <cfRule type="expression" dxfId="231" priority="92" stopIfTrue="1">
      <formula>E86&lt;&gt;0</formula>
    </cfRule>
  </conditionalFormatting>
  <conditionalFormatting sqref="E87 E90 E93">
    <cfRule type="expression" dxfId="230" priority="91">
      <formula>AND(_xlfn.SINGLE(ACOMPANHAMENTO)="BM",E87&gt;ROUND(E87,4))</formula>
    </cfRule>
  </conditionalFormatting>
  <conditionalFormatting sqref="U86:AF86 U89:AF89 U92:AF92">
    <cfRule type="expression" dxfId="229" priority="90" stopIfTrue="1">
      <formula>U86&lt;&gt;0</formula>
    </cfRule>
  </conditionalFormatting>
  <conditionalFormatting sqref="U87:AF87 U90:AF90 U93:AF93">
    <cfRule type="expression" dxfId="228" priority="89">
      <formula>AND(_xlfn.SINGLE(ACOMPANHAMENTO)="BM",U87&gt;ROUND(U87,4))</formula>
    </cfRule>
  </conditionalFormatting>
  <conditionalFormatting sqref="E96 E99 E102 U96:AF96 U99:AF99 U102:AF102">
    <cfRule type="expression" dxfId="227" priority="84" stopIfTrue="1">
      <formula>AND(ISNUMBER($H95),$H95&lt;&gt;0)</formula>
    </cfRule>
  </conditionalFormatting>
  <conditionalFormatting sqref="I96:S96 I99:S99 I102:S102">
    <cfRule type="expression" dxfId="226" priority="85" stopIfTrue="1">
      <formula>$M95=2</formula>
    </cfRule>
    <cfRule type="expression" dxfId="225" priority="86" stopIfTrue="1">
      <formula>AND($M95=1,$S95&lt;&gt;"")</formula>
    </cfRule>
  </conditionalFormatting>
  <conditionalFormatting sqref="I95:S95 I98:S98 I101:S101">
    <cfRule type="expression" dxfId="224" priority="87" stopIfTrue="1">
      <formula>$M95=2</formula>
    </cfRule>
    <cfRule type="expression" dxfId="223" priority="88" stopIfTrue="1">
      <formula>AND($M95=1,$S95&lt;&gt;"")</formula>
    </cfRule>
  </conditionalFormatting>
  <conditionalFormatting sqref="H96 H99 H102">
    <cfRule type="expression" dxfId="222" priority="83">
      <formula>AND(H95&lt;&gt;0,ISNUMBER(H95))</formula>
    </cfRule>
  </conditionalFormatting>
  <conditionalFormatting sqref="H95 H98 H101">
    <cfRule type="expression" dxfId="221" priority="82">
      <formula>AND(H95&lt;&gt;0,ISNUMBER(H95))</formula>
    </cfRule>
  </conditionalFormatting>
  <conditionalFormatting sqref="E95 E98 E101">
    <cfRule type="expression" dxfId="220" priority="81" stopIfTrue="1">
      <formula>E95&lt;&gt;0</formula>
    </cfRule>
  </conditionalFormatting>
  <conditionalFormatting sqref="E96 E99 E102">
    <cfRule type="expression" dxfId="219" priority="80">
      <formula>AND(_xlfn.SINGLE(ACOMPANHAMENTO)="BM",E96&gt;ROUND(E96,4))</formula>
    </cfRule>
  </conditionalFormatting>
  <conditionalFormatting sqref="U95:AF95 U98:AF98 U101:AF101">
    <cfRule type="expression" dxfId="218" priority="79" stopIfTrue="1">
      <formula>U95&lt;&gt;0</formula>
    </cfRule>
  </conditionalFormatting>
  <conditionalFormatting sqref="U96:AF96 U99:AF99 U102:AF102">
    <cfRule type="expression" dxfId="217" priority="78">
      <formula>AND(_xlfn.SINGLE(ACOMPANHAMENTO)="BM",U96&gt;ROUND(U96,4))</formula>
    </cfRule>
  </conditionalFormatting>
  <conditionalFormatting sqref="E105 E108 E111 U105:AF105 U108:AF108 U111:AF111">
    <cfRule type="expression" dxfId="216" priority="73" stopIfTrue="1">
      <formula>AND(ISNUMBER($H104),$H104&lt;&gt;0)</formula>
    </cfRule>
  </conditionalFormatting>
  <conditionalFormatting sqref="I105:S105 I108:S108 I111:S111">
    <cfRule type="expression" dxfId="215" priority="74" stopIfTrue="1">
      <formula>$M104=2</formula>
    </cfRule>
    <cfRule type="expression" dxfId="214" priority="75" stopIfTrue="1">
      <formula>AND($M104=1,$S104&lt;&gt;"")</formula>
    </cfRule>
  </conditionalFormatting>
  <conditionalFormatting sqref="I104:S104 I107:S107 I110:S110">
    <cfRule type="expression" dxfId="213" priority="76" stopIfTrue="1">
      <formula>$M104=2</formula>
    </cfRule>
    <cfRule type="expression" dxfId="212" priority="77" stopIfTrue="1">
      <formula>AND($M104=1,$S104&lt;&gt;"")</formula>
    </cfRule>
  </conditionalFormatting>
  <conditionalFormatting sqref="H105 H108 H111">
    <cfRule type="expression" dxfId="211" priority="72">
      <formula>AND(H104&lt;&gt;0,ISNUMBER(H104))</formula>
    </cfRule>
  </conditionalFormatting>
  <conditionalFormatting sqref="H104 H107 H110">
    <cfRule type="expression" dxfId="210" priority="71">
      <formula>AND(H104&lt;&gt;0,ISNUMBER(H104))</formula>
    </cfRule>
  </conditionalFormatting>
  <conditionalFormatting sqref="E104 E107 E110">
    <cfRule type="expression" dxfId="209" priority="70" stopIfTrue="1">
      <formula>E104&lt;&gt;0</formula>
    </cfRule>
  </conditionalFormatting>
  <conditionalFormatting sqref="E105 E108 E111">
    <cfRule type="expression" dxfId="208" priority="69">
      <formula>AND(_xlfn.SINGLE(ACOMPANHAMENTO)="BM",E105&gt;ROUND(E105,4))</formula>
    </cfRule>
  </conditionalFormatting>
  <conditionalFormatting sqref="U104:AF104 U107:AF107 U110:AF110">
    <cfRule type="expression" dxfId="207" priority="68" stopIfTrue="1">
      <formula>U104&lt;&gt;0</formula>
    </cfRule>
  </conditionalFormatting>
  <conditionalFormatting sqref="U105:AF105 U108:AF108 U111:AF111">
    <cfRule type="expression" dxfId="206" priority="67">
      <formula>AND(_xlfn.SINGLE(ACOMPANHAMENTO)="BM",U105&gt;ROUND(U105,4))</formula>
    </cfRule>
  </conditionalFormatting>
  <conditionalFormatting sqref="E114 E117 E120 U114:AF114 U117:AF117 U120:AF120">
    <cfRule type="expression" dxfId="205" priority="62" stopIfTrue="1">
      <formula>AND(ISNUMBER($H113),$H113&lt;&gt;0)</formula>
    </cfRule>
  </conditionalFormatting>
  <conditionalFormatting sqref="I114:S114 I117:S117 I120:S120">
    <cfRule type="expression" dxfId="204" priority="63" stopIfTrue="1">
      <formula>$M113=2</formula>
    </cfRule>
    <cfRule type="expression" dxfId="203" priority="64" stopIfTrue="1">
      <formula>AND($M113=1,$S113&lt;&gt;"")</formula>
    </cfRule>
  </conditionalFormatting>
  <conditionalFormatting sqref="I113:S113 I116:S116 I119:S119">
    <cfRule type="expression" dxfId="202" priority="65" stopIfTrue="1">
      <formula>$M113=2</formula>
    </cfRule>
    <cfRule type="expression" dxfId="201" priority="66" stopIfTrue="1">
      <formula>AND($M113=1,$S113&lt;&gt;"")</formula>
    </cfRule>
  </conditionalFormatting>
  <conditionalFormatting sqref="H114 H117 H120">
    <cfRule type="expression" dxfId="200" priority="61">
      <formula>AND(H113&lt;&gt;0,ISNUMBER(H113))</formula>
    </cfRule>
  </conditionalFormatting>
  <conditionalFormatting sqref="H113 H116 H119">
    <cfRule type="expression" dxfId="199" priority="60">
      <formula>AND(H113&lt;&gt;0,ISNUMBER(H113))</formula>
    </cfRule>
  </conditionalFormatting>
  <conditionalFormatting sqref="E113 E116 E119">
    <cfRule type="expression" dxfId="198" priority="59" stopIfTrue="1">
      <formula>E113&lt;&gt;0</formula>
    </cfRule>
  </conditionalFormatting>
  <conditionalFormatting sqref="E114 E117 E120">
    <cfRule type="expression" dxfId="197" priority="58">
      <formula>AND(_xlfn.SINGLE(ACOMPANHAMENTO)="BM",E114&gt;ROUND(E114,4))</formula>
    </cfRule>
  </conditionalFormatting>
  <conditionalFormatting sqref="U113:AF113 U116:AF116 U119:AF119">
    <cfRule type="expression" dxfId="196" priority="57" stopIfTrue="1">
      <formula>U113&lt;&gt;0</formula>
    </cfRule>
  </conditionalFormatting>
  <conditionalFormatting sqref="U114:AF114 U117:AF117 U120:AF120">
    <cfRule type="expression" dxfId="195" priority="56">
      <formula>AND(_xlfn.SINGLE(ACOMPANHAMENTO)="BM",U114&gt;ROUND(U114,4))</formula>
    </cfRule>
  </conditionalFormatting>
  <conditionalFormatting sqref="E123 E126 E129 U123:AF123 U126:AF126 U129:AF129">
    <cfRule type="expression" dxfId="194" priority="51" stopIfTrue="1">
      <formula>AND(ISNUMBER($H122),$H122&lt;&gt;0)</formula>
    </cfRule>
  </conditionalFormatting>
  <conditionalFormatting sqref="I123:S123 I126:S126 I129:S129">
    <cfRule type="expression" dxfId="193" priority="52" stopIfTrue="1">
      <formula>$M122=2</formula>
    </cfRule>
    <cfRule type="expression" dxfId="192" priority="53" stopIfTrue="1">
      <formula>AND($M122=1,$S122&lt;&gt;"")</formula>
    </cfRule>
  </conditionalFormatting>
  <conditionalFormatting sqref="I122:S122 I125:S125 I128:S128">
    <cfRule type="expression" dxfId="191" priority="54" stopIfTrue="1">
      <formula>$M122=2</formula>
    </cfRule>
    <cfRule type="expression" dxfId="190" priority="55" stopIfTrue="1">
      <formula>AND($M122=1,$S122&lt;&gt;"")</formula>
    </cfRule>
  </conditionalFormatting>
  <conditionalFormatting sqref="H123 H126 H129">
    <cfRule type="expression" dxfId="189" priority="50">
      <formula>AND(H122&lt;&gt;0,ISNUMBER(H122))</formula>
    </cfRule>
  </conditionalFormatting>
  <conditionalFormatting sqref="H122 H125 H128">
    <cfRule type="expression" dxfId="188" priority="49">
      <formula>AND(H122&lt;&gt;0,ISNUMBER(H122))</formula>
    </cfRule>
  </conditionalFormatting>
  <conditionalFormatting sqref="E122 E125 E128">
    <cfRule type="expression" dxfId="187" priority="48" stopIfTrue="1">
      <formula>E122&lt;&gt;0</formula>
    </cfRule>
  </conditionalFormatting>
  <conditionalFormatting sqref="E123 E126 E129">
    <cfRule type="expression" dxfId="186" priority="47">
      <formula>AND(_xlfn.SINGLE(ACOMPANHAMENTO)="BM",E123&gt;ROUND(E123,4))</formula>
    </cfRule>
  </conditionalFormatting>
  <conditionalFormatting sqref="U122:AF122 U125:AF125 U128:AF128">
    <cfRule type="expression" dxfId="185" priority="46" stopIfTrue="1">
      <formula>U122&lt;&gt;0</formula>
    </cfRule>
  </conditionalFormatting>
  <conditionalFormatting sqref="U123:AF123 U126:AF126 U129:AF129">
    <cfRule type="expression" dxfId="184" priority="45">
      <formula>AND(_xlfn.SINGLE(ACOMPANHAMENTO)="BM",U123&gt;ROUND(U123,4))</formula>
    </cfRule>
  </conditionalFormatting>
  <conditionalFormatting sqref="E132 E135 E138 U132:AF132 U135:AF135 U138:AF138">
    <cfRule type="expression" dxfId="183" priority="40" stopIfTrue="1">
      <formula>AND(ISNUMBER($H131),$H131&lt;&gt;0)</formula>
    </cfRule>
  </conditionalFormatting>
  <conditionalFormatting sqref="I132:S132 I135:S135 I138:S138">
    <cfRule type="expression" dxfId="182" priority="41" stopIfTrue="1">
      <formula>$M131=2</formula>
    </cfRule>
    <cfRule type="expression" dxfId="181" priority="42" stopIfTrue="1">
      <formula>AND($M131=1,$S131&lt;&gt;"")</formula>
    </cfRule>
  </conditionalFormatting>
  <conditionalFormatting sqref="I131:S131 I134:S134 I137:S137">
    <cfRule type="expression" dxfId="180" priority="43" stopIfTrue="1">
      <formula>$M131=2</formula>
    </cfRule>
    <cfRule type="expression" dxfId="179" priority="44" stopIfTrue="1">
      <formula>AND($M131=1,$S131&lt;&gt;"")</formula>
    </cfRule>
  </conditionalFormatting>
  <conditionalFormatting sqref="H132 H135 H138">
    <cfRule type="expression" dxfId="178" priority="39">
      <formula>AND(H131&lt;&gt;0,ISNUMBER(H131))</formula>
    </cfRule>
  </conditionalFormatting>
  <conditionalFormatting sqref="H131 H134 H137">
    <cfRule type="expression" dxfId="177" priority="38">
      <formula>AND(H131&lt;&gt;0,ISNUMBER(H131))</formula>
    </cfRule>
  </conditionalFormatting>
  <conditionalFormatting sqref="E131 E134 E137">
    <cfRule type="expression" dxfId="176" priority="37" stopIfTrue="1">
      <formula>E131&lt;&gt;0</formula>
    </cfRule>
  </conditionalFormatting>
  <conditionalFormatting sqref="E132 E135 E138">
    <cfRule type="expression" dxfId="175" priority="36">
      <formula>AND(_xlfn.SINGLE(ACOMPANHAMENTO)="BM",E132&gt;ROUND(E132,4))</formula>
    </cfRule>
  </conditionalFormatting>
  <conditionalFormatting sqref="U131:AF131 U134:AF134 U137:AF137">
    <cfRule type="expression" dxfId="174" priority="35" stopIfTrue="1">
      <formula>U131&lt;&gt;0</formula>
    </cfRule>
  </conditionalFormatting>
  <conditionalFormatting sqref="U132:AF132 U135:AF135 U138:AF138">
    <cfRule type="expression" dxfId="173" priority="34">
      <formula>AND(_xlfn.SINGLE(ACOMPANHAMENTO)="BM",U132&gt;ROUND(U132,4))</formula>
    </cfRule>
  </conditionalFormatting>
  <conditionalFormatting sqref="E141 E144 E147 U141:AF141 U144:AF144 U147:AF147">
    <cfRule type="expression" dxfId="172" priority="29" stopIfTrue="1">
      <formula>AND(ISNUMBER($H140),$H140&lt;&gt;0)</formula>
    </cfRule>
  </conditionalFormatting>
  <conditionalFormatting sqref="I141:S141 I144:S144 I147:S147">
    <cfRule type="expression" dxfId="171" priority="30" stopIfTrue="1">
      <formula>$M140=2</formula>
    </cfRule>
    <cfRule type="expression" dxfId="170" priority="31" stopIfTrue="1">
      <formula>AND($M140=1,$S140&lt;&gt;"")</formula>
    </cfRule>
  </conditionalFormatting>
  <conditionalFormatting sqref="I140:S140 I143:S143 I146:S146">
    <cfRule type="expression" dxfId="169" priority="32" stopIfTrue="1">
      <formula>$M140=2</formula>
    </cfRule>
    <cfRule type="expression" dxfId="168" priority="33" stopIfTrue="1">
      <formula>AND($M140=1,$S140&lt;&gt;"")</formula>
    </cfRule>
  </conditionalFormatting>
  <conditionalFormatting sqref="H141 H144 H147">
    <cfRule type="expression" dxfId="167" priority="28">
      <formula>AND(H140&lt;&gt;0,ISNUMBER(H140))</formula>
    </cfRule>
  </conditionalFormatting>
  <conditionalFormatting sqref="H140 H143 H146">
    <cfRule type="expression" dxfId="166" priority="27">
      <formula>AND(H140&lt;&gt;0,ISNUMBER(H140))</formula>
    </cfRule>
  </conditionalFormatting>
  <conditionalFormatting sqref="E140 E143 E146">
    <cfRule type="expression" dxfId="165" priority="26" stopIfTrue="1">
      <formula>E140&lt;&gt;0</formula>
    </cfRule>
  </conditionalFormatting>
  <conditionalFormatting sqref="E141 E144 E147">
    <cfRule type="expression" dxfId="164" priority="25">
      <formula>AND(_xlfn.SINGLE(ACOMPANHAMENTO)="BM",E141&gt;ROUND(E141,4))</formula>
    </cfRule>
  </conditionalFormatting>
  <conditionalFormatting sqref="U140:AF140 U143:AF143 U146:AF146">
    <cfRule type="expression" dxfId="163" priority="24" stopIfTrue="1">
      <formula>U140&lt;&gt;0</formula>
    </cfRule>
  </conditionalFormatting>
  <conditionalFormatting sqref="U141:AF141 U144:AF144 U147:AF147">
    <cfRule type="expression" dxfId="162" priority="23">
      <formula>AND(_xlfn.SINGLE(ACOMPANHAMENTO)="BM",U141&gt;ROUND(U141,4))</formula>
    </cfRule>
  </conditionalFormatting>
  <conditionalFormatting sqref="E150 E153 E156 U150:AF150 U153:AF153 U156:AF156">
    <cfRule type="expression" dxfId="161" priority="18" stopIfTrue="1">
      <formula>AND(ISNUMBER($H149),$H149&lt;&gt;0)</formula>
    </cfRule>
  </conditionalFormatting>
  <conditionalFormatting sqref="I150:S150 I153:S153 I156:S156">
    <cfRule type="expression" dxfId="160" priority="19" stopIfTrue="1">
      <formula>$M149=2</formula>
    </cfRule>
    <cfRule type="expression" dxfId="159" priority="20" stopIfTrue="1">
      <formula>AND($M149=1,$S149&lt;&gt;"")</formula>
    </cfRule>
  </conditionalFormatting>
  <conditionalFormatting sqref="I149:S149 I152:S152 I155:S155">
    <cfRule type="expression" dxfId="158" priority="21" stopIfTrue="1">
      <formula>$M149=2</formula>
    </cfRule>
    <cfRule type="expression" dxfId="157" priority="22" stopIfTrue="1">
      <formula>AND($M149=1,$S149&lt;&gt;"")</formula>
    </cfRule>
  </conditionalFormatting>
  <conditionalFormatting sqref="H150 H153 H156">
    <cfRule type="expression" dxfId="156" priority="17">
      <formula>AND(H149&lt;&gt;0,ISNUMBER(H149))</formula>
    </cfRule>
  </conditionalFormatting>
  <conditionalFormatting sqref="H149 H152 H155">
    <cfRule type="expression" dxfId="155" priority="16">
      <formula>AND(H149&lt;&gt;0,ISNUMBER(H149))</formula>
    </cfRule>
  </conditionalFormatting>
  <conditionalFormatting sqref="E149 E152 E155">
    <cfRule type="expression" dxfId="154" priority="15" stopIfTrue="1">
      <formula>E149&lt;&gt;0</formula>
    </cfRule>
  </conditionalFormatting>
  <conditionalFormatting sqref="E150 E153 E156">
    <cfRule type="expression" dxfId="153" priority="14">
      <formula>AND(_xlfn.SINGLE(ACOMPANHAMENTO)="BM",E150&gt;ROUND(E150,4))</formula>
    </cfRule>
  </conditionalFormatting>
  <conditionalFormatting sqref="U149:AF149 U152:AF152 U155:AF155">
    <cfRule type="expression" dxfId="152" priority="13" stopIfTrue="1">
      <formula>U149&lt;&gt;0</formula>
    </cfRule>
  </conditionalFormatting>
  <conditionalFormatting sqref="U150:AF150 U153:AF153 U156:AF156">
    <cfRule type="expression" dxfId="151" priority="12">
      <formula>AND(_xlfn.SINGLE(ACOMPANHAMENTO)="BM",U150&gt;ROUND(U150,4))</formula>
    </cfRule>
  </conditionalFormatting>
  <conditionalFormatting sqref="E159 E162 U159:AF159 U162:AF162">
    <cfRule type="expression" dxfId="150" priority="7" stopIfTrue="1">
      <formula>AND(ISNUMBER($H158),$H158&lt;&gt;0)</formula>
    </cfRule>
  </conditionalFormatting>
  <conditionalFormatting sqref="I159:S159 I162:S162">
    <cfRule type="expression" dxfId="149" priority="8" stopIfTrue="1">
      <formula>$M158=2</formula>
    </cfRule>
    <cfRule type="expression" dxfId="148" priority="9" stopIfTrue="1">
      <formula>AND($M158=1,$S158&lt;&gt;"")</formula>
    </cfRule>
  </conditionalFormatting>
  <conditionalFormatting sqref="I158:S158 I161:S161">
    <cfRule type="expression" dxfId="147" priority="10" stopIfTrue="1">
      <formula>$M158=2</formula>
    </cfRule>
    <cfRule type="expression" dxfId="146" priority="11" stopIfTrue="1">
      <formula>AND($M158=1,$S158&lt;&gt;"")</formula>
    </cfRule>
  </conditionalFormatting>
  <conditionalFormatting sqref="H159 H162">
    <cfRule type="expression" dxfId="145" priority="6">
      <formula>AND(H158&lt;&gt;0,ISNUMBER(H158))</formula>
    </cfRule>
  </conditionalFormatting>
  <conditionalFormatting sqref="H158 H161">
    <cfRule type="expression" dxfId="144" priority="5">
      <formula>AND(H158&lt;&gt;0,ISNUMBER(H158))</formula>
    </cfRule>
  </conditionalFormatting>
  <conditionalFormatting sqref="E158 E161">
    <cfRule type="expression" dxfId="143" priority="4" stopIfTrue="1">
      <formula>E158&lt;&gt;0</formula>
    </cfRule>
  </conditionalFormatting>
  <conditionalFormatting sqref="E159 E162">
    <cfRule type="expression" dxfId="142" priority="3">
      <formula>AND(_xlfn.SINGLE(ACOMPANHAMENTO)="BM",E159&gt;ROUND(E159,4))</formula>
    </cfRule>
  </conditionalFormatting>
  <conditionalFormatting sqref="U158:AF158 U161:AF161">
    <cfRule type="expression" dxfId="141" priority="2" stopIfTrue="1">
      <formula>U158&lt;&gt;0</formula>
    </cfRule>
  </conditionalFormatting>
  <conditionalFormatting sqref="U159:AF159 U162:AF162">
    <cfRule type="expression" dxfId="140" priority="1">
      <formula>AND(_xlfn.SINGLE(ACOMPANHAMENTO)="BM",U159&gt;ROUND(U159,4))</formula>
    </cfRule>
  </conditionalFormatting>
  <dataValidations count="6">
    <dataValidation type="list" allowBlank="1" showErrorMessage="1" errorTitle="Obrigatório:" error="Selecione o nível (2, 3 ou 4) do agrupador a exibir no cronograma." sqref="H10" xr:uid="{00000000-0002-0000-08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800-000001000000}"/>
    <dataValidation type="whole" operator="greaterThan" allowBlank="1" showErrorMessage="1" sqref="U12" xr:uid="{00000000-0002-0000-08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800-000003000000}">
      <formula1>0</formula1>
      <formula2>CRONO.MaxParc</formula2>
    </dataValidation>
    <dataValidation type="date" operator="greaterThan" allowBlank="1" showInputMessage="1" showErrorMessage="1" errorTitle="Erro" error="Digite somente datas." sqref="U13" xr:uid="{00000000-0002-0000-0800-000004000000}">
      <formula1>36526</formula1>
    </dataValidation>
    <dataValidation type="list" allowBlank="1" showErrorMessage="1" errorTitle="Atenção" error="Selecione uma opção da lista." sqref="H175:J175" xr:uid="{00000000-0002-0000-0800-000005000000}">
      <formula1>$A$13:$A$164</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&amp;LPMv3.08&amp;R&amp;P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filterMode="1">
    <pageSetUpPr fitToPage="1"/>
  </sheetPr>
  <dimension ref="A1:AE37"/>
  <sheetViews>
    <sheetView showGridLines="0" zoomScale="85" zoomScaleNormal="85" zoomScaleSheetLayoutView="90" workbookViewId="0">
      <pane xSplit="7" ySplit="13" topLeftCell="H14" activePane="bottomRight" state="frozen"/>
      <selection pane="topRight" activeCell="H1" sqref="H1"/>
      <selection pane="bottomLeft" activeCell="C14" sqref="C14"/>
      <selection pane="bottomRight" activeCell="I24" sqref="I24"/>
    </sheetView>
  </sheetViews>
  <sheetFormatPr defaultRowHeight="13.2" x14ac:dyDescent="0.25"/>
  <cols>
    <col min="1" max="1" width="15.88671875" hidden="1" customWidth="1"/>
    <col min="2" max="2" width="10.44140625" hidden="1" customWidth="1"/>
    <col min="3" max="3" width="3.6640625" customWidth="1"/>
    <col min="4" max="4" width="6.6640625" customWidth="1"/>
    <col min="5" max="5" width="18.6640625" customWidth="1"/>
    <col min="6" max="6" width="28.6640625" customWidth="1"/>
    <col min="7" max="7" width="35.6640625" customWidth="1"/>
    <col min="8" max="8" width="15.6640625" customWidth="1"/>
    <col min="9" max="9" width="12.6640625" customWidth="1"/>
    <col min="10" max="10" width="7.6640625" customWidth="1"/>
    <col min="11" max="15" width="16.6640625" customWidth="1"/>
    <col min="16" max="17" width="5.6640625" customWidth="1"/>
    <col min="18" max="18" width="35.6640625" customWidth="1"/>
    <col min="19" max="19" width="1.6640625" customWidth="1"/>
    <col min="20" max="21" width="16.6640625" customWidth="1"/>
    <col min="22" max="22" width="13.6640625" customWidth="1"/>
    <col min="23" max="24" width="16.6640625" customWidth="1"/>
    <col min="25" max="25" width="1.6640625" customWidth="1"/>
    <col min="26" max="28" width="9.109375" hidden="1" customWidth="1"/>
    <col min="29" max="29" width="3.6640625" hidden="1" customWidth="1"/>
    <col min="30" max="30" width="13.44140625" hidden="1" customWidth="1"/>
    <col min="31" max="31" width="9.109375" hidden="1" customWidth="1"/>
  </cols>
  <sheetData>
    <row r="1" spans="1:31" ht="30" customHeight="1" x14ac:dyDescent="0.25">
      <c r="F1" s="216" t="s">
        <v>829</v>
      </c>
      <c r="I1" s="6"/>
      <c r="J1" s="6"/>
      <c r="O1" s="403" t="s">
        <v>780</v>
      </c>
      <c r="P1" s="64"/>
    </row>
    <row r="2" spans="1:31" x14ac:dyDescent="0.25">
      <c r="Z2" t="s">
        <v>830</v>
      </c>
      <c r="AA2" s="67" t="s">
        <v>831</v>
      </c>
      <c r="AB2" s="55"/>
    </row>
    <row r="3" spans="1:31" x14ac:dyDescent="0.25">
      <c r="D3" s="690" t="s">
        <v>656</v>
      </c>
      <c r="E3" s="690"/>
      <c r="F3" s="66" t="s">
        <v>714</v>
      </c>
      <c r="G3" s="690" t="s">
        <v>658</v>
      </c>
      <c r="H3" s="690"/>
      <c r="I3" s="690"/>
      <c r="J3" s="767" t="s">
        <v>832</v>
      </c>
      <c r="K3" s="767"/>
      <c r="L3" s="767"/>
      <c r="M3" s="768" t="s">
        <v>833</v>
      </c>
      <c r="N3" s="768"/>
      <c r="O3" s="768"/>
      <c r="Z3" s="76">
        <f ca="1">MAX(Z7:AB7)</f>
        <v>3.8911837529558228E-2</v>
      </c>
      <c r="AA3" s="217">
        <f ca="1">IF(OR($O$24=ORÇAMENTO.SumINVMANUAL+QCI.SumINVMANUAL,$O$24=0),0,MIN(MAX(0,($Z$3*$O$24-ORÇAMENTO.SumCPMANUAL-QCI.SumCPMANUAL)/($O$24-ORÇAMENTO.SumINVMANUAL-QCI.SumINVMANUAL)),1))</f>
        <v>3.8911837529558228E-2</v>
      </c>
      <c r="AB3" s="534"/>
    </row>
    <row r="4" spans="1:31" x14ac:dyDescent="0.25">
      <c r="D4" s="694" t="str">
        <f>Import.CR</f>
        <v>S/ INFORMAÇÃO</v>
      </c>
      <c r="E4" s="694"/>
      <c r="F4" s="512" t="str">
        <f>Import.TransfereGOV</f>
        <v>S/ INFORMAÇÃO</v>
      </c>
      <c r="G4" s="694" t="str">
        <f>Import.Proponente</f>
        <v>PREFEITURA MUNICIPAL DE URUARÁ</v>
      </c>
      <c r="H4" s="694"/>
      <c r="I4" s="694"/>
      <c r="J4" s="769" t="str">
        <f>Import.Município</f>
        <v>URUARÁ-PARÁ</v>
      </c>
      <c r="K4" s="769"/>
      <c r="L4" s="769"/>
      <c r="M4" s="768"/>
      <c r="N4" s="768"/>
      <c r="O4" s="768"/>
      <c r="R4" s="100"/>
      <c r="Z4" s="534"/>
      <c r="AA4" s="534"/>
      <c r="AB4" s="534"/>
    </row>
    <row r="5" spans="1:31" ht="5.0999999999999996" customHeight="1" x14ac:dyDescent="0.25">
      <c r="M5" s="212"/>
      <c r="O5" s="2"/>
    </row>
    <row r="6" spans="1:31" x14ac:dyDescent="0.25">
      <c r="D6" s="690" t="s">
        <v>715</v>
      </c>
      <c r="E6" s="690"/>
      <c r="F6" s="690"/>
      <c r="G6" s="690"/>
      <c r="H6" s="690"/>
      <c r="I6" s="690"/>
      <c r="J6" s="690"/>
      <c r="K6" s="690"/>
      <c r="L6" s="218" t="s">
        <v>722</v>
      </c>
      <c r="M6" s="66" t="str">
        <f>IF(import.recurso="FGTS","FINANCIAMENTO","REPASSE")</f>
        <v>REPASSE</v>
      </c>
      <c r="N6" s="66" t="s">
        <v>834</v>
      </c>
      <c r="O6" s="66" t="s">
        <v>835</v>
      </c>
      <c r="Z6" t="s">
        <v>836</v>
      </c>
      <c r="AA6" t="s">
        <v>837</v>
      </c>
      <c r="AB6" t="s">
        <v>838</v>
      </c>
    </row>
    <row r="7" spans="1:31" ht="12.75" customHeight="1" x14ac:dyDescent="0.25">
      <c r="C7" s="683" t="s">
        <v>661</v>
      </c>
      <c r="D7" s="694" t="str">
        <f>Import.Apelido</f>
        <v>PAVIMENTAÇÃO DE VIAS NO MUNICÍPIO DE URUARÁ - PARÁ</v>
      </c>
      <c r="E7" s="694"/>
      <c r="F7" s="694"/>
      <c r="G7" s="694"/>
      <c r="H7" s="694"/>
      <c r="I7" s="694"/>
      <c r="J7" s="694"/>
      <c r="K7" s="694"/>
      <c r="L7" s="219" t="str">
        <f>import.recurso</f>
        <v>OGU</v>
      </c>
      <c r="M7" s="220">
        <f>Import.Repasse</f>
        <v>6000000</v>
      </c>
      <c r="N7" s="220">
        <f>Import.Contrapartida</f>
        <v>241069.2</v>
      </c>
      <c r="O7" s="220">
        <f>M7+N7</f>
        <v>6241069.2000000002</v>
      </c>
      <c r="Z7" s="76">
        <f>ROUND(Import.CPMinPerc,4)</f>
        <v>0.01</v>
      </c>
      <c r="AA7" s="76">
        <f ca="1">IF($O$24=0,0,Import.CPMinAbsoluta/$O$24)</f>
        <v>0</v>
      </c>
      <c r="AB7" s="76">
        <f ca="1">IF($O$24=0,0,($O$24-$AB$24-Import.Repasse)/($O$24))</f>
        <v>3.8911837529558228E-2</v>
      </c>
    </row>
    <row r="8" spans="1:31" x14ac:dyDescent="0.25">
      <c r="C8" s="683"/>
      <c r="D8" s="534"/>
      <c r="E8" s="534"/>
      <c r="F8" s="221"/>
      <c r="G8" s="534"/>
      <c r="H8" s="534"/>
      <c r="I8" s="534"/>
      <c r="J8" s="534"/>
      <c r="K8" s="534"/>
      <c r="L8" s="534"/>
      <c r="M8" s="534"/>
      <c r="N8" s="534"/>
      <c r="O8" s="534"/>
    </row>
    <row r="9" spans="1:31" ht="12.75" customHeight="1" x14ac:dyDescent="0.25">
      <c r="C9" s="683"/>
      <c r="G9" s="766"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IF(OFFSET($A$24,-1,0)&lt;OFFSET(ORÇAMENTO!$E$36,-1,0),"ERRO: NÚMERO DE LINHAS DO QCI INSUFICIENTE. CLIQUE NO BOTÃO ADICIONAR LINHAS",
  "")))))))</f>
        <v>ERRO: SALDO NEGATIVO</v>
      </c>
      <c r="H9" s="766"/>
      <c r="I9" s="421"/>
      <c r="J9" s="420"/>
      <c r="K9" s="765" t="s">
        <v>839</v>
      </c>
      <c r="L9" s="630" t="str">
        <f>$L$13</f>
        <v>Repasse (R$)</v>
      </c>
      <c r="M9" s="630" t="s">
        <v>748</v>
      </c>
      <c r="AD9" s="763"/>
      <c r="AE9" s="763"/>
    </row>
    <row r="10" spans="1:31" ht="12.75" customHeight="1" x14ac:dyDescent="0.25">
      <c r="A10" s="762" t="s">
        <v>840</v>
      </c>
      <c r="C10" s="683"/>
      <c r="G10" s="766"/>
      <c r="H10" s="766"/>
      <c r="I10" s="421"/>
      <c r="J10" s="420"/>
      <c r="K10" s="765"/>
      <c r="L10" s="222">
        <f ca="1">Import.Repasse-L24</f>
        <v>0</v>
      </c>
      <c r="M10" s="223">
        <f ca="1">Import.Contrapartida-M24</f>
        <v>-1854.429999999993</v>
      </c>
      <c r="Z10" s="704" t="s">
        <v>728</v>
      </c>
      <c r="AA10" s="704"/>
      <c r="AB10" s="704"/>
      <c r="AD10" s="763" t="s">
        <v>841</v>
      </c>
      <c r="AE10" s="763"/>
    </row>
    <row r="11" spans="1:31" ht="20.100000000000001" customHeight="1" x14ac:dyDescent="0.3">
      <c r="A11" s="762"/>
      <c r="C11" s="683"/>
      <c r="G11" s="496"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43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81" t="s">
        <v>842</v>
      </c>
      <c r="AA11" s="81" t="s">
        <v>748</v>
      </c>
      <c r="AB11" s="82" t="s">
        <v>749</v>
      </c>
    </row>
    <row r="12" spans="1:31" hidden="1" x14ac:dyDescent="0.25">
      <c r="A12">
        <f ca="1">IF(NOT(ISBLANK(QCI.DescManual)),OFFSET(A12,-1,0),D12)</f>
        <v>-1</v>
      </c>
      <c r="B12" t="str">
        <f ca="1">IF(NOT(ISBLANK(QCI.DescManual)),IF(QCI.Divisao="Calculado","Manual","SemiAuto"),IF(ISERROR(MATCH($A12,ORÇAMENTO!$E$15:$E$36,0)),"Branco","Automático"))</f>
        <v>Branco</v>
      </c>
      <c r="C12" t="str">
        <f ca="1">IF(O12&gt;0,"F","")</f>
        <v/>
      </c>
      <c r="D12" s="224">
        <f>ROW()-ROW($D$13)</f>
        <v>-1</v>
      </c>
      <c r="E12" s="89"/>
      <c r="F12" s="89"/>
      <c r="G12" s="125" t="str">
        <f ca="1">IF(OR($B12="Manual",$B12="SemiAuto"),QCI.DescManual,IF($B12="Automático",INDEX(ORÇAMENTO!$R$15:$R$36,MATCH($A12,ORÇAMENTO!$E$15:$E$36,0)),""))</f>
        <v/>
      </c>
      <c r="H12" s="89"/>
      <c r="I12" s="375"/>
      <c r="J12" s="225" t="str">
        <f ca="1">IF(AND(ISBLANK(E12),ISBLANK(F12)),"",VLOOKUP($F12,OFFSET(DADOS!$A$2,1,MATCH(QCI!$E12,DADOS!$2:$2,0)-1,100,50),2,FALSE))</f>
        <v/>
      </c>
      <c r="K12" s="374" t="str">
        <f ca="1">IF(OR($B12="Manual",$B12="SemiAuto"),QCI.LoteManual,IF($B12="Automático",IF(TIPOORCAMENTO="Licitado",Import.CTEF,"LOTE 1"),""))</f>
        <v/>
      </c>
      <c r="L12" s="226">
        <f ca="1">ROUND($O12,2)-ROUND($M12,2)-ROUND($N12,2)</f>
        <v>0</v>
      </c>
      <c r="M12" s="227">
        <f ca="1">ROUND($AA12,2)-ROUND($AE12,2)</f>
        <v>0</v>
      </c>
      <c r="N12" s="228">
        <f ca="1">ROUND($AB12,2)</f>
        <v>0</v>
      </c>
      <c r="O12" s="229">
        <f ca="1">IF($B12="Branco",0,IF(OR($B12="Manual",$B12="SemiAuto"),QCI.InvManual,INDEX(ORÇAMENTO!X$15:X$36,MATCH($A12,ORÇAMENTO!$E$15:$E$36,0))))</f>
        <v>0</v>
      </c>
      <c r="P12" s="491" t="str">
        <f ca="1">IF(O12=0,"",
  IF(E12="","ITEM",
  IF(F12="","SUBITEM",
  IF(H12="","SITUAÇÃO",
  IF(I12=0,"QUANT.","")))))</f>
        <v/>
      </c>
      <c r="R12" s="376"/>
      <c r="S12" s="492" t="str">
        <f>IF(R12="","",
  IF(T12=0,"► LOTE",
  IF(U12=0,"► INVEST",
  IF(V12=0,"► DIV",
  IF(AND(V12="Calculado",W12=""),"► CP",
  IF(AND(V12="Calculado",X12=""),"► OU",""))))))</f>
        <v/>
      </c>
      <c r="T12" s="377"/>
      <c r="U12" s="493"/>
      <c r="V12" s="378" t="s">
        <v>843</v>
      </c>
      <c r="W12" s="494"/>
      <c r="X12" s="495"/>
      <c r="Z12">
        <f ca="1">$O12-$AA12-$AB12</f>
        <v>0</v>
      </c>
      <c r="AA12">
        <f ca="1">IF($B12="Branco",0,IF($B12="Manual",QCI.CPManual,IF($B12="SemiAuto",ROUND(QCI!$AA$3*QCI.InvManual,2),INDEX(ORÇAMENTO!$AA$15:$AA$36,MATCH($A12,ORÇAMENTO!$E$15:$E$36,0)))))</f>
        <v>0</v>
      </c>
      <c r="AB12">
        <f ca="1">IF($B12="Branco",0,IF($B12="Manual",QCI.OutrosManual,IF($B12="SemiAuto",0,INDEX(ORÇAMENTO!$AB$15:$AB$36,MATCH($A12,ORÇAMENTO!$E$15:$E$36,0)))))</f>
        <v>0</v>
      </c>
      <c r="AD12" s="232" t="b">
        <f ca="1">AND($AA$3&gt;0,$AA$3&lt;1,$O12&gt;0,OR($B12="Automático",$B12="SemiAuto"),OR(QCI!$Z$3=QCI!$Z$7,QCI!$Z$3=QCI!$AA$7,QCI!$Z$3=QCI!$AB$7))</f>
        <v>0</v>
      </c>
      <c r="AE12" s="232">
        <f ca="1">IF(AND($AD12,$O12&gt;0,COUNTIF(OFFSET($AD12,1,0):$AD$24,TRUE)=0),CHOOSE(1+LOG(1+2*(QCI!$Z$3=QCI!$Z$7)+4*(QCI!$Z$3=QCI!$AA$7)+8*(QCI!$Z$3=QCI!$AB$7),2),0,$AA$24-ROUND(Import.CPMinPerc*$O$24,2),$AA$24-Import.CPMinAbsoluta,Import.Repasse-$Z$24),0)</f>
        <v>0</v>
      </c>
    </row>
    <row r="13" spans="1:31" ht="25.5" customHeight="1" x14ac:dyDescent="0.25">
      <c r="A13" s="64">
        <v>0</v>
      </c>
      <c r="B13" s="233" t="s">
        <v>844</v>
      </c>
      <c r="C13" s="79" t="s">
        <v>666</v>
      </c>
      <c r="D13" s="80" t="s">
        <v>708</v>
      </c>
      <c r="E13" s="80" t="s">
        <v>845</v>
      </c>
      <c r="F13" s="80" t="s">
        <v>846</v>
      </c>
      <c r="G13" s="80" t="s">
        <v>847</v>
      </c>
      <c r="H13" s="80" t="s">
        <v>674</v>
      </c>
      <c r="I13" s="80" t="s">
        <v>719</v>
      </c>
      <c r="J13" s="80" t="s">
        <v>848</v>
      </c>
      <c r="K13" s="80" t="s">
        <v>849</v>
      </c>
      <c r="L13" s="631" t="str">
        <f>IF(import.recurso="FGTS","Financiamento (R$)","Repasse (R$)")</f>
        <v>Repasse (R$)</v>
      </c>
      <c r="M13" s="632" t="s">
        <v>850</v>
      </c>
      <c r="N13" s="633" t="s">
        <v>749</v>
      </c>
      <c r="O13" s="80" t="s">
        <v>851</v>
      </c>
      <c r="R13" s="568" t="s">
        <v>847</v>
      </c>
      <c r="T13" s="568" t="s">
        <v>849</v>
      </c>
      <c r="U13" s="566" t="s">
        <v>851</v>
      </c>
      <c r="V13" s="634" t="s">
        <v>852</v>
      </c>
      <c r="W13" s="606" t="s">
        <v>850</v>
      </c>
      <c r="X13" s="569" t="s">
        <v>749</v>
      </c>
    </row>
    <row r="14" spans="1:31" x14ac:dyDescent="0.25">
      <c r="A14">
        <f t="shared" ref="A14:A23" ca="1" si="0">IF(NOT(ISBLANK(QCI.DescManual)),OFFSET(A14,-1,0),D14)</f>
        <v>1</v>
      </c>
      <c r="B14" t="str">
        <f ca="1">IF(NOT(ISBLANK(QCI.DescManual)),IF(QCI.Divisao="Calculado","Manual","SemiAuto"),IF(ISERROR(MATCH($A14,ORÇAMENTO!$E$15:$E$36,0)),"Branco","Automático"))</f>
        <v>Automático</v>
      </c>
      <c r="C14" t="str">
        <f t="shared" ref="C14:C22" ca="1" si="1">IF(O14&gt;0,"F","")</f>
        <v>F</v>
      </c>
      <c r="D14" s="224">
        <f t="shared" ref="D14:D22" si="2">ROW()-ROW($D$13)</f>
        <v>1</v>
      </c>
      <c r="E14" s="89" t="s">
        <v>99</v>
      </c>
      <c r="F14" s="89" t="s">
        <v>181</v>
      </c>
      <c r="G14" s="125" t="str">
        <f ca="1">IF(OR($B14="Manual",$B14="SemiAuto"),QCI.DescManual,IF($B14="Automático",INDEX(ORÇAMENTO!$R$15:$R$36,MATCH($A14,ORÇAMENTO!$E$15:$E$36,0)),""))</f>
        <v>PAVIMENTAÇÃO ASFÁLTICA</v>
      </c>
      <c r="H14" s="89" t="s">
        <v>853</v>
      </c>
      <c r="I14" s="375">
        <v>8934.5499999999993</v>
      </c>
      <c r="J14" s="225" t="str">
        <f ca="1">IF(AND(ISBLANK(E14),ISBLANK(F14)),"",VLOOKUP($F14,OFFSET(DADOS!$A$2,1,MATCH(QCI!$E14,DADOS!$2:$2,0)-1,100,50),2,FALSE))</f>
        <v>m²</v>
      </c>
      <c r="K14" s="374" t="str">
        <f ca="1">IF(OR($B14="Manual",$B14="SemiAuto"),QCI.LoteManual,IF($B14="Automático",IF(TIPOORCAMENTO="Licitado",Import.CTEF,"LOTE 1"),""))</f>
        <v>LOTE 1</v>
      </c>
      <c r="L14" s="226">
        <f t="shared" ref="L14:L22" ca="1" si="3">ROUND($O14,2)-ROUND($M14,2)-ROUND($N14,2)</f>
        <v>6000000</v>
      </c>
      <c r="M14" s="227">
        <f t="shared" ref="M14:M22" ca="1" si="4">ROUND($AA14,2)-ROUND($AE14,2)</f>
        <v>242923.63</v>
      </c>
      <c r="N14" s="228">
        <f t="shared" ref="N14:N22" ca="1" si="5">ROUND($AB14,2)</f>
        <v>0</v>
      </c>
      <c r="O14" s="229">
        <f ca="1">IF($B14="Branco",0,IF(OR($B14="Manual",$B14="SemiAuto"),QCI.InvManual,INDEX(ORÇAMENTO!X$15:X$36,MATCH($A14,ORÇAMENTO!$E$15:$E$36,0))))</f>
        <v>6242923.6299999999</v>
      </c>
      <c r="P14" s="491" t="str">
        <f t="shared" ref="P14:P22" ca="1" si="6">IF(O14=0,"",
  IF(E14="","ITEM",
  IF(F14="","SUBITEM",
  IF(H14="","SITUAÇÃO",
  IF(I14=0,"QUANT.","")))))</f>
        <v/>
      </c>
      <c r="R14" s="376"/>
      <c r="S14" s="492" t="str">
        <f t="shared" ref="S14:S22" si="7">IF(R14="","",
  IF(T14=0,"► LOTE",
  IF(U14=0,"► INVEST",
  IF(V14=0,"► DIV",
  IF(AND(V14="Calculado",W14=""),"► CP",
  IF(AND(V14="Calculado",X14=""),"► OU",""))))))</f>
        <v/>
      </c>
      <c r="T14" s="377"/>
      <c r="U14" s="493"/>
      <c r="V14" s="378" t="s">
        <v>843</v>
      </c>
      <c r="W14" s="494"/>
      <c r="X14" s="495"/>
      <c r="Z14">
        <f t="shared" ref="Z14:Z22" ca="1" si="8">$O14-$AA14-$AB14</f>
        <v>6000000</v>
      </c>
      <c r="AA14">
        <f ca="1">IF($B14="Branco",0,IF($B14="Manual",QCI.CPManual,IF($B14="SemiAuto",ROUND(QCI!$AA$3*QCI.InvManual,2),INDEX(ORÇAMENTO!$AA$15:$AA$36,MATCH($A14,ORÇAMENTO!$E$15:$E$36,0)))))</f>
        <v>242923.62999999992</v>
      </c>
      <c r="AB14">
        <f ca="1">IF($B14="Branco",0,IF($B14="Manual",QCI.OutrosManual,IF($B14="SemiAuto",0,INDEX(ORÇAMENTO!$AB$15:$AB$36,MATCH($A14,ORÇAMENTO!$E$15:$E$36,0)))))</f>
        <v>0</v>
      </c>
      <c r="AD14" s="232" t="b">
        <f ca="1">AND($AA$3&gt;0,$AA$3&lt;1,$O14&gt;0,OR($B14="Automático",$B14="SemiAuto"),OR(QCI!$Z$3=QCI!$Z$7,QCI!$Z$3=QCI!$AA$7,QCI!$Z$3=QCI!$AB$7))</f>
        <v>1</v>
      </c>
      <c r="AE14" s="232">
        <f ca="1">IF(AND($AD14,$O14&gt;0,COUNTIF(OFFSET($AD14,1,0):$AD$24,TRUE)=0),CHOOSE(1+LOG(1+2*(QCI!$Z$3=QCI!$Z$7)+4*(QCI!$Z$3=QCI!$AA$7)+8*(QCI!$Z$3=QCI!$AB$7),2),0,$AA$24-ROUND(Import.CPMinPerc*$O$24,2),$AA$24-Import.CPMinAbsoluta,Import.Repasse-$Z$24),0)</f>
        <v>0</v>
      </c>
    </row>
    <row r="15" spans="1:31" hidden="1" x14ac:dyDescent="0.25">
      <c r="A15">
        <f t="shared" ca="1" si="0"/>
        <v>2</v>
      </c>
      <c r="B15" t="str">
        <f ca="1">IF(NOT(ISBLANK(QCI.DescManual)),IF(QCI.Divisao="Calculado","Manual","SemiAuto"),IF(ISERROR(MATCH($A15,ORÇAMENTO!$E$15:$E$36,0)),"Branco","Automático"))</f>
        <v>Branco</v>
      </c>
      <c r="C15" t="str">
        <f t="shared" ca="1" si="1"/>
        <v/>
      </c>
      <c r="D15" s="224">
        <f t="shared" si="2"/>
        <v>2</v>
      </c>
      <c r="E15" s="89"/>
      <c r="F15" s="89"/>
      <c r="G15" s="125" t="str">
        <f ca="1">IF(OR($B15="Manual",$B15="SemiAuto"),QCI.DescManual,IF($B15="Automático",INDEX(ORÇAMENTO!$R$15:$R$36,MATCH($A15,ORÇAMENTO!$E$15:$E$36,0)),""))</f>
        <v/>
      </c>
      <c r="H15" s="89"/>
      <c r="I15" s="375"/>
      <c r="J15" s="225" t="str">
        <f ca="1">IF(AND(ISBLANK(E15),ISBLANK(F15)),"",VLOOKUP($F15,OFFSET(DADOS!$A$2,1,MATCH(QCI!$E15,DADOS!$2:$2,0)-1,100,50),2,FALSE))</f>
        <v/>
      </c>
      <c r="K15" s="374" t="str">
        <f ca="1">IF(OR($B15="Manual",$B15="SemiAuto"),QCI.LoteManual,IF($B15="Automático",IF(TIPOORCAMENTO="Licitado",Import.CTEF,"LOTE 1"),""))</f>
        <v/>
      </c>
      <c r="L15" s="226">
        <f t="shared" ca="1" si="3"/>
        <v>0</v>
      </c>
      <c r="M15" s="227">
        <f t="shared" ca="1" si="4"/>
        <v>0</v>
      </c>
      <c r="N15" s="228">
        <f t="shared" ca="1" si="5"/>
        <v>0</v>
      </c>
      <c r="O15" s="229">
        <f ca="1">IF($B15="Branco",0,IF(OR($B15="Manual",$B15="SemiAuto"),QCI.InvManual,INDEX(ORÇAMENTO!X$15:X$36,MATCH($A15,ORÇAMENTO!$E$15:$E$36,0))))</f>
        <v>0</v>
      </c>
      <c r="P15" s="491" t="str">
        <f t="shared" ca="1" si="6"/>
        <v/>
      </c>
      <c r="R15" s="376"/>
      <c r="S15" s="492" t="str">
        <f t="shared" si="7"/>
        <v/>
      </c>
      <c r="T15" s="377"/>
      <c r="U15" s="493"/>
      <c r="V15" s="378" t="s">
        <v>843</v>
      </c>
      <c r="W15" s="494"/>
      <c r="X15" s="495"/>
      <c r="Z15">
        <f t="shared" ca="1" si="8"/>
        <v>0</v>
      </c>
      <c r="AA15">
        <f ca="1">IF($B15="Branco",0,IF($B15="Manual",QCI.CPManual,IF($B15="SemiAuto",ROUND(QCI!$AA$3*QCI.InvManual,2),INDEX(ORÇAMENTO!$AA$15:$AA$36,MATCH($A15,ORÇAMENTO!$E$15:$E$36,0)))))</f>
        <v>0</v>
      </c>
      <c r="AB15">
        <f ca="1">IF($B15="Branco",0,IF($B15="Manual",QCI.OutrosManual,IF($B15="SemiAuto",0,INDEX(ORÇAMENTO!$AB$15:$AB$36,MATCH($A15,ORÇAMENTO!$E$15:$E$36,0)))))</f>
        <v>0</v>
      </c>
      <c r="AD15" s="232" t="b">
        <f ca="1">AND($AA$3&gt;0,$AA$3&lt;1,$O15&gt;0,OR($B15="Automático",$B15="SemiAuto"),OR(QCI!$Z$3=QCI!$Z$7,QCI!$Z$3=QCI!$AA$7,QCI!$Z$3=QCI!$AB$7))</f>
        <v>0</v>
      </c>
      <c r="AE15" s="232">
        <f ca="1">IF(AND($AD15,$O15&gt;0,COUNTIF(OFFSET($AD15,1,0):$AD$24,TRUE)=0),CHOOSE(1+LOG(1+2*(QCI!$Z$3=QCI!$Z$7)+4*(QCI!$Z$3=QCI!$AA$7)+8*(QCI!$Z$3=QCI!$AB$7),2),0,$AA$24-ROUND(Import.CPMinPerc*$O$24,2),$AA$24-Import.CPMinAbsoluta,Import.Repasse-$Z$24),0)</f>
        <v>0</v>
      </c>
    </row>
    <row r="16" spans="1:31" hidden="1" x14ac:dyDescent="0.25">
      <c r="A16">
        <f t="shared" ca="1" si="0"/>
        <v>3</v>
      </c>
      <c r="B16" t="str">
        <f ca="1">IF(NOT(ISBLANK(QCI.DescManual)),IF(QCI.Divisao="Calculado","Manual","SemiAuto"),IF(ISERROR(MATCH($A16,ORÇAMENTO!$E$15:$E$36,0)),"Branco","Automático"))</f>
        <v>Branco</v>
      </c>
      <c r="C16" t="str">
        <f t="shared" ca="1" si="1"/>
        <v/>
      </c>
      <c r="D16" s="224">
        <f t="shared" si="2"/>
        <v>3</v>
      </c>
      <c r="E16" s="89"/>
      <c r="F16" s="89"/>
      <c r="G16" s="125" t="str">
        <f ca="1">IF(OR($B16="Manual",$B16="SemiAuto"),QCI.DescManual,IF($B16="Automático",INDEX(ORÇAMENTO!$R$15:$R$36,MATCH($A16,ORÇAMENTO!$E$15:$E$36,0)),""))</f>
        <v/>
      </c>
      <c r="H16" s="89"/>
      <c r="I16" s="375"/>
      <c r="J16" s="225" t="str">
        <f ca="1">IF(AND(ISBLANK(E16),ISBLANK(F16)),"",VLOOKUP($F16,OFFSET(DADOS!$A$2,1,MATCH(QCI!$E16,DADOS!$2:$2,0)-1,100,50),2,FALSE))</f>
        <v/>
      </c>
      <c r="K16" s="374" t="str">
        <f ca="1">IF(OR($B16="Manual",$B16="SemiAuto"),QCI.LoteManual,IF($B16="Automático",IF(TIPOORCAMENTO="Licitado",Import.CTEF,"LOTE 1"),""))</f>
        <v/>
      </c>
      <c r="L16" s="226">
        <f t="shared" ca="1" si="3"/>
        <v>0</v>
      </c>
      <c r="M16" s="227">
        <f t="shared" ca="1" si="4"/>
        <v>0</v>
      </c>
      <c r="N16" s="228">
        <f t="shared" ca="1" si="5"/>
        <v>0</v>
      </c>
      <c r="O16" s="229">
        <f ca="1">IF($B16="Branco",0,IF(OR($B16="Manual",$B16="SemiAuto"),QCI.InvManual,INDEX(ORÇAMENTO!X$15:X$36,MATCH($A16,ORÇAMENTO!$E$15:$E$36,0))))</f>
        <v>0</v>
      </c>
      <c r="P16" s="491" t="str">
        <f t="shared" ca="1" si="6"/>
        <v/>
      </c>
      <c r="R16" s="376"/>
      <c r="S16" s="492" t="str">
        <f t="shared" si="7"/>
        <v/>
      </c>
      <c r="T16" s="377"/>
      <c r="U16" s="493"/>
      <c r="V16" s="378" t="s">
        <v>843</v>
      </c>
      <c r="W16" s="494"/>
      <c r="X16" s="495"/>
      <c r="Z16">
        <f t="shared" ca="1" si="8"/>
        <v>0</v>
      </c>
      <c r="AA16">
        <f ca="1">IF($B16="Branco",0,IF($B16="Manual",QCI.CPManual,IF($B16="SemiAuto",ROUND(QCI!$AA$3*QCI.InvManual,2),INDEX(ORÇAMENTO!$AA$15:$AA$36,MATCH($A16,ORÇAMENTO!$E$15:$E$36,0)))))</f>
        <v>0</v>
      </c>
      <c r="AB16">
        <f ca="1">IF($B16="Branco",0,IF($B16="Manual",QCI.OutrosManual,IF($B16="SemiAuto",0,INDEX(ORÇAMENTO!$AB$15:$AB$36,MATCH($A16,ORÇAMENTO!$E$15:$E$36,0)))))</f>
        <v>0</v>
      </c>
      <c r="AD16" s="232" t="b">
        <f ca="1">AND($AA$3&gt;0,$AA$3&lt;1,$O16&gt;0,OR($B16="Automático",$B16="SemiAuto"),OR(QCI!$Z$3=QCI!$Z$7,QCI!$Z$3=QCI!$AA$7,QCI!$Z$3=QCI!$AB$7))</f>
        <v>0</v>
      </c>
      <c r="AE16" s="232">
        <f ca="1">IF(AND($AD16,$O16&gt;0,COUNTIF(OFFSET($AD16,1,0):$AD$24,TRUE)=0),CHOOSE(1+LOG(1+2*(QCI!$Z$3=QCI!$Z$7)+4*(QCI!$Z$3=QCI!$AA$7)+8*(QCI!$Z$3=QCI!$AB$7),2),0,$AA$24-ROUND(Import.CPMinPerc*$O$24,2),$AA$24-Import.CPMinAbsoluta,Import.Repasse-$Z$24),0)</f>
        <v>0</v>
      </c>
    </row>
    <row r="17" spans="1:31" hidden="1" x14ac:dyDescent="0.25">
      <c r="A17">
        <f t="shared" ca="1" si="0"/>
        <v>4</v>
      </c>
      <c r="B17" t="str">
        <f ca="1">IF(NOT(ISBLANK(QCI.DescManual)),IF(QCI.Divisao="Calculado","Manual","SemiAuto"),IF(ISERROR(MATCH($A17,ORÇAMENTO!$E$15:$E$36,0)),"Branco","Automático"))</f>
        <v>Branco</v>
      </c>
      <c r="C17" t="str">
        <f t="shared" ca="1" si="1"/>
        <v/>
      </c>
      <c r="D17" s="224">
        <f t="shared" si="2"/>
        <v>4</v>
      </c>
      <c r="E17" s="89"/>
      <c r="F17" s="89"/>
      <c r="G17" s="125" t="str">
        <f ca="1">IF(OR($B17="Manual",$B17="SemiAuto"),QCI.DescManual,IF($B17="Automático",INDEX(ORÇAMENTO!$R$15:$R$36,MATCH($A17,ORÇAMENTO!$E$15:$E$36,0)),""))</f>
        <v/>
      </c>
      <c r="H17" s="89"/>
      <c r="I17" s="375"/>
      <c r="J17" s="225" t="str">
        <f ca="1">IF(AND(ISBLANK(E17),ISBLANK(F17)),"",VLOOKUP($F17,OFFSET(DADOS!$A$2,1,MATCH(QCI!$E17,DADOS!$2:$2,0)-1,100,50),2,FALSE))</f>
        <v/>
      </c>
      <c r="K17" s="374" t="str">
        <f ca="1">IF(OR($B17="Manual",$B17="SemiAuto"),QCI.LoteManual,IF($B17="Automático",IF(TIPOORCAMENTO="Licitado",Import.CTEF,"LOTE 1"),""))</f>
        <v/>
      </c>
      <c r="L17" s="226">
        <f t="shared" ca="1" si="3"/>
        <v>0</v>
      </c>
      <c r="M17" s="227">
        <f t="shared" ca="1" si="4"/>
        <v>0</v>
      </c>
      <c r="N17" s="228">
        <f t="shared" ca="1" si="5"/>
        <v>0</v>
      </c>
      <c r="O17" s="229">
        <f ca="1">IF($B17="Branco",0,IF(OR($B17="Manual",$B17="SemiAuto"),QCI.InvManual,INDEX(ORÇAMENTO!X$15:X$36,MATCH($A17,ORÇAMENTO!$E$15:$E$36,0))))</f>
        <v>0</v>
      </c>
      <c r="P17" s="491" t="str">
        <f t="shared" ca="1" si="6"/>
        <v/>
      </c>
      <c r="R17" s="376"/>
      <c r="S17" s="492" t="str">
        <f t="shared" si="7"/>
        <v/>
      </c>
      <c r="T17" s="377"/>
      <c r="U17" s="493"/>
      <c r="V17" s="378" t="s">
        <v>843</v>
      </c>
      <c r="W17" s="494"/>
      <c r="X17" s="495"/>
      <c r="Z17">
        <f t="shared" ca="1" si="8"/>
        <v>0</v>
      </c>
      <c r="AA17">
        <f ca="1">IF($B17="Branco",0,IF($B17="Manual",QCI.CPManual,IF($B17="SemiAuto",ROUND(QCI!$AA$3*QCI.InvManual,2),INDEX(ORÇAMENTO!$AA$15:$AA$36,MATCH($A17,ORÇAMENTO!$E$15:$E$36,0)))))</f>
        <v>0</v>
      </c>
      <c r="AB17">
        <f ca="1">IF($B17="Branco",0,IF($B17="Manual",QCI.OutrosManual,IF($B17="SemiAuto",0,INDEX(ORÇAMENTO!$AB$15:$AB$36,MATCH($A17,ORÇAMENTO!$E$15:$E$36,0)))))</f>
        <v>0</v>
      </c>
      <c r="AD17" s="232" t="b">
        <f ca="1">AND($AA$3&gt;0,$AA$3&lt;1,$O17&gt;0,OR($B17="Automático",$B17="SemiAuto"),OR(QCI!$Z$3=QCI!$Z$7,QCI!$Z$3=QCI!$AA$7,QCI!$Z$3=QCI!$AB$7))</f>
        <v>0</v>
      </c>
      <c r="AE17" s="232">
        <f ca="1">IF(AND($AD17,$O17&gt;0,COUNTIF(OFFSET($AD17,1,0):$AD$24,TRUE)=0),CHOOSE(1+LOG(1+2*(QCI!$Z$3=QCI!$Z$7)+4*(QCI!$Z$3=QCI!$AA$7)+8*(QCI!$Z$3=QCI!$AB$7),2),0,$AA$24-ROUND(Import.CPMinPerc*$O$24,2),$AA$24-Import.CPMinAbsoluta,Import.Repasse-$Z$24),0)</f>
        <v>0</v>
      </c>
    </row>
    <row r="18" spans="1:31" hidden="1" x14ac:dyDescent="0.25">
      <c r="A18">
        <f t="shared" ca="1" si="0"/>
        <v>5</v>
      </c>
      <c r="B18" t="str">
        <f ca="1">IF(NOT(ISBLANK(QCI.DescManual)),IF(QCI.Divisao="Calculado","Manual","SemiAuto"),IF(ISERROR(MATCH($A18,ORÇAMENTO!$E$15:$E$36,0)),"Branco","Automático"))</f>
        <v>Branco</v>
      </c>
      <c r="C18" t="str">
        <f t="shared" ca="1" si="1"/>
        <v/>
      </c>
      <c r="D18" s="224">
        <f t="shared" si="2"/>
        <v>5</v>
      </c>
      <c r="E18" s="89"/>
      <c r="F18" s="89"/>
      <c r="G18" s="125" t="str">
        <f ca="1">IF(OR($B18="Manual",$B18="SemiAuto"),QCI.DescManual,IF($B18="Automático",INDEX(ORÇAMENTO!$R$15:$R$36,MATCH($A18,ORÇAMENTO!$E$15:$E$36,0)),""))</f>
        <v/>
      </c>
      <c r="H18" s="89"/>
      <c r="I18" s="375"/>
      <c r="J18" s="225" t="str">
        <f ca="1">IF(AND(ISBLANK(E18),ISBLANK(F18)),"",VLOOKUP($F18,OFFSET(DADOS!$A$2,1,MATCH(QCI!$E18,DADOS!$2:$2,0)-1,100,50),2,FALSE))</f>
        <v/>
      </c>
      <c r="K18" s="374" t="str">
        <f ca="1">IF(OR($B18="Manual",$B18="SemiAuto"),QCI.LoteManual,IF($B18="Automático",IF(TIPOORCAMENTO="Licitado",Import.CTEF,"LOTE 1"),""))</f>
        <v/>
      </c>
      <c r="L18" s="226">
        <f t="shared" ca="1" si="3"/>
        <v>0</v>
      </c>
      <c r="M18" s="227">
        <f t="shared" ca="1" si="4"/>
        <v>0</v>
      </c>
      <c r="N18" s="228">
        <f t="shared" ca="1" si="5"/>
        <v>0</v>
      </c>
      <c r="O18" s="229">
        <f ca="1">IF($B18="Branco",0,IF(OR($B18="Manual",$B18="SemiAuto"),QCI.InvManual,INDEX(ORÇAMENTO!X$15:X$36,MATCH($A18,ORÇAMENTO!$E$15:$E$36,0))))</f>
        <v>0</v>
      </c>
      <c r="P18" s="491" t="str">
        <f t="shared" ca="1" si="6"/>
        <v/>
      </c>
      <c r="R18" s="376"/>
      <c r="S18" s="492" t="str">
        <f t="shared" si="7"/>
        <v/>
      </c>
      <c r="T18" s="377"/>
      <c r="U18" s="493"/>
      <c r="V18" s="378" t="s">
        <v>843</v>
      </c>
      <c r="W18" s="494"/>
      <c r="X18" s="495"/>
      <c r="Z18">
        <f t="shared" ca="1" si="8"/>
        <v>0</v>
      </c>
      <c r="AA18">
        <f ca="1">IF($B18="Branco",0,IF($B18="Manual",QCI.CPManual,IF($B18="SemiAuto",ROUND(QCI!$AA$3*QCI.InvManual,2),INDEX(ORÇAMENTO!$AA$15:$AA$36,MATCH($A18,ORÇAMENTO!$E$15:$E$36,0)))))</f>
        <v>0</v>
      </c>
      <c r="AB18">
        <f ca="1">IF($B18="Branco",0,IF($B18="Manual",QCI.OutrosManual,IF($B18="SemiAuto",0,INDEX(ORÇAMENTO!$AB$15:$AB$36,MATCH($A18,ORÇAMENTO!$E$15:$E$36,0)))))</f>
        <v>0</v>
      </c>
      <c r="AD18" s="232" t="b">
        <f ca="1">AND($AA$3&gt;0,$AA$3&lt;1,$O18&gt;0,OR($B18="Automático",$B18="SemiAuto"),OR(QCI!$Z$3=QCI!$Z$7,QCI!$Z$3=QCI!$AA$7,QCI!$Z$3=QCI!$AB$7))</f>
        <v>0</v>
      </c>
      <c r="AE18" s="232">
        <f ca="1">IF(AND($AD18,$O18&gt;0,COUNTIF(OFFSET($AD18,1,0):$AD$24,TRUE)=0),CHOOSE(1+LOG(1+2*(QCI!$Z$3=QCI!$Z$7)+4*(QCI!$Z$3=QCI!$AA$7)+8*(QCI!$Z$3=QCI!$AB$7),2),0,$AA$24-ROUND(Import.CPMinPerc*$O$24,2),$AA$24-Import.CPMinAbsoluta,Import.Repasse-$Z$24),0)</f>
        <v>0</v>
      </c>
    </row>
    <row r="19" spans="1:31" hidden="1" x14ac:dyDescent="0.25">
      <c r="A19">
        <f t="shared" ca="1" si="0"/>
        <v>6</v>
      </c>
      <c r="B19" t="str">
        <f ca="1">IF(NOT(ISBLANK(QCI.DescManual)),IF(QCI.Divisao="Calculado","Manual","SemiAuto"),IF(ISERROR(MATCH($A19,ORÇAMENTO!$E$15:$E$36,0)),"Branco","Automático"))</f>
        <v>Branco</v>
      </c>
      <c r="C19" t="str">
        <f t="shared" ca="1" si="1"/>
        <v/>
      </c>
      <c r="D19" s="224">
        <f t="shared" si="2"/>
        <v>6</v>
      </c>
      <c r="E19" s="89"/>
      <c r="F19" s="89"/>
      <c r="G19" s="125" t="str">
        <f ca="1">IF(OR($B19="Manual",$B19="SemiAuto"),QCI.DescManual,IF($B19="Automático",INDEX(ORÇAMENTO!$R$15:$R$36,MATCH($A19,ORÇAMENTO!$E$15:$E$36,0)),""))</f>
        <v/>
      </c>
      <c r="H19" s="89"/>
      <c r="I19" s="375"/>
      <c r="J19" s="225" t="str">
        <f ca="1">IF(AND(ISBLANK(E19),ISBLANK(F19)),"",VLOOKUP($F19,OFFSET(DADOS!$A$2,1,MATCH(QCI!$E19,DADOS!$2:$2,0)-1,100,50),2,FALSE))</f>
        <v/>
      </c>
      <c r="K19" s="374" t="str">
        <f ca="1">IF(OR($B19="Manual",$B19="SemiAuto"),QCI.LoteManual,IF($B19="Automático",IF(TIPOORCAMENTO="Licitado",Import.CTEF,"LOTE 1"),""))</f>
        <v/>
      </c>
      <c r="L19" s="226">
        <f t="shared" ca="1" si="3"/>
        <v>0</v>
      </c>
      <c r="M19" s="227">
        <f t="shared" ca="1" si="4"/>
        <v>0</v>
      </c>
      <c r="N19" s="228">
        <f t="shared" ca="1" si="5"/>
        <v>0</v>
      </c>
      <c r="O19" s="229">
        <f ca="1">IF($B19="Branco",0,IF(OR($B19="Manual",$B19="SemiAuto"),QCI.InvManual,INDEX(ORÇAMENTO!X$15:X$36,MATCH($A19,ORÇAMENTO!$E$15:$E$36,0))))</f>
        <v>0</v>
      </c>
      <c r="P19" s="491" t="str">
        <f t="shared" ca="1" si="6"/>
        <v/>
      </c>
      <c r="R19" s="376"/>
      <c r="S19" s="492" t="str">
        <f t="shared" si="7"/>
        <v/>
      </c>
      <c r="T19" s="377"/>
      <c r="U19" s="493"/>
      <c r="V19" s="378" t="s">
        <v>843</v>
      </c>
      <c r="W19" s="494"/>
      <c r="X19" s="495"/>
      <c r="Z19">
        <f t="shared" ca="1" si="8"/>
        <v>0</v>
      </c>
      <c r="AA19">
        <f ca="1">IF($B19="Branco",0,IF($B19="Manual",QCI.CPManual,IF($B19="SemiAuto",ROUND(QCI!$AA$3*QCI.InvManual,2),INDEX(ORÇAMENTO!$AA$15:$AA$36,MATCH($A19,ORÇAMENTO!$E$15:$E$36,0)))))</f>
        <v>0</v>
      </c>
      <c r="AB19">
        <f ca="1">IF($B19="Branco",0,IF($B19="Manual",QCI.OutrosManual,IF($B19="SemiAuto",0,INDEX(ORÇAMENTO!$AB$15:$AB$36,MATCH($A19,ORÇAMENTO!$E$15:$E$36,0)))))</f>
        <v>0</v>
      </c>
      <c r="AD19" s="232" t="b">
        <f ca="1">AND($AA$3&gt;0,$AA$3&lt;1,$O19&gt;0,OR($B19="Automático",$B19="SemiAuto"),OR(QCI!$Z$3=QCI!$Z$7,QCI!$Z$3=QCI!$AA$7,QCI!$Z$3=QCI!$AB$7))</f>
        <v>0</v>
      </c>
      <c r="AE19" s="232">
        <f ca="1">IF(AND($AD19,$O19&gt;0,COUNTIF(OFFSET($AD19,1,0):$AD$24,TRUE)=0),CHOOSE(1+LOG(1+2*(QCI!$Z$3=QCI!$Z$7)+4*(QCI!$Z$3=QCI!$AA$7)+8*(QCI!$Z$3=QCI!$AB$7),2),0,$AA$24-ROUND(Import.CPMinPerc*$O$24,2),$AA$24-Import.CPMinAbsoluta,Import.Repasse-$Z$24),0)</f>
        <v>0</v>
      </c>
    </row>
    <row r="20" spans="1:31" hidden="1" x14ac:dyDescent="0.25">
      <c r="A20">
        <f t="shared" ca="1" si="0"/>
        <v>7</v>
      </c>
      <c r="B20" t="str">
        <f ca="1">IF(NOT(ISBLANK(QCI.DescManual)),IF(QCI.Divisao="Calculado","Manual","SemiAuto"),IF(ISERROR(MATCH($A20,ORÇAMENTO!$E$15:$E$36,0)),"Branco","Automático"))</f>
        <v>Branco</v>
      </c>
      <c r="C20" t="str">
        <f t="shared" ca="1" si="1"/>
        <v/>
      </c>
      <c r="D20" s="224">
        <f t="shared" si="2"/>
        <v>7</v>
      </c>
      <c r="E20" s="89" t="s">
        <v>99</v>
      </c>
      <c r="F20" s="89" t="s">
        <v>181</v>
      </c>
      <c r="G20" s="125" t="str">
        <f ca="1">IF(OR($B20="Manual",$B20="SemiAuto"),QCI.DescManual,IF($B20="Automático",INDEX(ORÇAMENTO!$R$15:$R$36,MATCH($A20,ORÇAMENTO!$E$15:$E$36,0)),""))</f>
        <v/>
      </c>
      <c r="H20" s="89"/>
      <c r="I20" s="375"/>
      <c r="J20" s="225" t="str">
        <f ca="1">IF(AND(ISBLANK(E20),ISBLANK(F20)),"",VLOOKUP($F20,OFFSET(DADOS!$A$2,1,MATCH(QCI!$E20,DADOS!$2:$2,0)-1,100,50),2,FALSE))</f>
        <v>m²</v>
      </c>
      <c r="K20" s="374" t="str">
        <f ca="1">IF(OR($B20="Manual",$B20="SemiAuto"),QCI.LoteManual,IF($B20="Automático",IF(TIPOORCAMENTO="Licitado",Import.CTEF,"LOTE 1"),""))</f>
        <v/>
      </c>
      <c r="L20" s="226">
        <f t="shared" ca="1" si="3"/>
        <v>0</v>
      </c>
      <c r="M20" s="227">
        <f t="shared" ca="1" si="4"/>
        <v>0</v>
      </c>
      <c r="N20" s="228">
        <f t="shared" ca="1" si="5"/>
        <v>0</v>
      </c>
      <c r="O20" s="229">
        <f ca="1">IF($B20="Branco",0,IF(OR($B20="Manual",$B20="SemiAuto"),QCI.InvManual,INDEX(ORÇAMENTO!X$15:X$36,MATCH($A20,ORÇAMENTO!$E$15:$E$36,0))))</f>
        <v>0</v>
      </c>
      <c r="P20" s="491" t="str">
        <f t="shared" ca="1" si="6"/>
        <v/>
      </c>
      <c r="R20" s="376"/>
      <c r="S20" s="492" t="str">
        <f t="shared" si="7"/>
        <v/>
      </c>
      <c r="T20" s="377"/>
      <c r="U20" s="493"/>
      <c r="V20" s="378" t="s">
        <v>843</v>
      </c>
      <c r="W20" s="494"/>
      <c r="X20" s="495"/>
      <c r="Z20">
        <f t="shared" ca="1" si="8"/>
        <v>0</v>
      </c>
      <c r="AA20">
        <f ca="1">IF($B20="Branco",0,IF($B20="Manual",QCI.CPManual,IF($B20="SemiAuto",ROUND(QCI!$AA$3*QCI.InvManual,2),INDEX(ORÇAMENTO!$AA$15:$AA$36,MATCH($A20,ORÇAMENTO!$E$15:$E$36,0)))))</f>
        <v>0</v>
      </c>
      <c r="AB20">
        <f ca="1">IF($B20="Branco",0,IF($B20="Manual",QCI.OutrosManual,IF($B20="SemiAuto",0,INDEX(ORÇAMENTO!$AB$15:$AB$36,MATCH($A20,ORÇAMENTO!$E$15:$E$36,0)))))</f>
        <v>0</v>
      </c>
      <c r="AD20" s="232" t="b">
        <f ca="1">AND($AA$3&gt;0,$AA$3&lt;1,$O20&gt;0,OR($B20="Automático",$B20="SemiAuto"),OR(QCI!$Z$3=QCI!$Z$7,QCI!$Z$3=QCI!$AA$7,QCI!$Z$3=QCI!$AB$7))</f>
        <v>0</v>
      </c>
      <c r="AE20" s="232">
        <f ca="1">IF(AND($AD20,$O20&gt;0,COUNTIF(OFFSET($AD20,1,0):$AD$24,TRUE)=0),CHOOSE(1+LOG(1+2*(QCI!$Z$3=QCI!$Z$7)+4*(QCI!$Z$3=QCI!$AA$7)+8*(QCI!$Z$3=QCI!$AB$7),2),0,$AA$24-ROUND(Import.CPMinPerc*$O$24,2),$AA$24-Import.CPMinAbsoluta,Import.Repasse-$Z$24),0)</f>
        <v>0</v>
      </c>
    </row>
    <row r="21" spans="1:31" hidden="1" x14ac:dyDescent="0.25">
      <c r="A21">
        <f t="shared" ca="1" si="0"/>
        <v>8</v>
      </c>
      <c r="B21" t="str">
        <f ca="1">IF(NOT(ISBLANK(QCI.DescManual)),IF(QCI.Divisao="Calculado","Manual","SemiAuto"),IF(ISERROR(MATCH($A21,ORÇAMENTO!$E$15:$E$36,0)),"Branco","Automático"))</f>
        <v>Branco</v>
      </c>
      <c r="C21" t="str">
        <f t="shared" ca="1" si="1"/>
        <v/>
      </c>
      <c r="D21" s="224">
        <f t="shared" si="2"/>
        <v>8</v>
      </c>
      <c r="E21" s="89"/>
      <c r="F21" s="89"/>
      <c r="G21" s="125" t="str">
        <f ca="1">IF(OR($B21="Manual",$B21="SemiAuto"),QCI.DescManual,IF($B21="Automático",INDEX(ORÇAMENTO!$R$15:$R$36,MATCH($A21,ORÇAMENTO!$E$15:$E$36,0)),""))</f>
        <v/>
      </c>
      <c r="H21" s="89"/>
      <c r="I21" s="375"/>
      <c r="J21" s="225" t="str">
        <f ca="1">IF(AND(ISBLANK(E21),ISBLANK(F21)),"",VLOOKUP($F21,OFFSET(DADOS!$A$2,1,MATCH(QCI!$E21,DADOS!$2:$2,0)-1,100,50),2,FALSE))</f>
        <v/>
      </c>
      <c r="K21" s="374" t="str">
        <f ca="1">IF(OR($B21="Manual",$B21="SemiAuto"),QCI.LoteManual,IF($B21="Automático",IF(TIPOORCAMENTO="Licitado",Import.CTEF,"LOTE 1"),""))</f>
        <v/>
      </c>
      <c r="L21" s="226">
        <f t="shared" ca="1" si="3"/>
        <v>0</v>
      </c>
      <c r="M21" s="227">
        <f t="shared" ca="1" si="4"/>
        <v>0</v>
      </c>
      <c r="N21" s="228">
        <f t="shared" ca="1" si="5"/>
        <v>0</v>
      </c>
      <c r="O21" s="229">
        <f ca="1">IF($B21="Branco",0,IF(OR($B21="Manual",$B21="SemiAuto"),QCI.InvManual,INDEX(ORÇAMENTO!X$15:X$36,MATCH($A21,ORÇAMENTO!$E$15:$E$36,0))))</f>
        <v>0</v>
      </c>
      <c r="P21" s="491" t="str">
        <f t="shared" ca="1" si="6"/>
        <v/>
      </c>
      <c r="R21" s="376"/>
      <c r="S21" s="492" t="str">
        <f t="shared" si="7"/>
        <v/>
      </c>
      <c r="T21" s="377"/>
      <c r="U21" s="493"/>
      <c r="V21" s="378" t="s">
        <v>843</v>
      </c>
      <c r="W21" s="494"/>
      <c r="X21" s="495"/>
      <c r="Z21">
        <f t="shared" ca="1" si="8"/>
        <v>0</v>
      </c>
      <c r="AA21">
        <f ca="1">IF($B21="Branco",0,IF($B21="Manual",QCI.CPManual,IF($B21="SemiAuto",ROUND(QCI!$AA$3*QCI.InvManual,2),INDEX(ORÇAMENTO!$AA$15:$AA$36,MATCH($A21,ORÇAMENTO!$E$15:$E$36,0)))))</f>
        <v>0</v>
      </c>
      <c r="AB21">
        <f ca="1">IF($B21="Branco",0,IF($B21="Manual",QCI.OutrosManual,IF($B21="SemiAuto",0,INDEX(ORÇAMENTO!$AB$15:$AB$36,MATCH($A21,ORÇAMENTO!$E$15:$E$36,0)))))</f>
        <v>0</v>
      </c>
      <c r="AD21" s="232" t="b">
        <f ca="1">AND($AA$3&gt;0,$AA$3&lt;1,$O21&gt;0,OR($B21="Automático",$B21="SemiAuto"),OR(QCI!$Z$3=QCI!$Z$7,QCI!$Z$3=QCI!$AA$7,QCI!$Z$3=QCI!$AB$7))</f>
        <v>0</v>
      </c>
      <c r="AE21" s="232">
        <f ca="1">IF(AND($AD21,$O21&gt;0,COUNTIF(OFFSET($AD21,1,0):$AD$24,TRUE)=0),CHOOSE(1+LOG(1+2*(QCI!$Z$3=QCI!$Z$7)+4*(QCI!$Z$3=QCI!$AA$7)+8*(QCI!$Z$3=QCI!$AB$7),2),0,$AA$24-ROUND(Import.CPMinPerc*$O$24,2),$AA$24-Import.CPMinAbsoluta,Import.Repasse-$Z$24),0)</f>
        <v>0</v>
      </c>
    </row>
    <row r="22" spans="1:31" hidden="1" x14ac:dyDescent="0.25">
      <c r="A22">
        <f t="shared" ca="1" si="0"/>
        <v>9</v>
      </c>
      <c r="B22" t="str">
        <f ca="1">IF(NOT(ISBLANK(QCI.DescManual)),IF(QCI.Divisao="Calculado","Manual","SemiAuto"),IF(ISERROR(MATCH($A22,ORÇAMENTO!$E$15:$E$36,0)),"Branco","Automático"))</f>
        <v>Branco</v>
      </c>
      <c r="C22" t="str">
        <f t="shared" ca="1" si="1"/>
        <v/>
      </c>
      <c r="D22" s="224">
        <f t="shared" si="2"/>
        <v>9</v>
      </c>
      <c r="E22" s="89"/>
      <c r="F22" s="89"/>
      <c r="G22" s="125" t="str">
        <f ca="1">IF(OR($B22="Manual",$B22="SemiAuto"),QCI.DescManual,IF($B22="Automático",INDEX(ORÇAMENTO!$R$15:$R$36,MATCH($A22,ORÇAMENTO!$E$15:$E$36,0)),""))</f>
        <v/>
      </c>
      <c r="H22" s="89"/>
      <c r="I22" s="375"/>
      <c r="J22" s="225" t="str">
        <f ca="1">IF(AND(ISBLANK(E22),ISBLANK(F22)),"",VLOOKUP($F22,OFFSET(DADOS!$A$2,1,MATCH(QCI!$E22,DADOS!$2:$2,0)-1,100,50),2,FALSE))</f>
        <v/>
      </c>
      <c r="K22" s="374" t="str">
        <f ca="1">IF(OR($B22="Manual",$B22="SemiAuto"),QCI.LoteManual,IF($B22="Automático",IF(TIPOORCAMENTO="Licitado",Import.CTEF,"LOTE 1"),""))</f>
        <v/>
      </c>
      <c r="L22" s="226">
        <f t="shared" ca="1" si="3"/>
        <v>0</v>
      </c>
      <c r="M22" s="227">
        <f t="shared" ca="1" si="4"/>
        <v>0</v>
      </c>
      <c r="N22" s="228">
        <f t="shared" ca="1" si="5"/>
        <v>0</v>
      </c>
      <c r="O22" s="229">
        <f ca="1">IF($B22="Branco",0,IF(OR($B22="Manual",$B22="SemiAuto"),QCI.InvManual,INDEX(ORÇAMENTO!X$15:X$36,MATCH($A22,ORÇAMENTO!$E$15:$E$36,0))))</f>
        <v>0</v>
      </c>
      <c r="P22" s="491" t="str">
        <f t="shared" ca="1" si="6"/>
        <v/>
      </c>
      <c r="R22" s="376"/>
      <c r="S22" s="492" t="str">
        <f t="shared" si="7"/>
        <v/>
      </c>
      <c r="T22" s="377"/>
      <c r="U22" s="493"/>
      <c r="V22" s="378" t="s">
        <v>843</v>
      </c>
      <c r="W22" s="494"/>
      <c r="X22" s="495"/>
      <c r="Z22">
        <f t="shared" ca="1" si="8"/>
        <v>0</v>
      </c>
      <c r="AA22">
        <f ca="1">IF($B22="Branco",0,IF($B22="Manual",QCI.CPManual,IF($B22="SemiAuto",ROUND(QCI!$AA$3*QCI.InvManual,2),INDEX(ORÇAMENTO!$AA$15:$AA$36,MATCH($A22,ORÇAMENTO!$E$15:$E$36,0)))))</f>
        <v>0</v>
      </c>
      <c r="AB22">
        <f ca="1">IF($B22="Branco",0,IF($B22="Manual",QCI.OutrosManual,IF($B22="SemiAuto",0,INDEX(ORÇAMENTO!$AB$15:$AB$36,MATCH($A22,ORÇAMENTO!$E$15:$E$36,0)))))</f>
        <v>0</v>
      </c>
      <c r="AD22" s="232" t="b">
        <f ca="1">AND($AA$3&gt;0,$AA$3&lt;1,$O22&gt;0,OR($B22="Automático",$B22="SemiAuto"),OR(QCI!$Z$3=QCI!$Z$7,QCI!$Z$3=QCI!$AA$7,QCI!$Z$3=QCI!$AB$7))</f>
        <v>0</v>
      </c>
      <c r="AE22" s="232">
        <f ca="1">IF(AND($AD22,$O22&gt;0,COUNTIF(OFFSET($AD22,1,0):$AD$24,TRUE)=0),CHOOSE(1+LOG(1+2*(QCI!$Z$3=QCI!$Z$7)+4*(QCI!$Z$3=QCI!$AA$7)+8*(QCI!$Z$3=QCI!$AB$7),2),0,$AA$24-ROUND(Import.CPMinPerc*$O$24,2),$AA$24-Import.CPMinAbsoluta,Import.Repasse-$Z$24),0)</f>
        <v>0</v>
      </c>
    </row>
    <row r="23" spans="1:31" hidden="1" x14ac:dyDescent="0.25">
      <c r="A23">
        <f t="shared" ca="1" si="0"/>
        <v>10</v>
      </c>
      <c r="B23" t="str">
        <f ca="1">IF(NOT(ISBLANK(QCI.DescManual)),IF(QCI.Divisao="Calculado","Manual","SemiAuto"),IF(ISERROR(MATCH($A23,ORÇAMENTO!$E$15:$E$36,0)),"Branco","Automático"))</f>
        <v>Branco</v>
      </c>
      <c r="C23" t="str">
        <f ca="1">IF(O23&gt;0,"F","")</f>
        <v/>
      </c>
      <c r="D23" s="224">
        <f>ROW()-ROW($D$13)</f>
        <v>10</v>
      </c>
      <c r="E23" s="89"/>
      <c r="F23" s="89"/>
      <c r="G23" s="125" t="str">
        <f ca="1">IF(OR($B23="Manual",$B23="SemiAuto"),QCI.DescManual,IF($B23="Automático",INDEX(ORÇAMENTO!$R$15:$R$36,MATCH($A23,ORÇAMENTO!$E$15:$E$36,0)),""))</f>
        <v/>
      </c>
      <c r="H23" s="89"/>
      <c r="I23" s="375"/>
      <c r="J23" s="225" t="str">
        <f ca="1">IF(AND(ISBLANK(E23),ISBLANK(F23)),"",VLOOKUP($F23,OFFSET(DADOS!$A$2,1,MATCH(QCI!$E23,DADOS!$2:$2,0)-1,100,50),2,FALSE))</f>
        <v/>
      </c>
      <c r="K23" s="374" t="str">
        <f ca="1">IF(OR($B23="Manual",$B23="SemiAuto"),QCI.LoteManual,IF($B23="Automático",IF(TIPOORCAMENTO="Licitado",Import.CTEF,"LOTE 1"),""))</f>
        <v/>
      </c>
      <c r="L23" s="226">
        <f ca="1">ROUND($O23,2)-ROUND($M23,2)-ROUND($N23,2)</f>
        <v>0</v>
      </c>
      <c r="M23" s="227">
        <f ca="1">ROUND($AA23,2)-ROUND($AE23,2)</f>
        <v>0</v>
      </c>
      <c r="N23" s="228">
        <f ca="1">ROUND($AB23,2)</f>
        <v>0</v>
      </c>
      <c r="O23" s="229">
        <f ca="1">IF($B23="Branco",0,IF(OR($B23="Manual",$B23="SemiAuto"),QCI.InvManual,INDEX(ORÇAMENTO!X$15:X$36,MATCH($A23,ORÇAMENTO!$E$15:$E$36,0))))</f>
        <v>0</v>
      </c>
      <c r="P23" s="491" t="str">
        <f ca="1">IF(O23=0,"",
  IF(E23="","ITEM",
  IF(F23="","SUBITEM",
  IF(H23="","SITUAÇÃO",
  IF(I23=0,"QUANT.","")))))</f>
        <v/>
      </c>
      <c r="R23" s="376"/>
      <c r="S23" s="492" t="str">
        <f>IF(R23="","",
  IF(T23=0,"► LOTE",
  IF(U23=0,"► INVEST",
  IF(V23=0,"► DIV",
  IF(AND(V23="Calculado",W23=""),"► CP",
  IF(AND(V23="Calculado",X23=""),"► OU",""))))))</f>
        <v/>
      </c>
      <c r="T23" s="377"/>
      <c r="U23" s="493"/>
      <c r="V23" s="378" t="s">
        <v>843</v>
      </c>
      <c r="W23" s="494"/>
      <c r="X23" s="495"/>
      <c r="Z23">
        <f ca="1">$O23-$AA23-$AB23</f>
        <v>0</v>
      </c>
      <c r="AA23">
        <f ca="1">IF($B23="Branco",0,IF($B23="Manual",QCI.CPManual,IF($B23="SemiAuto",ROUND(QCI!$AA$3*QCI.InvManual,2),INDEX(ORÇAMENTO!$AA$15:$AA$36,MATCH($A23,ORÇAMENTO!$E$15:$E$36,0)))))</f>
        <v>0</v>
      </c>
      <c r="AB23">
        <f ca="1">IF($B23="Branco",0,IF($B23="Manual",QCI.OutrosManual,IF($B23="SemiAuto",0,INDEX(ORÇAMENTO!$AB$15:$AB$36,MATCH($A23,ORÇAMENTO!$E$15:$E$36,0)))))</f>
        <v>0</v>
      </c>
      <c r="AD23" s="232" t="b">
        <f ca="1">AND($AA$3&gt;0,$AA$3&lt;1,$O23&gt;0,OR($B23="Automático",$B23="SemiAuto"),OR(QCI!$Z$3=QCI!$Z$7,QCI!$Z$3=QCI!$AA$7,QCI!$Z$3=QCI!$AB$7))</f>
        <v>0</v>
      </c>
      <c r="AE23" s="232">
        <f ca="1">IF(AND($AD23,$O23&gt;0,COUNTIF(OFFSET($AD23,1,0):$AD$24,TRUE)=0),CHOOSE(1+LOG(1+2*(QCI!$Z$3=QCI!$Z$7)+4*(QCI!$Z$3=QCI!$AA$7)+8*(QCI!$Z$3=QCI!$AB$7),2),0,$AA$24-ROUND(Import.CPMinPerc*$O$24,2),$AA$24-Import.CPMinAbsoluta,Import.Repasse-$Z$24),0)</f>
        <v>0</v>
      </c>
    </row>
    <row r="24" spans="1:31" ht="13.8" x14ac:dyDescent="0.25">
      <c r="B24" t="s">
        <v>854</v>
      </c>
      <c r="C24" t="s">
        <v>542</v>
      </c>
      <c r="D24" s="635"/>
      <c r="E24" s="636"/>
      <c r="F24" s="636"/>
      <c r="G24" s="636"/>
      <c r="H24" s="636"/>
      <c r="I24" s="636"/>
      <c r="J24" s="636"/>
      <c r="K24" s="764" t="s">
        <v>855</v>
      </c>
      <c r="L24" s="637">
        <f ca="1">SUM(L13:OFFSET(L24,-1,0))</f>
        <v>6000000</v>
      </c>
      <c r="M24" s="638">
        <f ca="1">SUM(M13:OFFSET(M24,-1,0))</f>
        <v>242923.63</v>
      </c>
      <c r="N24" s="639">
        <f ca="1">SUM(N13:OFFSET(N24,-1,0))</f>
        <v>0</v>
      </c>
      <c r="O24" s="640">
        <f ca="1">SUM(O13:OFFSET(O24,-1,0))</f>
        <v>6242923.6299999999</v>
      </c>
      <c r="R24" s="641"/>
      <c r="T24" s="642"/>
      <c r="U24" s="643"/>
      <c r="V24" s="644"/>
      <c r="W24" s="645"/>
      <c r="X24" s="646"/>
      <c r="Z24" s="67">
        <f ca="1">SUMPRODUCT(ROUND(Z13:OFFSET(Z24,-1,0),2))</f>
        <v>6000000</v>
      </c>
      <c r="AA24" s="67">
        <f ca="1">SUMPRODUCT(ROUND(AA13:OFFSET(AA24,-1,0),2))</f>
        <v>242923.63</v>
      </c>
      <c r="AB24" s="67">
        <f ca="1">SUM(AB13:OFFSET(AB24,-1,0))</f>
        <v>0</v>
      </c>
    </row>
    <row r="25" spans="1:31" x14ac:dyDescent="0.25">
      <c r="B25" t="s">
        <v>856</v>
      </c>
      <c r="C25" t="s">
        <v>542</v>
      </c>
      <c r="D25" s="234"/>
      <c r="E25" s="235"/>
      <c r="F25" s="235"/>
      <c r="G25" s="235"/>
      <c r="H25" s="235"/>
      <c r="I25" s="235"/>
      <c r="J25" s="235"/>
      <c r="K25" s="764"/>
      <c r="L25" s="236">
        <f ca="1">IF(ISERROR(L24/$O24),0,ROUND(L24/$O24,4))</f>
        <v>0.96109999999999995</v>
      </c>
      <c r="M25" s="237">
        <f ca="1">IF(ISERROR(M24/$O24),0,ROUND(M24/$O24,4))</f>
        <v>3.8899999999999997E-2</v>
      </c>
      <c r="N25" s="238">
        <f ca="1">IF(ISERROR(N24/$O24),0,ROUND(N24/$O24,4))</f>
        <v>0</v>
      </c>
      <c r="O25" s="239">
        <f ca="1">IF(ISERROR(O24/$O24),0,ROUND(O24/$O24,4))</f>
        <v>1</v>
      </c>
      <c r="R25" s="240"/>
      <c r="T25" s="241"/>
      <c r="U25" s="242"/>
      <c r="V25" s="243"/>
      <c r="W25" s="244"/>
      <c r="X25" s="245"/>
    </row>
    <row r="27" spans="1:31" ht="13.8" x14ac:dyDescent="0.25">
      <c r="D27" s="103" t="s">
        <v>696</v>
      </c>
    </row>
    <row r="28" spans="1:31" ht="12.75" customHeight="1" x14ac:dyDescent="0.25">
      <c r="D28" s="711"/>
      <c r="E28" s="711"/>
      <c r="F28" s="711"/>
      <c r="G28" s="711"/>
      <c r="H28" s="711"/>
      <c r="I28" s="711"/>
      <c r="J28" s="711"/>
      <c r="K28" s="711"/>
      <c r="L28" s="711"/>
      <c r="M28" s="711"/>
      <c r="N28" s="711"/>
      <c r="O28" s="711"/>
    </row>
    <row r="29" spans="1:31" ht="12.75" customHeight="1" x14ac:dyDescent="0.25">
      <c r="D29" s="711"/>
      <c r="E29" s="711"/>
      <c r="F29" s="711"/>
      <c r="G29" s="711"/>
      <c r="H29" s="711"/>
      <c r="I29" s="711"/>
      <c r="J29" s="711"/>
      <c r="K29" s="711"/>
      <c r="L29" s="711"/>
      <c r="M29" s="711"/>
      <c r="N29" s="711"/>
      <c r="O29" s="711"/>
    </row>
    <row r="30" spans="1:31" ht="12.75" customHeight="1" x14ac:dyDescent="0.25">
      <c r="D30" s="711"/>
      <c r="E30" s="711"/>
      <c r="F30" s="711"/>
      <c r="G30" s="711"/>
      <c r="H30" s="711"/>
      <c r="I30" s="711"/>
      <c r="J30" s="711"/>
      <c r="K30" s="711"/>
      <c r="L30" s="711"/>
      <c r="M30" s="711"/>
      <c r="N30" s="711"/>
      <c r="O30" s="711"/>
    </row>
    <row r="33" spans="4:12" ht="13.8" x14ac:dyDescent="0.25">
      <c r="D33" s="713" t="str">
        <f>Import.Município</f>
        <v>URUARÁ-PARÁ</v>
      </c>
      <c r="E33" s="713"/>
      <c r="F33" s="713"/>
      <c r="I33" s="106"/>
      <c r="J33" s="106"/>
      <c r="K33" s="142"/>
      <c r="L33" s="142"/>
    </row>
    <row r="34" spans="4:12" x14ac:dyDescent="0.25">
      <c r="D34" s="7" t="s">
        <v>700</v>
      </c>
      <c r="I34" s="535" t="s">
        <v>857</v>
      </c>
      <c r="J34" s="535"/>
    </row>
    <row r="35" spans="4:12" x14ac:dyDescent="0.25">
      <c r="I35" s="55" t="str">
        <f>"Nome:" &amp;  " " &amp; DADOS!C28</f>
        <v>Nome: CARLOS ANTÔNIO ZANCAN</v>
      </c>
    </row>
    <row r="36" spans="4:12" x14ac:dyDescent="0.25">
      <c r="D36" s="708">
        <f>DADOS!$C$25</f>
        <v>46144</v>
      </c>
      <c r="E36" s="708"/>
      <c r="F36" s="708"/>
      <c r="I36" s="55" t="str">
        <f>"Cargo:"  &amp; " " &amp; DADOS!C29</f>
        <v>Cargo: PREFEITO DE URUARÁ</v>
      </c>
    </row>
    <row r="37" spans="4:12" x14ac:dyDescent="0.25">
      <c r="D37" s="584" t="s">
        <v>701</v>
      </c>
      <c r="E37" s="585"/>
      <c r="F37" s="585"/>
      <c r="K37" s="55"/>
      <c r="L37" s="56"/>
    </row>
  </sheetData>
  <sheetProtection algorithmName="SHA-512" hashValue="urRwxYA1n+AeDdZhQ4yVtfEqQxaJlA7kTMQb0K3sJ7i5pRq6I1OeoSeESsIB68LW2hISkBVQjZ7jYQjCJ6o4Vg==" saltValue="t/5WNfEGE68KavZdZsd66A==" spinCount="100000" sheet="1" objects="1" scenarios="1" autoFilter="0"/>
  <autoFilter ref="C13:C25" xr:uid="{00000000-0009-0000-0000-000009000000}">
    <filterColumn colId="0">
      <customFilters>
        <customFilter operator="notEqual" val=" "/>
      </customFilters>
    </filterColumn>
  </autoFilter>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39" priority="610" stopIfTrue="1">
      <formula>OR($B12="Automático",$B12="Branco")</formula>
    </cfRule>
  </conditionalFormatting>
  <conditionalFormatting sqref="L12">
    <cfRule type="expression" dxfId="138" priority="611"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7" priority="612" stopIfTrue="1">
      <formula>OR($B12="Automático",$B12="Branco",$V12&lt;&gt;"Calculado")</formula>
    </cfRule>
  </conditionalFormatting>
  <conditionalFormatting sqref="M25">
    <cfRule type="expression" dxfId="136" priority="614" stopIfTrue="1">
      <formula>AND($G$9&lt;&gt;"",OR($M$25&lt;Import.CPMinPerc,$M$25&gt;Import.CPMaxPerc))</formula>
    </cfRule>
  </conditionalFormatting>
  <conditionalFormatting sqref="M24">
    <cfRule type="expression" dxfId="135" priority="615" stopIfTrue="1">
      <formula>AND($G$9&lt;&gt;"",$M$24&lt;Import.CPMinAbsoluta)</formula>
    </cfRule>
  </conditionalFormatting>
  <conditionalFormatting sqref="L10:M10">
    <cfRule type="cellIs" dxfId="134" priority="616" stopIfTrue="1" operator="lessThan">
      <formula>0</formula>
    </cfRule>
  </conditionalFormatting>
  <conditionalFormatting sqref="G12">
    <cfRule type="cellIs" dxfId="133" priority="617" stopIfTrue="1" operator="equal">
      <formula>"(digite a descrição aqui)"</formula>
    </cfRule>
  </conditionalFormatting>
  <conditionalFormatting sqref="T14:V22">
    <cfRule type="expression" dxfId="132" priority="5" stopIfTrue="1">
      <formula>OR($B14="Automático",$B14="Branco")</formula>
    </cfRule>
  </conditionalFormatting>
  <conditionalFormatting sqref="L14:L22">
    <cfRule type="expression" dxfId="131"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30" priority="7" stopIfTrue="1">
      <formula>OR($B14="Automático",$B14="Branco",$V14&lt;&gt;"Calculado")</formula>
    </cfRule>
  </conditionalFormatting>
  <conditionalFormatting sqref="G14:G22">
    <cfRule type="cellIs" dxfId="129" priority="8" stopIfTrue="1" operator="equal">
      <formula>"(digite a descrição aqui)"</formula>
    </cfRule>
  </conditionalFormatting>
  <conditionalFormatting sqref="T23:V23">
    <cfRule type="expression" dxfId="128" priority="1" stopIfTrue="1">
      <formula>OR($B23="Automático",$B23="Branco")</formula>
    </cfRule>
  </conditionalFormatting>
  <conditionalFormatting sqref="L23">
    <cfRule type="expression" dxfId="127"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6" priority="3" stopIfTrue="1">
      <formula>OR($B23="Automático",$B23="Branco",$V23&lt;&gt;"Calculado")</formula>
    </cfRule>
  </conditionalFormatting>
  <conditionalFormatting sqref="G23">
    <cfRule type="cellIs" dxfId="125"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list" allowBlank="1" sqref="E12 E14:E23" xr:uid="{00000000-0002-0000-0900-000001000000}">
      <formula1>QCI.ItemInvestimento</formula1>
      <formula2>0</formula2>
    </dataValidation>
    <dataValidation type="list" allowBlank="1" sqref="F12 F14:F23" xr:uid="{00000000-0002-0000-0900-000002000000}">
      <formula1>QCI.SubItemInvestimento</formula1>
      <formula2>0</formula2>
    </dataValidation>
    <dataValidation type="list" allowBlank="1" sqref="H12 H14:H23" xr:uid="{00000000-0002-0000-09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900-000004000000}">
      <formula1>0</formula1>
      <formula2>0</formula2>
    </dataValidation>
    <dataValidation type="list" allowBlank="1" showErrorMessage="1" sqref="V12 V14:V23" xr:uid="{00000000-0002-0000-09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7000000}">
      <formula1>0</formula1>
      <formula2>QCI.MaxOUManual</formula2>
    </dataValidation>
    <dataValidation allowBlank="1" showInputMessage="1" showErrorMessage="1" prompt="Preencha somente se a meta não fizer parte do Orçamento desta Plan. Mult." sqref="R12 R14:R23" xr:uid="{00000000-0002-0000-0900-000008000000}"/>
  </dataValidations>
  <pageMargins left="0.78740157480314998" right="0.78740157480314998" top="0.78740157480314998" bottom="0.78740157480314998" header="0.59055118110236204" footer="0.59055118110236204"/>
  <pageSetup paperSize="9" scale="63" firstPageNumber="0" fitToHeight="0" orientation="landscape" r:id="rId1"/>
  <headerFooter alignWithMargins="0">
    <oddHeader>&amp;L_&amp;C&amp;14I</oddHeader>
    <oddFooter>&amp;LPMv3.08&amp;R&amp;P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6640625" customWidth="1"/>
    <col min="2" max="2" width="8.109375" customWidth="1"/>
    <col min="3" max="3" width="17" customWidth="1"/>
    <col min="4" max="4" width="19.88671875" customWidth="1"/>
    <col min="5" max="5" width="0.88671875" customWidth="1"/>
    <col min="6" max="6" width="5.6640625" hidden="1" customWidth="1"/>
    <col min="7" max="7" width="9.109375" hidden="1" customWidth="1"/>
    <col min="8" max="32" width="5.6640625" customWidth="1"/>
    <col min="33" max="33" width="8.6640625" hidden="1" customWidth="1"/>
    <col min="34" max="34" width="8.6640625" customWidth="1"/>
  </cols>
  <sheetData>
    <row r="1" spans="1:33" hidden="1" x14ac:dyDescent="0.25">
      <c r="A1" s="5" t="e">
        <f ca="1">IF(AUTOEVENTO="Manual",IF(OFFSET(EVENTOS!$F$14,PLE!$B1,0)&gt;0,"F",""),IF(PLE!B1&lt;=MAX(CÁLCULO!$M$15:$M$36),"F",""))</f>
        <v>#REF!</v>
      </c>
      <c r="B1" s="195" t="e">
        <f ca="1">OFFSET(B1,-1,0)+1</f>
        <v>#REF!</v>
      </c>
      <c r="C1" s="780" t="e">
        <f ca="1">IF(AUTOEVENTO="Manual",OFFSET(EVENTOS!$D$15,$B1-$B$15,0),IF(B1&lt;=MAX(CÁLCULO!$M$15:$M$36),VLOOKUP($B1,CÁLCULO!$M$15:$N$36,2,FALSE),0))</f>
        <v>#REF!</v>
      </c>
      <c r="D1" s="780"/>
      <c r="F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row>
    <row r="2" spans="1:33" hidden="1" x14ac:dyDescent="0.25">
      <c r="A2" s="5"/>
      <c r="B2" s="5"/>
      <c r="C2" s="531"/>
      <c r="D2" s="531"/>
      <c r="F2" s="350"/>
    </row>
    <row r="3" spans="1:33" ht="15.6" x14ac:dyDescent="0.3">
      <c r="H3" s="162" t="s">
        <v>858</v>
      </c>
      <c r="AD3" s="695" t="s">
        <v>650</v>
      </c>
      <c r="AE3" s="695"/>
      <c r="AF3" s="695"/>
    </row>
    <row r="4" spans="1:33" ht="15.6" x14ac:dyDescent="0.25">
      <c r="B4" s="60"/>
      <c r="C4" s="60"/>
      <c r="H4" s="61" t="str">
        <f>import.recurso</f>
        <v>OGU</v>
      </c>
      <c r="AD4" s="696" t="s">
        <v>653</v>
      </c>
      <c r="AE4" s="696"/>
      <c r="AF4" s="696"/>
    </row>
    <row r="6" spans="1:33" x14ac:dyDescent="0.25">
      <c r="B6" s="163" t="s">
        <v>656</v>
      </c>
      <c r="C6" s="210"/>
      <c r="D6" s="165" t="s">
        <v>714</v>
      </c>
      <c r="E6" s="2"/>
      <c r="H6" s="166" t="s">
        <v>812</v>
      </c>
      <c r="I6" s="145"/>
      <c r="J6" s="145"/>
      <c r="K6" s="145"/>
      <c r="L6" s="144"/>
      <c r="M6" s="144"/>
      <c r="N6" s="211"/>
      <c r="O6" s="163" t="s">
        <v>781</v>
      </c>
      <c r="P6" s="167"/>
      <c r="R6" s="145"/>
      <c r="S6" s="145"/>
      <c r="T6" s="145"/>
      <c r="U6" s="164"/>
      <c r="V6" s="163" t="str">
        <f>IF(TIPOORCAMENTO="Licitado","NOME DA EMPRESA","DESCRIÇÃO DO LOTE")</f>
        <v>DESCRIÇÃO DO LOTE</v>
      </c>
      <c r="W6" s="145"/>
      <c r="X6" s="145"/>
      <c r="Y6" s="145"/>
      <c r="AD6" s="2"/>
      <c r="AE6" s="782" t="str">
        <f>IF(TIPOORCAMENTO="Licitado","Nº CTEF","")</f>
        <v/>
      </c>
      <c r="AF6" s="782"/>
    </row>
    <row r="7" spans="1:33" x14ac:dyDescent="0.25">
      <c r="B7" s="751" t="str">
        <f>Import.CR</f>
        <v>S/ INFORMAÇÃO</v>
      </c>
      <c r="C7" s="751"/>
      <c r="D7" s="168" t="str">
        <f>Import.TransfereGOV</f>
        <v>S/ INFORMAÇÃO</v>
      </c>
      <c r="E7" s="38"/>
      <c r="H7" s="750" t="str">
        <f>Import.Proponente</f>
        <v>PREFEITURA MUNICIPAL DE URUARÁ</v>
      </c>
      <c r="I7" s="750"/>
      <c r="J7" s="750"/>
      <c r="K7" s="750"/>
      <c r="L7" s="750"/>
      <c r="M7" s="750"/>
      <c r="N7" s="750"/>
      <c r="O7" s="751" t="str">
        <f>Import.Apelido</f>
        <v>PAVIMENTAÇÃO DE VIAS NO MUNICÍPIO DE URUARÁ - PARÁ</v>
      </c>
      <c r="P7" s="751"/>
      <c r="Q7" s="751"/>
      <c r="R7" s="751"/>
      <c r="S7" s="751"/>
      <c r="T7" s="751"/>
      <c r="U7" s="751"/>
      <c r="V7" s="751" t="str">
        <f>IF(TIPOORCAMENTO="Licitado",Import.empresa,Import.DescLote)</f>
        <v>PAVIMENTAÇÃO DE VIAS NO MUNICÍPIO DE URUARÁ - PARÁ</v>
      </c>
      <c r="W7" s="751"/>
      <c r="X7" s="751"/>
      <c r="Y7" s="751"/>
      <c r="Z7" s="751"/>
      <c r="AA7" s="751"/>
      <c r="AB7" s="751"/>
      <c r="AC7" s="751"/>
      <c r="AD7" s="751"/>
      <c r="AE7" s="783" t="str">
        <f>IF(TIPOORCAMENTO="Licitado",Import.CTEF,"")</f>
        <v/>
      </c>
      <c r="AF7" s="783"/>
      <c r="AG7" s="212"/>
    </row>
    <row r="9" spans="1:33" ht="15.6" x14ac:dyDescent="0.3">
      <c r="A9" s="127">
        <v>0</v>
      </c>
      <c r="B9" s="213"/>
      <c r="C9" s="213"/>
      <c r="I9" s="214" t="s">
        <v>859</v>
      </c>
      <c r="J9" s="785">
        <v>1</v>
      </c>
      <c r="K9" s="785"/>
      <c r="M9" s="214" t="s">
        <v>823</v>
      </c>
      <c r="N9" s="786" t="str">
        <f ca="1">TEXT(IF(PLE.Medicao=1,Import.DataInicioObra,OFFSET($H$68,0,1+(PLE.Medicao-$I$69)*2-2)+1),"dd/mm/aaaa")&amp;" a "&amp;TEXT(OFFSET($H$68,0,1+(PLE.Medicao-$I$69)*2),"dd/mm/aaaa")</f>
        <v>00/01/1900 a 00/01/1900</v>
      </c>
      <c r="O9" s="786"/>
      <c r="P9" s="786"/>
      <c r="Q9" s="786"/>
      <c r="R9" s="786"/>
      <c r="S9" s="786"/>
      <c r="T9" s="786"/>
      <c r="U9" s="215"/>
      <c r="X9" s="214" t="s">
        <v>860</v>
      </c>
      <c r="Y9" s="784">
        <f ca="1">OFFSET($I$69,1+8*(ROUNDUP(($J$9-0)/((COLUMN($AG$14)-COLUMN($G$14)-1)/25*12),0)-1),ROUNDDOWN((($J$9-0)-OFFSET($I$69,8*(ROUNDUP(($J$9-0)/((COLUMN($AG$14)-COLUMN($G$14)-1)/25*12),0)-1),0))*(2+1/12),0))</f>
        <v>0</v>
      </c>
      <c r="Z9" s="784"/>
      <c r="AD9" s="214" t="s">
        <v>861</v>
      </c>
      <c r="AE9" s="784">
        <f ca="1">OFFSET($I$69,3+8*(ROUNDUP(($J$9-0)/((COLUMN($AG$14)-COLUMN($G$14)-1)/25*12),0)-1),ROUNDDOWN((($J$9-0)-OFFSET($I$69,8*(ROUNDUP(($J$9-0)/((COLUMN($AG$14)-COLUMN($G$14)-1)/25*12),0)-1),0))*(2+1/12),0))</f>
        <v>0</v>
      </c>
      <c r="AF9" s="784"/>
    </row>
    <row r="11" spans="1:33" ht="65.25" customHeight="1" x14ac:dyDescent="0.25">
      <c r="A11" s="198" t="s">
        <v>862</v>
      </c>
      <c r="C11" s="781" t="str">
        <f>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81"/>
      <c r="F11" s="200" t="str">
        <f ca="1">IF(F$12&gt;CÁLCULO.NúmeroDeFrentes,"",OFFSET(CÁLCULO!$P$12,0,F$12))</f>
        <v>PAVIMENTAÇÃO DO ACESSO A PRAÇA DO CACAU</v>
      </c>
      <c r="H11" s="200" t="str">
        <f ca="1">IF(H$12&gt;CÁLCULO.NúmeroDeFrentes,"",OFFSET(CÁLCULO!$P$12,0,H$12))</f>
        <v>PAVIMENTAÇÃO DO ACESSO A PRAÇA DO CACAU</v>
      </c>
      <c r="I11" s="200">
        <f ca="1">IF(I$12&gt;CÁLCULO.NúmeroDeFrentes,"",OFFSET(CÁLCULO!$P$12,0,I$12))</f>
        <v>0</v>
      </c>
      <c r="J11" s="200">
        <f ca="1">IF(J$12&gt;CÁLCULO.NúmeroDeFrentes,"",OFFSET(CÁLCULO!$P$12,0,J$12))</f>
        <v>0</v>
      </c>
      <c r="K11" s="200">
        <f ca="1">IF(K$12&gt;CÁLCULO.NúmeroDeFrentes,"",OFFSET(CÁLCULO!$P$12,0,K$12))</f>
        <v>0</v>
      </c>
      <c r="L11" s="200">
        <f ca="1">IF(L$12&gt;CÁLCULO.NúmeroDeFrentes,"",OFFSET(CÁLCULO!$P$12,0,L$12))</f>
        <v>0</v>
      </c>
      <c r="M11" s="200">
        <f ca="1">IF(M$12&gt;CÁLCULO.NúmeroDeFrentes,"",OFFSET(CÁLCULO!$P$12,0,M$12))</f>
        <v>0</v>
      </c>
      <c r="N11" s="200">
        <f ca="1">IF(N$12&gt;CÁLCULO.NúmeroDeFrentes,"",OFFSET(CÁLCULO!$P$12,0,N$12))</f>
        <v>0</v>
      </c>
      <c r="O11" s="200">
        <f ca="1">IF(O$12&gt;CÁLCULO.NúmeroDeFrentes,"",OFFSET(CÁLCULO!$P$12,0,O$12))</f>
        <v>0</v>
      </c>
      <c r="P11" s="200">
        <f ca="1">IF(P$12&gt;CÁLCULO.NúmeroDeFrentes,"",OFFSET(CÁLCULO!$P$12,0,P$12))</f>
        <v>0</v>
      </c>
      <c r="Q11" s="200">
        <f ca="1">IF(Q$12&gt;CÁLCULO.NúmeroDeFrentes,"",OFFSET(CÁLCULO!$P$12,0,Q$12))</f>
        <v>0</v>
      </c>
      <c r="R11" s="200" t="str">
        <f ca="1">IF(R$12&gt;CÁLCULO.NúmeroDeFrentes,"",OFFSET(CÁLCULO!$P$12,0,R$12))</f>
        <v/>
      </c>
      <c r="S11" s="200" t="str">
        <f ca="1">IF(S$12&gt;CÁLCULO.NúmeroDeFrentes,"",OFFSET(CÁLCULO!$P$12,0,S$12))</f>
        <v/>
      </c>
      <c r="T11" s="200" t="str">
        <f ca="1">IF(T$12&gt;CÁLCULO.NúmeroDeFrentes,"",OFFSET(CÁLCULO!$P$12,0,T$12))</f>
        <v/>
      </c>
      <c r="U11" s="200" t="str">
        <f ca="1">IF(U$12&gt;CÁLCULO.NúmeroDeFrentes,"",OFFSET(CÁLCULO!$P$12,0,U$12))</f>
        <v/>
      </c>
      <c r="V11" s="200" t="str">
        <f ca="1">IF(V$12&gt;CÁLCULO.NúmeroDeFrentes,"",OFFSET(CÁLCULO!$P$12,0,V$12))</f>
        <v/>
      </c>
      <c r="W11" s="200" t="str">
        <f ca="1">IF(W$12&gt;CÁLCULO.NúmeroDeFrentes,"",OFFSET(CÁLCULO!$P$12,0,W$12))</f>
        <v/>
      </c>
      <c r="X11" s="200" t="str">
        <f ca="1">IF(X$12&gt;CÁLCULO.NúmeroDeFrentes,"",OFFSET(CÁLCULO!$P$12,0,X$12))</f>
        <v/>
      </c>
      <c r="Y11" s="200" t="str">
        <f ca="1">IF(Y$12&gt;CÁLCULO.NúmeroDeFrentes,"",OFFSET(CÁLCULO!$P$12,0,Y$12))</f>
        <v/>
      </c>
      <c r="Z11" s="200" t="str">
        <f ca="1">IF(Z$12&gt;CÁLCULO.NúmeroDeFrentes,"",OFFSET(CÁLCULO!$P$12,0,Z$12))</f>
        <v/>
      </c>
      <c r="AA11" s="200" t="str">
        <f ca="1">IF(AA$12&gt;CÁLCULO.NúmeroDeFrentes,"",OFFSET(CÁLCULO!$P$12,0,AA$12))</f>
        <v/>
      </c>
      <c r="AB11" s="200" t="str">
        <f ca="1">IF(AB$12&gt;CÁLCULO.NúmeroDeFrentes,"",OFFSET(CÁLCULO!$P$12,0,AB$12))</f>
        <v/>
      </c>
      <c r="AC11" s="200" t="str">
        <f ca="1">IF(AC$12&gt;CÁLCULO.NúmeroDeFrentes,"",OFFSET(CÁLCULO!$P$12,0,AC$12))</f>
        <v/>
      </c>
      <c r="AD11" s="200" t="str">
        <f ca="1">IF(AD$12&gt;CÁLCULO.NúmeroDeFrentes,"",OFFSET(CÁLCULO!$P$12,0,AD$12))</f>
        <v/>
      </c>
      <c r="AE11" s="200" t="str">
        <f ca="1">IF(AE$12&gt;CÁLCULO.NúmeroDeFrentes,"",OFFSET(CÁLCULO!$P$12,0,AE$12))</f>
        <v/>
      </c>
      <c r="AF11" s="200" t="str">
        <f ca="1">IF(AF$12&gt;CÁLCULO.NúmeroDeFrentes,"",OFFSET(CÁLCULO!$P$12,0,AF$12))</f>
        <v/>
      </c>
    </row>
    <row r="12" spans="1:33" ht="12.75" customHeight="1" x14ac:dyDescent="0.25">
      <c r="A12" s="79" t="s">
        <v>666</v>
      </c>
      <c r="B12" s="744" t="s">
        <v>784</v>
      </c>
      <c r="C12" s="744" t="s">
        <v>802</v>
      </c>
      <c r="D12" s="744"/>
      <c r="F12" s="201">
        <f ca="1">OFFSET(F12,0,-1)+1</f>
        <v>1</v>
      </c>
      <c r="H12" s="201">
        <f ca="1">OFFSET(H12,0,-1)+1</f>
        <v>1</v>
      </c>
      <c r="I12" s="201">
        <f ca="1">OFFSET(I12,0,-1)+1</f>
        <v>2</v>
      </c>
      <c r="J12" s="201">
        <f t="shared" ref="J12:AF12" ca="1" si="0">OFFSET(J12,0,-1)+1</f>
        <v>3</v>
      </c>
      <c r="K12" s="201">
        <f t="shared" ca="1" si="0"/>
        <v>4</v>
      </c>
      <c r="L12" s="201">
        <f t="shared" ca="1" si="0"/>
        <v>5</v>
      </c>
      <c r="M12" s="201">
        <f t="shared" ca="1" si="0"/>
        <v>6</v>
      </c>
      <c r="N12" s="201">
        <f t="shared" ca="1" si="0"/>
        <v>7</v>
      </c>
      <c r="O12" s="201">
        <f t="shared" ca="1" si="0"/>
        <v>8</v>
      </c>
      <c r="P12" s="201">
        <f t="shared" ca="1" si="0"/>
        <v>9</v>
      </c>
      <c r="Q12" s="201">
        <f t="shared" ca="1" si="0"/>
        <v>10</v>
      </c>
      <c r="R12" s="201">
        <f t="shared" ca="1" si="0"/>
        <v>11</v>
      </c>
      <c r="S12" s="201">
        <f t="shared" ca="1" si="0"/>
        <v>12</v>
      </c>
      <c r="T12" s="201">
        <f t="shared" ca="1" si="0"/>
        <v>13</v>
      </c>
      <c r="U12" s="201">
        <f t="shared" ca="1" si="0"/>
        <v>14</v>
      </c>
      <c r="V12" s="201">
        <f t="shared" ca="1" si="0"/>
        <v>15</v>
      </c>
      <c r="W12" s="201">
        <f t="shared" ca="1" si="0"/>
        <v>16</v>
      </c>
      <c r="X12" s="201">
        <f t="shared" ca="1" si="0"/>
        <v>17</v>
      </c>
      <c r="Y12" s="201">
        <f t="shared" ca="1" si="0"/>
        <v>18</v>
      </c>
      <c r="Z12" s="201">
        <f t="shared" ca="1" si="0"/>
        <v>19</v>
      </c>
      <c r="AA12" s="201">
        <f t="shared" ca="1" si="0"/>
        <v>20</v>
      </c>
      <c r="AB12" s="201">
        <f t="shared" ca="1" si="0"/>
        <v>21</v>
      </c>
      <c r="AC12" s="201">
        <f t="shared" ca="1" si="0"/>
        <v>22</v>
      </c>
      <c r="AD12" s="201">
        <f t="shared" ca="1" si="0"/>
        <v>23</v>
      </c>
      <c r="AE12" s="201">
        <f t="shared" ca="1" si="0"/>
        <v>24</v>
      </c>
      <c r="AF12" s="201">
        <f t="shared" ca="1" si="0"/>
        <v>25</v>
      </c>
    </row>
    <row r="13" spans="1:33" x14ac:dyDescent="0.25">
      <c r="B13" s="744"/>
      <c r="C13" s="744"/>
      <c r="D13" s="744"/>
      <c r="F13" s="203"/>
      <c r="H13" s="203"/>
      <c r="I13" s="202"/>
      <c r="J13" s="202"/>
      <c r="K13" s="202"/>
      <c r="L13" s="202"/>
      <c r="M13" s="202"/>
      <c r="N13" s="202" t="s">
        <v>863</v>
      </c>
      <c r="O13" s="202"/>
      <c r="P13" s="202"/>
      <c r="Q13" s="202"/>
      <c r="R13" s="202"/>
      <c r="S13" s="202"/>
      <c r="T13" s="202"/>
      <c r="U13" s="202"/>
      <c r="V13" s="202"/>
      <c r="W13" s="202"/>
      <c r="X13" s="202"/>
      <c r="Y13" s="202"/>
      <c r="Z13" s="202"/>
      <c r="AA13" s="202"/>
      <c r="AB13" s="202"/>
      <c r="AC13" s="202"/>
      <c r="AD13" s="202"/>
      <c r="AE13" s="202"/>
      <c r="AF13" s="204"/>
    </row>
    <row r="14" spans="1:33" ht="3.9" customHeight="1" x14ac:dyDescent="0.25">
      <c r="A14" s="5" t="s">
        <v>542</v>
      </c>
    </row>
    <row r="15" spans="1:33" x14ac:dyDescent="0.25">
      <c r="A15" s="5" t="str">
        <f ca="1">IF(AND(AUTOEVENTO="Manual",OFFSET(EVENTOS!$F$1,1,0)&gt;0),"F","")</f>
        <v/>
      </c>
      <c r="B15" s="205">
        <f ca="1">EVENTOS!$C$15</f>
        <v>0</v>
      </c>
      <c r="C15" s="789" t="str">
        <f ca="1">EVENTOS!$D$15</f>
        <v/>
      </c>
      <c r="D15" s="789"/>
      <c r="F15" s="207"/>
      <c r="H15" s="207"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06"/>
      <c r="J15" s="206"/>
      <c r="K15" s="206"/>
      <c r="L15" s="206"/>
      <c r="M15" s="206"/>
      <c r="N15" s="206"/>
      <c r="O15" s="206"/>
      <c r="P15" s="206"/>
      <c r="Q15" s="206"/>
      <c r="R15" s="206"/>
      <c r="S15" s="206"/>
      <c r="T15" s="206"/>
      <c r="U15" s="206"/>
      <c r="V15" s="206"/>
      <c r="W15" s="206"/>
      <c r="X15" s="206"/>
      <c r="Y15" s="206"/>
      <c r="Z15" s="206"/>
      <c r="AA15" s="206"/>
      <c r="AB15" s="206"/>
      <c r="AC15" s="206"/>
      <c r="AD15" s="206"/>
      <c r="AE15" s="206"/>
      <c r="AF15" s="208"/>
    </row>
    <row r="16" spans="1:33" x14ac:dyDescent="0.25">
      <c r="A16" s="5" t="str">
        <f ca="1">IF(AUTOEVENTO="Manual",IF(OFFSET(EVENTOS!$F$14,PLE!$B16,0)&gt;0,"F",""),IF(PLE!B16&lt;=MAX(CÁLCULO!$M$15:$M$36),"F",""))</f>
        <v>F</v>
      </c>
      <c r="B16" s="195">
        <f t="shared" ref="B16:B64" ca="1" si="1">OFFSET(B16,-1,0)+1</f>
        <v>1</v>
      </c>
      <c r="C16" s="780" t="str">
        <f ca="1">IF(AUTOEVENTO="Manual",OFFSET(EVENTOS!$D$15,$B16-$B$15,0),IF(B16&lt;=MAX(CÁLCULO!$M$15:$M$36),VLOOKUP($B16,CÁLCULO!$M$15:$N$36,2,FALSE),0))</f>
        <v>ADMINISTRAÇÃO DE OBRA</v>
      </c>
      <c r="D16" s="780"/>
      <c r="F16" s="196"/>
      <c r="H16" s="196"/>
      <c r="I16" s="196"/>
      <c r="J16" s="196"/>
      <c r="K16" s="196"/>
      <c r="L16" s="196"/>
      <c r="M16" s="196"/>
      <c r="N16" s="196"/>
      <c r="O16" s="196"/>
      <c r="P16" s="196"/>
      <c r="Q16" s="196"/>
      <c r="R16" s="196"/>
      <c r="S16" s="196"/>
      <c r="T16" s="196"/>
      <c r="U16" s="196"/>
      <c r="V16" s="196"/>
      <c r="W16" s="196"/>
      <c r="X16" s="196"/>
      <c r="Y16" s="196"/>
      <c r="Z16" s="196"/>
      <c r="AA16" s="196"/>
      <c r="AB16" s="196"/>
      <c r="AC16" s="196"/>
      <c r="AD16" s="196"/>
      <c r="AE16" s="196"/>
      <c r="AF16" s="196"/>
    </row>
    <row r="17" spans="1:32" x14ac:dyDescent="0.25">
      <c r="A17" s="5" t="str">
        <f ca="1">IF(AUTOEVENTO="Manual",IF(OFFSET(EVENTOS!$F$14,PLE!$B17,0)&gt;0,"F",""),IF(PLE!B17&lt;=MAX(CÁLCULO!$M$15:$M$36),"F",""))</f>
        <v>F</v>
      </c>
      <c r="B17" s="195">
        <f t="shared" ca="1" si="1"/>
        <v>2</v>
      </c>
      <c r="C17" s="780" t="str">
        <f ca="1">IF(AUTOEVENTO="Manual",OFFSET(EVENTOS!$D$15,$B17-$B$15,0),IF(B17&lt;=MAX(CÁLCULO!$M$15:$M$36),VLOOKUP($B17,CÁLCULO!$M$15:$N$36,2,FALSE),0))</f>
        <v>SERVIÇOS PRELIMINARES</v>
      </c>
      <c r="D17" s="780"/>
      <c r="F17" s="196"/>
      <c r="H17" s="196"/>
      <c r="I17" s="196"/>
      <c r="J17" s="196"/>
      <c r="K17" s="196"/>
      <c r="L17" s="196"/>
      <c r="M17" s="196"/>
      <c r="N17" s="196"/>
      <c r="O17" s="196"/>
      <c r="P17" s="196"/>
      <c r="Q17" s="196"/>
      <c r="R17" s="196"/>
      <c r="S17" s="196"/>
      <c r="T17" s="196"/>
      <c r="U17" s="196"/>
      <c r="V17" s="196"/>
      <c r="W17" s="196"/>
      <c r="X17" s="196"/>
      <c r="Y17" s="196"/>
      <c r="Z17" s="196"/>
      <c r="AA17" s="196"/>
      <c r="AB17" s="196"/>
      <c r="AC17" s="196"/>
      <c r="AD17" s="196"/>
      <c r="AE17" s="196"/>
      <c r="AF17" s="196"/>
    </row>
    <row r="18" spans="1:32" x14ac:dyDescent="0.25">
      <c r="A18" s="5" t="str">
        <f ca="1">IF(AUTOEVENTO="Manual",IF(OFFSET(EVENTOS!$F$14,PLE!$B18,0)&gt;0,"F",""),IF(PLE!B18&lt;=MAX(CÁLCULO!$M$15:$M$36),"F",""))</f>
        <v>F</v>
      </c>
      <c r="B18" s="195">
        <f t="shared" ca="1" si="1"/>
        <v>3</v>
      </c>
      <c r="C18" s="780" t="str">
        <f ca="1">IF(AUTOEVENTO="Manual",OFFSET(EVENTOS!$D$15,$B18-$B$15,0),IF(B18&lt;=MAX(CÁLCULO!$M$15:$M$36),VLOOKUP($B18,CÁLCULO!$M$15:$N$36,2,FALSE),0))</f>
        <v>MOBILIZAÇÃO DE MAQUINÁRIO</v>
      </c>
      <c r="D18" s="780"/>
      <c r="F18" s="196"/>
      <c r="H18" s="196"/>
      <c r="I18" s="196"/>
      <c r="J18" s="196"/>
      <c r="K18" s="196"/>
      <c r="L18" s="196"/>
      <c r="M18" s="196"/>
      <c r="N18" s="196"/>
      <c r="O18" s="196"/>
      <c r="P18" s="196"/>
      <c r="Q18" s="196"/>
      <c r="R18" s="196"/>
      <c r="S18" s="196"/>
      <c r="T18" s="196"/>
      <c r="U18" s="196"/>
      <c r="V18" s="196"/>
      <c r="W18" s="196"/>
      <c r="X18" s="196"/>
      <c r="Y18" s="196"/>
      <c r="Z18" s="196"/>
      <c r="AA18" s="196"/>
      <c r="AB18" s="196"/>
      <c r="AC18" s="196"/>
      <c r="AD18" s="196"/>
      <c r="AE18" s="196"/>
      <c r="AF18" s="196"/>
    </row>
    <row r="19" spans="1:32" x14ac:dyDescent="0.25">
      <c r="A19" s="5" t="str">
        <f ca="1">IF(AUTOEVENTO="Manual",IF(OFFSET(EVENTOS!$F$14,PLE!$B19,0)&gt;0,"F",""),IF(PLE!B19&lt;=MAX(CÁLCULO!$M$15:$M$36),"F",""))</f>
        <v>F</v>
      </c>
      <c r="B19" s="195">
        <f t="shared" ca="1" si="1"/>
        <v>4</v>
      </c>
      <c r="C19" s="780" t="str">
        <f ca="1">IF(AUTOEVENTO="Manual",OFFSET(EVENTOS!$D$15,$B19-$B$15,0),IF(B19&lt;=MAX(CÁLCULO!$M$15:$M$36),VLOOKUP($B19,CÁLCULO!$M$15:$N$36,2,FALSE),0))</f>
        <v>DESMOBILIZAÇÃO DE MAQUINÁRIO</v>
      </c>
      <c r="D19" s="780"/>
      <c r="F19" s="196"/>
      <c r="H19" s="196"/>
      <c r="I19" s="196"/>
      <c r="J19" s="196"/>
      <c r="K19" s="196"/>
      <c r="L19" s="196"/>
      <c r="M19" s="196"/>
      <c r="N19" s="196"/>
      <c r="O19" s="196"/>
      <c r="P19" s="196"/>
      <c r="Q19" s="196"/>
      <c r="R19" s="196"/>
      <c r="S19" s="196"/>
      <c r="T19" s="196"/>
      <c r="U19" s="196"/>
      <c r="V19" s="196"/>
      <c r="W19" s="196"/>
      <c r="X19" s="196"/>
      <c r="Y19" s="196"/>
      <c r="Z19" s="196"/>
      <c r="AA19" s="196"/>
      <c r="AB19" s="196"/>
      <c r="AC19" s="196"/>
      <c r="AD19" s="196"/>
      <c r="AE19" s="196"/>
      <c r="AF19" s="196"/>
    </row>
    <row r="20" spans="1:32" x14ac:dyDescent="0.25">
      <c r="A20" s="5" t="str">
        <f ca="1">IF(AUTOEVENTO="Manual",IF(OFFSET(EVENTOS!$F$14,PLE!$B20,0)&gt;0,"F",""),IF(PLE!B20&lt;=MAX(CÁLCULO!$M$15:$M$36),"F",""))</f>
        <v>F</v>
      </c>
      <c r="B20" s="195">
        <f t="shared" ca="1" si="1"/>
        <v>5</v>
      </c>
      <c r="C20" s="780" t="str">
        <f ca="1">IF(AUTOEVENTO="Manual",OFFSET(EVENTOS!$D$15,$B20-$B$15,0),IF(B20&lt;=MAX(CÁLCULO!$M$15:$M$36),VLOOKUP($B20,CÁLCULO!$M$15:$N$36,2,FALSE),0))</f>
        <v>PAVIMENTAÇÃO DE VIAS</v>
      </c>
      <c r="D20" s="780"/>
      <c r="F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row>
    <row r="21" spans="1:32" x14ac:dyDescent="0.25">
      <c r="A21" s="5" t="str">
        <f ca="1">IF(AUTOEVENTO="Manual",IF(OFFSET(EVENTOS!$F$14,PLE!$B21,0)&gt;0,"F",""),IF(PLE!B21&lt;=MAX(CÁLCULO!$M$15:$M$36),"F",""))</f>
        <v/>
      </c>
      <c r="B21" s="195">
        <f t="shared" ca="1" si="1"/>
        <v>6</v>
      </c>
      <c r="C21" s="780">
        <f ca="1">IF(AUTOEVENTO="Manual",OFFSET(EVENTOS!$D$15,$B21-$B$15,0),IF(B21&lt;=MAX(CÁLCULO!$M$15:$M$36),VLOOKUP($B21,CÁLCULO!$M$15:$N$36,2,FALSE),0))</f>
        <v>0</v>
      </c>
      <c r="D21" s="780"/>
      <c r="F21" s="196"/>
      <c r="H21" s="196"/>
      <c r="I21" s="196"/>
      <c r="J21" s="196"/>
      <c r="K21" s="196"/>
      <c r="L21" s="196"/>
      <c r="M21" s="196"/>
      <c r="N21" s="196"/>
      <c r="O21" s="196"/>
      <c r="P21" s="196"/>
      <c r="Q21" s="196"/>
      <c r="R21" s="196"/>
      <c r="S21" s="196"/>
      <c r="T21" s="196"/>
      <c r="U21" s="196"/>
      <c r="V21" s="196"/>
      <c r="W21" s="196"/>
      <c r="X21" s="196"/>
      <c r="Y21" s="196"/>
      <c r="Z21" s="196"/>
      <c r="AA21" s="196"/>
      <c r="AB21" s="196"/>
      <c r="AC21" s="196"/>
      <c r="AD21" s="196"/>
      <c r="AE21" s="196"/>
      <c r="AF21" s="196"/>
    </row>
    <row r="22" spans="1:32" x14ac:dyDescent="0.25">
      <c r="A22" s="5" t="str">
        <f ca="1">IF(AUTOEVENTO="Manual",IF(OFFSET(EVENTOS!$F$14,PLE!$B22,0)&gt;0,"F",""),IF(PLE!B22&lt;=MAX(CÁLCULO!$M$15:$M$36),"F",""))</f>
        <v/>
      </c>
      <c r="B22" s="195">
        <f t="shared" ca="1" si="1"/>
        <v>7</v>
      </c>
      <c r="C22" s="780">
        <f ca="1">IF(AUTOEVENTO="Manual",OFFSET(EVENTOS!$D$15,$B22-$B$15,0),IF(B22&lt;=MAX(CÁLCULO!$M$15:$M$36),VLOOKUP($B22,CÁLCULO!$M$15:$N$36,2,FALSE),0))</f>
        <v>0</v>
      </c>
      <c r="D22" s="780"/>
      <c r="F22" s="196"/>
      <c r="H22" s="196"/>
      <c r="I22" s="196"/>
      <c r="J22" s="196"/>
      <c r="K22" s="196"/>
      <c r="L22" s="196"/>
      <c r="M22" s="196"/>
      <c r="N22" s="196"/>
      <c r="O22" s="196"/>
      <c r="P22" s="196"/>
      <c r="Q22" s="196"/>
      <c r="R22" s="196"/>
      <c r="S22" s="196"/>
      <c r="T22" s="196"/>
      <c r="U22" s="196"/>
      <c r="V22" s="196"/>
      <c r="W22" s="196"/>
      <c r="X22" s="196"/>
      <c r="Y22" s="196"/>
      <c r="Z22" s="196"/>
      <c r="AA22" s="196"/>
      <c r="AB22" s="196"/>
      <c r="AC22" s="196"/>
      <c r="AD22" s="196"/>
      <c r="AE22" s="196"/>
      <c r="AF22" s="196"/>
    </row>
    <row r="23" spans="1:32" x14ac:dyDescent="0.25">
      <c r="A23" s="5" t="str">
        <f ca="1">IF(AUTOEVENTO="Manual",IF(OFFSET(EVENTOS!$F$14,PLE!$B23,0)&gt;0,"F",""),IF(PLE!B23&lt;=MAX(CÁLCULO!$M$15:$M$36),"F",""))</f>
        <v/>
      </c>
      <c r="B23" s="195">
        <f t="shared" ca="1" si="1"/>
        <v>8</v>
      </c>
      <c r="C23" s="780">
        <f ca="1">IF(AUTOEVENTO="Manual",OFFSET(EVENTOS!$D$15,$B23-$B$15,0),IF(B23&lt;=MAX(CÁLCULO!$M$15:$M$36),VLOOKUP($B23,CÁLCULO!$M$15:$N$36,2,FALSE),0))</f>
        <v>0</v>
      </c>
      <c r="D23" s="780"/>
      <c r="F23" s="196"/>
      <c r="H23" s="196"/>
      <c r="I23" s="196"/>
      <c r="J23" s="196"/>
      <c r="K23" s="196"/>
      <c r="L23" s="196"/>
      <c r="M23" s="196"/>
      <c r="N23" s="196"/>
      <c r="O23" s="196"/>
      <c r="P23" s="196"/>
      <c r="Q23" s="196"/>
      <c r="R23" s="196"/>
      <c r="S23" s="196"/>
      <c r="T23" s="196"/>
      <c r="U23" s="196"/>
      <c r="V23" s="196"/>
      <c r="W23" s="196"/>
      <c r="X23" s="196"/>
      <c r="Y23" s="196"/>
      <c r="Z23" s="196"/>
      <c r="AA23" s="196"/>
      <c r="AB23" s="196"/>
      <c r="AC23" s="196"/>
      <c r="AD23" s="196"/>
      <c r="AE23" s="196"/>
      <c r="AF23" s="196"/>
    </row>
    <row r="24" spans="1:32" x14ac:dyDescent="0.25">
      <c r="A24" s="5" t="str">
        <f ca="1">IF(AUTOEVENTO="Manual",IF(OFFSET(EVENTOS!$F$14,PLE!$B24,0)&gt;0,"F",""),IF(PLE!B24&lt;=MAX(CÁLCULO!$M$15:$M$36),"F",""))</f>
        <v/>
      </c>
      <c r="B24" s="195">
        <f t="shared" ca="1" si="1"/>
        <v>9</v>
      </c>
      <c r="C24" s="780">
        <f ca="1">IF(AUTOEVENTO="Manual",OFFSET(EVENTOS!$D$15,$B24-$B$15,0),IF(B24&lt;=MAX(CÁLCULO!$M$15:$M$36),VLOOKUP($B24,CÁLCULO!$M$15:$N$36,2,FALSE),0))</f>
        <v>0</v>
      </c>
      <c r="D24" s="780"/>
      <c r="F24" s="196"/>
      <c r="H24" s="196"/>
      <c r="I24" s="196"/>
      <c r="J24" s="196"/>
      <c r="K24" s="196"/>
      <c r="L24" s="196"/>
      <c r="M24" s="196"/>
      <c r="N24" s="196"/>
      <c r="O24" s="196"/>
      <c r="P24" s="196"/>
      <c r="Q24" s="196"/>
      <c r="R24" s="196"/>
      <c r="S24" s="196"/>
      <c r="T24" s="196"/>
      <c r="U24" s="196"/>
      <c r="V24" s="196"/>
      <c r="W24" s="196"/>
      <c r="X24" s="196"/>
      <c r="Y24" s="196"/>
      <c r="Z24" s="196"/>
      <c r="AA24" s="196"/>
      <c r="AB24" s="196"/>
      <c r="AC24" s="196"/>
      <c r="AD24" s="196"/>
      <c r="AE24" s="196"/>
      <c r="AF24" s="196"/>
    </row>
    <row r="25" spans="1:32" x14ac:dyDescent="0.25">
      <c r="A25" s="5" t="str">
        <f ca="1">IF(AUTOEVENTO="Manual",IF(OFFSET(EVENTOS!$F$14,PLE!$B25,0)&gt;0,"F",""),IF(PLE!B25&lt;=MAX(CÁLCULO!$M$15:$M$36),"F",""))</f>
        <v/>
      </c>
      <c r="B25" s="195">
        <f t="shared" ca="1" si="1"/>
        <v>10</v>
      </c>
      <c r="C25" s="780">
        <f ca="1">IF(AUTOEVENTO="Manual",OFFSET(EVENTOS!$D$15,$B25-$B$15,0),IF(B25&lt;=MAX(CÁLCULO!$M$15:$M$36),VLOOKUP($B25,CÁLCULO!$M$15:$N$36,2,FALSE),0))</f>
        <v>0</v>
      </c>
      <c r="D25" s="780"/>
      <c r="F25" s="196"/>
      <c r="H25" s="196"/>
      <c r="I25" s="196"/>
      <c r="J25" s="196"/>
      <c r="K25" s="196"/>
      <c r="L25" s="196"/>
      <c r="M25" s="196"/>
      <c r="N25" s="196"/>
      <c r="O25" s="196"/>
      <c r="P25" s="196"/>
      <c r="Q25" s="196"/>
      <c r="R25" s="196"/>
      <c r="S25" s="196"/>
      <c r="T25" s="196"/>
      <c r="U25" s="196"/>
      <c r="V25" s="196"/>
      <c r="W25" s="196"/>
      <c r="X25" s="196"/>
      <c r="Y25" s="196"/>
      <c r="Z25" s="196"/>
      <c r="AA25" s="196"/>
      <c r="AB25" s="196"/>
      <c r="AC25" s="196"/>
      <c r="AD25" s="196"/>
      <c r="AE25" s="196"/>
      <c r="AF25" s="196"/>
    </row>
    <row r="26" spans="1:32" x14ac:dyDescent="0.25">
      <c r="A26" s="5" t="str">
        <f ca="1">IF(AUTOEVENTO="Manual",IF(OFFSET(EVENTOS!$F$14,PLE!$B26,0)&gt;0,"F",""),IF(PLE!B26&lt;=MAX(CÁLCULO!$M$15:$M$36),"F",""))</f>
        <v/>
      </c>
      <c r="B26" s="195">
        <f t="shared" ca="1" si="1"/>
        <v>11</v>
      </c>
      <c r="C26" s="780">
        <f ca="1">IF(AUTOEVENTO="Manual",OFFSET(EVENTOS!$D$15,$B26-$B$15,0),IF(B26&lt;=MAX(CÁLCULO!$M$15:$M$36),VLOOKUP($B26,CÁLCULO!$M$15:$N$36,2,FALSE),0))</f>
        <v>0</v>
      </c>
      <c r="D26" s="780"/>
      <c r="F26" s="196"/>
      <c r="H26" s="196"/>
      <c r="I26" s="196"/>
      <c r="J26" s="196"/>
      <c r="K26" s="196"/>
      <c r="L26" s="196"/>
      <c r="M26" s="196"/>
      <c r="N26" s="196"/>
      <c r="O26" s="196"/>
      <c r="P26" s="196"/>
      <c r="Q26" s="196"/>
      <c r="R26" s="196"/>
      <c r="S26" s="196"/>
      <c r="T26" s="196"/>
      <c r="U26" s="196"/>
      <c r="V26" s="196"/>
      <c r="W26" s="196"/>
      <c r="X26" s="196"/>
      <c r="Y26" s="196"/>
      <c r="Z26" s="196"/>
      <c r="AA26" s="196"/>
      <c r="AB26" s="196"/>
      <c r="AC26" s="196"/>
      <c r="AD26" s="196"/>
      <c r="AE26" s="196"/>
      <c r="AF26" s="196"/>
    </row>
    <row r="27" spans="1:32" x14ac:dyDescent="0.25">
      <c r="A27" s="5" t="str">
        <f ca="1">IF(AUTOEVENTO="Manual",IF(OFFSET(EVENTOS!$F$14,PLE!$B27,0)&gt;0,"F",""),IF(PLE!B27&lt;=MAX(CÁLCULO!$M$15:$M$36),"F",""))</f>
        <v/>
      </c>
      <c r="B27" s="195">
        <f t="shared" ca="1" si="1"/>
        <v>12</v>
      </c>
      <c r="C27" s="780">
        <f ca="1">IF(AUTOEVENTO="Manual",OFFSET(EVENTOS!$D$15,$B27-$B$15,0),IF(B27&lt;=MAX(CÁLCULO!$M$15:$M$36),VLOOKUP($B27,CÁLCULO!$M$15:$N$36,2,FALSE),0))</f>
        <v>0</v>
      </c>
      <c r="D27" s="780"/>
      <c r="F27" s="196"/>
      <c r="H27" s="196"/>
      <c r="I27" s="196"/>
      <c r="J27" s="196"/>
      <c r="K27" s="196"/>
      <c r="L27" s="196"/>
      <c r="M27" s="196"/>
      <c r="N27" s="196"/>
      <c r="O27" s="196"/>
      <c r="P27" s="196"/>
      <c r="Q27" s="196"/>
      <c r="R27" s="196"/>
      <c r="S27" s="196"/>
      <c r="T27" s="196"/>
      <c r="U27" s="196"/>
      <c r="V27" s="196"/>
      <c r="W27" s="196"/>
      <c r="X27" s="196"/>
      <c r="Y27" s="196"/>
      <c r="Z27" s="196"/>
      <c r="AA27" s="196"/>
      <c r="AB27" s="196"/>
      <c r="AC27" s="196"/>
      <c r="AD27" s="196"/>
      <c r="AE27" s="196"/>
      <c r="AF27" s="196"/>
    </row>
    <row r="28" spans="1:32" x14ac:dyDescent="0.25">
      <c r="A28" s="5" t="str">
        <f ca="1">IF(AUTOEVENTO="Manual",IF(OFFSET(EVENTOS!$F$14,PLE!$B28,0)&gt;0,"F",""),IF(PLE!B28&lt;=MAX(CÁLCULO!$M$15:$M$36),"F",""))</f>
        <v/>
      </c>
      <c r="B28" s="195">
        <f t="shared" ca="1" si="1"/>
        <v>13</v>
      </c>
      <c r="C28" s="780">
        <f ca="1">IF(AUTOEVENTO="Manual",OFFSET(EVENTOS!$D$15,$B28-$B$15,0),IF(B28&lt;=MAX(CÁLCULO!$M$15:$M$36),VLOOKUP($B28,CÁLCULO!$M$15:$N$36,2,FALSE),0))</f>
        <v>0</v>
      </c>
      <c r="D28" s="780"/>
      <c r="F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6"/>
    </row>
    <row r="29" spans="1:32" x14ac:dyDescent="0.25">
      <c r="A29" s="5" t="str">
        <f ca="1">IF(AUTOEVENTO="Manual",IF(OFFSET(EVENTOS!$F$14,PLE!$B29,0)&gt;0,"F",""),IF(PLE!B29&lt;=MAX(CÁLCULO!$M$15:$M$36),"F",""))</f>
        <v/>
      </c>
      <c r="B29" s="195">
        <f t="shared" ca="1" si="1"/>
        <v>14</v>
      </c>
      <c r="C29" s="780">
        <f ca="1">IF(AUTOEVENTO="Manual",OFFSET(EVENTOS!$D$15,$B29-$B$15,0),IF(B29&lt;=MAX(CÁLCULO!$M$15:$M$36),VLOOKUP($B29,CÁLCULO!$M$15:$N$36,2,FALSE),0))</f>
        <v>0</v>
      </c>
      <c r="D29" s="780"/>
      <c r="F29" s="196"/>
      <c r="H29" s="196"/>
      <c r="I29" s="196"/>
      <c r="J29" s="196"/>
      <c r="K29" s="196"/>
      <c r="L29" s="196"/>
      <c r="M29" s="196"/>
      <c r="N29" s="196"/>
      <c r="O29" s="196"/>
      <c r="P29" s="196"/>
      <c r="Q29" s="196"/>
      <c r="R29" s="196"/>
      <c r="S29" s="196"/>
      <c r="T29" s="196"/>
      <c r="U29" s="196"/>
      <c r="V29" s="196"/>
      <c r="W29" s="196"/>
      <c r="X29" s="196"/>
      <c r="Y29" s="196"/>
      <c r="Z29" s="196"/>
      <c r="AA29" s="196"/>
      <c r="AB29" s="196"/>
      <c r="AC29" s="196"/>
      <c r="AD29" s="196"/>
      <c r="AE29" s="196"/>
      <c r="AF29" s="196"/>
    </row>
    <row r="30" spans="1:32" x14ac:dyDescent="0.25">
      <c r="A30" s="5" t="str">
        <f ca="1">IF(AUTOEVENTO="Manual",IF(OFFSET(EVENTOS!$F$14,PLE!$B30,0)&gt;0,"F",""),IF(PLE!B30&lt;=MAX(CÁLCULO!$M$15:$M$36),"F",""))</f>
        <v/>
      </c>
      <c r="B30" s="195">
        <f t="shared" ca="1" si="1"/>
        <v>15</v>
      </c>
      <c r="C30" s="780">
        <f ca="1">IF(AUTOEVENTO="Manual",OFFSET(EVENTOS!$D$15,$B30-$B$15,0),IF(B30&lt;=MAX(CÁLCULO!$M$15:$M$36),VLOOKUP($B30,CÁLCULO!$M$15:$N$36,2,FALSE),0))</f>
        <v>0</v>
      </c>
      <c r="D30" s="780"/>
      <c r="F30" s="196"/>
      <c r="H30" s="196"/>
      <c r="I30" s="196"/>
      <c r="J30" s="196"/>
      <c r="K30" s="196"/>
      <c r="L30" s="196"/>
      <c r="M30" s="196"/>
      <c r="N30" s="196"/>
      <c r="O30" s="196"/>
      <c r="P30" s="196"/>
      <c r="Q30" s="196"/>
      <c r="R30" s="196"/>
      <c r="S30" s="196"/>
      <c r="T30" s="196"/>
      <c r="U30" s="196"/>
      <c r="V30" s="196"/>
      <c r="W30" s="196"/>
      <c r="X30" s="196"/>
      <c r="Y30" s="196"/>
      <c r="Z30" s="196"/>
      <c r="AA30" s="196"/>
      <c r="AB30" s="196"/>
      <c r="AC30" s="196"/>
      <c r="AD30" s="196"/>
      <c r="AE30" s="196"/>
      <c r="AF30" s="196"/>
    </row>
    <row r="31" spans="1:32" x14ac:dyDescent="0.25">
      <c r="A31" s="5" t="str">
        <f ca="1">IF(AUTOEVENTO="Manual",IF(OFFSET(EVENTOS!$F$14,PLE!$B31,0)&gt;0,"F",""),IF(PLE!B31&lt;=MAX(CÁLCULO!$M$15:$M$36),"F",""))</f>
        <v/>
      </c>
      <c r="B31" s="195">
        <f t="shared" ca="1" si="1"/>
        <v>16</v>
      </c>
      <c r="C31" s="780">
        <f ca="1">IF(AUTOEVENTO="Manual",OFFSET(EVENTOS!$D$15,$B31-$B$15,0),IF(B31&lt;=MAX(CÁLCULO!$M$15:$M$36),VLOOKUP($B31,CÁLCULO!$M$15:$N$36,2,FALSE),0))</f>
        <v>0</v>
      </c>
      <c r="D31" s="780"/>
      <c r="F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row>
    <row r="32" spans="1:32" x14ac:dyDescent="0.25">
      <c r="A32" s="5" t="str">
        <f ca="1">IF(AUTOEVENTO="Manual",IF(OFFSET(EVENTOS!$F$14,PLE!$B32,0)&gt;0,"F",""),IF(PLE!B32&lt;=MAX(CÁLCULO!$M$15:$M$36),"F",""))</f>
        <v/>
      </c>
      <c r="B32" s="195">
        <f t="shared" ca="1" si="1"/>
        <v>17</v>
      </c>
      <c r="C32" s="780">
        <f ca="1">IF(AUTOEVENTO="Manual",OFFSET(EVENTOS!$D$15,$B32-$B$15,0),IF(B32&lt;=MAX(CÁLCULO!$M$15:$M$36),VLOOKUP($B32,CÁLCULO!$M$15:$N$36,2,FALSE),0))</f>
        <v>0</v>
      </c>
      <c r="D32" s="780"/>
      <c r="F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row>
    <row r="33" spans="1:32" x14ac:dyDescent="0.25">
      <c r="A33" s="5" t="str">
        <f ca="1">IF(AUTOEVENTO="Manual",IF(OFFSET(EVENTOS!$F$14,PLE!$B33,0)&gt;0,"F",""),IF(PLE!B33&lt;=MAX(CÁLCULO!$M$15:$M$36),"F",""))</f>
        <v/>
      </c>
      <c r="B33" s="195">
        <f t="shared" ca="1" si="1"/>
        <v>18</v>
      </c>
      <c r="C33" s="780">
        <f ca="1">IF(AUTOEVENTO="Manual",OFFSET(EVENTOS!$D$15,$B33-$B$15,0),IF(B33&lt;=MAX(CÁLCULO!$M$15:$M$36),VLOOKUP($B33,CÁLCULO!$M$15:$N$36,2,FALSE),0))</f>
        <v>0</v>
      </c>
      <c r="D33" s="780"/>
      <c r="F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6"/>
      <c r="AE33" s="196"/>
      <c r="AF33" s="196"/>
    </row>
    <row r="34" spans="1:32" x14ac:dyDescent="0.25">
      <c r="A34" s="5" t="str">
        <f ca="1">IF(AUTOEVENTO="Manual",IF(OFFSET(EVENTOS!$F$14,PLE!$B34,0)&gt;0,"F",""),IF(PLE!B34&lt;=MAX(CÁLCULO!$M$15:$M$36),"F",""))</f>
        <v/>
      </c>
      <c r="B34" s="195">
        <f t="shared" ca="1" si="1"/>
        <v>19</v>
      </c>
      <c r="C34" s="780">
        <f ca="1">IF(AUTOEVENTO="Manual",OFFSET(EVENTOS!$D$15,$B34-$B$15,0),IF(B34&lt;=MAX(CÁLCULO!$M$15:$M$36),VLOOKUP($B34,CÁLCULO!$M$15:$N$36,2,FALSE),0))</f>
        <v>0</v>
      </c>
      <c r="D34" s="780"/>
      <c r="F34" s="196"/>
      <c r="H34" s="196"/>
      <c r="I34" s="196"/>
      <c r="J34" s="196"/>
      <c r="K34" s="196"/>
      <c r="L34" s="196"/>
      <c r="M34" s="196"/>
      <c r="N34" s="196"/>
      <c r="O34" s="196"/>
      <c r="P34" s="196"/>
      <c r="Q34" s="196"/>
      <c r="R34" s="196"/>
      <c r="S34" s="196"/>
      <c r="T34" s="196"/>
      <c r="U34" s="196"/>
      <c r="V34" s="196"/>
      <c r="W34" s="196"/>
      <c r="X34" s="196"/>
      <c r="Y34" s="196"/>
      <c r="Z34" s="196"/>
      <c r="AA34" s="196"/>
      <c r="AB34" s="196"/>
      <c r="AC34" s="196"/>
      <c r="AD34" s="196"/>
      <c r="AE34" s="196"/>
      <c r="AF34" s="196"/>
    </row>
    <row r="35" spans="1:32" x14ac:dyDescent="0.25">
      <c r="A35" s="5" t="str">
        <f ca="1">IF(AUTOEVENTO="Manual",IF(OFFSET(EVENTOS!$F$14,PLE!$B35,0)&gt;0,"F",""),IF(PLE!B35&lt;=MAX(CÁLCULO!$M$15:$M$36),"F",""))</f>
        <v/>
      </c>
      <c r="B35" s="195">
        <f t="shared" ca="1" si="1"/>
        <v>20</v>
      </c>
      <c r="C35" s="780">
        <f ca="1">IF(AUTOEVENTO="Manual",OFFSET(EVENTOS!$D$15,$B35-$B$15,0),IF(B35&lt;=MAX(CÁLCULO!$M$15:$M$36),VLOOKUP($B35,CÁLCULO!$M$15:$N$36,2,FALSE),0))</f>
        <v>0</v>
      </c>
      <c r="D35" s="780"/>
      <c r="F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6"/>
    </row>
    <row r="36" spans="1:32" x14ac:dyDescent="0.25">
      <c r="A36" s="5" t="str">
        <f ca="1">IF(AUTOEVENTO="Manual",IF(OFFSET(EVENTOS!$F$14,PLE!$B36,0)&gt;0,"F",""),IF(PLE!B36&lt;=MAX(CÁLCULO!$M$15:$M$36),"F",""))</f>
        <v/>
      </c>
      <c r="B36" s="195">
        <f t="shared" ca="1" si="1"/>
        <v>21</v>
      </c>
      <c r="C36" s="780">
        <f ca="1">IF(AUTOEVENTO="Manual",OFFSET(EVENTOS!$D$15,$B36-$B$15,0),IF(B36&lt;=MAX(CÁLCULO!$M$15:$M$36),VLOOKUP($B36,CÁLCULO!$M$15:$N$36,2,FALSE),0))</f>
        <v>0</v>
      </c>
      <c r="D36" s="780"/>
      <c r="F36" s="196"/>
      <c r="H36" s="196"/>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row>
    <row r="37" spans="1:32" x14ac:dyDescent="0.25">
      <c r="A37" s="5" t="str">
        <f ca="1">IF(AUTOEVENTO="Manual",IF(OFFSET(EVENTOS!$F$14,PLE!$B37,0)&gt;0,"F",""),IF(PLE!B37&lt;=MAX(CÁLCULO!$M$15:$M$36),"F",""))</f>
        <v/>
      </c>
      <c r="B37" s="195">
        <f t="shared" ca="1" si="1"/>
        <v>22</v>
      </c>
      <c r="C37" s="780">
        <f ca="1">IF(AUTOEVENTO="Manual",OFFSET(EVENTOS!$D$15,$B37-$B$15,0),IF(B37&lt;=MAX(CÁLCULO!$M$15:$M$36),VLOOKUP($B37,CÁLCULO!$M$15:$N$36,2,FALSE),0))</f>
        <v>0</v>
      </c>
      <c r="D37" s="780"/>
      <c r="F37" s="196"/>
      <c r="H37" s="196"/>
      <c r="I37" s="196"/>
      <c r="J37" s="196"/>
      <c r="K37" s="196"/>
      <c r="L37" s="196"/>
      <c r="M37" s="196"/>
      <c r="N37" s="196"/>
      <c r="O37" s="196"/>
      <c r="P37" s="196"/>
      <c r="Q37" s="196"/>
      <c r="R37" s="196"/>
      <c r="S37" s="196"/>
      <c r="T37" s="196"/>
      <c r="U37" s="196"/>
      <c r="V37" s="196"/>
      <c r="W37" s="196"/>
      <c r="X37" s="196"/>
      <c r="Y37" s="196"/>
      <c r="Z37" s="196"/>
      <c r="AA37" s="196"/>
      <c r="AB37" s="196"/>
      <c r="AC37" s="196"/>
      <c r="AD37" s="196"/>
      <c r="AE37" s="196"/>
      <c r="AF37" s="196"/>
    </row>
    <row r="38" spans="1:32" x14ac:dyDescent="0.25">
      <c r="A38" s="5" t="str">
        <f ca="1">IF(AUTOEVENTO="Manual",IF(OFFSET(EVENTOS!$F$14,PLE!$B38,0)&gt;0,"F",""),IF(PLE!B38&lt;=MAX(CÁLCULO!$M$15:$M$36),"F",""))</f>
        <v/>
      </c>
      <c r="B38" s="195">
        <f t="shared" ca="1" si="1"/>
        <v>23</v>
      </c>
      <c r="C38" s="780">
        <f ca="1">IF(AUTOEVENTO="Manual",OFFSET(EVENTOS!$D$15,$B38-$B$15,0),IF(B38&lt;=MAX(CÁLCULO!$M$15:$M$36),VLOOKUP($B38,CÁLCULO!$M$15:$N$36,2,FALSE),0))</f>
        <v>0</v>
      </c>
      <c r="D38" s="780"/>
      <c r="F38" s="196"/>
      <c r="H38" s="196"/>
      <c r="I38" s="196"/>
      <c r="J38" s="196"/>
      <c r="K38" s="196"/>
      <c r="L38" s="196"/>
      <c r="M38" s="196"/>
      <c r="N38" s="196"/>
      <c r="O38" s="196"/>
      <c r="P38" s="196"/>
      <c r="Q38" s="196"/>
      <c r="R38" s="196"/>
      <c r="S38" s="196"/>
      <c r="T38" s="196"/>
      <c r="U38" s="196"/>
      <c r="V38" s="196"/>
      <c r="W38" s="196"/>
      <c r="X38" s="196"/>
      <c r="Y38" s="196"/>
      <c r="Z38" s="196"/>
      <c r="AA38" s="196"/>
      <c r="AB38" s="196"/>
      <c r="AC38" s="196"/>
      <c r="AD38" s="196"/>
      <c r="AE38" s="196"/>
      <c r="AF38" s="196"/>
    </row>
    <row r="39" spans="1:32" x14ac:dyDescent="0.25">
      <c r="A39" s="5" t="str">
        <f ca="1">IF(AUTOEVENTO="Manual",IF(OFFSET(EVENTOS!$F$14,PLE!$B39,0)&gt;0,"F",""),IF(PLE!B39&lt;=MAX(CÁLCULO!$M$15:$M$36),"F",""))</f>
        <v/>
      </c>
      <c r="B39" s="195">
        <f t="shared" ca="1" si="1"/>
        <v>24</v>
      </c>
      <c r="C39" s="780">
        <f ca="1">IF(AUTOEVENTO="Manual",OFFSET(EVENTOS!$D$15,$B39-$B$15,0),IF(B39&lt;=MAX(CÁLCULO!$M$15:$M$36),VLOOKUP($B39,CÁLCULO!$M$15:$N$36,2,FALSE),0))</f>
        <v>0</v>
      </c>
      <c r="D39" s="780"/>
      <c r="F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6"/>
      <c r="AE39" s="196"/>
      <c r="AF39" s="196"/>
    </row>
    <row r="40" spans="1:32" x14ac:dyDescent="0.25">
      <c r="A40" s="5" t="str">
        <f ca="1">IF(AUTOEVENTO="Manual",IF(OFFSET(EVENTOS!$F$14,PLE!$B40,0)&gt;0,"F",""),IF(PLE!B40&lt;=MAX(CÁLCULO!$M$15:$M$36),"F",""))</f>
        <v/>
      </c>
      <c r="B40" s="195">
        <f t="shared" ca="1" si="1"/>
        <v>25</v>
      </c>
      <c r="C40" s="780">
        <f ca="1">IF(AUTOEVENTO="Manual",OFFSET(EVENTOS!$D$15,$B40-$B$15,0),IF(B40&lt;=MAX(CÁLCULO!$M$15:$M$36),VLOOKUP($B40,CÁLCULO!$M$15:$N$36,2,FALSE),0))</f>
        <v>0</v>
      </c>
      <c r="D40" s="780"/>
      <c r="F40" s="196"/>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row>
    <row r="41" spans="1:32" x14ac:dyDescent="0.25">
      <c r="A41" s="5" t="str">
        <f ca="1">IF(AUTOEVENTO="Manual",IF(OFFSET(EVENTOS!$F$14,PLE!$B41,0)&gt;0,"F",""),IF(PLE!B41&lt;=MAX(CÁLCULO!$M$15:$M$36),"F",""))</f>
        <v/>
      </c>
      <c r="B41" s="195">
        <f t="shared" ca="1" si="1"/>
        <v>26</v>
      </c>
      <c r="C41" s="780">
        <f ca="1">IF(AUTOEVENTO="Manual",OFFSET(EVENTOS!$D$15,$B41-$B$15,0),IF(B41&lt;=MAX(CÁLCULO!$M$15:$M$36),VLOOKUP($B41,CÁLCULO!$M$15:$N$36,2,FALSE),0))</f>
        <v>0</v>
      </c>
      <c r="D41" s="780"/>
      <c r="F41" s="196"/>
      <c r="H41" s="196"/>
      <c r="I41" s="196"/>
      <c r="J41" s="196"/>
      <c r="K41" s="196"/>
      <c r="L41" s="196"/>
      <c r="M41" s="196"/>
      <c r="N41" s="196"/>
      <c r="O41" s="196"/>
      <c r="P41" s="196"/>
      <c r="Q41" s="196"/>
      <c r="R41" s="196"/>
      <c r="S41" s="196"/>
      <c r="T41" s="196"/>
      <c r="U41" s="196"/>
      <c r="V41" s="196"/>
      <c r="W41" s="196"/>
      <c r="X41" s="196"/>
      <c r="Y41" s="196"/>
      <c r="Z41" s="196"/>
      <c r="AA41" s="196"/>
      <c r="AB41" s="196"/>
      <c r="AC41" s="196"/>
      <c r="AD41" s="196"/>
      <c r="AE41" s="196"/>
      <c r="AF41" s="196"/>
    </row>
    <row r="42" spans="1:32" x14ac:dyDescent="0.25">
      <c r="A42" s="5" t="str">
        <f ca="1">IF(AUTOEVENTO="Manual",IF(OFFSET(EVENTOS!$F$14,PLE!$B42,0)&gt;0,"F",""),IF(PLE!B42&lt;=MAX(CÁLCULO!$M$15:$M$36),"F",""))</f>
        <v/>
      </c>
      <c r="B42" s="195">
        <f t="shared" ca="1" si="1"/>
        <v>27</v>
      </c>
      <c r="C42" s="780">
        <f ca="1">IF(AUTOEVENTO="Manual",OFFSET(EVENTOS!$D$15,$B42-$B$15,0),IF(B42&lt;=MAX(CÁLCULO!$M$15:$M$36),VLOOKUP($B42,CÁLCULO!$M$15:$N$36,2,FALSE),0))</f>
        <v>0</v>
      </c>
      <c r="D42" s="780"/>
      <c r="F42" s="196"/>
      <c r="H42" s="196"/>
      <c r="I42" s="196"/>
      <c r="J42" s="196"/>
      <c r="K42" s="196"/>
      <c r="L42" s="196"/>
      <c r="M42" s="196"/>
      <c r="N42" s="196"/>
      <c r="O42" s="196"/>
      <c r="P42" s="196"/>
      <c r="Q42" s="196"/>
      <c r="R42" s="196"/>
      <c r="S42" s="196"/>
      <c r="T42" s="196"/>
      <c r="U42" s="196"/>
      <c r="V42" s="196"/>
      <c r="W42" s="196"/>
      <c r="X42" s="196"/>
      <c r="Y42" s="196"/>
      <c r="Z42" s="196"/>
      <c r="AA42" s="196"/>
      <c r="AB42" s="196"/>
      <c r="AC42" s="196"/>
      <c r="AD42" s="196"/>
      <c r="AE42" s="196"/>
      <c r="AF42" s="196"/>
    </row>
    <row r="43" spans="1:32" x14ac:dyDescent="0.25">
      <c r="A43" s="5" t="str">
        <f ca="1">IF(AUTOEVENTO="Manual",IF(OFFSET(EVENTOS!$F$14,PLE!$B43,0)&gt;0,"F",""),IF(PLE!B43&lt;=MAX(CÁLCULO!$M$15:$M$36),"F",""))</f>
        <v/>
      </c>
      <c r="B43" s="195">
        <f t="shared" ca="1" si="1"/>
        <v>28</v>
      </c>
      <c r="C43" s="780">
        <f ca="1">IF(AUTOEVENTO="Manual",OFFSET(EVENTOS!$D$15,$B43-$B$15,0),IF(B43&lt;=MAX(CÁLCULO!$M$15:$M$36),VLOOKUP($B43,CÁLCULO!$M$15:$N$36,2,FALSE),0))</f>
        <v>0</v>
      </c>
      <c r="D43" s="780"/>
      <c r="F43" s="196"/>
      <c r="H43" s="196"/>
      <c r="I43" s="196"/>
      <c r="J43" s="196"/>
      <c r="K43" s="196"/>
      <c r="L43" s="196"/>
      <c r="M43" s="196"/>
      <c r="N43" s="196"/>
      <c r="O43" s="196"/>
      <c r="P43" s="196"/>
      <c r="Q43" s="196"/>
      <c r="R43" s="196"/>
      <c r="S43" s="196"/>
      <c r="T43" s="196"/>
      <c r="U43" s="196"/>
      <c r="V43" s="196"/>
      <c r="W43" s="196"/>
      <c r="X43" s="196"/>
      <c r="Y43" s="196"/>
      <c r="Z43" s="196"/>
      <c r="AA43" s="196"/>
      <c r="AB43" s="196"/>
      <c r="AC43" s="196"/>
      <c r="AD43" s="196"/>
      <c r="AE43" s="196"/>
      <c r="AF43" s="196"/>
    </row>
    <row r="44" spans="1:32" x14ac:dyDescent="0.25">
      <c r="A44" s="5" t="str">
        <f ca="1">IF(AUTOEVENTO="Manual",IF(OFFSET(EVENTOS!$F$14,PLE!$B44,0)&gt;0,"F",""),IF(PLE!B44&lt;=MAX(CÁLCULO!$M$15:$M$36),"F",""))</f>
        <v/>
      </c>
      <c r="B44" s="195">
        <f t="shared" ca="1" si="1"/>
        <v>29</v>
      </c>
      <c r="C44" s="780">
        <f ca="1">IF(AUTOEVENTO="Manual",OFFSET(EVENTOS!$D$15,$B44-$B$15,0),IF(B44&lt;=MAX(CÁLCULO!$M$15:$M$36),VLOOKUP($B44,CÁLCULO!$M$15:$N$36,2,FALSE),0))</f>
        <v>0</v>
      </c>
      <c r="D44" s="780"/>
      <c r="F44" s="196"/>
      <c r="H44" s="196"/>
      <c r="I44" s="196"/>
      <c r="J44" s="196"/>
      <c r="K44" s="196"/>
      <c r="L44" s="196"/>
      <c r="M44" s="196"/>
      <c r="N44" s="196"/>
      <c r="O44" s="196"/>
      <c r="P44" s="196"/>
      <c r="Q44" s="196"/>
      <c r="R44" s="196"/>
      <c r="S44" s="196"/>
      <c r="T44" s="196"/>
      <c r="U44" s="196"/>
      <c r="V44" s="196"/>
      <c r="W44" s="196"/>
      <c r="X44" s="196"/>
      <c r="Y44" s="196"/>
      <c r="Z44" s="196"/>
      <c r="AA44" s="196"/>
      <c r="AB44" s="196"/>
      <c r="AC44" s="196"/>
      <c r="AD44" s="196"/>
      <c r="AE44" s="196"/>
      <c r="AF44" s="196"/>
    </row>
    <row r="45" spans="1:32" x14ac:dyDescent="0.25">
      <c r="A45" s="5" t="str">
        <f ca="1">IF(AUTOEVENTO="Manual",IF(OFFSET(EVENTOS!$F$14,PLE!$B45,0)&gt;0,"F",""),IF(PLE!B45&lt;=MAX(CÁLCULO!$M$15:$M$36),"F",""))</f>
        <v/>
      </c>
      <c r="B45" s="195">
        <f t="shared" ca="1" si="1"/>
        <v>30</v>
      </c>
      <c r="C45" s="780">
        <f ca="1">IF(AUTOEVENTO="Manual",OFFSET(EVENTOS!$D$15,$B45-$B$15,0),IF(B45&lt;=MAX(CÁLCULO!$M$15:$M$36),VLOOKUP($B45,CÁLCULO!$M$15:$N$36,2,FALSE),0))</f>
        <v>0</v>
      </c>
      <c r="D45" s="780"/>
      <c r="F45" s="196"/>
      <c r="H45" s="196"/>
      <c r="I45" s="196"/>
      <c r="J45" s="196"/>
      <c r="K45" s="196"/>
      <c r="L45" s="196"/>
      <c r="M45" s="196"/>
      <c r="N45" s="196"/>
      <c r="O45" s="196"/>
      <c r="P45" s="196"/>
      <c r="Q45" s="196"/>
      <c r="R45" s="196"/>
      <c r="S45" s="196"/>
      <c r="T45" s="196"/>
      <c r="U45" s="196"/>
      <c r="V45" s="196"/>
      <c r="W45" s="196"/>
      <c r="X45" s="196"/>
      <c r="Y45" s="196"/>
      <c r="Z45" s="196"/>
      <c r="AA45" s="196"/>
      <c r="AB45" s="196"/>
      <c r="AC45" s="196"/>
      <c r="AD45" s="196"/>
      <c r="AE45" s="196"/>
      <c r="AF45" s="196"/>
    </row>
    <row r="46" spans="1:32" x14ac:dyDescent="0.25">
      <c r="A46" s="5" t="str">
        <f ca="1">IF(AUTOEVENTO="Manual",IF(OFFSET(EVENTOS!$F$14,PLE!$B46,0)&gt;0,"F",""),IF(PLE!B46&lt;=MAX(CÁLCULO!$M$15:$M$36),"F",""))</f>
        <v/>
      </c>
      <c r="B46" s="195">
        <f t="shared" ca="1" si="1"/>
        <v>31</v>
      </c>
      <c r="C46" s="780">
        <f ca="1">IF(AUTOEVENTO="Manual",OFFSET(EVENTOS!$D$15,$B46-$B$15,0),IF(B46&lt;=MAX(CÁLCULO!$M$15:$M$36),VLOOKUP($B46,CÁLCULO!$M$15:$N$36,2,FALSE),0))</f>
        <v>0</v>
      </c>
      <c r="D46" s="780"/>
      <c r="F46" s="196"/>
      <c r="H46" s="196"/>
      <c r="I46" s="196"/>
      <c r="J46" s="196"/>
      <c r="K46" s="196"/>
      <c r="L46" s="196"/>
      <c r="M46" s="196"/>
      <c r="N46" s="196"/>
      <c r="O46" s="196"/>
      <c r="P46" s="196"/>
      <c r="Q46" s="196"/>
      <c r="R46" s="196"/>
      <c r="S46" s="196"/>
      <c r="T46" s="196"/>
      <c r="U46" s="196"/>
      <c r="V46" s="196"/>
      <c r="W46" s="196"/>
      <c r="X46" s="196"/>
      <c r="Y46" s="196"/>
      <c r="Z46" s="196"/>
      <c r="AA46" s="196"/>
      <c r="AB46" s="196"/>
      <c r="AC46" s="196"/>
      <c r="AD46" s="196"/>
      <c r="AE46" s="196"/>
      <c r="AF46" s="196"/>
    </row>
    <row r="47" spans="1:32" x14ac:dyDescent="0.25">
      <c r="A47" s="5" t="str">
        <f ca="1">IF(AUTOEVENTO="Manual",IF(OFFSET(EVENTOS!$F$14,PLE!$B47,0)&gt;0,"F",""),IF(PLE!B47&lt;=MAX(CÁLCULO!$M$15:$M$36),"F",""))</f>
        <v/>
      </c>
      <c r="B47" s="195">
        <f t="shared" ca="1" si="1"/>
        <v>32</v>
      </c>
      <c r="C47" s="780">
        <f ca="1">IF(AUTOEVENTO="Manual",OFFSET(EVENTOS!$D$15,$B47-$B$15,0),IF(B47&lt;=MAX(CÁLCULO!$M$15:$M$36),VLOOKUP($B47,CÁLCULO!$M$15:$N$36,2,FALSE),0))</f>
        <v>0</v>
      </c>
      <c r="D47" s="780"/>
      <c r="F47" s="196"/>
      <c r="H47" s="196"/>
      <c r="I47" s="196"/>
      <c r="J47" s="196"/>
      <c r="K47" s="196"/>
      <c r="L47" s="196"/>
      <c r="M47" s="196"/>
      <c r="N47" s="196"/>
      <c r="O47" s="196"/>
      <c r="P47" s="196"/>
      <c r="Q47" s="196"/>
      <c r="R47" s="196"/>
      <c r="S47" s="196"/>
      <c r="T47" s="196"/>
      <c r="U47" s="196"/>
      <c r="V47" s="196"/>
      <c r="W47" s="196"/>
      <c r="X47" s="196"/>
      <c r="Y47" s="196"/>
      <c r="Z47" s="196"/>
      <c r="AA47" s="196"/>
      <c r="AB47" s="196"/>
      <c r="AC47" s="196"/>
      <c r="AD47" s="196"/>
      <c r="AE47" s="196"/>
      <c r="AF47" s="196"/>
    </row>
    <row r="48" spans="1:32" x14ac:dyDescent="0.25">
      <c r="A48" s="5" t="str">
        <f ca="1">IF(AUTOEVENTO="Manual",IF(OFFSET(EVENTOS!$F$14,PLE!$B48,0)&gt;0,"F",""),IF(PLE!B48&lt;=MAX(CÁLCULO!$M$15:$M$36),"F",""))</f>
        <v/>
      </c>
      <c r="B48" s="195">
        <f t="shared" ca="1" si="1"/>
        <v>33</v>
      </c>
      <c r="C48" s="780">
        <f ca="1">IF(AUTOEVENTO="Manual",OFFSET(EVENTOS!$D$15,$B48-$B$15,0),IF(B48&lt;=MAX(CÁLCULO!$M$15:$M$36),VLOOKUP($B48,CÁLCULO!$M$15:$N$36,2,FALSE),0))</f>
        <v>0</v>
      </c>
      <c r="D48" s="780"/>
      <c r="F48" s="196"/>
      <c r="H48" s="196"/>
      <c r="I48" s="196"/>
      <c r="J48" s="196"/>
      <c r="K48" s="196"/>
      <c r="L48" s="196"/>
      <c r="M48" s="196"/>
      <c r="N48" s="196"/>
      <c r="O48" s="196"/>
      <c r="P48" s="196"/>
      <c r="Q48" s="196"/>
      <c r="R48" s="196"/>
      <c r="S48" s="196"/>
      <c r="T48" s="196"/>
      <c r="U48" s="196"/>
      <c r="V48" s="196"/>
      <c r="W48" s="196"/>
      <c r="X48" s="196"/>
      <c r="Y48" s="196"/>
      <c r="Z48" s="196"/>
      <c r="AA48" s="196"/>
      <c r="AB48" s="196"/>
      <c r="AC48" s="196"/>
      <c r="AD48" s="196"/>
      <c r="AE48" s="196"/>
      <c r="AF48" s="196"/>
    </row>
    <row r="49" spans="1:32" x14ac:dyDescent="0.25">
      <c r="A49" s="5" t="str">
        <f ca="1">IF(AUTOEVENTO="Manual",IF(OFFSET(EVENTOS!$F$14,PLE!$B49,0)&gt;0,"F",""),IF(PLE!B49&lt;=MAX(CÁLCULO!$M$15:$M$36),"F",""))</f>
        <v/>
      </c>
      <c r="B49" s="195">
        <f t="shared" ca="1" si="1"/>
        <v>34</v>
      </c>
      <c r="C49" s="780">
        <f ca="1">IF(AUTOEVENTO="Manual",OFFSET(EVENTOS!$D$15,$B49-$B$15,0),IF(B49&lt;=MAX(CÁLCULO!$M$15:$M$36),VLOOKUP($B49,CÁLCULO!$M$15:$N$36,2,FALSE),0))</f>
        <v>0</v>
      </c>
      <c r="D49" s="780"/>
      <c r="F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row>
    <row r="50" spans="1:32" x14ac:dyDescent="0.25">
      <c r="A50" s="5" t="str">
        <f ca="1">IF(AUTOEVENTO="Manual",IF(OFFSET(EVENTOS!$F$14,PLE!$B50,0)&gt;0,"F",""),IF(PLE!B50&lt;=MAX(CÁLCULO!$M$15:$M$36),"F",""))</f>
        <v/>
      </c>
      <c r="B50" s="195">
        <f t="shared" ca="1" si="1"/>
        <v>35</v>
      </c>
      <c r="C50" s="780">
        <f ca="1">IF(AUTOEVENTO="Manual",OFFSET(EVENTOS!$D$15,$B50-$B$15,0),IF(B50&lt;=MAX(CÁLCULO!$M$15:$M$36),VLOOKUP($B50,CÁLCULO!$M$15:$N$36,2,FALSE),0))</f>
        <v>0</v>
      </c>
      <c r="D50" s="780"/>
      <c r="F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row>
    <row r="51" spans="1:32" x14ac:dyDescent="0.25">
      <c r="A51" s="5" t="str">
        <f ca="1">IF(AUTOEVENTO="Manual",IF(OFFSET(EVENTOS!$F$14,PLE!$B51,0)&gt;0,"F",""),IF(PLE!B51&lt;=MAX(CÁLCULO!$M$15:$M$36),"F",""))</f>
        <v/>
      </c>
      <c r="B51" s="195">
        <f t="shared" ca="1" si="1"/>
        <v>36</v>
      </c>
      <c r="C51" s="780">
        <f ca="1">IF(AUTOEVENTO="Manual",OFFSET(EVENTOS!$D$15,$B51-$B$15,0),IF(B51&lt;=MAX(CÁLCULO!$M$15:$M$36),VLOOKUP($B51,CÁLCULO!$M$15:$N$36,2,FALSE),0))</f>
        <v>0</v>
      </c>
      <c r="D51" s="780"/>
      <c r="F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row>
    <row r="52" spans="1:32" x14ac:dyDescent="0.25">
      <c r="A52" s="5" t="str">
        <f ca="1">IF(AUTOEVENTO="Manual",IF(OFFSET(EVENTOS!$F$14,PLE!$B52,0)&gt;0,"F",""),IF(PLE!B52&lt;=MAX(CÁLCULO!$M$15:$M$36),"F",""))</f>
        <v/>
      </c>
      <c r="B52" s="195">
        <f t="shared" ca="1" si="1"/>
        <v>37</v>
      </c>
      <c r="C52" s="780">
        <f ca="1">IF(AUTOEVENTO="Manual",OFFSET(EVENTOS!$D$15,$B52-$B$15,0),IF(B52&lt;=MAX(CÁLCULO!$M$15:$M$36),VLOOKUP($B52,CÁLCULO!$M$15:$N$36,2,FALSE),0))</f>
        <v>0</v>
      </c>
      <c r="D52" s="780"/>
      <c r="F52" s="196"/>
      <c r="H52" s="196"/>
      <c r="I52" s="196"/>
      <c r="J52" s="196"/>
      <c r="K52" s="196"/>
      <c r="L52" s="196"/>
      <c r="M52" s="196"/>
      <c r="N52" s="196"/>
      <c r="O52" s="196"/>
      <c r="P52" s="196"/>
      <c r="Q52" s="196"/>
      <c r="R52" s="196"/>
      <c r="S52" s="196"/>
      <c r="T52" s="196"/>
      <c r="U52" s="196"/>
      <c r="V52" s="196"/>
      <c r="W52" s="196"/>
      <c r="X52" s="196"/>
      <c r="Y52" s="196"/>
      <c r="Z52" s="196"/>
      <c r="AA52" s="196"/>
      <c r="AB52" s="196"/>
      <c r="AC52" s="196"/>
      <c r="AD52" s="196"/>
      <c r="AE52" s="196"/>
      <c r="AF52" s="196"/>
    </row>
    <row r="53" spans="1:32" x14ac:dyDescent="0.25">
      <c r="A53" s="5" t="str">
        <f ca="1">IF(AUTOEVENTO="Manual",IF(OFFSET(EVENTOS!$F$14,PLE!$B53,0)&gt;0,"F",""),IF(PLE!B53&lt;=MAX(CÁLCULO!$M$15:$M$36),"F",""))</f>
        <v/>
      </c>
      <c r="B53" s="195">
        <f t="shared" ca="1" si="1"/>
        <v>38</v>
      </c>
      <c r="C53" s="780">
        <f ca="1">IF(AUTOEVENTO="Manual",OFFSET(EVENTOS!$D$15,$B53-$B$15,0),IF(B53&lt;=MAX(CÁLCULO!$M$15:$M$36),VLOOKUP($B53,CÁLCULO!$M$15:$N$36,2,FALSE),0))</f>
        <v>0</v>
      </c>
      <c r="D53" s="780"/>
      <c r="F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row>
    <row r="54" spans="1:32" x14ac:dyDescent="0.25">
      <c r="A54" s="5" t="str">
        <f ca="1">IF(AUTOEVENTO="Manual",IF(OFFSET(EVENTOS!$F$14,PLE!$B54,0)&gt;0,"F",""),IF(PLE!B54&lt;=MAX(CÁLCULO!$M$15:$M$36),"F",""))</f>
        <v/>
      </c>
      <c r="B54" s="195">
        <f t="shared" ca="1" si="1"/>
        <v>39</v>
      </c>
      <c r="C54" s="780">
        <f ca="1">IF(AUTOEVENTO="Manual",OFFSET(EVENTOS!$D$15,$B54-$B$15,0),IF(B54&lt;=MAX(CÁLCULO!$M$15:$M$36),VLOOKUP($B54,CÁLCULO!$M$15:$N$36,2,FALSE),0))</f>
        <v>0</v>
      </c>
      <c r="D54" s="780"/>
      <c r="F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row>
    <row r="55" spans="1:32" x14ac:dyDescent="0.25">
      <c r="A55" s="5" t="str">
        <f ca="1">IF(AUTOEVENTO="Manual",IF(OFFSET(EVENTOS!$F$14,PLE!$B55,0)&gt;0,"F",""),IF(PLE!B55&lt;=MAX(CÁLCULO!$M$15:$M$36),"F",""))</f>
        <v/>
      </c>
      <c r="B55" s="195">
        <f t="shared" ca="1" si="1"/>
        <v>40</v>
      </c>
      <c r="C55" s="780">
        <f ca="1">IF(AUTOEVENTO="Manual",OFFSET(EVENTOS!$D$15,$B55-$B$15,0),IF(B55&lt;=MAX(CÁLCULO!$M$15:$M$36),VLOOKUP($B55,CÁLCULO!$M$15:$N$36,2,FALSE),0))</f>
        <v>0</v>
      </c>
      <c r="D55" s="780"/>
      <c r="F55" s="196"/>
      <c r="H55" s="196"/>
      <c r="I55" s="196"/>
      <c r="J55" s="196"/>
      <c r="K55" s="196"/>
      <c r="L55" s="196"/>
      <c r="M55" s="196"/>
      <c r="N55" s="196"/>
      <c r="O55" s="196"/>
      <c r="P55" s="196"/>
      <c r="Q55" s="196"/>
      <c r="R55" s="196"/>
      <c r="S55" s="196"/>
      <c r="T55" s="196"/>
      <c r="U55" s="196"/>
      <c r="V55" s="196"/>
      <c r="W55" s="196"/>
      <c r="X55" s="196"/>
      <c r="Y55" s="196"/>
      <c r="Z55" s="196"/>
      <c r="AA55" s="196"/>
      <c r="AB55" s="196"/>
      <c r="AC55" s="196"/>
      <c r="AD55" s="196"/>
      <c r="AE55" s="196"/>
      <c r="AF55" s="196"/>
    </row>
    <row r="56" spans="1:32" x14ac:dyDescent="0.25">
      <c r="A56" s="5" t="str">
        <f ca="1">IF(AUTOEVENTO="Manual",IF(OFFSET(EVENTOS!$F$14,PLE!$B56,0)&gt;0,"F",""),IF(PLE!B56&lt;=MAX(CÁLCULO!$M$15:$M$36),"F",""))</f>
        <v/>
      </c>
      <c r="B56" s="195">
        <f t="shared" ca="1" si="1"/>
        <v>41</v>
      </c>
      <c r="C56" s="780">
        <f ca="1">IF(AUTOEVENTO="Manual",OFFSET(EVENTOS!$D$15,$B56-$B$15,0),IF(B56&lt;=MAX(CÁLCULO!$M$15:$M$36),VLOOKUP($B56,CÁLCULO!$M$15:$N$36,2,FALSE),0))</f>
        <v>0</v>
      </c>
      <c r="D56" s="780"/>
      <c r="F56" s="196"/>
      <c r="H56" s="196"/>
      <c r="I56" s="196"/>
      <c r="J56" s="196"/>
      <c r="K56" s="196"/>
      <c r="L56" s="196"/>
      <c r="M56" s="196"/>
      <c r="N56" s="196"/>
      <c r="O56" s="196"/>
      <c r="P56" s="196"/>
      <c r="Q56" s="196"/>
      <c r="R56" s="196"/>
      <c r="S56" s="196"/>
      <c r="T56" s="196"/>
      <c r="U56" s="196"/>
      <c r="V56" s="196"/>
      <c r="W56" s="196"/>
      <c r="X56" s="196"/>
      <c r="Y56" s="196"/>
      <c r="Z56" s="196"/>
      <c r="AA56" s="196"/>
      <c r="AB56" s="196"/>
      <c r="AC56" s="196"/>
      <c r="AD56" s="196"/>
      <c r="AE56" s="196"/>
      <c r="AF56" s="196"/>
    </row>
    <row r="57" spans="1:32" x14ac:dyDescent="0.25">
      <c r="A57" s="5" t="str">
        <f ca="1">IF(AUTOEVENTO="Manual",IF(OFFSET(EVENTOS!$F$14,PLE!$B57,0)&gt;0,"F",""),IF(PLE!B57&lt;=MAX(CÁLCULO!$M$15:$M$36),"F",""))</f>
        <v/>
      </c>
      <c r="B57" s="195">
        <f t="shared" ca="1" si="1"/>
        <v>42</v>
      </c>
      <c r="C57" s="780">
        <f ca="1">IF(AUTOEVENTO="Manual",OFFSET(EVENTOS!$D$15,$B57-$B$15,0),IF(B57&lt;=MAX(CÁLCULO!$M$15:$M$36),VLOOKUP($B57,CÁLCULO!$M$15:$N$36,2,FALSE),0))</f>
        <v>0</v>
      </c>
      <c r="D57" s="780"/>
      <c r="F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row>
    <row r="58" spans="1:32" x14ac:dyDescent="0.25">
      <c r="A58" s="5" t="str">
        <f ca="1">IF(AUTOEVENTO="Manual",IF(OFFSET(EVENTOS!$F$14,PLE!$B58,0)&gt;0,"F",""),IF(PLE!B58&lt;=MAX(CÁLCULO!$M$15:$M$36),"F",""))</f>
        <v/>
      </c>
      <c r="B58" s="195">
        <f t="shared" ca="1" si="1"/>
        <v>43</v>
      </c>
      <c r="C58" s="780">
        <f ca="1">IF(AUTOEVENTO="Manual",OFFSET(EVENTOS!$D$15,$B58-$B$15,0),IF(B58&lt;=MAX(CÁLCULO!$M$15:$M$36),VLOOKUP($B58,CÁLCULO!$M$15:$N$36,2,FALSE),0))</f>
        <v>0</v>
      </c>
      <c r="D58" s="780"/>
      <c r="F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6"/>
    </row>
    <row r="59" spans="1:32" x14ac:dyDescent="0.25">
      <c r="A59" s="5" t="str">
        <f ca="1">IF(AUTOEVENTO="Manual",IF(OFFSET(EVENTOS!$F$14,PLE!$B59,0)&gt;0,"F",""),IF(PLE!B59&lt;=MAX(CÁLCULO!$M$15:$M$36),"F",""))</f>
        <v/>
      </c>
      <c r="B59" s="195">
        <f t="shared" ca="1" si="1"/>
        <v>44</v>
      </c>
      <c r="C59" s="780">
        <f ca="1">IF(AUTOEVENTO="Manual",OFFSET(EVENTOS!$D$15,$B59-$B$15,0),IF(B59&lt;=MAX(CÁLCULO!$M$15:$M$36),VLOOKUP($B59,CÁLCULO!$M$15:$N$36,2,FALSE),0))</f>
        <v>0</v>
      </c>
      <c r="D59" s="780"/>
      <c r="F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row>
    <row r="60" spans="1:32" x14ac:dyDescent="0.25">
      <c r="A60" s="5" t="str">
        <f ca="1">IF(AUTOEVENTO="Manual",IF(OFFSET(EVENTOS!$F$14,PLE!$B60,0)&gt;0,"F",""),IF(PLE!B60&lt;=MAX(CÁLCULO!$M$15:$M$36),"F",""))</f>
        <v/>
      </c>
      <c r="B60" s="195">
        <f t="shared" ca="1" si="1"/>
        <v>45</v>
      </c>
      <c r="C60" s="780">
        <f ca="1">IF(AUTOEVENTO="Manual",OFFSET(EVENTOS!$D$15,$B60-$B$15,0),IF(B60&lt;=MAX(CÁLCULO!$M$15:$M$36),VLOOKUP($B60,CÁLCULO!$M$15:$N$36,2,FALSE),0))</f>
        <v>0</v>
      </c>
      <c r="D60" s="780"/>
      <c r="F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6"/>
      <c r="AE60" s="196"/>
      <c r="AF60" s="196"/>
    </row>
    <row r="61" spans="1:32" x14ac:dyDescent="0.25">
      <c r="A61" s="5" t="str">
        <f ca="1">IF(AUTOEVENTO="Manual",IF(OFFSET(EVENTOS!$F$14,PLE!$B61,0)&gt;0,"F",""),IF(PLE!B61&lt;=MAX(CÁLCULO!$M$15:$M$36),"F",""))</f>
        <v/>
      </c>
      <c r="B61" s="195">
        <f t="shared" ca="1" si="1"/>
        <v>46</v>
      </c>
      <c r="C61" s="780">
        <f ca="1">IF(AUTOEVENTO="Manual",OFFSET(EVENTOS!$D$15,$B61-$B$15,0),IF(B61&lt;=MAX(CÁLCULO!$M$15:$M$36),VLOOKUP($B61,CÁLCULO!$M$15:$N$36,2,FALSE),0))</f>
        <v>0</v>
      </c>
      <c r="D61" s="780"/>
      <c r="F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row>
    <row r="62" spans="1:32" x14ac:dyDescent="0.25">
      <c r="A62" s="5" t="str">
        <f ca="1">IF(AUTOEVENTO="Manual",IF(OFFSET(EVENTOS!$F$14,PLE!$B62,0)&gt;0,"F",""),IF(PLE!B62&lt;=MAX(CÁLCULO!$M$15:$M$36),"F",""))</f>
        <v/>
      </c>
      <c r="B62" s="195">
        <f t="shared" ca="1" si="1"/>
        <v>47</v>
      </c>
      <c r="C62" s="780">
        <f ca="1">IF(AUTOEVENTO="Manual",OFFSET(EVENTOS!$D$15,$B62-$B$15,0),IF(B62&lt;=MAX(CÁLCULO!$M$15:$M$36),VLOOKUP($B62,CÁLCULO!$M$15:$N$36,2,FALSE),0))</f>
        <v>0</v>
      </c>
      <c r="D62" s="780"/>
      <c r="F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row>
    <row r="63" spans="1:32" x14ac:dyDescent="0.25">
      <c r="A63" s="5" t="str">
        <f ca="1">IF(AUTOEVENTO="Manual",IF(OFFSET(EVENTOS!$F$14,PLE!$B63,0)&gt;0,"F",""),IF(PLE!B63&lt;=MAX(CÁLCULO!$M$15:$M$36),"F",""))</f>
        <v/>
      </c>
      <c r="B63" s="195">
        <f t="shared" ca="1" si="1"/>
        <v>48</v>
      </c>
      <c r="C63" s="780">
        <f ca="1">IF(AUTOEVENTO="Manual",OFFSET(EVENTOS!$D$15,$B63-$B$15,0),IF(B63&lt;=MAX(CÁLCULO!$M$15:$M$36),VLOOKUP($B63,CÁLCULO!$M$15:$N$36,2,FALSE),0))</f>
        <v>0</v>
      </c>
      <c r="D63" s="780"/>
      <c r="F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row>
    <row r="64" spans="1:32" x14ac:dyDescent="0.25">
      <c r="A64" s="5" t="str">
        <f ca="1">IF(AUTOEVENTO="Manual",IF(OFFSET(EVENTOS!$F$14,PLE!$B64,0)&gt;0,"F",""),IF(PLE!B64&lt;=MAX(CÁLCULO!$M$15:$M$36),"F",""))</f>
        <v/>
      </c>
      <c r="B64" s="195">
        <f t="shared" ca="1" si="1"/>
        <v>49</v>
      </c>
      <c r="C64" s="780">
        <f ca="1">IF(AUTOEVENTO="Manual",OFFSET(EVENTOS!$D$15,$B64-$B$15,0),IF(B64&lt;=MAX(CÁLCULO!$M$15:$M$36),VLOOKUP($B64,CÁLCULO!$M$15:$N$36,2,FALSE),0))</f>
        <v>0</v>
      </c>
      <c r="D64" s="780"/>
      <c r="F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row>
    <row r="65" spans="1:32" ht="4.5" customHeight="1" x14ac:dyDescent="0.25">
      <c r="A65" s="5" t="s">
        <v>542</v>
      </c>
      <c r="B65" s="580"/>
      <c r="C65" s="583"/>
      <c r="D65" s="581"/>
      <c r="F65" s="611"/>
      <c r="H65" s="580"/>
      <c r="I65" s="583"/>
      <c r="J65" s="583"/>
      <c r="K65" s="583"/>
      <c r="L65" s="583"/>
      <c r="M65" s="583"/>
      <c r="N65" s="583"/>
      <c r="O65" s="583"/>
      <c r="P65" s="583"/>
      <c r="Q65" s="583"/>
      <c r="R65" s="583"/>
      <c r="S65" s="583"/>
      <c r="T65" s="583"/>
      <c r="U65" s="583"/>
      <c r="V65" s="583"/>
      <c r="W65" s="583"/>
      <c r="X65" s="583"/>
      <c r="Y65" s="583"/>
      <c r="Z65" s="583"/>
      <c r="AA65" s="583"/>
      <c r="AB65" s="583"/>
      <c r="AC65" s="583"/>
      <c r="AD65" s="583"/>
      <c r="AE65" s="583"/>
      <c r="AF65" s="581"/>
    </row>
    <row r="66" spans="1:32" x14ac:dyDescent="0.25">
      <c r="A66" s="5" t="s">
        <v>542</v>
      </c>
    </row>
    <row r="67" spans="1:32" x14ac:dyDescent="0.25">
      <c r="A67" s="5" t="s">
        <v>542</v>
      </c>
      <c r="I67" s="791" t="s">
        <v>864</v>
      </c>
      <c r="J67" s="791"/>
      <c r="K67" s="791"/>
      <c r="L67" s="791"/>
      <c r="M67" s="791"/>
      <c r="N67" s="791"/>
      <c r="O67" s="791"/>
      <c r="P67" s="791"/>
      <c r="Q67" s="791"/>
      <c r="R67" s="791"/>
      <c r="S67" s="791"/>
      <c r="T67" s="791"/>
      <c r="U67" s="791"/>
      <c r="V67" s="791"/>
      <c r="W67" s="791"/>
      <c r="X67" s="791"/>
      <c r="Y67" s="791"/>
      <c r="Z67" s="791"/>
      <c r="AA67" s="791"/>
      <c r="AB67" s="791"/>
      <c r="AC67" s="791"/>
      <c r="AD67" s="791"/>
      <c r="AE67" s="791"/>
      <c r="AF67" s="791"/>
    </row>
    <row r="68" spans="1:32" x14ac:dyDescent="0.25">
      <c r="A68" s="5" t="s">
        <v>542</v>
      </c>
      <c r="H68" s="497" t="str">
        <f>IF(INDEX($I$68:$AG$68,MATCH(PLE.Medicao,$I$69:$AG$69,0))="","Preencher a data da medição "&amp;PLE.Medicao,"")</f>
        <v>Preencher a data da medição 1</v>
      </c>
      <c r="I68" s="792"/>
      <c r="J68" s="787"/>
      <c r="K68" s="787"/>
      <c r="L68" s="787"/>
      <c r="M68" s="787"/>
      <c r="N68" s="787"/>
      <c r="O68" s="787"/>
      <c r="P68" s="787"/>
      <c r="Q68" s="787"/>
      <c r="R68" s="787"/>
      <c r="S68" s="787"/>
      <c r="T68" s="787"/>
      <c r="U68" s="787"/>
      <c r="V68" s="787"/>
      <c r="W68" s="787"/>
      <c r="X68" s="787"/>
      <c r="Y68" s="787"/>
      <c r="Z68" s="787"/>
      <c r="AA68" s="787"/>
      <c r="AB68" s="787"/>
      <c r="AC68" s="787"/>
      <c r="AD68" s="787"/>
      <c r="AE68" s="787"/>
      <c r="AF68" s="793"/>
    </row>
    <row r="69" spans="1:32" x14ac:dyDescent="0.25">
      <c r="A69" s="5" t="s">
        <v>542</v>
      </c>
      <c r="D69" s="527" t="s">
        <v>865</v>
      </c>
      <c r="I69" s="788">
        <f>IF(PLE.Medicao&lt;=12,1,TRUNC((PLE.Medicao - 2)/11,0) * 11 + 1)</f>
        <v>1</v>
      </c>
      <c r="J69" s="788"/>
      <c r="K69" s="788">
        <f>I69+1</f>
        <v>2</v>
      </c>
      <c r="L69" s="788"/>
      <c r="M69" s="788">
        <f>K69+1</f>
        <v>3</v>
      </c>
      <c r="N69" s="788"/>
      <c r="O69" s="788">
        <f>M69+1</f>
        <v>4</v>
      </c>
      <c r="P69" s="788"/>
      <c r="Q69" s="788">
        <f>O69+1</f>
        <v>5</v>
      </c>
      <c r="R69" s="788"/>
      <c r="S69" s="788">
        <f>Q69+1</f>
        <v>6</v>
      </c>
      <c r="T69" s="788"/>
      <c r="U69" s="788">
        <f>S69+1</f>
        <v>7</v>
      </c>
      <c r="V69" s="788"/>
      <c r="W69" s="788">
        <f>U69+1</f>
        <v>8</v>
      </c>
      <c r="X69" s="788"/>
      <c r="Y69" s="788">
        <f>W69+1</f>
        <v>9</v>
      </c>
      <c r="Z69" s="788"/>
      <c r="AA69" s="788">
        <f>Y69+1</f>
        <v>10</v>
      </c>
      <c r="AB69" s="788"/>
      <c r="AC69" s="788">
        <f>AA69+1</f>
        <v>11</v>
      </c>
      <c r="AD69" s="788"/>
      <c r="AE69" s="788">
        <f>AC69+1</f>
        <v>12</v>
      </c>
      <c r="AF69" s="788"/>
    </row>
    <row r="70" spans="1:32" x14ac:dyDescent="0.25">
      <c r="A70" s="5" t="s">
        <v>542</v>
      </c>
      <c r="D70" s="774" t="s">
        <v>823</v>
      </c>
      <c r="H70" s="647" t="s">
        <v>805</v>
      </c>
      <c r="I70" s="790">
        <f ca="1">ROUND(I71,2)/ORÇAMENTO!$X$15</f>
        <v>0</v>
      </c>
      <c r="J70" s="790"/>
      <c r="K70" s="778">
        <f ca="1">ROUND(K71,2)/ORÇAMENTO!$X$15</f>
        <v>0</v>
      </c>
      <c r="L70" s="778"/>
      <c r="M70" s="779">
        <f ca="1">ROUND(M71,2)/ORÇAMENTO!$X$15</f>
        <v>0</v>
      </c>
      <c r="N70" s="779"/>
      <c r="O70" s="778">
        <f ca="1">ROUND(O71,2)/ORÇAMENTO!$X$15</f>
        <v>0</v>
      </c>
      <c r="P70" s="778"/>
      <c r="Q70" s="779">
        <f ca="1">ROUND(Q71,2)/ORÇAMENTO!$X$15</f>
        <v>0</v>
      </c>
      <c r="R70" s="779"/>
      <c r="S70" s="778">
        <f ca="1">ROUND(S71,2)/ORÇAMENTO!$X$15</f>
        <v>0</v>
      </c>
      <c r="T70" s="778"/>
      <c r="U70" s="779">
        <f ca="1">ROUND(U71,2)/ORÇAMENTO!$X$15</f>
        <v>0</v>
      </c>
      <c r="V70" s="779"/>
      <c r="W70" s="778">
        <f ca="1">ROUND(W71,2)/ORÇAMENTO!$X$15</f>
        <v>0</v>
      </c>
      <c r="X70" s="778"/>
      <c r="Y70" s="779">
        <f ca="1">ROUND(Y71,2)/ORÇAMENTO!$X$15</f>
        <v>0</v>
      </c>
      <c r="Z70" s="779"/>
      <c r="AA70" s="778">
        <f ca="1">ROUND(AA71,2)/ORÇAMENTO!$X$15</f>
        <v>0</v>
      </c>
      <c r="AB70" s="778"/>
      <c r="AC70" s="779">
        <f ca="1">ROUND(AC71,2)/ORÇAMENTO!$X$15</f>
        <v>0</v>
      </c>
      <c r="AD70" s="779"/>
      <c r="AE70" s="778">
        <f ca="1">ROUND(AE71,2)/ORÇAMENTO!$X$15</f>
        <v>0</v>
      </c>
      <c r="AF70" s="778"/>
    </row>
    <row r="71" spans="1:32" x14ac:dyDescent="0.25">
      <c r="A71" s="5" t="s">
        <v>542</v>
      </c>
      <c r="D71" s="774"/>
      <c r="H71" s="514" t="s">
        <v>806</v>
      </c>
      <c r="I71" s="773">
        <f ca="1">IF(I69=1,I73,AH11ARRED(I73,2)-ROUND(SUMIF(CÁLCULO!$AX$15:$BH$36,"&lt;="&amp;PLE!I69-1,CÁLCULO!$AB$15:$AL$36)*IF(AdmLocal="Automática",(1+CÁLCULO.TotalAdmLocal/(ORÇAMENTO!$X$15-CÁLCULO.TotalAdmLocal)),1),2))</f>
        <v>0</v>
      </c>
      <c r="J71" s="773"/>
      <c r="K71" s="773">
        <f ca="1">ROUND(K73,2)-ROUND(I73,2)</f>
        <v>0</v>
      </c>
      <c r="L71" s="773"/>
      <c r="M71" s="770">
        <f ca="1">ROUND(M73,2)-ROUND(K73,2)</f>
        <v>0</v>
      </c>
      <c r="N71" s="770"/>
      <c r="O71" s="773">
        <f ca="1">ROUND(O73,2)-ROUND(M73,2)</f>
        <v>0</v>
      </c>
      <c r="P71" s="773"/>
      <c r="Q71" s="770">
        <f ca="1">ROUND(Q73,2)-ROUND(O73,2)</f>
        <v>0</v>
      </c>
      <c r="R71" s="770"/>
      <c r="S71" s="773">
        <f ca="1">ROUND(S73,2)-ROUND(Q73,2)</f>
        <v>0</v>
      </c>
      <c r="T71" s="773"/>
      <c r="U71" s="770">
        <f ca="1">ROUND(U73,2)-ROUND(S73,2)</f>
        <v>0</v>
      </c>
      <c r="V71" s="770"/>
      <c r="W71" s="773">
        <f ca="1">ROUND(W73,2)-ROUND(U73,2)</f>
        <v>0</v>
      </c>
      <c r="X71" s="773"/>
      <c r="Y71" s="770">
        <f ca="1">ROUND(Y73,2)-ROUND(W73,2)</f>
        <v>0</v>
      </c>
      <c r="Z71" s="770"/>
      <c r="AA71" s="773">
        <f ca="1">ROUND(AA73,2)-ROUND(Y73,2)</f>
        <v>0</v>
      </c>
      <c r="AB71" s="773"/>
      <c r="AC71" s="770">
        <f ca="1">ROUND(AC73,2)-ROUND(AA73,2)</f>
        <v>0</v>
      </c>
      <c r="AD71" s="770"/>
      <c r="AE71" s="773">
        <f ca="1">ROUND(AE73,2)-ROUND(AC73,2)</f>
        <v>0</v>
      </c>
      <c r="AF71" s="773"/>
    </row>
    <row r="72" spans="1:32" x14ac:dyDescent="0.25">
      <c r="A72" s="5" t="s">
        <v>542</v>
      </c>
      <c r="D72" s="774" t="s">
        <v>827</v>
      </c>
      <c r="H72" s="647" t="s">
        <v>805</v>
      </c>
      <c r="I72" s="776">
        <f ca="1">ROUND(I73,2)/ORÇAMENTO!$X$15</f>
        <v>0</v>
      </c>
      <c r="J72" s="776"/>
      <c r="K72" s="771">
        <f ca="1">ROUND(K73,2)/ORÇAMENTO!$X$15</f>
        <v>0</v>
      </c>
      <c r="L72" s="771"/>
      <c r="M72" s="772">
        <f ca="1">ROUND(M73,2)/ORÇAMENTO!$X$15</f>
        <v>0</v>
      </c>
      <c r="N72" s="772"/>
      <c r="O72" s="771">
        <f ca="1">ROUND(O73,2)/ORÇAMENTO!$X$15</f>
        <v>0</v>
      </c>
      <c r="P72" s="771"/>
      <c r="Q72" s="772">
        <f ca="1">ROUND(Q73,2)/ORÇAMENTO!$X$15</f>
        <v>0</v>
      </c>
      <c r="R72" s="772"/>
      <c r="S72" s="771">
        <f ca="1">ROUND(S73,2)/ORÇAMENTO!$X$15</f>
        <v>0</v>
      </c>
      <c r="T72" s="771"/>
      <c r="U72" s="772">
        <f ca="1">ROUND(U73,2)/ORÇAMENTO!$X$15</f>
        <v>0</v>
      </c>
      <c r="V72" s="772"/>
      <c r="W72" s="771">
        <f ca="1">ROUND(W73,2)/ORÇAMENTO!$X$15</f>
        <v>0</v>
      </c>
      <c r="X72" s="771"/>
      <c r="Y72" s="772">
        <f ca="1">ROUND(Y73,2)/ORÇAMENTO!$X$15</f>
        <v>0</v>
      </c>
      <c r="Z72" s="772"/>
      <c r="AA72" s="771">
        <f ca="1">ROUND(AA73,2)/ORÇAMENTO!$X$15</f>
        <v>0</v>
      </c>
      <c r="AB72" s="771"/>
      <c r="AC72" s="772">
        <f ca="1">ROUND(AC73,2)/ORÇAMENTO!$X$15</f>
        <v>0</v>
      </c>
      <c r="AD72" s="772"/>
      <c r="AE72" s="771">
        <f ca="1">ROUND(AE73,2)/ORÇAMENTO!$X$15</f>
        <v>0</v>
      </c>
      <c r="AF72" s="771"/>
    </row>
    <row r="73" spans="1:32" x14ac:dyDescent="0.25">
      <c r="A73" s="5" t="s">
        <v>542</v>
      </c>
      <c r="D73" s="774"/>
      <c r="H73" s="514" t="s">
        <v>806</v>
      </c>
      <c r="I73" s="775">
        <f ca="1">SUMIF(CÁLCULO!$AX$15:$BH$36,"&lt;="&amp;PLE!I69,CÁLCULO!$AB$15:$AL$36)*IF(AdmLocal="Automática",(1+CÁLCULO.TotalAdmLocal/(ORÇAMENTO!$X$15-CÁLCULO.TotalAdmLocal)),1)</f>
        <v>0</v>
      </c>
      <c r="J73" s="775"/>
      <c r="K73" s="773">
        <f ca="1">SUMIF(CÁLCULO!$AX$15:$BH$36,"&lt;="&amp;PLE!K69,CÁLCULO!$AB$15:$AL$36)*IF(AdmLocal="Automática",(1+CÁLCULO.TotalAdmLocal/(ORÇAMENTO!$X$15-CÁLCULO.TotalAdmLocal)),1)</f>
        <v>0</v>
      </c>
      <c r="L73" s="773"/>
      <c r="M73" s="770">
        <f ca="1">SUMIF(CÁLCULO!$AX$15:$BH$36,"&lt;="&amp;PLE!M69,CÁLCULO!$AB$15:$AL$36)*IF(AdmLocal="Automática",(1+CÁLCULO.TotalAdmLocal/(ORÇAMENTO!$X$15-CÁLCULO.TotalAdmLocal)),1)</f>
        <v>0</v>
      </c>
      <c r="N73" s="770"/>
      <c r="O73" s="773">
        <f ca="1">SUMIF(CÁLCULO!$AX$15:$BH$36,"&lt;="&amp;PLE!O69,CÁLCULO!$AB$15:$AL$36)*IF(AdmLocal="Automática",(1+CÁLCULO.TotalAdmLocal/(ORÇAMENTO!$X$15-CÁLCULO.TotalAdmLocal)),1)</f>
        <v>0</v>
      </c>
      <c r="P73" s="773"/>
      <c r="Q73" s="770">
        <f ca="1">SUMIF(CÁLCULO!$AX$15:$BH$36,"&lt;="&amp;PLE!Q69,CÁLCULO!$AB$15:$AL$36)*IF(AdmLocal="Automática",(1+CÁLCULO.TotalAdmLocal/(ORÇAMENTO!$X$15-CÁLCULO.TotalAdmLocal)),1)</f>
        <v>0</v>
      </c>
      <c r="R73" s="770"/>
      <c r="S73" s="773">
        <f ca="1">SUMIF(CÁLCULO!$AX$15:$BH$36,"&lt;="&amp;PLE!S69,CÁLCULO!$AB$15:$AL$36)*IF(AdmLocal="Automática",(1+CÁLCULO.TotalAdmLocal/(ORÇAMENTO!$X$15-CÁLCULO.TotalAdmLocal)),1)</f>
        <v>0</v>
      </c>
      <c r="T73" s="773"/>
      <c r="U73" s="770">
        <f ca="1">SUMIF(CÁLCULO!$AX$15:$BH$36,"&lt;="&amp;PLE!U69,CÁLCULO!$AB$15:$AL$36)*IF(AdmLocal="Automática",(1+CÁLCULO.TotalAdmLocal/(ORÇAMENTO!$X$15-CÁLCULO.TotalAdmLocal)),1)</f>
        <v>0</v>
      </c>
      <c r="V73" s="770"/>
      <c r="W73" s="773">
        <f ca="1">SUMIF(CÁLCULO!$AX$15:$BH$36,"&lt;="&amp;PLE!W69,CÁLCULO!$AB$15:$AL$36)*IF(AdmLocal="Automática",(1+CÁLCULO.TotalAdmLocal/(ORÇAMENTO!$X$15-CÁLCULO.TotalAdmLocal)),1)</f>
        <v>0</v>
      </c>
      <c r="X73" s="773"/>
      <c r="Y73" s="770">
        <f ca="1">SUMIF(CÁLCULO!$AX$15:$BH$36,"&lt;="&amp;PLE!Y69,CÁLCULO!$AB$15:$AL$36)*IF(AdmLocal="Automática",(1+CÁLCULO.TotalAdmLocal/(ORÇAMENTO!$X$15-CÁLCULO.TotalAdmLocal)),1)</f>
        <v>0</v>
      </c>
      <c r="Z73" s="770"/>
      <c r="AA73" s="773">
        <f ca="1">SUMIF(CÁLCULO!$AX$15:$BH$36,"&lt;="&amp;PLE!AA69,CÁLCULO!$AB$15:$AL$36)*IF(AdmLocal="Automática",(1+CÁLCULO.TotalAdmLocal/(ORÇAMENTO!$X$15-CÁLCULO.TotalAdmLocal)),1)</f>
        <v>0</v>
      </c>
      <c r="AB73" s="773"/>
      <c r="AC73" s="770">
        <f ca="1">SUMIF(CÁLCULO!$AX$15:$BH$36,"&lt;="&amp;PLE!AC69,CÁLCULO!$AB$15:$AL$36)*IF(AdmLocal="Automática",(1+CÁLCULO.TotalAdmLocal/(ORÇAMENTO!$X$15-CÁLCULO.TotalAdmLocal)),1)</f>
        <v>0</v>
      </c>
      <c r="AD73" s="770"/>
      <c r="AE73" s="773">
        <f ca="1">SUMIF(CÁLCULO!$AX$15:$BH$36,"&lt;="&amp;PLE!AE69,CÁLCULO!$AB$15:$AL$36)*IF(AdmLocal="Automática",(1+CÁLCULO.TotalAdmLocal/(ORÇAMENTO!$X$15-CÁLCULO.TotalAdmLocal)),1)</f>
        <v>0</v>
      </c>
      <c r="AF73" s="773"/>
    </row>
    <row r="74" spans="1:32" ht="12.75" customHeight="1" x14ac:dyDescent="0.25">
      <c r="A74" s="5"/>
      <c r="D74" s="464" t="s">
        <v>808</v>
      </c>
      <c r="H74" s="463" t="s">
        <v>805</v>
      </c>
      <c r="I74" s="730">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30"/>
      <c r="K74" s="730">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30"/>
      <c r="M74" s="730">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30"/>
      <c r="O74" s="730">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30"/>
      <c r="Q74" s="730">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30"/>
      <c r="S74" s="730">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30"/>
      <c r="U74" s="730">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30"/>
      <c r="W74" s="730">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30"/>
      <c r="Y74" s="730">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30"/>
      <c r="AA74" s="730">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30"/>
      <c r="AC74" s="730">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30"/>
      <c r="AE74" s="730">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30"/>
    </row>
    <row r="75" spans="1:32" ht="13.8" x14ac:dyDescent="0.3">
      <c r="A75" s="5" t="s">
        <v>542</v>
      </c>
      <c r="D75" s="433"/>
      <c r="H75" s="497" t="str">
        <f ca="1">IF(COUNTIF(I75:AG75,"%Adm&gt;%Global")&gt;0,"Verificar proporcionalidade da Administração Local","")</f>
        <v/>
      </c>
      <c r="I75" s="445" t="str">
        <f ca="1">IF(I74="","",IF(ROUND(I74,4)&gt;ROUND(I72,4),"%Adm&gt;%Global",""))</f>
        <v/>
      </c>
      <c r="J75" s="434"/>
      <c r="K75" s="445" t="str">
        <f t="shared" ref="K75" ca="1" si="2">IF(K74="","",IF(ROUND(K74,4)&gt;ROUND(K72,4),"%Adm&gt;%Global",""))</f>
        <v/>
      </c>
      <c r="L75" s="434"/>
      <c r="M75" s="445" t="str">
        <f t="shared" ref="M75" ca="1" si="3">IF(M74="","",IF(ROUND(M74,4)&gt;ROUND(M72,4),"%Adm&gt;%Global",""))</f>
        <v/>
      </c>
      <c r="N75" s="434"/>
      <c r="O75" s="445" t="str">
        <f t="shared" ref="O75" ca="1" si="4">IF(O74="","",IF(ROUND(O74,4)&gt;ROUND(O72,4),"%Adm&gt;%Global",""))</f>
        <v/>
      </c>
      <c r="P75" s="434"/>
      <c r="Q75" s="445" t="str">
        <f t="shared" ref="Q75" ca="1" si="5">IF(Q74="","",IF(ROUND(Q74,4)&gt;ROUND(Q72,4),"%Adm&gt;%Global",""))</f>
        <v/>
      </c>
      <c r="R75" s="434"/>
      <c r="S75" s="445" t="str">
        <f t="shared" ref="S75" ca="1" si="6">IF(S74="","",IF(ROUND(S74,4)&gt;ROUND(S72,4),"%Adm&gt;%Global",""))</f>
        <v/>
      </c>
      <c r="T75" s="434"/>
      <c r="U75" s="445" t="str">
        <f t="shared" ref="U75" ca="1" si="7">IF(U74="","",IF(ROUND(U74,4)&gt;ROUND(U72,4),"%Adm&gt;%Global",""))</f>
        <v/>
      </c>
      <c r="V75" s="434"/>
      <c r="W75" s="445" t="str">
        <f t="shared" ref="W75" ca="1" si="8">IF(W74="","",IF(ROUND(W74,4)&gt;ROUND(W72,4),"%Adm&gt;%Global",""))</f>
        <v/>
      </c>
      <c r="X75" s="434"/>
      <c r="Y75" s="445" t="str">
        <f t="shared" ref="Y75" ca="1" si="9">IF(Y74="","",IF(ROUND(Y74,4)&gt;ROUND(Y72,4),"%Adm&gt;%Global",""))</f>
        <v/>
      </c>
      <c r="Z75" s="434"/>
      <c r="AA75" s="445" t="str">
        <f t="shared" ref="AA75" ca="1" si="10">IF(AA74="","",IF(ROUND(AA74,4)&gt;ROUND(AA72,4),"%Adm&gt;%Global",""))</f>
        <v/>
      </c>
      <c r="AB75" s="434"/>
      <c r="AC75" s="445" t="str">
        <f t="shared" ref="AC75" ca="1" si="11">IF(AC74="","",IF(ROUND(AC74,4)&gt;ROUND(AC72,4),"%Adm&gt;%Global",""))</f>
        <v/>
      </c>
      <c r="AD75" s="434"/>
      <c r="AE75" s="445" t="str">
        <f t="shared" ref="AE75" ca="1" si="12">IF(AE74="","",IF(ROUND(AE74,4)&gt;ROUND(AE72,4),"%Adm&gt;%Global",""))</f>
        <v/>
      </c>
      <c r="AF75" s="434"/>
    </row>
    <row r="76" spans="1:32" ht="20.25" customHeight="1" x14ac:dyDescent="0.25">
      <c r="A76" s="5" t="s">
        <v>542</v>
      </c>
      <c r="I76" s="777"/>
      <c r="J76" s="777"/>
    </row>
    <row r="77" spans="1:32" ht="13.8" x14ac:dyDescent="0.25">
      <c r="A77" s="5" t="s">
        <v>542</v>
      </c>
      <c r="B77" s="713" t="str">
        <f>Import.Município</f>
        <v>URUARÁ-PARÁ</v>
      </c>
      <c r="C77" s="713"/>
      <c r="D77" s="713"/>
      <c r="S77" s="474" t="str">
        <f ca="1">IF(DADOS!$D$50&lt;&gt;"","Preencher os Dados do Responsável pela Fiscalização, na aba DADOS.","")</f>
        <v/>
      </c>
      <c r="U77" s="106"/>
      <c r="V77" s="106"/>
      <c r="W77" s="106"/>
      <c r="X77" s="106"/>
      <c r="Y77" s="142"/>
      <c r="Z77" s="142"/>
      <c r="AA77" s="142"/>
      <c r="AB77" s="142"/>
      <c r="AC77" s="142"/>
      <c r="AD77" s="142"/>
    </row>
    <row r="78" spans="1:32" x14ac:dyDescent="0.25">
      <c r="A78" s="5" t="s">
        <v>542</v>
      </c>
      <c r="B78" s="7" t="s">
        <v>700</v>
      </c>
      <c r="U78" s="535" t="s">
        <v>866</v>
      </c>
    </row>
    <row r="79" spans="1:32" x14ac:dyDescent="0.25">
      <c r="A79" s="5" t="s">
        <v>542</v>
      </c>
      <c r="I79" s="57"/>
      <c r="U79" s="55" t="s">
        <v>240</v>
      </c>
      <c r="W79" s="536">
        <f t="array" ref="W79:W82">Import.RespFiscalização</f>
        <v>0</v>
      </c>
    </row>
    <row r="80" spans="1:32" x14ac:dyDescent="0.25">
      <c r="A80" s="5" t="s">
        <v>542</v>
      </c>
      <c r="B80" s="708">
        <f>DADOS!$C$48</f>
        <v>0</v>
      </c>
      <c r="C80" s="708"/>
      <c r="D80" s="708"/>
      <c r="I80" s="57"/>
      <c r="U80" s="55" t="s">
        <v>325</v>
      </c>
      <c r="W80" s="536">
        <v>0</v>
      </c>
    </row>
    <row r="81" spans="1:23" x14ac:dyDescent="0.25">
      <c r="A81" s="5" t="s">
        <v>542</v>
      </c>
      <c r="B81" s="584" t="s">
        <v>701</v>
      </c>
      <c r="C81" s="585"/>
      <c r="D81" s="585"/>
      <c r="I81" s="57"/>
      <c r="U81" s="55" t="s">
        <v>244</v>
      </c>
      <c r="W81" s="536">
        <v>0</v>
      </c>
    </row>
    <row r="82" spans="1:23" x14ac:dyDescent="0.25">
      <c r="U82" s="55" t="s">
        <v>248</v>
      </c>
      <c r="W82" s="531">
        <v>0</v>
      </c>
    </row>
  </sheetData>
  <sheetProtection algorithmName="SHA-512" hashValue="r8cwrKhJEs1l75Zx2Bk/GBsvFA5GnaMMLEKHBfzRdScz1DZ+12DVWTtXPHHvMe1W+RfrGc68leXwT4wkUqN5iQ==" saltValue="9qYQKQn2Au1GxD9i9zEn1A==" spinCount="100000" sheet="1" objects="1" scenarios="1" autoFilter="0"/>
  <autoFilter ref="A13:A81" xr:uid="{00000000-0009-0000-0000-00000A000000}"/>
  <mergeCells count="156">
    <mergeCell ref="C63:D63"/>
    <mergeCell ref="C64:D64"/>
    <mergeCell ref="C53:D53"/>
    <mergeCell ref="C55:D55"/>
    <mergeCell ref="C56:D56"/>
    <mergeCell ref="C57:D57"/>
    <mergeCell ref="C58:D58"/>
    <mergeCell ref="C59:D59"/>
    <mergeCell ref="C60:D60"/>
    <mergeCell ref="C61:D61"/>
    <mergeCell ref="C62:D62"/>
    <mergeCell ref="C40:D40"/>
    <mergeCell ref="C41:D41"/>
    <mergeCell ref="C42:D42"/>
    <mergeCell ref="C43:D43"/>
    <mergeCell ref="C44:D44"/>
    <mergeCell ref="C49:D49"/>
    <mergeCell ref="C50:D50"/>
    <mergeCell ref="C51:D51"/>
    <mergeCell ref="C52:D52"/>
    <mergeCell ref="C16:D16"/>
    <mergeCell ref="C18:D18"/>
    <mergeCell ref="C19:D19"/>
    <mergeCell ref="C20:D20"/>
    <mergeCell ref="C24:D24"/>
    <mergeCell ref="C21:D21"/>
    <mergeCell ref="C22:D22"/>
    <mergeCell ref="Q68:R68"/>
    <mergeCell ref="I67:AF67"/>
    <mergeCell ref="O68:P68"/>
    <mergeCell ref="I68:J68"/>
    <mergeCell ref="M68:N68"/>
    <mergeCell ref="S68:T68"/>
    <mergeCell ref="AE68:AF68"/>
    <mergeCell ref="Y68:Z68"/>
    <mergeCell ref="C30:D30"/>
    <mergeCell ref="C31:D31"/>
    <mergeCell ref="C32:D32"/>
    <mergeCell ref="C33:D33"/>
    <mergeCell ref="C34:D34"/>
    <mergeCell ref="C35:D35"/>
    <mergeCell ref="C36:D36"/>
    <mergeCell ref="C37:D37"/>
    <mergeCell ref="C39:D39"/>
    <mergeCell ref="O74:P74"/>
    <mergeCell ref="Q74:R74"/>
    <mergeCell ref="O73:P73"/>
    <mergeCell ref="O72:P72"/>
    <mergeCell ref="AC74:AD74"/>
    <mergeCell ref="AE74:AF74"/>
    <mergeCell ref="S74:T74"/>
    <mergeCell ref="U74:V74"/>
    <mergeCell ref="W74:X74"/>
    <mergeCell ref="Y74:Z74"/>
    <mergeCell ref="AA74:AB74"/>
    <mergeCell ref="W72:X72"/>
    <mergeCell ref="S72:T72"/>
    <mergeCell ref="AC73:AD73"/>
    <mergeCell ref="AA72:AB72"/>
    <mergeCell ref="AE73:AF73"/>
    <mergeCell ref="Q73:R73"/>
    <mergeCell ref="Y73:Z73"/>
    <mergeCell ref="AA73:AB73"/>
    <mergeCell ref="C15:D15"/>
    <mergeCell ref="B12:B13"/>
    <mergeCell ref="C17:D17"/>
    <mergeCell ref="D70:D71"/>
    <mergeCell ref="K69:L69"/>
    <mergeCell ref="K68:L68"/>
    <mergeCell ref="O71:P71"/>
    <mergeCell ref="M71:N71"/>
    <mergeCell ref="K71:L71"/>
    <mergeCell ref="I71:J71"/>
    <mergeCell ref="C45:D45"/>
    <mergeCell ref="C46:D46"/>
    <mergeCell ref="C47:D47"/>
    <mergeCell ref="C38:D38"/>
    <mergeCell ref="C25:D25"/>
    <mergeCell ref="C26:D26"/>
    <mergeCell ref="C27:D27"/>
    <mergeCell ref="C28:D28"/>
    <mergeCell ref="C29:D29"/>
    <mergeCell ref="C48:D48"/>
    <mergeCell ref="C54:D54"/>
    <mergeCell ref="I69:J69"/>
    <mergeCell ref="I70:J70"/>
    <mergeCell ref="M69:N69"/>
    <mergeCell ref="O69:P69"/>
    <mergeCell ref="O70:P70"/>
    <mergeCell ref="M70:N70"/>
    <mergeCell ref="Y69:Z69"/>
    <mergeCell ref="W70:X70"/>
    <mergeCell ref="W69:X69"/>
    <mergeCell ref="AE69:AF69"/>
    <mergeCell ref="S70:T70"/>
    <mergeCell ref="U69:V69"/>
    <mergeCell ref="Q69:R69"/>
    <mergeCell ref="AA70:AB70"/>
    <mergeCell ref="AC69:AD69"/>
    <mergeCell ref="AA69:AB69"/>
    <mergeCell ref="S69:T69"/>
    <mergeCell ref="Y70:Z70"/>
    <mergeCell ref="AE70:AF70"/>
    <mergeCell ref="K70:L70"/>
    <mergeCell ref="U70:V70"/>
    <mergeCell ref="B7:C7"/>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C23:D23"/>
    <mergeCell ref="AC70:AD70"/>
    <mergeCell ref="Q70:R70"/>
    <mergeCell ref="U68:V68"/>
    <mergeCell ref="AC68:AD68"/>
    <mergeCell ref="W68:X68"/>
    <mergeCell ref="AA68:AB68"/>
    <mergeCell ref="B80:D80"/>
    <mergeCell ref="B77:D77"/>
    <mergeCell ref="D72:D73"/>
    <mergeCell ref="M72:N72"/>
    <mergeCell ref="M73:N73"/>
    <mergeCell ref="I73:J73"/>
    <mergeCell ref="K73:L73"/>
    <mergeCell ref="K72:L72"/>
    <mergeCell ref="I72:J72"/>
    <mergeCell ref="I76:J76"/>
    <mergeCell ref="I74:J74"/>
    <mergeCell ref="K74:L74"/>
    <mergeCell ref="M74:N74"/>
    <mergeCell ref="Q71:R71"/>
    <mergeCell ref="AE72:AF72"/>
    <mergeCell ref="Q72:R72"/>
    <mergeCell ref="W71:X71"/>
    <mergeCell ref="S73:T73"/>
    <mergeCell ref="Y71:Z71"/>
    <mergeCell ref="U71:V71"/>
    <mergeCell ref="W73:X73"/>
    <mergeCell ref="U73:V73"/>
    <mergeCell ref="U72:V72"/>
    <mergeCell ref="Y72:Z72"/>
    <mergeCell ref="AC71:AD71"/>
    <mergeCell ref="AC72:AD72"/>
    <mergeCell ref="AE71:AF71"/>
    <mergeCell ref="AA71:AB71"/>
    <mergeCell ref="S71:T71"/>
  </mergeCells>
  <phoneticPr fontId="38" type="noConversion"/>
  <conditionalFormatting sqref="F1:F2">
    <cfRule type="expression" dxfId="124" priority="1671" stopIfTrue="1">
      <formula>IF(OR(ACOMPANHAMENTO="BM",F$12&gt;CÁLCULO.NúmeroDeFrentes),TRUE,PLE.ValorDoEvento=0)</formula>
    </cfRule>
    <cfRule type="cellIs" dxfId="123" priority="1672" stopIfTrue="1" operator="equal">
      <formula>$J$9</formula>
    </cfRule>
  </conditionalFormatting>
  <conditionalFormatting sqref="I70:AF70">
    <cfRule type="expression" dxfId="122" priority="1673" stopIfTrue="1">
      <formula>I69=$J$9</formula>
    </cfRule>
  </conditionalFormatting>
  <conditionalFormatting sqref="I71:AF71">
    <cfRule type="expression" dxfId="121" priority="1674" stopIfTrue="1">
      <formula>I69=$J$9</formula>
    </cfRule>
  </conditionalFormatting>
  <conditionalFormatting sqref="I72:AF72">
    <cfRule type="expression" dxfId="120" priority="1675" stopIfTrue="1">
      <formula>I69=$J$9</formula>
    </cfRule>
  </conditionalFormatting>
  <conditionalFormatting sqref="I73:AF73">
    <cfRule type="expression" dxfId="119" priority="1676" stopIfTrue="1">
      <formula>I69=$J$9</formula>
    </cfRule>
  </conditionalFormatting>
  <conditionalFormatting sqref="I69:J69">
    <cfRule type="cellIs" dxfId="118" priority="1670" stopIfTrue="1" operator="notEqual">
      <formula>1</formula>
    </cfRule>
  </conditionalFormatting>
  <conditionalFormatting sqref="H1:AF1">
    <cfRule type="expression" dxfId="117" priority="1688" stopIfTrue="1">
      <formula>IF(OR(ACOMPANHAMENTO="BM",TIPOORCAMENTO="Proposto",H$12&gt;CÁLCULO.NúmeroDeFrentes),TRUE,PLE.ValorDoEvento=0)</formula>
    </cfRule>
    <cfRule type="cellIs" dxfId="116" priority="1689" stopIfTrue="1" operator="equal">
      <formula>$J$9</formula>
    </cfRule>
  </conditionalFormatting>
  <conditionalFormatting sqref="AE6:AE7">
    <cfRule type="expression" dxfId="115" priority="1677" stopIfTrue="1">
      <formula>TIPOORCAMENTO&lt;&gt;"Licitado"</formula>
    </cfRule>
  </conditionalFormatting>
  <conditionalFormatting sqref="N9:T9">
    <cfRule type="expression" dxfId="114" priority="1678" stopIfTrue="1">
      <formula>COLUMN(N9)&gt;COLUMN($AF$12)</formula>
    </cfRule>
    <cfRule type="expression" dxfId="113" priority="1679" stopIfTrue="1">
      <formula>$N$9="DIGITE A DATA DA MEDIÇÃO"</formula>
    </cfRule>
  </conditionalFormatting>
  <conditionalFormatting sqref="I9:M9 U9:AF9">
    <cfRule type="expression" dxfId="112" priority="1680" stopIfTrue="1">
      <formula>COLUMN(I9)&gt;COLUMN($AF$12)</formula>
    </cfRule>
  </conditionalFormatting>
  <conditionalFormatting sqref="K70:AF73">
    <cfRule type="expression" dxfId="111" priority="686" stopIfTrue="1">
      <formula>I$72=100%</formula>
    </cfRule>
  </conditionalFormatting>
  <conditionalFormatting sqref="J75 L75 N75 P75 R75 T75 V75 X75 Z75 AB75 AD75 AF75">
    <cfRule type="expression" dxfId="110" priority="13397" stopIfTrue="1">
      <formula>J70=$J$9</formula>
    </cfRule>
  </conditionalFormatting>
  <conditionalFormatting sqref="K74:AF74">
    <cfRule type="expression" dxfId="109" priority="685">
      <formula>OFFSET(K74,-2,-2)=1</formula>
    </cfRule>
  </conditionalFormatting>
  <conditionalFormatting sqref="I74:AF74">
    <cfRule type="expression" dxfId="108" priority="684">
      <formula>ROUND(I74,4)&gt;ROUND(I72,4)</formula>
    </cfRule>
  </conditionalFormatting>
  <conditionalFormatting sqref="N13">
    <cfRule type="expression" dxfId="107" priority="683">
      <formula>$Y$9=0</formula>
    </cfRule>
  </conditionalFormatting>
  <conditionalFormatting sqref="F16:F24">
    <cfRule type="expression" dxfId="106" priority="21" stopIfTrue="1">
      <formula>IF(OR(ACOMPANHAMENTO="BM",F$12&gt;CÁLCULO.NúmeroDeFrentes),TRUE,PLE.ValorDoEvento=0)</formula>
    </cfRule>
    <cfRule type="cellIs" dxfId="105" priority="22" stopIfTrue="1" operator="equal">
      <formula>$J$9</formula>
    </cfRule>
  </conditionalFormatting>
  <conditionalFormatting sqref="H16:AF24">
    <cfRule type="expression" dxfId="104" priority="23" stopIfTrue="1">
      <formula>IF(OR(ACOMPANHAMENTO="BM",TIPOORCAMENTO="Proposto",H$12&gt;CÁLCULO.NúmeroDeFrentes),TRUE,PLE.ValorDoEvento=0)</formula>
    </cfRule>
    <cfRule type="cellIs" dxfId="103" priority="24" stopIfTrue="1" operator="equal">
      <formula>$J$9</formula>
    </cfRule>
  </conditionalFormatting>
  <conditionalFormatting sqref="F25:F33">
    <cfRule type="expression" dxfId="102" priority="17" stopIfTrue="1">
      <formula>IF(OR(ACOMPANHAMENTO="BM",F$12&gt;CÁLCULO.NúmeroDeFrentes),TRUE,PLE.ValorDoEvento=0)</formula>
    </cfRule>
    <cfRule type="cellIs" dxfId="101" priority="18" stopIfTrue="1" operator="equal">
      <formula>$J$9</formula>
    </cfRule>
  </conditionalFormatting>
  <conditionalFormatting sqref="H25:AF33">
    <cfRule type="expression" dxfId="100" priority="19" stopIfTrue="1">
      <formula>IF(OR(ACOMPANHAMENTO="BM",TIPOORCAMENTO="Proposto",H$12&gt;CÁLCULO.NúmeroDeFrentes),TRUE,PLE.ValorDoEvento=0)</formula>
    </cfRule>
    <cfRule type="cellIs" dxfId="99" priority="20" stopIfTrue="1" operator="equal">
      <formula>$J$9</formula>
    </cfRule>
  </conditionalFormatting>
  <conditionalFormatting sqref="F34:F42">
    <cfRule type="expression" dxfId="98" priority="13" stopIfTrue="1">
      <formula>IF(OR(ACOMPANHAMENTO="BM",F$12&gt;CÁLCULO.NúmeroDeFrentes),TRUE,PLE.ValorDoEvento=0)</formula>
    </cfRule>
    <cfRule type="cellIs" dxfId="97" priority="14" stopIfTrue="1" operator="equal">
      <formula>$J$9</formula>
    </cfRule>
  </conditionalFormatting>
  <conditionalFormatting sqref="H34:AF42">
    <cfRule type="expression" dxfId="96" priority="15" stopIfTrue="1">
      <formula>IF(OR(ACOMPANHAMENTO="BM",TIPOORCAMENTO="Proposto",H$12&gt;CÁLCULO.NúmeroDeFrentes),TRUE,PLE.ValorDoEvento=0)</formula>
    </cfRule>
    <cfRule type="cellIs" dxfId="95" priority="16" stopIfTrue="1" operator="equal">
      <formula>$J$9</formula>
    </cfRule>
  </conditionalFormatting>
  <conditionalFormatting sqref="F43:F51">
    <cfRule type="expression" dxfId="94" priority="9" stopIfTrue="1">
      <formula>IF(OR(ACOMPANHAMENTO="BM",F$12&gt;CÁLCULO.NúmeroDeFrentes),TRUE,PLE.ValorDoEvento=0)</formula>
    </cfRule>
    <cfRule type="cellIs" dxfId="93" priority="10" stopIfTrue="1" operator="equal">
      <formula>$J$9</formula>
    </cfRule>
  </conditionalFormatting>
  <conditionalFormatting sqref="H43:AF51">
    <cfRule type="expression" dxfId="92" priority="11" stopIfTrue="1">
      <formula>IF(OR(ACOMPANHAMENTO="BM",TIPOORCAMENTO="Proposto",H$12&gt;CÁLCULO.NúmeroDeFrentes),TRUE,PLE.ValorDoEvento=0)</formula>
    </cfRule>
    <cfRule type="cellIs" dxfId="91" priority="12" stopIfTrue="1" operator="equal">
      <formula>$J$9</formula>
    </cfRule>
  </conditionalFormatting>
  <conditionalFormatting sqref="F52:F60">
    <cfRule type="expression" dxfId="90" priority="5" stopIfTrue="1">
      <formula>IF(OR(ACOMPANHAMENTO="BM",F$12&gt;CÁLCULO.NúmeroDeFrentes),TRUE,PLE.ValorDoEvento=0)</formula>
    </cfRule>
    <cfRule type="cellIs" dxfId="89" priority="6" stopIfTrue="1" operator="equal">
      <formula>$J$9</formula>
    </cfRule>
  </conditionalFormatting>
  <conditionalFormatting sqref="H52:AF60">
    <cfRule type="expression" dxfId="88" priority="7" stopIfTrue="1">
      <formula>IF(OR(ACOMPANHAMENTO="BM",TIPOORCAMENTO="Proposto",H$12&gt;CÁLCULO.NúmeroDeFrentes),TRUE,PLE.ValorDoEvento=0)</formula>
    </cfRule>
    <cfRule type="cellIs" dxfId="87" priority="8" stopIfTrue="1" operator="equal">
      <formula>$J$9</formula>
    </cfRule>
  </conditionalFormatting>
  <conditionalFormatting sqref="F61:F64">
    <cfRule type="expression" dxfId="86" priority="1" stopIfTrue="1">
      <formula>IF(OR(ACOMPANHAMENTO="BM",F$12&gt;CÁLCULO.NúmeroDeFrentes),TRUE,PLE.ValorDoEvento=0)</formula>
    </cfRule>
    <cfRule type="cellIs" dxfId="85" priority="2" stopIfTrue="1" operator="equal">
      <formula>$J$9</formula>
    </cfRule>
  </conditionalFormatting>
  <conditionalFormatting sqref="H61:AF64">
    <cfRule type="expression" dxfId="84" priority="3" stopIfTrue="1">
      <formula>IF(OR(ACOMPANHAMENTO="BM",TIPOORCAMENTO="Proposto",H$12&gt;CÁLCULO.NúmeroDeFrentes),TRUE,PLE.ValorDoEvento=0)</formula>
    </cfRule>
    <cfRule type="cellIs" dxfId="83" priority="4" stopIfTrue="1" operator="equal">
      <formula>$J$9</formula>
    </cfRule>
  </conditionalFormatting>
  <dataValidations count="3">
    <dataValidation type="whole" operator="greaterThan" allowBlank="1" showErrorMessage="1" sqref="I3:AC4 J9:K9 F1:F4 F16:F64"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64"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&amp;LPMv3.08&amp;R&amp;P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213360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1"/>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activeCell="A40" sqref="A40"/>
    </sheetView>
  </sheetViews>
  <sheetFormatPr defaultRowHeight="13.2" x14ac:dyDescent="0.25"/>
  <cols>
    <col min="1" max="2" width="6.6640625" hidden="1" customWidth="1"/>
    <col min="3" max="3" width="3.6640625" customWidth="1"/>
    <col min="4" max="4" width="10.6640625" customWidth="1"/>
    <col min="5" max="5" width="65.6640625" customWidth="1"/>
    <col min="6" max="6" width="7.6640625" customWidth="1"/>
    <col min="7" max="7" width="11.6640625" customWidth="1"/>
    <col min="8" max="8" width="14.6640625" customWidth="1"/>
    <col min="9" max="9" width="18.6640625" customWidth="1"/>
    <col min="10" max="12" width="11.6640625" customWidth="1"/>
    <col min="13" max="15" width="18.6640625" customWidth="1"/>
    <col min="17" max="18" width="11.6640625" hidden="1" customWidth="1"/>
    <col min="19" max="19" width="9.109375" hidden="1" customWidth="1"/>
    <col min="20" max="20" width="10.6640625" hidden="1" customWidth="1"/>
    <col min="21" max="21" width="65.6640625" hidden="1" customWidth="1"/>
    <col min="22" max="22" width="7.6640625" hidden="1" customWidth="1"/>
    <col min="23" max="23" width="11.6640625" hidden="1" customWidth="1"/>
    <col min="24" max="24" width="14.6640625" hidden="1" customWidth="1"/>
    <col min="25" max="25" width="18.6640625" hidden="1" customWidth="1"/>
    <col min="26" max="26" width="25.6640625" hidden="1" customWidth="1"/>
    <col min="27" max="27" width="9.109375" hidden="1" customWidth="1"/>
    <col min="28" max="39" width="11.6640625" customWidth="1"/>
    <col min="40" max="40" width="10.44140625" customWidth="1"/>
    <col min="41" max="41" width="9.109375" hidden="1" customWidth="1"/>
  </cols>
  <sheetData>
    <row r="1" spans="1:41" ht="15.6" x14ac:dyDescent="0.25">
      <c r="E1" s="246" t="str">
        <f>IF(CAIXA.Modo,"BA - Boletim de Aferição","BM - Boletim de Medição")</f>
        <v>BM - Boletim de Medição</v>
      </c>
      <c r="G1" s="247"/>
      <c r="J1" s="247"/>
      <c r="K1" s="247"/>
      <c r="L1" s="247"/>
      <c r="M1" s="247"/>
      <c r="N1" s="247"/>
      <c r="O1" s="513" t="s">
        <v>650</v>
      </c>
    </row>
    <row r="2" spans="1:41" ht="15" x14ac:dyDescent="0.25">
      <c r="A2" s="648" t="s">
        <v>867</v>
      </c>
      <c r="B2" s="649"/>
      <c r="E2" s="248" t="str">
        <f ca="1">IF(Import.RegimeExecução="(SELECIONAR)","Selecione o Regime de Execução na Aba Dados",Import.RegimeExecução&amp;" - "&amp;import.recurso)</f>
        <v>Selecione o Regime de Execução na Aba Dados</v>
      </c>
      <c r="O2" s="514" t="s">
        <v>653</v>
      </c>
    </row>
    <row r="3" spans="1:41" x14ac:dyDescent="0.25">
      <c r="A3" s="806" t="b">
        <v>0</v>
      </c>
      <c r="B3" s="806"/>
      <c r="E3" s="64"/>
    </row>
    <row r="4" spans="1:41" x14ac:dyDescent="0.25">
      <c r="D4" s="690" t="s">
        <v>658</v>
      </c>
      <c r="E4" s="690"/>
      <c r="F4" s="702" t="s">
        <v>656</v>
      </c>
      <c r="G4" s="702"/>
      <c r="H4" s="702"/>
      <c r="I4" s="109" t="s">
        <v>714</v>
      </c>
      <c r="J4" s="690" t="s">
        <v>715</v>
      </c>
      <c r="K4" s="690"/>
      <c r="L4" s="690"/>
      <c r="M4" s="690"/>
      <c r="N4" s="690"/>
      <c r="O4" s="111" t="s">
        <v>868</v>
      </c>
    </row>
    <row r="5" spans="1:41" ht="12.75" customHeight="1" x14ac:dyDescent="0.25">
      <c r="A5" t="s">
        <v>869</v>
      </c>
      <c r="D5" s="694" t="str">
        <f>Import.Proponente</f>
        <v>PREFEITURA MUNICIPAL DE URUARÁ</v>
      </c>
      <c r="E5" s="694"/>
      <c r="F5" s="707" t="str">
        <f>Import.CR</f>
        <v>S/ INFORMAÇÃO</v>
      </c>
      <c r="G5" s="707"/>
      <c r="H5" s="707"/>
      <c r="I5" s="249" t="str">
        <f>Import.TransfereGOV</f>
        <v>S/ INFORMAÇÃO</v>
      </c>
      <c r="J5" s="694" t="str">
        <f>Import.Apelido</f>
        <v>PAVIMENTAÇÃO DE VIAS NO MUNICÍPIO DE URUARÁ - PARÁ</v>
      </c>
      <c r="K5" s="694"/>
      <c r="L5" s="694"/>
      <c r="M5" s="694"/>
      <c r="N5" s="694"/>
      <c r="O5" s="250">
        <f>Import.DataInicioObra</f>
        <v>0</v>
      </c>
      <c r="AO5" s="650" t="s">
        <v>870</v>
      </c>
    </row>
    <row r="6" spans="1:41" ht="5.0999999999999996" customHeight="1" x14ac:dyDescent="0.25">
      <c r="D6" s="558"/>
      <c r="E6" s="559"/>
      <c r="F6" s="558"/>
      <c r="G6" s="558"/>
      <c r="H6" s="558"/>
      <c r="I6" s="558"/>
      <c r="J6" s="558"/>
      <c r="K6" s="558"/>
      <c r="L6" s="558"/>
      <c r="M6" s="558"/>
      <c r="N6" s="558"/>
      <c r="O6" s="558"/>
      <c r="AO6" s="251"/>
    </row>
    <row r="7" spans="1:41" ht="12.75" customHeight="1" x14ac:dyDescent="0.25">
      <c r="A7" t="str">
        <f ca="1">RegimeExecucao</f>
        <v>Unitário</v>
      </c>
      <c r="D7" s="66" t="s">
        <v>871</v>
      </c>
      <c r="E7" s="66" t="s">
        <v>872</v>
      </c>
      <c r="F7" s="690" t="s">
        <v>873</v>
      </c>
      <c r="G7" s="690"/>
      <c r="H7" s="690"/>
      <c r="I7" s="690" t="str">
        <f>IF(TIPOORCAMENTO="Licitado","REGIME DE EXECUÇÃO","MUNICÍPIO / UF")</f>
        <v>MUNICÍPIO / UF</v>
      </c>
      <c r="J7" s="690"/>
      <c r="K7" s="690"/>
      <c r="L7" s="690"/>
      <c r="M7" s="690" t="s">
        <v>874</v>
      </c>
      <c r="N7" s="690"/>
      <c r="O7" s="66" t="s">
        <v>875</v>
      </c>
      <c r="AO7" s="219">
        <f ca="1">BM.MEDAcumulado</f>
        <v>0</v>
      </c>
    </row>
    <row r="8" spans="1:41" ht="12.75" customHeight="1" x14ac:dyDescent="0.25">
      <c r="A8" s="648" t="s">
        <v>876</v>
      </c>
      <c r="B8" s="649"/>
      <c r="C8" s="683" t="s">
        <v>661</v>
      </c>
      <c r="D8" s="252">
        <f>Import.CTEF</f>
        <v>0</v>
      </c>
      <c r="E8" s="512">
        <f>Import.empresa</f>
        <v>0</v>
      </c>
      <c r="F8" s="694">
        <f>Import.CNPJ</f>
        <v>0</v>
      </c>
      <c r="G8" s="694"/>
      <c r="H8" s="694"/>
      <c r="I8" s="694" t="str">
        <f>IF(TIPOORCAMENTO="Licitado",Import.RegimeExecução,Import.Município)</f>
        <v>URUARÁ-PARÁ</v>
      </c>
      <c r="J8" s="694"/>
      <c r="K8" s="694"/>
      <c r="L8" s="694"/>
      <c r="M8" s="694" t="str">
        <f ca="1">TEXT(IF(BM.medicao=1,Import.DataInicioObra,OFFSET($AB$12,0,BM.medicao-1-$AB$13)+1),"dd/mm/aaaa")&amp;" a "&amp;TEXT(OFFSET($AB$12,0,BM.medicao-$AB$13),"dd/mm/aaaa")</f>
        <v>00/01/1900 a 00/01/1900</v>
      </c>
      <c r="N8" s="694"/>
      <c r="O8" s="339">
        <v>1</v>
      </c>
    </row>
    <row r="9" spans="1:41" ht="12.75" customHeight="1" x14ac:dyDescent="0.25">
      <c r="A9" s="471" t="b">
        <v>1</v>
      </c>
      <c r="B9" s="2"/>
      <c r="C9" s="683"/>
    </row>
    <row r="10" spans="1:41" ht="13.2" customHeight="1" x14ac:dyDescent="0.25">
      <c r="A10" s="328" t="s">
        <v>877</v>
      </c>
      <c r="B10" s="329"/>
      <c r="C10" s="683"/>
      <c r="E10" s="468"/>
      <c r="F10" s="805" t="str">
        <f>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IF($J$46&lt;&gt;"",UPPER($J$46),
 "")))))))</f>
        <v>Altere na aba 'MENU' o tipo de orçamento para 'Licitado'.</v>
      </c>
      <c r="G10" s="805"/>
      <c r="H10" s="805"/>
      <c r="I10" s="805"/>
      <c r="O10" s="470" t="str">
        <f ca="1">"Realizado Acumulado: "&amp;TEXT(P10,"0,00%")</f>
        <v>Realizado Acumulado: 0,00%</v>
      </c>
      <c r="P10" s="473">
        <f ca="1">ROUND($O$15/($I$15+10^-12),4)</f>
        <v>0</v>
      </c>
      <c r="AB10" s="484" t="str">
        <f ca="1">IF(INDEX($AB$12:$AN$12,MATCH($O$8,$AB$13:$AN$13,0))=0,"Preencher a data da medição "&amp;$O$8,"")</f>
        <v>Preencher a data da medição 1</v>
      </c>
    </row>
    <row r="11" spans="1:41" ht="15" customHeight="1" x14ac:dyDescent="0.3">
      <c r="A11" s="472" t="e">
        <f ca="1">OFFSET(CRONO!$F$13,CRONO!$F$175,0)</f>
        <v>#VALUE!</v>
      </c>
      <c r="B11" s="336"/>
      <c r="C11" s="683"/>
      <c r="E11" s="468"/>
      <c r="F11" s="805"/>
      <c r="G11" s="805"/>
      <c r="H11" s="805"/>
      <c r="I11" s="805"/>
      <c r="N11" s="469"/>
      <c r="O11" s="470" t="e">
        <f ca="1">"Administração Local Acumulada: "&amp;TEXT(P11,"0,00%")</f>
        <v>#VALUE!</v>
      </c>
      <c r="P11" s="473" t="e">
        <f ca="1">OFFSET($O$15,$A$11,0)/OFFSET($I$15,$A$11,0)</f>
        <v>#VALUE!</v>
      </c>
      <c r="T11" s="804" t="s">
        <v>878</v>
      </c>
      <c r="U11" s="804"/>
      <c r="Z11" s="2"/>
      <c r="AB11" s="791" t="s">
        <v>879</v>
      </c>
      <c r="AC11" s="791"/>
      <c r="AD11" s="791"/>
      <c r="AE11" s="791"/>
      <c r="AF11" s="791"/>
      <c r="AG11" s="791"/>
      <c r="AH11" s="791"/>
      <c r="AI11" s="791"/>
      <c r="AJ11" s="791"/>
      <c r="AK11" s="791"/>
      <c r="AL11" s="791"/>
      <c r="AM11" s="791"/>
    </row>
    <row r="12" spans="1:41" ht="15" customHeight="1" x14ac:dyDescent="0.3">
      <c r="C12" s="683"/>
      <c r="E12" s="62" t="s">
        <v>880</v>
      </c>
      <c r="J12" s="696" t="str">
        <f ca="1">"Evolução Física "&amp;CHOOSE(MATCH(RegimeExecucao,{"Unitário","Global"},0),"(Qtde.)","(%)")</f>
        <v>Evolução Física (Qtde.)</v>
      </c>
      <c r="K12" s="696"/>
      <c r="L12" s="696"/>
      <c r="M12" s="696" t="s">
        <v>881</v>
      </c>
      <c r="N12" s="696"/>
      <c r="O12" s="696"/>
      <c r="Q12" s="696" t="str">
        <f ca="1">"Aferido (CAIXA) "&amp;CHOOSE(MATCH(RegimeExecucao,{"Unitário","Global"},0),"(Qtde.)","(%)")</f>
        <v>Aferido (CAIXA) (Qtde.)</v>
      </c>
      <c r="R12" s="696"/>
      <c r="T12" s="253" t="s">
        <v>882</v>
      </c>
      <c r="U12" s="142"/>
      <c r="V12" s="142"/>
      <c r="W12" s="142"/>
      <c r="X12" s="142"/>
      <c r="Y12" s="142"/>
      <c r="Z12" s="38"/>
      <c r="AB12" s="254"/>
      <c r="AC12" s="255"/>
      <c r="AD12" s="255"/>
      <c r="AE12" s="255"/>
      <c r="AF12" s="255"/>
      <c r="AG12" s="255"/>
      <c r="AH12" s="255"/>
      <c r="AI12" s="255"/>
      <c r="AJ12" s="255"/>
      <c r="AK12" s="255"/>
      <c r="AL12" s="255"/>
      <c r="AM12" s="256"/>
    </row>
    <row r="13" spans="1:41" ht="45" customHeight="1" x14ac:dyDescent="0.25">
      <c r="A13" s="80" t="s">
        <v>733</v>
      </c>
      <c r="B13" s="80" t="s">
        <v>732</v>
      </c>
      <c r="C13" s="79" t="s">
        <v>666</v>
      </c>
      <c r="D13" s="568" t="s">
        <v>742</v>
      </c>
      <c r="E13" s="568" t="s">
        <v>115</v>
      </c>
      <c r="F13" s="651" t="s">
        <v>745</v>
      </c>
      <c r="G13" s="568" t="s">
        <v>719</v>
      </c>
      <c r="H13" s="568" t="s">
        <v>746</v>
      </c>
      <c r="I13" s="568" t="s">
        <v>747</v>
      </c>
      <c r="J13" s="568" t="s">
        <v>883</v>
      </c>
      <c r="K13" s="568" t="s">
        <v>884</v>
      </c>
      <c r="L13" s="568" t="s">
        <v>885</v>
      </c>
      <c r="M13" s="568" t="s">
        <v>883</v>
      </c>
      <c r="N13" s="568" t="s">
        <v>884</v>
      </c>
      <c r="O13" s="568" t="s">
        <v>885</v>
      </c>
      <c r="Q13" s="568" t="s">
        <v>883</v>
      </c>
      <c r="R13" s="568" t="s">
        <v>885</v>
      </c>
      <c r="T13" s="568" t="s">
        <v>742</v>
      </c>
      <c r="U13" s="568" t="s">
        <v>115</v>
      </c>
      <c r="V13" s="651" t="str">
        <f ca="1">IF(RegimeExecucao="Unitário","Unidade","")</f>
        <v>Unidade</v>
      </c>
      <c r="W13" s="568" t="str">
        <f ca="1">CHOOSE(MATCH(RegimeExecucao,{"Unitário","Global"},0),"Quant. Glosada (unid)","Percentual Glosado (%)")</f>
        <v>Quant. Glosada (unid)</v>
      </c>
      <c r="X13" s="568" t="str">
        <f ca="1">CHOOSE(MATCH(RegimeExecucao,{"Unitário","Global"},0),"Preço Unitário (R$)","Valor Total do Item (R$)")</f>
        <v>Preço Unitário (R$)</v>
      </c>
      <c r="Y13" s="568" t="s">
        <v>886</v>
      </c>
      <c r="Z13" s="568" t="s">
        <v>887</v>
      </c>
      <c r="AA13" s="83"/>
      <c r="AB13" s="652">
        <f ca="1">IF(BM.medicao&lt;=12,1,TRUNC((BM.medicao - 2)/11,0) * 11 + 1)</f>
        <v>1</v>
      </c>
      <c r="AC13" s="652">
        <f ca="1">OFFSET(AC13,0,-1)+1</f>
        <v>2</v>
      </c>
      <c r="AD13" s="652">
        <f t="shared" ref="AD13:AM13" ca="1" si="0">OFFSET(AD13,0,-1)+1</f>
        <v>3</v>
      </c>
      <c r="AE13" s="652">
        <f t="shared" ca="1" si="0"/>
        <v>4</v>
      </c>
      <c r="AF13" s="652">
        <f t="shared" ca="1" si="0"/>
        <v>5</v>
      </c>
      <c r="AG13" s="652">
        <f t="shared" ca="1" si="0"/>
        <v>6</v>
      </c>
      <c r="AH13" s="652">
        <f t="shared" ca="1" si="0"/>
        <v>7</v>
      </c>
      <c r="AI13" s="652">
        <f t="shared" ca="1" si="0"/>
        <v>8</v>
      </c>
      <c r="AJ13" s="652">
        <f t="shared" ca="1" si="0"/>
        <v>9</v>
      </c>
      <c r="AK13" s="652">
        <f t="shared" ca="1" si="0"/>
        <v>10</v>
      </c>
      <c r="AL13" s="652">
        <f t="shared" ca="1" si="0"/>
        <v>11</v>
      </c>
      <c r="AM13" s="652">
        <f t="shared" ca="1" si="0"/>
        <v>12</v>
      </c>
      <c r="AO13" s="80" t="s">
        <v>888</v>
      </c>
    </row>
    <row r="14" spans="1:41" ht="13.8" hidden="1" x14ac:dyDescent="0.3">
      <c r="A14" t="str">
        <f ca="1">ORÇAMENTO!C14</f>
        <v>S</v>
      </c>
      <c r="B14">
        <f ca="1">ORÇAMENTO!D14</f>
        <v>0</v>
      </c>
      <c r="C14" s="85" t="str">
        <f ca="1">IF(OR($I14&gt;0,$A14=1,$A14=2,$A14=3,$A14=4),"F","")</f>
        <v/>
      </c>
      <c r="D14" s="88" t="str">
        <f ca="1">ORÇAMENTO!O14</f>
        <v>-</v>
      </c>
      <c r="E14" s="125" t="str">
        <f ca="1">ORÇAMENTO.Descricao</f>
        <v>(Sem Código)</v>
      </c>
      <c r="F14" s="126" t="str">
        <f ca="1">IF(RegimeExecucao="Global","",ORÇAMENTO.Unidade)</f>
        <v>-</v>
      </c>
      <c r="G14" s="93">
        <f ca="1">IF(RegimeExecucao="Global","",ORÇAMENTO!T14)</f>
        <v>0</v>
      </c>
      <c r="H14" s="93">
        <f ca="1">IF(RegimeExecucao="Global","",ORÇAMENTO!W14)</f>
        <v>0</v>
      </c>
      <c r="I14" s="96">
        <f ca="1">ORÇAMENTO!X14</f>
        <v>0</v>
      </c>
      <c r="J14" s="257">
        <f ca="1">IF($A14="S",IF(CAIXA.Modo,BM.AFAnterior,BM.MEDAnterior),IF(AND(RegimeExecucao="Global",$I14&gt;0,COUNTIF($AB$13:$AM$13,BM.medicao-1)&gt;0),M14/$I14*100,0))</f>
        <v>0</v>
      </c>
      <c r="K14" s="93">
        <f ca="1">L14-J14</f>
        <v>0</v>
      </c>
      <c r="L14" s="258">
        <f ca="1">IF($A14="S",IF(CAIXA.Modo,BM.AFAcumulado,BM.MEDAcumulado),IF(AND(RegimeExecucao="Global",$I14&gt;0,COUNTIF($AB$13:$AM$13,BM.medicao)&gt;0),O14/$I14*100,0))</f>
        <v>0</v>
      </c>
      <c r="M14" s="259">
        <f ca="1">IF($A14="S",VTOTALBM,IF($A14=0,0,ROUND(SomaAgrupBM,15-13*ORÇAMENTO!$AF$11)))</f>
        <v>0</v>
      </c>
      <c r="N14" s="260">
        <f ca="1">O14-M14</f>
        <v>0</v>
      </c>
      <c r="O14" s="96">
        <f ca="1">IF($A14="S",VTOTALBM,IF($A14=0,0,ROUND(SomaAgrupBM,15-13*ORÇAMENTO!$AF$11)))</f>
        <v>0</v>
      </c>
      <c r="Q14" s="261"/>
      <c r="R14" s="262"/>
      <c r="T14" s="88" t="str">
        <f ca="1">IF($W14&gt;0,$D14,"")</f>
        <v/>
      </c>
      <c r="U14" s="125" t="str">
        <f ca="1">IF($W14&gt;0,$E14,"")</f>
        <v/>
      </c>
      <c r="V14" s="126" t="str">
        <f ca="1">IF(AND($W14&gt;0,RegimeExecucao="Unitário"),$F14,"")</f>
        <v/>
      </c>
      <c r="W14" s="366">
        <f ca="1">IF($Y14&gt;0,CHOOSE(MATCH(RegimeExecucao,{"Unitário","Global"},0),IF($A14="S",$Y14/$X14,""),($Y14/$X14)*100),0)</f>
        <v>0</v>
      </c>
      <c r="X14" s="263" t="str">
        <f ca="1">IF($Y14&gt;0,CHOOSE(MATCH(RegimeExecucao,{"Unitário","Global"},0),IF($A14="S",ROUND($H14,ORÇAMENTO!$AF$10),""),ROUND($I14,ORÇAMENTO!$AF$11)),"")</f>
        <v/>
      </c>
      <c r="Y14" s="263">
        <f ca="1">AO14-O14</f>
        <v>0</v>
      </c>
      <c r="Z14" s="384"/>
      <c r="AB14" s="261"/>
      <c r="AC14" s="349"/>
      <c r="AD14" s="349"/>
      <c r="AE14" s="349"/>
      <c r="AF14" s="349"/>
      <c r="AG14" s="349"/>
      <c r="AH14" s="349"/>
      <c r="AI14" s="349"/>
      <c r="AJ14" s="349"/>
      <c r="AK14" s="349"/>
      <c r="AL14" s="349"/>
      <c r="AM14" s="262"/>
      <c r="AO14">
        <f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85" t="s">
        <v>542</v>
      </c>
      <c r="D15" s="803" t="str">
        <f>"Objeto do CTEF: "&amp;Import.DescLote</f>
        <v>Objeto do CTEF: PAVIMENTAÇÃO DE VIAS NO MUNICÍPIO DE URUARÁ - PARÁ</v>
      </c>
      <c r="E15" s="803"/>
      <c r="F15" s="367"/>
      <c r="G15" s="368"/>
      <c r="H15" s="368" t="s">
        <v>889</v>
      </c>
      <c r="I15" s="369">
        <f>IF(OR(ACOMPANHAMENTO="PLE",TIPOORCAMENTO="Proposto"),0,ORÇAMENTO!$X$15)</f>
        <v>0</v>
      </c>
      <c r="J15" s="264">
        <f ca="1">IF(M$15=0,0,IF(RegimeExecucao="Global",M$15/$I$15*100,0))</f>
        <v>0</v>
      </c>
      <c r="K15" s="264">
        <f ca="1">L15-J15</f>
        <v>0</v>
      </c>
      <c r="L15" s="264">
        <f ca="1">IF(O$15=0,0,IF(RegimeExecucao="Global",O$15/$I$15*100,0))</f>
        <v>0</v>
      </c>
      <c r="M15" s="265">
        <f ca="1">IF(OR(ACOMPANHAMENTO="PLE",TIPOORCAMENTO="Proposto"),0,SUMIF(OFFSET($A15,1,0):$A$36,"S",OFFSET(M15,1,0):M$36))</f>
        <v>0</v>
      </c>
      <c r="N15" s="265">
        <f ca="1">O15-M15</f>
        <v>0</v>
      </c>
      <c r="O15" s="265">
        <f ca="1">IF(OR(ACOMPANHAMENTO="PLE",TIPOORCAMENTO="Proposto"),0,SUMIF(OFFSET($A15,1,0):$A$36,"S",OFFSET(O15,1,0):O$36))</f>
        <v>0</v>
      </c>
      <c r="Q15" s="266"/>
      <c r="R15" s="266"/>
      <c r="T15" s="267"/>
      <c r="U15" s="268"/>
      <c r="V15" s="268"/>
      <c r="W15" s="268"/>
      <c r="X15" s="268"/>
      <c r="Y15" s="268"/>
      <c r="Z15" s="269"/>
      <c r="AB15" s="799" t="str">
        <f ca="1">"Preencher abaixo com a "&amp;CHOOSE(MATCH(RegimeExecucao,{"Unitário","Global"},0),"QUANTIDADE","PORCENTAGEM")&amp;" executada no PERÍODO"</f>
        <v>Preencher abaixo com a QUANTIDADE executada no PERÍODO</v>
      </c>
      <c r="AC15" s="799"/>
      <c r="AD15" s="799"/>
      <c r="AE15" s="799"/>
      <c r="AF15" s="799"/>
      <c r="AG15" s="799"/>
      <c r="AH15" s="799"/>
      <c r="AI15" s="799"/>
      <c r="AJ15" s="799"/>
      <c r="AK15" s="799"/>
      <c r="AL15" s="799"/>
      <c r="AM15" s="799"/>
    </row>
    <row r="16" spans="1:41" ht="13.8" x14ac:dyDescent="0.3">
      <c r="A16">
        <f ca="1">ORÇAMENTO!C16</f>
        <v>1</v>
      </c>
      <c r="B16">
        <f ca="1">ORÇAMENTO!D16</f>
        <v>20</v>
      </c>
      <c r="C16" s="85" t="str">
        <f t="shared" ref="C16:C35" ca="1" si="1">IF(OR($I16&gt;0,$A16=1,$A16=2,$A16=3,$A16=4),"F","")</f>
        <v>F</v>
      </c>
      <c r="D16" s="88" t="str">
        <f ca="1">ORÇAMENTO!O16</f>
        <v>1.</v>
      </c>
      <c r="E16" s="125" t="str">
        <f t="shared" ref="E16:E35" si="2">ORÇAMENTO.Descricao</f>
        <v>PAVIMENTAÇÃO ASFÁLTICA</v>
      </c>
      <c r="F16" s="126" t="str">
        <f ca="1">IF(RegimeExecucao="Global","",ORÇAMENTO.Unidade)</f>
        <v>-</v>
      </c>
      <c r="G16" s="93">
        <f ca="1">IF(RegimeExecucao="Global","",ORÇAMENTO!T16)</f>
        <v>0</v>
      </c>
      <c r="H16" s="93">
        <f ca="1">IF(RegimeExecucao="Global","",ORÇAMENTO!W16)</f>
        <v>0</v>
      </c>
      <c r="I16" s="96">
        <f ca="1">ORÇAMENTO!X16</f>
        <v>6242923.6299999999</v>
      </c>
      <c r="J16" s="257">
        <f ca="1">IF($A16="S",IF(CAIXA.Modo,BM.AFAnterior,BM.MEDAnterior),IF(AND(RegimeExecucao="Global",$I16&gt;0,COUNTIF($AB$13:$AM$13,BM.medicao-1)&gt;0),M16/$I16*100,0))</f>
        <v>0</v>
      </c>
      <c r="K16" s="93">
        <f t="shared" ref="K16:K35" ca="1" si="3">L16-J16</f>
        <v>0</v>
      </c>
      <c r="L16" s="258">
        <f ca="1">IF($A16="S",IF(CAIXA.Modo,BM.AFAcumulado,BM.MEDAcumulado),IF(AND(RegimeExecucao="Global",$I16&gt;0,COUNTIF($AB$13:$AM$13,BM.medicao)&gt;0),O16/$I16*100,0))</f>
        <v>0</v>
      </c>
      <c r="M16" s="259">
        <f ca="1">IF($A16="S",VTOTALBM,IF($A16=0,0,ROUND(SomaAgrupBM,15-13*ORÇAMENTO!$AF$11)))</f>
        <v>0</v>
      </c>
      <c r="N16" s="260">
        <f t="shared" ref="N16:N35" ca="1" si="4">O16-M16</f>
        <v>0</v>
      </c>
      <c r="O16" s="96">
        <f ca="1">IF($A16="S",VTOTALBM,IF($A16=0,0,ROUND(SomaAgrupBM,15-13*ORÇAMENTO!$AF$11)))</f>
        <v>0</v>
      </c>
      <c r="Q16" s="261"/>
      <c r="R16" s="262"/>
      <c r="T16" s="88" t="str">
        <f t="shared" ref="T16:T35" ca="1" si="5">IF($W16&gt;0,$D16,"")</f>
        <v/>
      </c>
      <c r="U16" s="125" t="str">
        <f t="shared" ref="U16:U35" ca="1" si="6">IF($W16&gt;0,$E16,"")</f>
        <v/>
      </c>
      <c r="V16" s="126" t="str">
        <f ca="1">IF(AND($W16&gt;0,RegimeExecucao="Unitário"),$F16,"")</f>
        <v/>
      </c>
      <c r="W16" s="366">
        <f ca="1">IF($Y16&gt;0,CHOOSE(MATCH(RegimeExecucao,{"Unitário","Global"},0),IF($A16="S",$Y16/$X16,""),($Y16/$X16)*100),0)</f>
        <v>0</v>
      </c>
      <c r="X16" s="263" t="str">
        <f ca="1">IF($Y16&gt;0,CHOOSE(MATCH(RegimeExecucao,{"Unitário","Global"},0),IF($A16="S",ROUND($H16,ORÇAMENTO!$AF$10),""),ROUND($I16,ORÇAMENTO!$AF$11)),"")</f>
        <v/>
      </c>
      <c r="Y16" s="263">
        <f t="shared" ref="Y16:Y35" ca="1" si="7">AO16-O16</f>
        <v>0</v>
      </c>
      <c r="Z16" s="384"/>
      <c r="AB16" s="261"/>
      <c r="AC16" s="349"/>
      <c r="AD16" s="349"/>
      <c r="AE16" s="349"/>
      <c r="AF16" s="349"/>
      <c r="AG16" s="349"/>
      <c r="AH16" s="349"/>
      <c r="AI16" s="349"/>
      <c r="AJ16" s="349"/>
      <c r="AK16" s="349"/>
      <c r="AL16" s="349"/>
      <c r="AM16" s="262"/>
      <c r="AO16">
        <f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2</v>
      </c>
      <c r="C17" s="85" t="str">
        <f t="shared" ca="1" si="1"/>
        <v>F</v>
      </c>
      <c r="D17" s="88" t="str">
        <f ca="1">ORÇAMENTO!O17</f>
        <v>1.1.</v>
      </c>
      <c r="E17" s="125" t="str">
        <f t="shared" si="2"/>
        <v>ADMINISTRAÇÃO DE OBRA</v>
      </c>
      <c r="F17" s="126" t="str">
        <f ca="1">IF(RegimeExecucao="Global","",ORÇAMENTO.Unidade)</f>
        <v>-</v>
      </c>
      <c r="G17" s="93">
        <f ca="1">IF(RegimeExecucao="Global","",ORÇAMENTO!T17)</f>
        <v>0</v>
      </c>
      <c r="H17" s="93">
        <f ca="1">IF(RegimeExecucao="Global","",ORÇAMENTO!W17)</f>
        <v>0</v>
      </c>
      <c r="I17" s="96">
        <f ca="1">ORÇAMENTO!X17</f>
        <v>117343.71</v>
      </c>
      <c r="J17" s="257">
        <f ca="1">IF($A17="S",IF(CAIXA.Modo,BM.AFAnterior,BM.MEDAnterior),IF(AND(RegimeExecucao="Global",$I17&gt;0,COUNTIF($AB$13:$AM$13,BM.medicao-1)&gt;0),M17/$I17*100,0))</f>
        <v>0</v>
      </c>
      <c r="K17" s="93">
        <f t="shared" ca="1" si="3"/>
        <v>0</v>
      </c>
      <c r="L17" s="258">
        <f ca="1">IF($A17="S",IF(CAIXA.Modo,BM.AFAcumulado,BM.MEDAcumulado),IF(AND(RegimeExecucao="Global",$I17&gt;0,COUNTIF($AB$13:$AM$13,BM.medicao)&gt;0),O17/$I17*100,0))</f>
        <v>0</v>
      </c>
      <c r="M17" s="259">
        <f ca="1">IF($A17="S",VTOTALBM,IF($A17=0,0,ROUND(SomaAgrupBM,15-13*ORÇAMENTO!$AF$11)))</f>
        <v>0</v>
      </c>
      <c r="N17" s="260">
        <f t="shared" ca="1" si="4"/>
        <v>0</v>
      </c>
      <c r="O17" s="96">
        <f ca="1">IF($A17="S",VTOTALBM,IF($A17=0,0,ROUND(SomaAgrupBM,15-13*ORÇAMENTO!$AF$11)))</f>
        <v>0</v>
      </c>
      <c r="Q17" s="261"/>
      <c r="R17" s="262"/>
      <c r="T17" s="88" t="str">
        <f t="shared" ca="1" si="5"/>
        <v/>
      </c>
      <c r="U17" s="125" t="str">
        <f t="shared" ca="1" si="6"/>
        <v/>
      </c>
      <c r="V17" s="126" t="str">
        <f ca="1">IF(AND($W17&gt;0,RegimeExecucao="Unitário"),$F17,"")</f>
        <v/>
      </c>
      <c r="W17" s="366">
        <f ca="1">IF($Y17&gt;0,CHOOSE(MATCH(RegimeExecucao,{"Unitário","Global"},0),IF($A17="S",$Y17/$X17,""),($Y17/$X17)*100),0)</f>
        <v>0</v>
      </c>
      <c r="X17" s="263" t="str">
        <f ca="1">IF($Y17&gt;0,CHOOSE(MATCH(RegimeExecucao,{"Unitário","Global"},0),IF($A17="S",ROUND($H17,ORÇAMENTO!$AF$10),""),ROUND($I17,ORÇAMENTO!$AF$11)),"")</f>
        <v/>
      </c>
      <c r="Y17" s="263">
        <f t="shared" ca="1" si="7"/>
        <v>0</v>
      </c>
      <c r="Z17" s="384"/>
      <c r="AB17" s="261"/>
      <c r="AC17" s="349"/>
      <c r="AD17" s="349"/>
      <c r="AE17" s="349"/>
      <c r="AF17" s="349"/>
      <c r="AG17" s="349"/>
      <c r="AH17" s="349"/>
      <c r="AI17" s="349"/>
      <c r="AJ17" s="349"/>
      <c r="AK17" s="349"/>
      <c r="AL17" s="349"/>
      <c r="AM17" s="262"/>
      <c r="AO17">
        <f ca="1">IF($A17="S",IF(BM!$I17=0,0,CHOOSE(MATCH(RegimeExecucao,{"Global","Unitário"},0),ROUND(ROUND(BM.MEDAcumulado,15-13*BM!$A$9)/100*BM!$I17,15-13*ORÇAMENTO!$AF$11),ROUND(ROUND(BM.MEDAcumulado,15-13*BM!$A$9)*ROUND(BM!$H17,15-13*ORÇAMENTO!$AF$10),15-13*ORÇAMENTO!$AF$11))),IF($A17=0,0,ROUND(SomaAgrupBM,15-13*ORÇAMENTO!$AF$11)))</f>
        <v>0</v>
      </c>
    </row>
    <row r="18" spans="1:41" ht="13.8" x14ac:dyDescent="0.3">
      <c r="A18" t="str">
        <f ca="1">ORÇAMENTO!C18</f>
        <v>S</v>
      </c>
      <c r="B18">
        <f ca="1">ORÇAMENTO!D18</f>
        <v>0</v>
      </c>
      <c r="C18" s="85" t="str">
        <f t="shared" ca="1" si="1"/>
        <v>F</v>
      </c>
      <c r="D18" s="88" t="str">
        <f ca="1">ORÇAMENTO!O18</f>
        <v>1.1.0.1.</v>
      </c>
      <c r="E18" s="125" t="str">
        <f t="shared" ca="1" si="2"/>
        <v>ADMINISTRAÇÃO LOCAL</v>
      </c>
      <c r="F18" s="126" t="str">
        <f ca="1">IF(RegimeExecucao="Global","",ORÇAMENTO.Unidade)</f>
        <v>UN</v>
      </c>
      <c r="G18" s="93">
        <f ca="1">IF(RegimeExecucao="Global","",ORÇAMENTO!T18)</f>
        <v>1</v>
      </c>
      <c r="H18" s="93">
        <f ca="1">IF(RegimeExecucao="Global","",ORÇAMENTO!W18)</f>
        <v>117343.71</v>
      </c>
      <c r="I18" s="96">
        <f ca="1">ORÇAMENTO!X18</f>
        <v>117343.71</v>
      </c>
      <c r="J18" s="257">
        <f ca="1">IF($A18="S",IF(CAIXA.Modo,BM.AFAnterior,BM.MEDAnterior),IF(AND(RegimeExecucao="Global",$I18&gt;0,COUNTIF($AB$13:$AM$13,BM.medicao-1)&gt;0),M18/$I18*100,0))</f>
        <v>0</v>
      </c>
      <c r="K18" s="93">
        <f t="shared" ca="1" si="3"/>
        <v>0</v>
      </c>
      <c r="L18" s="258">
        <f ca="1">IF($A18="S",IF(CAIXA.Modo,BM.AFAcumulado,BM.MEDAcumulado),IF(AND(RegimeExecucao="Global",$I18&gt;0,COUNTIF($AB$13:$AM$13,BM.medicao)&gt;0),O18/$I18*100,0))</f>
        <v>0</v>
      </c>
      <c r="M18" s="259">
        <f ca="1">IF($A18="S",VTOTALBM,IF($A18=0,0,ROUND(SomaAgrupBM,15-13*ORÇAMENTO!$AF$11)))</f>
        <v>0</v>
      </c>
      <c r="N18" s="260">
        <f t="shared" ca="1" si="4"/>
        <v>0</v>
      </c>
      <c r="O18" s="96">
        <f ca="1">IF($A18="S",VTOTALBM,IF($A18=0,0,ROUND(SomaAgrupBM,15-13*ORÇAMENTO!$AF$11)))</f>
        <v>0</v>
      </c>
      <c r="Q18" s="261"/>
      <c r="R18" s="262"/>
      <c r="T18" s="88" t="str">
        <f t="shared" ca="1" si="5"/>
        <v/>
      </c>
      <c r="U18" s="125" t="str">
        <f t="shared" ca="1" si="6"/>
        <v/>
      </c>
      <c r="V18" s="126" t="str">
        <f ca="1">IF(AND($W18&gt;0,RegimeExecucao="Unitário"),$F18,"")</f>
        <v/>
      </c>
      <c r="W18" s="366">
        <f ca="1">IF($Y18&gt;0,CHOOSE(MATCH(RegimeExecucao,{"Unitário","Global"},0),IF($A18="S",$Y18/$X18,""),($Y18/$X18)*100),0)</f>
        <v>0</v>
      </c>
      <c r="X18" s="263" t="str">
        <f ca="1">IF($Y18&gt;0,CHOOSE(MATCH(RegimeExecucao,{"Unitário","Global"},0),IF($A18="S",ROUND($H18,ORÇAMENTO!$AF$10),""),ROUND($I18,ORÇAMENTO!$AF$11)),"")</f>
        <v/>
      </c>
      <c r="Y18" s="263">
        <f t="shared" ca="1" si="7"/>
        <v>0</v>
      </c>
      <c r="Z18" s="384"/>
      <c r="AB18" s="261"/>
      <c r="AC18" s="349"/>
      <c r="AD18" s="349"/>
      <c r="AE18" s="349"/>
      <c r="AF18" s="349"/>
      <c r="AG18" s="349"/>
      <c r="AH18" s="349"/>
      <c r="AI18" s="349"/>
      <c r="AJ18" s="349"/>
      <c r="AK18" s="349"/>
      <c r="AL18" s="349"/>
      <c r="AM18" s="262"/>
      <c r="AO18">
        <f ca="1">IF($A18="S",IF(BM!$I18=0,0,CHOOSE(MATCH(RegimeExecucao,{"Global","Unitário"},0),ROUND(ROUND(BM.MEDAcumulado,15-13*BM!$A$9)/100*BM!$I18,15-13*ORÇAMENTO!$AF$11),ROUND(ROUND(BM.MEDAcumulado,15-13*BM!$A$9)*ROUND(BM!$H18,15-13*ORÇAMENTO!$AF$10),15-13*ORÇAMENTO!$AF$11))),IF($A18=0,0,ROUND(SomaAgrupBM,15-13*ORÇAMENTO!$AF$11)))</f>
        <v>0</v>
      </c>
    </row>
    <row r="19" spans="1:41" ht="13.8" x14ac:dyDescent="0.3">
      <c r="A19">
        <f ca="1">ORÇAMENTO!C19</f>
        <v>2</v>
      </c>
      <c r="B19">
        <f ca="1">ORÇAMENTO!D19</f>
        <v>3</v>
      </c>
      <c r="C19" s="85" t="str">
        <f t="shared" ca="1" si="1"/>
        <v>F</v>
      </c>
      <c r="D19" s="88" t="str">
        <f ca="1">ORÇAMENTO!O19</f>
        <v>1.2.</v>
      </c>
      <c r="E19" s="125" t="str">
        <f t="shared" si="2"/>
        <v>SERVIÇOS PRELIMINARES</v>
      </c>
      <c r="F19" s="126" t="str">
        <f ca="1">IF(RegimeExecucao="Global","",ORÇAMENTO.Unidade)</f>
        <v>-</v>
      </c>
      <c r="G19" s="93">
        <f ca="1">IF(RegimeExecucao="Global","",ORÇAMENTO!T19)</f>
        <v>0</v>
      </c>
      <c r="H19" s="93">
        <f ca="1">IF(RegimeExecucao="Global","",ORÇAMENTO!W19)</f>
        <v>0</v>
      </c>
      <c r="I19" s="96">
        <f ca="1">ORÇAMENTO!X19</f>
        <v>17101.5</v>
      </c>
      <c r="J19" s="257">
        <f ca="1">IF($A19="S",IF(CAIXA.Modo,BM.AFAnterior,BM.MEDAnterior),IF(AND(RegimeExecucao="Global",$I19&gt;0,COUNTIF($AB$13:$AM$13,BM.medicao-1)&gt;0),M19/$I19*100,0))</f>
        <v>0</v>
      </c>
      <c r="K19" s="93">
        <f t="shared" ca="1" si="3"/>
        <v>0</v>
      </c>
      <c r="L19" s="258">
        <f ca="1">IF($A19="S",IF(CAIXA.Modo,BM.AFAcumulado,BM.MEDAcumulado),IF(AND(RegimeExecucao="Global",$I19&gt;0,COUNTIF($AB$13:$AM$13,BM.medicao)&gt;0),O19/$I19*100,0))</f>
        <v>0</v>
      </c>
      <c r="M19" s="259">
        <f ca="1">IF($A19="S",VTOTALBM,IF($A19=0,0,ROUND(SomaAgrupBM,15-13*ORÇAMENTO!$AF$11)))</f>
        <v>0</v>
      </c>
      <c r="N19" s="260">
        <f t="shared" ca="1" si="4"/>
        <v>0</v>
      </c>
      <c r="O19" s="96">
        <f ca="1">IF($A19="S",VTOTALBM,IF($A19=0,0,ROUND(SomaAgrupBM,15-13*ORÇAMENTO!$AF$11)))</f>
        <v>0</v>
      </c>
      <c r="Q19" s="261"/>
      <c r="R19" s="262"/>
      <c r="T19" s="88" t="str">
        <f t="shared" ca="1" si="5"/>
        <v/>
      </c>
      <c r="U19" s="125" t="str">
        <f t="shared" ca="1" si="6"/>
        <v/>
      </c>
      <c r="V19" s="126" t="str">
        <f ca="1">IF(AND($W19&gt;0,RegimeExecucao="Unitário"),$F19,"")</f>
        <v/>
      </c>
      <c r="W19" s="366">
        <f ca="1">IF($Y19&gt;0,CHOOSE(MATCH(RegimeExecucao,{"Unitário","Global"},0),IF($A19="S",$Y19/$X19,""),($Y19/$X19)*100),0)</f>
        <v>0</v>
      </c>
      <c r="X19" s="263" t="str">
        <f ca="1">IF($Y19&gt;0,CHOOSE(MATCH(RegimeExecucao,{"Unitário","Global"},0),IF($A19="S",ROUND($H19,ORÇAMENTO!$AF$10),""),ROUND($I19,ORÇAMENTO!$AF$11)),"")</f>
        <v/>
      </c>
      <c r="Y19" s="263">
        <f t="shared" ca="1" si="7"/>
        <v>0</v>
      </c>
      <c r="Z19" s="384"/>
      <c r="AB19" s="261"/>
      <c r="AC19" s="349"/>
      <c r="AD19" s="349"/>
      <c r="AE19" s="349"/>
      <c r="AF19" s="349"/>
      <c r="AG19" s="349"/>
      <c r="AH19" s="349"/>
      <c r="AI19" s="349"/>
      <c r="AJ19" s="349"/>
      <c r="AK19" s="349"/>
      <c r="AL19" s="349"/>
      <c r="AM19" s="262"/>
      <c r="AO19">
        <f ca="1">IF($A19="S",IF(BM!$I19=0,0,CHOOSE(MATCH(RegimeExecucao,{"Global","Unitário"},0),ROUND(ROUND(BM.MEDAcumulado,15-13*BM!$A$9)/100*BM!$I19,15-13*ORÇAMENTO!$AF$11),ROUND(ROUND(BM.MEDAcumulado,15-13*BM!$A$9)*ROUND(BM!$H19,15-13*ORÇAMENTO!$AF$10),15-13*ORÇAMENTO!$AF$11))),IF($A19=0,0,ROUND(SomaAgrupBM,15-13*ORÇAMENTO!$AF$11)))</f>
        <v>0</v>
      </c>
    </row>
    <row r="20" spans="1:41" ht="26.4" x14ac:dyDescent="0.3">
      <c r="A20" t="str">
        <f ca="1">ORÇAMENTO!C20</f>
        <v>S</v>
      </c>
      <c r="B20">
        <f ca="1">ORÇAMENTO!D20</f>
        <v>0</v>
      </c>
      <c r="C20" s="85" t="str">
        <f t="shared" ca="1" si="1"/>
        <v>F</v>
      </c>
      <c r="D20" s="88" t="str">
        <f ca="1">ORÇAMENTO!O20</f>
        <v>1.2.0.1.</v>
      </c>
      <c r="E20" s="125" t="str">
        <f t="shared" ca="1" si="2"/>
        <v>FORNECIMENTO E INSTALAÇÃO DE PLACA DE OBRA COM CHAPA GALVANIZADA E ESTRUTURA DE MADEIRA. AF_03/2022_PS</v>
      </c>
      <c r="F20" s="126" t="str">
        <f ca="1">IF(RegimeExecucao="Global","",ORÇAMENTO.Unidade)</f>
        <v>M2</v>
      </c>
      <c r="G20" s="93">
        <f ca="1">IF(RegimeExecucao="Global","",ORÇAMENTO!T20)</f>
        <v>6</v>
      </c>
      <c r="H20" s="93">
        <f ca="1">IF(RegimeExecucao="Global","",ORÇAMENTO!W20)</f>
        <v>625.78</v>
      </c>
      <c r="I20" s="96">
        <f ca="1">ORÇAMENTO!X20</f>
        <v>3754.68</v>
      </c>
      <c r="J20" s="257">
        <f ca="1">IF($A20="S",IF(CAIXA.Modo,BM.AFAnterior,BM.MEDAnterior),IF(AND(RegimeExecucao="Global",$I20&gt;0,COUNTIF($AB$13:$AM$13,BM.medicao-1)&gt;0),M20/$I20*100,0))</f>
        <v>0</v>
      </c>
      <c r="K20" s="93">
        <f t="shared" ca="1" si="3"/>
        <v>0</v>
      </c>
      <c r="L20" s="258">
        <f ca="1">IF($A20="S",IF(CAIXA.Modo,BM.AFAcumulado,BM.MEDAcumulado),IF(AND(RegimeExecucao="Global",$I20&gt;0,COUNTIF($AB$13:$AM$13,BM.medicao)&gt;0),O20/$I20*100,0))</f>
        <v>0</v>
      </c>
      <c r="M20" s="259">
        <f ca="1">IF($A20="S",VTOTALBM,IF($A20=0,0,ROUND(SomaAgrupBM,15-13*ORÇAMENTO!$AF$11)))</f>
        <v>0</v>
      </c>
      <c r="N20" s="260">
        <f t="shared" ca="1" si="4"/>
        <v>0</v>
      </c>
      <c r="O20" s="96">
        <f ca="1">IF($A20="S",VTOTALBM,IF($A20=0,0,ROUND(SomaAgrupBM,15-13*ORÇAMENTO!$AF$11)))</f>
        <v>0</v>
      </c>
      <c r="Q20" s="261"/>
      <c r="R20" s="262"/>
      <c r="T20" s="88" t="str">
        <f t="shared" ca="1" si="5"/>
        <v/>
      </c>
      <c r="U20" s="125" t="str">
        <f t="shared" ca="1" si="6"/>
        <v/>
      </c>
      <c r="V20" s="126" t="str">
        <f ca="1">IF(AND($W20&gt;0,RegimeExecucao="Unitário"),$F20,"")</f>
        <v/>
      </c>
      <c r="W20" s="366">
        <f ca="1">IF($Y20&gt;0,CHOOSE(MATCH(RegimeExecucao,{"Unitário","Global"},0),IF($A20="S",$Y20/$X20,""),($Y20/$X20)*100),0)</f>
        <v>0</v>
      </c>
      <c r="X20" s="263" t="str">
        <f ca="1">IF($Y20&gt;0,CHOOSE(MATCH(RegimeExecucao,{"Unitário","Global"},0),IF($A20="S",ROUND($H20,ORÇAMENTO!$AF$10),""),ROUND($I20,ORÇAMENTO!$AF$11)),"")</f>
        <v/>
      </c>
      <c r="Y20" s="263">
        <f t="shared" ca="1" si="7"/>
        <v>0</v>
      </c>
      <c r="Z20" s="384"/>
      <c r="AB20" s="261"/>
      <c r="AC20" s="349"/>
      <c r="AD20" s="349"/>
      <c r="AE20" s="349"/>
      <c r="AF20" s="349"/>
      <c r="AG20" s="349"/>
      <c r="AH20" s="349"/>
      <c r="AI20" s="349"/>
      <c r="AJ20" s="349"/>
      <c r="AK20" s="349"/>
      <c r="AL20" s="349"/>
      <c r="AM20" s="262"/>
      <c r="AO20">
        <f ca="1">IF($A20="S",IF(BM!$I20=0,0,CHOOSE(MATCH(RegimeExecucao,{"Global","Unitário"},0),ROUND(ROUND(BM.MEDAcumulado,15-13*BM!$A$9)/100*BM!$I20,15-13*ORÇAMENTO!$AF$11),ROUND(ROUND(BM.MEDAcumulado,15-13*BM!$A$9)*ROUND(BM!$H20,15-13*ORÇAMENTO!$AF$10),15-13*ORÇAMENTO!$AF$11))),IF($A20=0,0,ROUND(SomaAgrupBM,15-13*ORÇAMENTO!$AF$11)))</f>
        <v>0</v>
      </c>
    </row>
    <row r="21" spans="1:41" ht="13.8" x14ac:dyDescent="0.3">
      <c r="A21" t="str">
        <f ca="1">ORÇAMENTO!C21</f>
        <v>S</v>
      </c>
      <c r="B21">
        <f ca="1">ORÇAMENTO!D21</f>
        <v>0</v>
      </c>
      <c r="C21" s="85" t="str">
        <f ca="1">IF(OR($I21&gt;0,$A21=1,$A21=2,$A21=3,$A21=4),"F","")</f>
        <v>F</v>
      </c>
      <c r="D21" s="88" t="str">
        <f ca="1">ORÇAMENTO!O21</f>
        <v>1.2.0.2.</v>
      </c>
      <c r="E21" s="125" t="str">
        <f ca="1">ORÇAMENTO.Descricao</f>
        <v>BARRACÃO DE MADEIRA/ALMOXARIFADO</v>
      </c>
      <c r="F21" s="126" t="str">
        <f ca="1">IF(RegimeExecucao="Global","",ORÇAMENTO.Unidade)</f>
        <v>M2</v>
      </c>
      <c r="G21" s="93">
        <f ca="1">IF(RegimeExecucao="Global","",ORÇAMENTO!T21)</f>
        <v>18</v>
      </c>
      <c r="H21" s="93">
        <f ca="1">IF(RegimeExecucao="Global","",ORÇAMENTO!W21)</f>
        <v>741.49</v>
      </c>
      <c r="I21" s="96">
        <f ca="1">ORÇAMENTO!X21</f>
        <v>13346.82</v>
      </c>
      <c r="J21" s="257">
        <f ca="1">IF($A21="S",IF(CAIXA.Modo,BM.AFAnterior,BM.MEDAnterior),IF(AND(RegimeExecucao="Global",$I21&gt;0,COUNTIF($AB$13:$AM$13,BM.medicao-1)&gt;0),M21/$I21*100,0))</f>
        <v>0</v>
      </c>
      <c r="K21" s="93">
        <f ca="1">L21-J21</f>
        <v>0</v>
      </c>
      <c r="L21" s="258">
        <f ca="1">IF($A21="S",IF(CAIXA.Modo,BM.AFAcumulado,BM.MEDAcumulado),IF(AND(RegimeExecucao="Global",$I21&gt;0,COUNTIF($AB$13:$AM$13,BM.medicao)&gt;0),O21/$I21*100,0))</f>
        <v>0</v>
      </c>
      <c r="M21" s="259">
        <f ca="1">IF($A21="S",VTOTALBM,IF($A21=0,0,ROUND(SomaAgrupBM,15-13*ORÇAMENTO!$AF$11)))</f>
        <v>0</v>
      </c>
      <c r="N21" s="260">
        <f ca="1">O21-M21</f>
        <v>0</v>
      </c>
      <c r="O21" s="96">
        <f ca="1">IF($A21="S",VTOTALBM,IF($A21=0,0,ROUND(SomaAgrupBM,15-13*ORÇAMENTO!$AF$11)))</f>
        <v>0</v>
      </c>
      <c r="Q21" s="261"/>
      <c r="R21" s="262"/>
      <c r="T21" s="88" t="str">
        <f ca="1">IF($W21&gt;0,$D21,"")</f>
        <v/>
      </c>
      <c r="U21" s="125" t="str">
        <f ca="1">IF($W21&gt;0,$E21,"")</f>
        <v/>
      </c>
      <c r="V21" s="126" t="str">
        <f ca="1">IF(AND($W21&gt;0,RegimeExecucao="Unitário"),$F21,"")</f>
        <v/>
      </c>
      <c r="W21" s="366">
        <f ca="1">IF($Y21&gt;0,CHOOSE(MATCH(RegimeExecucao,{"Unitário","Global"},0),IF($A21="S",$Y21/$X21,""),($Y21/$X21)*100),0)</f>
        <v>0</v>
      </c>
      <c r="X21" s="263" t="str">
        <f ca="1">IF($Y21&gt;0,CHOOSE(MATCH(RegimeExecucao,{"Unitário","Global"},0),IF($A21="S",ROUND($H21,ORÇAMENTO!$AF$10),""),ROUND($I21,ORÇAMENTO!$AF$11)),"")</f>
        <v/>
      </c>
      <c r="Y21" s="263">
        <f ca="1">AO21-O21</f>
        <v>0</v>
      </c>
      <c r="Z21" s="384"/>
      <c r="AB21" s="261"/>
      <c r="AC21" s="349"/>
      <c r="AD21" s="349"/>
      <c r="AE21" s="349"/>
      <c r="AF21" s="349"/>
      <c r="AG21" s="349"/>
      <c r="AH21" s="349"/>
      <c r="AI21" s="349"/>
      <c r="AJ21" s="349"/>
      <c r="AK21" s="349"/>
      <c r="AL21" s="349"/>
      <c r="AM21" s="262"/>
      <c r="AO21">
        <f ca="1">IF($A21="S",IF(BM!$I21=0,0,CHOOSE(MATCH(RegimeExecucao,{"Global","Unitário"},0),ROUND(ROUND(BM.MEDAcumulado,15-13*BM!$A$9)/100*BM!$I21,15-13*ORÇAMENTO!$AF$11),ROUND(ROUND(BM.MEDAcumulado,15-13*BM!$A$9)*ROUND(BM!$H21,15-13*ORÇAMENTO!$AF$10),15-13*ORÇAMENTO!$AF$11))),IF($A21=0,0,ROUND(SomaAgrupBM,15-13*ORÇAMENTO!$AF$11)))</f>
        <v>0</v>
      </c>
    </row>
    <row r="22" spans="1:41" ht="13.8" x14ac:dyDescent="0.3">
      <c r="A22">
        <f ca="1">ORÇAMENTO!C22</f>
        <v>2</v>
      </c>
      <c r="B22">
        <f ca="1">ORÇAMENTO!D22</f>
        <v>2</v>
      </c>
      <c r="C22" s="85" t="str">
        <f t="shared" ca="1" si="1"/>
        <v>F</v>
      </c>
      <c r="D22" s="88" t="str">
        <f ca="1">ORÇAMENTO!O22</f>
        <v>1.3.</v>
      </c>
      <c r="E22" s="125" t="str">
        <f t="shared" si="2"/>
        <v>MOBILIZAÇÃO DE MAQUINÁRIO</v>
      </c>
      <c r="F22" s="126" t="str">
        <f ca="1">IF(RegimeExecucao="Global","",ORÇAMENTO.Unidade)</f>
        <v>-</v>
      </c>
      <c r="G22" s="93">
        <f ca="1">IF(RegimeExecucao="Global","",ORÇAMENTO!T22)</f>
        <v>0</v>
      </c>
      <c r="H22" s="93">
        <f ca="1">IF(RegimeExecucao="Global","",ORÇAMENTO!W22)</f>
        <v>0</v>
      </c>
      <c r="I22" s="96">
        <f ca="1">ORÇAMENTO!X22</f>
        <v>14526.86</v>
      </c>
      <c r="J22" s="257">
        <f ca="1">IF($A22="S",IF(CAIXA.Modo,BM.AFAnterior,BM.MEDAnterior),IF(AND(RegimeExecucao="Global",$I22&gt;0,COUNTIF($AB$13:$AM$13,BM.medicao-1)&gt;0),M22/$I22*100,0))</f>
        <v>0</v>
      </c>
      <c r="K22" s="93">
        <f t="shared" ca="1" si="3"/>
        <v>0</v>
      </c>
      <c r="L22" s="258">
        <f ca="1">IF($A22="S",IF(CAIXA.Modo,BM.AFAcumulado,BM.MEDAcumulado),IF(AND(RegimeExecucao="Global",$I22&gt;0,COUNTIF($AB$13:$AM$13,BM.medicao)&gt;0),O22/$I22*100,0))</f>
        <v>0</v>
      </c>
      <c r="M22" s="259">
        <f ca="1">IF($A22="S",VTOTALBM,IF($A22=0,0,ROUND(SomaAgrupBM,15-13*ORÇAMENTO!$AF$11)))</f>
        <v>0</v>
      </c>
      <c r="N22" s="260">
        <f t="shared" ca="1" si="4"/>
        <v>0</v>
      </c>
      <c r="O22" s="96">
        <f ca="1">IF($A22="S",VTOTALBM,IF($A22=0,0,ROUND(SomaAgrupBM,15-13*ORÇAMENTO!$AF$11)))</f>
        <v>0</v>
      </c>
      <c r="Q22" s="261"/>
      <c r="R22" s="262"/>
      <c r="T22" s="88" t="str">
        <f t="shared" ca="1" si="5"/>
        <v/>
      </c>
      <c r="U22" s="125" t="str">
        <f t="shared" ca="1" si="6"/>
        <v/>
      </c>
      <c r="V22" s="126" t="str">
        <f ca="1">IF(AND($W22&gt;0,RegimeExecucao="Unitário"),$F22,"")</f>
        <v/>
      </c>
      <c r="W22" s="366">
        <f ca="1">IF($Y22&gt;0,CHOOSE(MATCH(RegimeExecucao,{"Unitário","Global"},0),IF($A22="S",$Y22/$X22,""),($Y22/$X22)*100),0)</f>
        <v>0</v>
      </c>
      <c r="X22" s="263" t="str">
        <f ca="1">IF($Y22&gt;0,CHOOSE(MATCH(RegimeExecucao,{"Unitário","Global"},0),IF($A22="S",ROUND($H22,ORÇAMENTO!$AF$10),""),ROUND($I22,ORÇAMENTO!$AF$11)),"")</f>
        <v/>
      </c>
      <c r="Y22" s="263">
        <f t="shared" ca="1" si="7"/>
        <v>0</v>
      </c>
      <c r="Z22" s="384"/>
      <c r="AB22" s="261"/>
      <c r="AC22" s="349"/>
      <c r="AD22" s="349"/>
      <c r="AE22" s="349"/>
      <c r="AF22" s="349"/>
      <c r="AG22" s="349"/>
      <c r="AH22" s="349"/>
      <c r="AI22" s="349"/>
      <c r="AJ22" s="349"/>
      <c r="AK22" s="349"/>
      <c r="AL22" s="349"/>
      <c r="AM22" s="262"/>
      <c r="AO22">
        <f ca="1">IF($A22="S",IF(BM!$I22=0,0,CHOOSE(MATCH(RegimeExecucao,{"Global","Unitário"},0),ROUND(ROUND(BM.MEDAcumulado,15-13*BM!$A$9)/100*BM!$I22,15-13*ORÇAMENTO!$AF$11),ROUND(ROUND(BM.MEDAcumulado,15-13*BM!$A$9)*ROUND(BM!$H22,15-13*ORÇAMENTO!$AF$10),15-13*ORÇAMENTO!$AF$11))),IF($A22=0,0,ROUND(SomaAgrupBM,15-13*ORÇAMENTO!$AF$11)))</f>
        <v>0</v>
      </c>
    </row>
    <row r="23" spans="1:41" ht="13.8" x14ac:dyDescent="0.3">
      <c r="A23" t="str">
        <f ca="1">ORÇAMENTO!C23</f>
        <v>S</v>
      </c>
      <c r="B23">
        <f ca="1">ORÇAMENTO!D23</f>
        <v>0</v>
      </c>
      <c r="C23" s="85" t="str">
        <f t="shared" ca="1" si="1"/>
        <v>F</v>
      </c>
      <c r="D23" s="88" t="str">
        <f ca="1">ORÇAMENTO!O23</f>
        <v>1.3.0.1.</v>
      </c>
      <c r="E23" s="125" t="str">
        <f t="shared" ca="1" si="2"/>
        <v>MOBILIZAÇÃO DE MAQUINÁRIO</v>
      </c>
      <c r="F23" s="126" t="str">
        <f ca="1">IF(RegimeExecucao="Global","",ORÇAMENTO.Unidade)</f>
        <v>UN</v>
      </c>
      <c r="G23" s="93">
        <f ca="1">IF(RegimeExecucao="Global","",ORÇAMENTO!T23)</f>
        <v>1</v>
      </c>
      <c r="H23" s="93">
        <f ca="1">IF(RegimeExecucao="Global","",ORÇAMENTO!W23)</f>
        <v>14526.86</v>
      </c>
      <c r="I23" s="96">
        <f ca="1">ORÇAMENTO!X23</f>
        <v>14526.86</v>
      </c>
      <c r="J23" s="257">
        <f ca="1">IF($A23="S",IF(CAIXA.Modo,BM.AFAnterior,BM.MEDAnterior),IF(AND(RegimeExecucao="Global",$I23&gt;0,COUNTIF($AB$13:$AM$13,BM.medicao-1)&gt;0),M23/$I23*100,0))</f>
        <v>0</v>
      </c>
      <c r="K23" s="93">
        <f t="shared" ca="1" si="3"/>
        <v>0</v>
      </c>
      <c r="L23" s="258">
        <f ca="1">IF($A23="S",IF(CAIXA.Modo,BM.AFAcumulado,BM.MEDAcumulado),IF(AND(RegimeExecucao="Global",$I23&gt;0,COUNTIF($AB$13:$AM$13,BM.medicao)&gt;0),O23/$I23*100,0))</f>
        <v>0</v>
      </c>
      <c r="M23" s="259">
        <f ca="1">IF($A23="S",VTOTALBM,IF($A23=0,0,ROUND(SomaAgrupBM,15-13*ORÇAMENTO!$AF$11)))</f>
        <v>0</v>
      </c>
      <c r="N23" s="260">
        <f t="shared" ca="1" si="4"/>
        <v>0</v>
      </c>
      <c r="O23" s="96">
        <f ca="1">IF($A23="S",VTOTALBM,IF($A23=0,0,ROUND(SomaAgrupBM,15-13*ORÇAMENTO!$AF$11)))</f>
        <v>0</v>
      </c>
      <c r="Q23" s="261"/>
      <c r="R23" s="262"/>
      <c r="T23" s="88" t="str">
        <f t="shared" ca="1" si="5"/>
        <v/>
      </c>
      <c r="U23" s="125" t="str">
        <f t="shared" ca="1" si="6"/>
        <v/>
      </c>
      <c r="V23" s="126" t="str">
        <f ca="1">IF(AND($W23&gt;0,RegimeExecucao="Unitário"),$F23,"")</f>
        <v/>
      </c>
      <c r="W23" s="366">
        <f ca="1">IF($Y23&gt;0,CHOOSE(MATCH(RegimeExecucao,{"Unitário","Global"},0),IF($A23="S",$Y23/$X23,""),($Y23/$X23)*100),0)</f>
        <v>0</v>
      </c>
      <c r="X23" s="263" t="str">
        <f ca="1">IF($Y23&gt;0,CHOOSE(MATCH(RegimeExecucao,{"Unitário","Global"},0),IF($A23="S",ROUND($H23,ORÇAMENTO!$AF$10),""),ROUND($I23,ORÇAMENTO!$AF$11)),"")</f>
        <v/>
      </c>
      <c r="Y23" s="263">
        <f t="shared" ca="1" si="7"/>
        <v>0</v>
      </c>
      <c r="Z23" s="384"/>
      <c r="AB23" s="261"/>
      <c r="AC23" s="349"/>
      <c r="AD23" s="349"/>
      <c r="AE23" s="349"/>
      <c r="AF23" s="349"/>
      <c r="AG23" s="349"/>
      <c r="AH23" s="349"/>
      <c r="AI23" s="349"/>
      <c r="AJ23" s="349"/>
      <c r="AK23" s="349"/>
      <c r="AL23" s="349"/>
      <c r="AM23" s="262"/>
      <c r="AO23">
        <f ca="1">IF($A23="S",IF(BM!$I23=0,0,CHOOSE(MATCH(RegimeExecucao,{"Global","Unitário"},0),ROUND(ROUND(BM.MEDAcumulado,15-13*BM!$A$9)/100*BM!$I23,15-13*ORÇAMENTO!$AF$11),ROUND(ROUND(BM.MEDAcumulado,15-13*BM!$A$9)*ROUND(BM!$H23,15-13*ORÇAMENTO!$AF$10),15-13*ORÇAMENTO!$AF$11))),IF($A23=0,0,ROUND(SomaAgrupBM,15-13*ORÇAMENTO!$AF$11)))</f>
        <v>0</v>
      </c>
    </row>
    <row r="24" spans="1:41" ht="13.8" x14ac:dyDescent="0.3">
      <c r="A24">
        <f ca="1">ORÇAMENTO!C24</f>
        <v>2</v>
      </c>
      <c r="B24">
        <f ca="1">ORÇAMENTO!D24</f>
        <v>2</v>
      </c>
      <c r="C24" s="85" t="str">
        <f t="shared" ca="1" si="1"/>
        <v>F</v>
      </c>
      <c r="D24" s="88" t="str">
        <f ca="1">ORÇAMENTO!O24</f>
        <v>1.4.</v>
      </c>
      <c r="E24" s="125" t="str">
        <f t="shared" si="2"/>
        <v>DESMOBILIZAÇÃO DE MAQUINÁRIO</v>
      </c>
      <c r="F24" s="126" t="str">
        <f ca="1">IF(RegimeExecucao="Global","",ORÇAMENTO.Unidade)</f>
        <v>-</v>
      </c>
      <c r="G24" s="93">
        <f ca="1">IF(RegimeExecucao="Global","",ORÇAMENTO!T24)</f>
        <v>0</v>
      </c>
      <c r="H24" s="93">
        <f ca="1">IF(RegimeExecucao="Global","",ORÇAMENTO!W24)</f>
        <v>0</v>
      </c>
      <c r="I24" s="96">
        <f ca="1">ORÇAMENTO!X24</f>
        <v>14526.86</v>
      </c>
      <c r="J24" s="257">
        <f ca="1">IF($A24="S",IF(CAIXA.Modo,BM.AFAnterior,BM.MEDAnterior),IF(AND(RegimeExecucao="Global",$I24&gt;0,COUNTIF($AB$13:$AM$13,BM.medicao-1)&gt;0),M24/$I24*100,0))</f>
        <v>0</v>
      </c>
      <c r="K24" s="93">
        <f t="shared" ca="1" si="3"/>
        <v>0</v>
      </c>
      <c r="L24" s="258">
        <f ca="1">IF($A24="S",IF(CAIXA.Modo,BM.AFAcumulado,BM.MEDAcumulado),IF(AND(RegimeExecucao="Global",$I24&gt;0,COUNTIF($AB$13:$AM$13,BM.medicao)&gt;0),O24/$I24*100,0))</f>
        <v>0</v>
      </c>
      <c r="M24" s="259">
        <f ca="1">IF($A24="S",VTOTALBM,IF($A24=0,0,ROUND(SomaAgrupBM,15-13*ORÇAMENTO!$AF$11)))</f>
        <v>0</v>
      </c>
      <c r="N24" s="260">
        <f t="shared" ca="1" si="4"/>
        <v>0</v>
      </c>
      <c r="O24" s="96">
        <f ca="1">IF($A24="S",VTOTALBM,IF($A24=0,0,ROUND(SomaAgrupBM,15-13*ORÇAMENTO!$AF$11)))</f>
        <v>0</v>
      </c>
      <c r="Q24" s="261"/>
      <c r="R24" s="262"/>
      <c r="T24" s="88" t="str">
        <f t="shared" ca="1" si="5"/>
        <v/>
      </c>
      <c r="U24" s="125" t="str">
        <f t="shared" ca="1" si="6"/>
        <v/>
      </c>
      <c r="V24" s="126" t="str">
        <f ca="1">IF(AND($W24&gt;0,RegimeExecucao="Unitário"),$F24,"")</f>
        <v/>
      </c>
      <c r="W24" s="366">
        <f ca="1">IF($Y24&gt;0,CHOOSE(MATCH(RegimeExecucao,{"Unitário","Global"},0),IF($A24="S",$Y24/$X24,""),($Y24/$X24)*100),0)</f>
        <v>0</v>
      </c>
      <c r="X24" s="263" t="str">
        <f ca="1">IF($Y24&gt;0,CHOOSE(MATCH(RegimeExecucao,{"Unitário","Global"},0),IF($A24="S",ROUND($H24,ORÇAMENTO!$AF$10),""),ROUND($I24,ORÇAMENTO!$AF$11)),"")</f>
        <v/>
      </c>
      <c r="Y24" s="263">
        <f t="shared" ca="1" si="7"/>
        <v>0</v>
      </c>
      <c r="Z24" s="384"/>
      <c r="AB24" s="261"/>
      <c r="AC24" s="349"/>
      <c r="AD24" s="349"/>
      <c r="AE24" s="349"/>
      <c r="AF24" s="349"/>
      <c r="AG24" s="349"/>
      <c r="AH24" s="349"/>
      <c r="AI24" s="349"/>
      <c r="AJ24" s="349"/>
      <c r="AK24" s="349"/>
      <c r="AL24" s="349"/>
      <c r="AM24" s="262"/>
      <c r="AO24">
        <f ca="1">IF($A24="S",IF(BM!$I24=0,0,CHOOSE(MATCH(RegimeExecucao,{"Global","Unitário"},0),ROUND(ROUND(BM.MEDAcumulado,15-13*BM!$A$9)/100*BM!$I24,15-13*ORÇAMENTO!$AF$11),ROUND(ROUND(BM.MEDAcumulado,15-13*BM!$A$9)*ROUND(BM!$H24,15-13*ORÇAMENTO!$AF$10),15-13*ORÇAMENTO!$AF$11))),IF($A24=0,0,ROUND(SomaAgrupBM,15-13*ORÇAMENTO!$AF$11)))</f>
        <v>0</v>
      </c>
    </row>
    <row r="25" spans="1:41" ht="13.8" x14ac:dyDescent="0.3">
      <c r="A25" t="str">
        <f ca="1">ORÇAMENTO!C25</f>
        <v>S</v>
      </c>
      <c r="B25">
        <f ca="1">ORÇAMENTO!D25</f>
        <v>0</v>
      </c>
      <c r="C25" s="85" t="str">
        <f t="shared" ca="1" si="1"/>
        <v>F</v>
      </c>
      <c r="D25" s="88" t="str">
        <f ca="1">ORÇAMENTO!O25</f>
        <v>1.4.0.1.</v>
      </c>
      <c r="E25" s="125" t="str">
        <f t="shared" ca="1" si="2"/>
        <v>DESMOBILIZAÇÃO DE MAQUINÁRIO</v>
      </c>
      <c r="F25" s="126" t="str">
        <f ca="1">IF(RegimeExecucao="Global","",ORÇAMENTO.Unidade)</f>
        <v>UN</v>
      </c>
      <c r="G25" s="93">
        <f ca="1">IF(RegimeExecucao="Global","",ORÇAMENTO!T25)</f>
        <v>1</v>
      </c>
      <c r="H25" s="93">
        <f ca="1">IF(RegimeExecucao="Global","",ORÇAMENTO!W25)</f>
        <v>14526.86</v>
      </c>
      <c r="I25" s="96">
        <f ca="1">ORÇAMENTO!X25</f>
        <v>14526.86</v>
      </c>
      <c r="J25" s="257">
        <f ca="1">IF($A25="S",IF(CAIXA.Modo,BM.AFAnterior,BM.MEDAnterior),IF(AND(RegimeExecucao="Global",$I25&gt;0,COUNTIF($AB$13:$AM$13,BM.medicao-1)&gt;0),M25/$I25*100,0))</f>
        <v>0</v>
      </c>
      <c r="K25" s="93">
        <f t="shared" ca="1" si="3"/>
        <v>0</v>
      </c>
      <c r="L25" s="258">
        <f ca="1">IF($A25="S",IF(CAIXA.Modo,BM.AFAcumulado,BM.MEDAcumulado),IF(AND(RegimeExecucao="Global",$I25&gt;0,COUNTIF($AB$13:$AM$13,BM.medicao)&gt;0),O25/$I25*100,0))</f>
        <v>0</v>
      </c>
      <c r="M25" s="259">
        <f ca="1">IF($A25="S",VTOTALBM,IF($A25=0,0,ROUND(SomaAgrupBM,15-13*ORÇAMENTO!$AF$11)))</f>
        <v>0</v>
      </c>
      <c r="N25" s="260">
        <f t="shared" ca="1" si="4"/>
        <v>0</v>
      </c>
      <c r="O25" s="96">
        <f ca="1">IF($A25="S",VTOTALBM,IF($A25=0,0,ROUND(SomaAgrupBM,15-13*ORÇAMENTO!$AF$11)))</f>
        <v>0</v>
      </c>
      <c r="Q25" s="261"/>
      <c r="R25" s="262"/>
      <c r="T25" s="88" t="str">
        <f t="shared" ca="1" si="5"/>
        <v/>
      </c>
      <c r="U25" s="125" t="str">
        <f t="shared" ca="1" si="6"/>
        <v/>
      </c>
      <c r="V25" s="126" t="str">
        <f ca="1">IF(AND($W25&gt;0,RegimeExecucao="Unitário"),$F25,"")</f>
        <v/>
      </c>
      <c r="W25" s="366">
        <f ca="1">IF($Y25&gt;0,CHOOSE(MATCH(RegimeExecucao,{"Unitário","Global"},0),IF($A25="S",$Y25/$X25,""),($Y25/$X25)*100),0)</f>
        <v>0</v>
      </c>
      <c r="X25" s="263" t="str">
        <f ca="1">IF($Y25&gt;0,CHOOSE(MATCH(RegimeExecucao,{"Unitário","Global"},0),IF($A25="S",ROUND($H25,ORÇAMENTO!$AF$10),""),ROUND($I25,ORÇAMENTO!$AF$11)),"")</f>
        <v/>
      </c>
      <c r="Y25" s="263">
        <f t="shared" ca="1" si="7"/>
        <v>0</v>
      </c>
      <c r="Z25" s="384"/>
      <c r="AB25" s="261"/>
      <c r="AC25" s="349"/>
      <c r="AD25" s="349"/>
      <c r="AE25" s="349"/>
      <c r="AF25" s="349"/>
      <c r="AG25" s="349"/>
      <c r="AH25" s="349"/>
      <c r="AI25" s="349"/>
      <c r="AJ25" s="349"/>
      <c r="AK25" s="349"/>
      <c r="AL25" s="349"/>
      <c r="AM25" s="262"/>
      <c r="AO25">
        <f ca="1">IF($A25="S",IF(BM!$I25=0,0,CHOOSE(MATCH(RegimeExecucao,{"Global","Unitário"},0),ROUND(ROUND(BM.MEDAcumulado,15-13*BM!$A$9)/100*BM!$I25,15-13*ORÇAMENTO!$AF$11),ROUND(ROUND(BM.MEDAcumulado,15-13*BM!$A$9)*ROUND(BM!$H25,15-13*ORÇAMENTO!$AF$10),15-13*ORÇAMENTO!$AF$11))),IF($A25=0,0,ROUND(SomaAgrupBM,15-13*ORÇAMENTO!$AF$11)))</f>
        <v>0</v>
      </c>
    </row>
    <row r="26" spans="1:41" ht="13.8" x14ac:dyDescent="0.3">
      <c r="A26">
        <f ca="1">ORÇAMENTO!C26</f>
        <v>2</v>
      </c>
      <c r="B26">
        <f ca="1">ORÇAMENTO!D26</f>
        <v>10</v>
      </c>
      <c r="C26" s="85" t="str">
        <f t="shared" ca="1" si="1"/>
        <v>F</v>
      </c>
      <c r="D26" s="88" t="str">
        <f ca="1">ORÇAMENTO!O26</f>
        <v>1.5.</v>
      </c>
      <c r="E26" s="125" t="str">
        <f t="shared" si="2"/>
        <v>PAVIMENTAÇÃO DE VIAS</v>
      </c>
      <c r="F26" s="126" t="str">
        <f ca="1">IF(RegimeExecucao="Global","",ORÇAMENTO.Unidade)</f>
        <v>-</v>
      </c>
      <c r="G26" s="93">
        <f ca="1">IF(RegimeExecucao="Global","",ORÇAMENTO!T26)</f>
        <v>0</v>
      </c>
      <c r="H26" s="93">
        <f ca="1">IF(RegimeExecucao="Global","",ORÇAMENTO!W26)</f>
        <v>0</v>
      </c>
      <c r="I26" s="96">
        <f ca="1">ORÇAMENTO!X26</f>
        <v>6079424.7000000002</v>
      </c>
      <c r="J26" s="257">
        <f ca="1">IF($A26="S",IF(CAIXA.Modo,BM.AFAnterior,BM.MEDAnterior),IF(AND(RegimeExecucao="Global",$I26&gt;0,COUNTIF($AB$13:$AM$13,BM.medicao-1)&gt;0),M26/$I26*100,0))</f>
        <v>0</v>
      </c>
      <c r="K26" s="93">
        <f t="shared" ca="1" si="3"/>
        <v>0</v>
      </c>
      <c r="L26" s="258">
        <f ca="1">IF($A26="S",IF(CAIXA.Modo,BM.AFAcumulado,BM.MEDAcumulado),IF(AND(RegimeExecucao="Global",$I26&gt;0,COUNTIF($AB$13:$AM$13,BM.medicao)&gt;0),O26/$I26*100,0))</f>
        <v>0</v>
      </c>
      <c r="M26" s="259">
        <f ca="1">IF($A26="S",VTOTALBM,IF($A26=0,0,ROUND(SomaAgrupBM,15-13*ORÇAMENTO!$AF$11)))</f>
        <v>0</v>
      </c>
      <c r="N26" s="260">
        <f t="shared" ca="1" si="4"/>
        <v>0</v>
      </c>
      <c r="O26" s="96">
        <f ca="1">IF($A26="S",VTOTALBM,IF($A26=0,0,ROUND(SomaAgrupBM,15-13*ORÇAMENTO!$AF$11)))</f>
        <v>0</v>
      </c>
      <c r="Q26" s="261"/>
      <c r="R26" s="262"/>
      <c r="T26" s="88" t="str">
        <f t="shared" ca="1" si="5"/>
        <v/>
      </c>
      <c r="U26" s="125" t="str">
        <f t="shared" ca="1" si="6"/>
        <v/>
      </c>
      <c r="V26" s="126" t="str">
        <f ca="1">IF(AND($W26&gt;0,RegimeExecucao="Unitário"),$F26,"")</f>
        <v/>
      </c>
      <c r="W26" s="366">
        <f ca="1">IF($Y26&gt;0,CHOOSE(MATCH(RegimeExecucao,{"Unitário","Global"},0),IF($A26="S",$Y26/$X26,""),($Y26/$X26)*100),0)</f>
        <v>0</v>
      </c>
      <c r="X26" s="263" t="str">
        <f ca="1">IF($Y26&gt;0,CHOOSE(MATCH(RegimeExecucao,{"Unitário","Global"},0),IF($A26="S",ROUND($H26,ORÇAMENTO!$AF$10),""),ROUND($I26,ORÇAMENTO!$AF$11)),"")</f>
        <v/>
      </c>
      <c r="Y26" s="263">
        <f t="shared" ca="1" si="7"/>
        <v>0</v>
      </c>
      <c r="Z26" s="384"/>
      <c r="AB26" s="261"/>
      <c r="AC26" s="349"/>
      <c r="AD26" s="349"/>
      <c r="AE26" s="349"/>
      <c r="AF26" s="349"/>
      <c r="AG26" s="349"/>
      <c r="AH26" s="349"/>
      <c r="AI26" s="349"/>
      <c r="AJ26" s="349"/>
      <c r="AK26" s="349"/>
      <c r="AL26" s="349"/>
      <c r="AM26" s="262"/>
      <c r="AO26">
        <f ca="1">IF($A26="S",IF(BM!$I26=0,0,CHOOSE(MATCH(RegimeExecucao,{"Global","Unitário"},0),ROUND(ROUND(BM.MEDAcumulado,15-13*BM!$A$9)/100*BM!$I26,15-13*ORÇAMENTO!$AF$11),ROUND(ROUND(BM.MEDAcumulado,15-13*BM!$A$9)*ROUND(BM!$H26,15-13*ORÇAMENTO!$AF$10),15-13*ORÇAMENTO!$AF$11))),IF($A26=0,0,ROUND(SomaAgrupBM,15-13*ORÇAMENTO!$AF$11)))</f>
        <v>0</v>
      </c>
    </row>
    <row r="27" spans="1:41" ht="13.8" x14ac:dyDescent="0.3">
      <c r="A27">
        <f ca="1">ORÇAMENTO!C27</f>
        <v>3</v>
      </c>
      <c r="B27">
        <f ca="1">ORÇAMENTO!D27</f>
        <v>7</v>
      </c>
      <c r="C27" s="85" t="str">
        <f ca="1">IF(OR($I27&gt;0,$A27=1,$A27=2,$A27=3,$A27=4),"F","")</f>
        <v>F</v>
      </c>
      <c r="D27" s="88" t="str">
        <f ca="1">ORÇAMENTO!O27</f>
        <v>1.5.1.</v>
      </c>
      <c r="E27" s="125" t="str">
        <f>ORÇAMENTO.Descricao</f>
        <v>PAVIMENTAÇÃO ASFÁLTICA</v>
      </c>
      <c r="F27" s="126" t="str">
        <f ca="1">IF(RegimeExecucao="Global","",ORÇAMENTO.Unidade)</f>
        <v>-</v>
      </c>
      <c r="G27" s="93">
        <f ca="1">IF(RegimeExecucao="Global","",ORÇAMENTO!T27)</f>
        <v>0</v>
      </c>
      <c r="H27" s="93">
        <f ca="1">IF(RegimeExecucao="Global","",ORÇAMENTO!W27)</f>
        <v>0</v>
      </c>
      <c r="I27" s="96">
        <f ca="1">ORÇAMENTO!X27</f>
        <v>5305998.9000000004</v>
      </c>
      <c r="J27" s="257">
        <f ca="1">IF($A27="S",IF(CAIXA.Modo,BM.AFAnterior,BM.MEDAnterior),IF(AND(RegimeExecucao="Global",$I27&gt;0,COUNTIF($AB$13:$AM$13,BM.medicao-1)&gt;0),M27/$I27*100,0))</f>
        <v>0</v>
      </c>
      <c r="K27" s="93">
        <f ca="1">L27-J27</f>
        <v>0</v>
      </c>
      <c r="L27" s="258">
        <f ca="1">IF($A27="S",IF(CAIXA.Modo,BM.AFAcumulado,BM.MEDAcumulado),IF(AND(RegimeExecucao="Global",$I27&gt;0,COUNTIF($AB$13:$AM$13,BM.medicao)&gt;0),O27/$I27*100,0))</f>
        <v>0</v>
      </c>
      <c r="M27" s="259">
        <f ca="1">IF($A27="S",VTOTALBM,IF($A27=0,0,ROUND(SomaAgrupBM,15-13*ORÇAMENTO!$AF$11)))</f>
        <v>0</v>
      </c>
      <c r="N27" s="260">
        <f ca="1">O27-M27</f>
        <v>0</v>
      </c>
      <c r="O27" s="96">
        <f ca="1">IF($A27="S",VTOTALBM,IF($A27=0,0,ROUND(SomaAgrupBM,15-13*ORÇAMENTO!$AF$11)))</f>
        <v>0</v>
      </c>
      <c r="Q27" s="261"/>
      <c r="R27" s="262"/>
      <c r="T27" s="88" t="str">
        <f ca="1">IF($W27&gt;0,$D27,"")</f>
        <v/>
      </c>
      <c r="U27" s="125" t="str">
        <f ca="1">IF($W27&gt;0,$E27,"")</f>
        <v/>
      </c>
      <c r="V27" s="126" t="str">
        <f ca="1">IF(AND($W27&gt;0,RegimeExecucao="Unitário"),$F27,"")</f>
        <v/>
      </c>
      <c r="W27" s="366">
        <f ca="1">IF($Y27&gt;0,CHOOSE(MATCH(RegimeExecucao,{"Unitário","Global"},0),IF($A27="S",$Y27/$X27,""),($Y27/$X27)*100),0)</f>
        <v>0</v>
      </c>
      <c r="X27" s="263" t="str">
        <f ca="1">IF($Y27&gt;0,CHOOSE(MATCH(RegimeExecucao,{"Unitário","Global"},0),IF($A27="S",ROUND($H27,ORÇAMENTO!$AF$10),""),ROUND($I27,ORÇAMENTO!$AF$11)),"")</f>
        <v/>
      </c>
      <c r="Y27" s="263">
        <f ca="1">AO27-O27</f>
        <v>0</v>
      </c>
      <c r="Z27" s="384"/>
      <c r="AB27" s="261"/>
      <c r="AC27" s="349"/>
      <c r="AD27" s="349"/>
      <c r="AE27" s="349"/>
      <c r="AF27" s="349"/>
      <c r="AG27" s="349"/>
      <c r="AH27" s="349"/>
      <c r="AI27" s="349"/>
      <c r="AJ27" s="349"/>
      <c r="AK27" s="349"/>
      <c r="AL27" s="349"/>
      <c r="AM27" s="262"/>
      <c r="AO27">
        <f ca="1">IF($A27="S",IF(BM!$I27=0,0,CHOOSE(MATCH(RegimeExecucao,{"Global","Unitário"},0),ROUND(ROUND(BM.MEDAcumulado,15-13*BM!$A$9)/100*BM!$I27,15-13*ORÇAMENTO!$AF$11),ROUND(ROUND(BM.MEDAcumulado,15-13*BM!$A$9)*ROUND(BM!$H27,15-13*ORÇAMENTO!$AF$10),15-13*ORÇAMENTO!$AF$11))),IF($A27=0,0,ROUND(SomaAgrupBM,15-13*ORÇAMENTO!$AF$11)))</f>
        <v>0</v>
      </c>
    </row>
    <row r="28" spans="1:41" ht="13.8" x14ac:dyDescent="0.3">
      <c r="A28" t="str">
        <f ca="1">ORÇAMENTO!C28</f>
        <v>S</v>
      </c>
      <c r="B28">
        <f ca="1">ORÇAMENTO!D28</f>
        <v>0</v>
      </c>
      <c r="C28" s="85" t="str">
        <f t="shared" ca="1" si="1"/>
        <v>F</v>
      </c>
      <c r="D28" s="88" t="str">
        <f ca="1">ORÇAMENTO!O28</f>
        <v>1.5.1.1.</v>
      </c>
      <c r="E28" s="125" t="str">
        <f t="shared" ca="1" si="2"/>
        <v>EXECUÇÃO DE IMPRIMAÇÃO COM ASFALTO DILUÍDO CM-30</v>
      </c>
      <c r="F28" s="126" t="str">
        <f ca="1">IF(RegimeExecucao="Global","",ORÇAMENTO.Unidade)</f>
        <v>M2</v>
      </c>
      <c r="G28" s="93">
        <f ca="1">IF(RegimeExecucao="Global","",ORÇAMENTO!T28)</f>
        <v>30312</v>
      </c>
      <c r="H28" s="93">
        <f ca="1">IF(RegimeExecucao="Global","",ORÇAMENTO!W28)</f>
        <v>15.45</v>
      </c>
      <c r="I28" s="96">
        <f ca="1">ORÇAMENTO!X28</f>
        <v>468320.4</v>
      </c>
      <c r="J28" s="257">
        <f ca="1">IF($A28="S",IF(CAIXA.Modo,BM.AFAnterior,BM.MEDAnterior),IF(AND(RegimeExecucao="Global",$I28&gt;0,COUNTIF($AB$13:$AM$13,BM.medicao-1)&gt;0),M28/$I28*100,0))</f>
        <v>0</v>
      </c>
      <c r="K28" s="93">
        <f t="shared" ca="1" si="3"/>
        <v>0</v>
      </c>
      <c r="L28" s="258">
        <f ca="1">IF($A28="S",IF(CAIXA.Modo,BM.AFAcumulado,BM.MEDAcumulado),IF(AND(RegimeExecucao="Global",$I28&gt;0,COUNTIF($AB$13:$AM$13,BM.medicao)&gt;0),O28/$I28*100,0))</f>
        <v>0</v>
      </c>
      <c r="M28" s="259">
        <f ca="1">IF($A28="S",VTOTALBM,IF($A28=0,0,ROUND(SomaAgrupBM,15-13*ORÇAMENTO!$AF$11)))</f>
        <v>0</v>
      </c>
      <c r="N28" s="260">
        <f t="shared" ca="1" si="4"/>
        <v>0</v>
      </c>
      <c r="O28" s="96">
        <f ca="1">IF($A28="S",VTOTALBM,IF($A28=0,0,ROUND(SomaAgrupBM,15-13*ORÇAMENTO!$AF$11)))</f>
        <v>0</v>
      </c>
      <c r="Q28" s="261"/>
      <c r="R28" s="262"/>
      <c r="T28" s="88" t="str">
        <f t="shared" ca="1" si="5"/>
        <v/>
      </c>
      <c r="U28" s="125" t="str">
        <f t="shared" ca="1" si="6"/>
        <v/>
      </c>
      <c r="V28" s="126" t="str">
        <f ca="1">IF(AND($W28&gt;0,RegimeExecucao="Unitário"),$F28,"")</f>
        <v/>
      </c>
      <c r="W28" s="366">
        <f ca="1">IF($Y28&gt;0,CHOOSE(MATCH(RegimeExecucao,{"Unitário","Global"},0),IF($A28="S",$Y28/$X28,""),($Y28/$X28)*100),0)</f>
        <v>0</v>
      </c>
      <c r="X28" s="263" t="str">
        <f ca="1">IF($Y28&gt;0,CHOOSE(MATCH(RegimeExecucao,{"Unitário","Global"},0),IF($A28="S",ROUND($H28,ORÇAMENTO!$AF$10),""),ROUND($I28,ORÇAMENTO!$AF$11)),"")</f>
        <v/>
      </c>
      <c r="Y28" s="263">
        <f t="shared" ca="1" si="7"/>
        <v>0</v>
      </c>
      <c r="Z28" s="384"/>
      <c r="AB28" s="261"/>
      <c r="AC28" s="349"/>
      <c r="AD28" s="349"/>
      <c r="AE28" s="349"/>
      <c r="AF28" s="349"/>
      <c r="AG28" s="349"/>
      <c r="AH28" s="349"/>
      <c r="AI28" s="349"/>
      <c r="AJ28" s="349"/>
      <c r="AK28" s="349"/>
      <c r="AL28" s="349"/>
      <c r="AM28" s="262"/>
      <c r="AO28">
        <f ca="1">IF($A28="S",IF(BM!$I28=0,0,CHOOSE(MATCH(RegimeExecucao,{"Global","Unitário"},0),ROUND(ROUND(BM.MEDAcumulado,15-13*BM!$A$9)/100*BM!$I28,15-13*ORÇAMENTO!$AF$11),ROUND(ROUND(BM.MEDAcumulado,15-13*BM!$A$9)*ROUND(BM!$H28,15-13*ORÇAMENTO!$AF$10),15-13*ORÇAMENTO!$AF$11))),IF($A28=0,0,ROUND(SomaAgrupBM,15-13*ORÇAMENTO!$AF$11)))</f>
        <v>0</v>
      </c>
    </row>
    <row r="29" spans="1:41" ht="26.4" x14ac:dyDescent="0.3">
      <c r="A29" t="str">
        <f ca="1">ORÇAMENTO!C29</f>
        <v>S</v>
      </c>
      <c r="B29">
        <f ca="1">ORÇAMENTO!D29</f>
        <v>0</v>
      </c>
      <c r="C29" s="85" t="str">
        <f t="shared" ca="1" si="1"/>
        <v>F</v>
      </c>
      <c r="D29" s="88" t="str">
        <f ca="1">ORÇAMENTO!O29</f>
        <v>1.5.1.2.</v>
      </c>
      <c r="E29" s="125" t="str">
        <f t="shared" ca="1" si="2"/>
        <v>EXECUÇÃO DE PINTURA DE LIGAÇÃO COM EMULSÃO ASFÁLTICA RR-2C</v>
      </c>
      <c r="F29" s="126" t="str">
        <f ca="1">IF(RegimeExecucao="Global","",ORÇAMENTO.Unidade)</f>
        <v>M2</v>
      </c>
      <c r="G29" s="93">
        <f ca="1">IF(RegimeExecucao="Global","",ORÇAMENTO!T29)</f>
        <v>30312</v>
      </c>
      <c r="H29" s="93">
        <f ca="1">IF(RegimeExecucao="Global","",ORÇAMENTO!W29)</f>
        <v>3.15</v>
      </c>
      <c r="I29" s="96">
        <f ca="1">ORÇAMENTO!X29</f>
        <v>95482.8</v>
      </c>
      <c r="J29" s="257">
        <f ca="1">IF($A29="S",IF(CAIXA.Modo,BM.AFAnterior,BM.MEDAnterior),IF(AND(RegimeExecucao="Global",$I29&gt;0,COUNTIF($AB$13:$AM$13,BM.medicao-1)&gt;0),M29/$I29*100,0))</f>
        <v>0</v>
      </c>
      <c r="K29" s="93">
        <f t="shared" ca="1" si="3"/>
        <v>0</v>
      </c>
      <c r="L29" s="258">
        <f ca="1">IF($A29="S",IF(CAIXA.Modo,BM.AFAcumulado,BM.MEDAcumulado),IF(AND(RegimeExecucao="Global",$I29&gt;0,COUNTIF($AB$13:$AM$13,BM.medicao)&gt;0),O29/$I29*100,0))</f>
        <v>0</v>
      </c>
      <c r="M29" s="259">
        <f ca="1">IF($A29="S",VTOTALBM,IF($A29=0,0,ROUND(SomaAgrupBM,15-13*ORÇAMENTO!$AF$11)))</f>
        <v>0</v>
      </c>
      <c r="N29" s="260">
        <f t="shared" ca="1" si="4"/>
        <v>0</v>
      </c>
      <c r="O29" s="96">
        <f ca="1">IF($A29="S",VTOTALBM,IF($A29=0,0,ROUND(SomaAgrupBM,15-13*ORÇAMENTO!$AF$11)))</f>
        <v>0</v>
      </c>
      <c r="Q29" s="261"/>
      <c r="R29" s="262"/>
      <c r="T29" s="88" t="str">
        <f t="shared" ca="1" si="5"/>
        <v/>
      </c>
      <c r="U29" s="125" t="str">
        <f t="shared" ca="1" si="6"/>
        <v/>
      </c>
      <c r="V29" s="126" t="str">
        <f ca="1">IF(AND($W29&gt;0,RegimeExecucao="Unitário"),$F29,"")</f>
        <v/>
      </c>
      <c r="W29" s="366">
        <f ca="1">IF($Y29&gt;0,CHOOSE(MATCH(RegimeExecucao,{"Unitário","Global"},0),IF($A29="S",$Y29/$X29,""),($Y29/$X29)*100),0)</f>
        <v>0</v>
      </c>
      <c r="X29" s="263" t="str">
        <f ca="1">IF($Y29&gt;0,CHOOSE(MATCH(RegimeExecucao,{"Unitário","Global"},0),IF($A29="S",ROUND($H29,ORÇAMENTO!$AF$10),""),ROUND($I29,ORÇAMENTO!$AF$11)),"")</f>
        <v/>
      </c>
      <c r="Y29" s="263">
        <f t="shared" ca="1" si="7"/>
        <v>0</v>
      </c>
      <c r="Z29" s="384"/>
      <c r="AB29" s="261"/>
      <c r="AC29" s="349"/>
      <c r="AD29" s="349"/>
      <c r="AE29" s="349"/>
      <c r="AF29" s="349"/>
      <c r="AG29" s="349"/>
      <c r="AH29" s="349"/>
      <c r="AI29" s="349"/>
      <c r="AJ29" s="349"/>
      <c r="AK29" s="349"/>
      <c r="AL29" s="349"/>
      <c r="AM29" s="262"/>
      <c r="AO29">
        <f ca="1">IF($A29="S",IF(BM!$I29=0,0,CHOOSE(MATCH(RegimeExecucao,{"Global","Unitário"},0),ROUND(ROUND(BM.MEDAcumulado,15-13*BM!$A$9)/100*BM!$I29,15-13*ORÇAMENTO!$AF$11),ROUND(ROUND(BM.MEDAcumulado,15-13*BM!$A$9)*ROUND(BM!$H29,15-13*ORÇAMENTO!$AF$10),15-13*ORÇAMENTO!$AF$11))),IF($A29=0,0,ROUND(SomaAgrupBM,15-13*ORÇAMENTO!$AF$11)))</f>
        <v>0</v>
      </c>
    </row>
    <row r="30" spans="1:41" ht="39.6" x14ac:dyDescent="0.3">
      <c r="A30" t="str">
        <f ca="1">ORÇAMENTO!C30</f>
        <v>S</v>
      </c>
      <c r="B30">
        <f ca="1">ORÇAMENTO!D30</f>
        <v>0</v>
      </c>
      <c r="C30" s="85" t="str">
        <f t="shared" ca="1" si="1"/>
        <v>F</v>
      </c>
      <c r="D30" s="88" t="str">
        <f ca="1">ORÇAMENTO!O30</f>
        <v>1.5.1.3.</v>
      </c>
      <c r="E30" s="125" t="str">
        <f t="shared" ca="1" si="2"/>
        <v>EXECUÇÃO DE PAVIMENTO COM APLICAÇÃO DE CONCRETO ASFÁLTICO, CAMADA DE ROLAMENTO - EXCLUSIVE CARGA E TRANSPORTE. AF_10/2025</v>
      </c>
      <c r="F30" s="126" t="str">
        <f ca="1">IF(RegimeExecucao="Global","",ORÇAMENTO.Unidade)</f>
        <v>M3</v>
      </c>
      <c r="G30" s="93">
        <f ca="1">IF(RegimeExecucao="Global","",ORÇAMENTO!T30)</f>
        <v>1060.92</v>
      </c>
      <c r="H30" s="93">
        <f ca="1">IF(RegimeExecucao="Global","",ORÇAMENTO!W30)</f>
        <v>4209.1499999999996</v>
      </c>
      <c r="I30" s="96">
        <f ca="1">ORÇAMENTO!X30</f>
        <v>4465571.42</v>
      </c>
      <c r="J30" s="257">
        <f ca="1">IF($A30="S",IF(CAIXA.Modo,BM.AFAnterior,BM.MEDAnterior),IF(AND(RegimeExecucao="Global",$I30&gt;0,COUNTIF($AB$13:$AM$13,BM.medicao-1)&gt;0),M30/$I30*100,0))</f>
        <v>0</v>
      </c>
      <c r="K30" s="93">
        <f t="shared" ca="1" si="3"/>
        <v>0</v>
      </c>
      <c r="L30" s="258">
        <f ca="1">IF($A30="S",IF(CAIXA.Modo,BM.AFAcumulado,BM.MEDAcumulado),IF(AND(RegimeExecucao="Global",$I30&gt;0,COUNTIF($AB$13:$AM$13,BM.medicao)&gt;0),O30/$I30*100,0))</f>
        <v>0</v>
      </c>
      <c r="M30" s="259">
        <f ca="1">IF($A30="S",VTOTALBM,IF($A30=0,0,ROUND(SomaAgrupBM,15-13*ORÇAMENTO!$AF$11)))</f>
        <v>0</v>
      </c>
      <c r="N30" s="260">
        <f t="shared" ca="1" si="4"/>
        <v>0</v>
      </c>
      <c r="O30" s="96">
        <f ca="1">IF($A30="S",VTOTALBM,IF($A30=0,0,ROUND(SomaAgrupBM,15-13*ORÇAMENTO!$AF$11)))</f>
        <v>0</v>
      </c>
      <c r="Q30" s="261"/>
      <c r="R30" s="262"/>
      <c r="T30" s="88" t="str">
        <f t="shared" ca="1" si="5"/>
        <v/>
      </c>
      <c r="U30" s="125" t="str">
        <f t="shared" ca="1" si="6"/>
        <v/>
      </c>
      <c r="V30" s="126" t="str">
        <f ca="1">IF(AND($W30&gt;0,RegimeExecucao="Unitário"),$F30,"")</f>
        <v/>
      </c>
      <c r="W30" s="366">
        <f ca="1">IF($Y30&gt;0,CHOOSE(MATCH(RegimeExecucao,{"Unitário","Global"},0),IF($A30="S",$Y30/$X30,""),($Y30/$X30)*100),0)</f>
        <v>0</v>
      </c>
      <c r="X30" s="263" t="str">
        <f ca="1">IF($Y30&gt;0,CHOOSE(MATCH(RegimeExecucao,{"Unitário","Global"},0),IF($A30="S",ROUND($H30,ORÇAMENTO!$AF$10),""),ROUND($I30,ORÇAMENTO!$AF$11)),"")</f>
        <v/>
      </c>
      <c r="Y30" s="263">
        <f t="shared" ca="1" si="7"/>
        <v>0</v>
      </c>
      <c r="Z30" s="384"/>
      <c r="AB30" s="261"/>
      <c r="AC30" s="349"/>
      <c r="AD30" s="349"/>
      <c r="AE30" s="349"/>
      <c r="AF30" s="349"/>
      <c r="AG30" s="349"/>
      <c r="AH30" s="349"/>
      <c r="AI30" s="349"/>
      <c r="AJ30" s="349"/>
      <c r="AK30" s="349"/>
      <c r="AL30" s="349"/>
      <c r="AM30" s="262"/>
      <c r="AO30">
        <f ca="1">IF($A30="S",IF(BM!$I30=0,0,CHOOSE(MATCH(RegimeExecucao,{"Global","Unitário"},0),ROUND(ROUND(BM.MEDAcumulado,15-13*BM!$A$9)/100*BM!$I30,15-13*ORÇAMENTO!$AF$11),ROUND(ROUND(BM.MEDAcumulado,15-13*BM!$A$9)*ROUND(BM!$H30,15-13*ORÇAMENTO!$AF$10),15-13*ORÇAMENTO!$AF$11))),IF($A30=0,0,ROUND(SomaAgrupBM,15-13*ORÇAMENTO!$AF$11)))</f>
        <v>0</v>
      </c>
    </row>
    <row r="31" spans="1:41" ht="26.4" x14ac:dyDescent="0.3">
      <c r="A31" t="str">
        <f ca="1">ORÇAMENTO!C31</f>
        <v>S</v>
      </c>
      <c r="B31">
        <f ca="1">ORÇAMENTO!D31</f>
        <v>0</v>
      </c>
      <c r="C31" s="85" t="str">
        <f t="shared" ca="1" si="1"/>
        <v>F</v>
      </c>
      <c r="D31" s="88" t="str">
        <f ca="1">ORÇAMENTO!O31</f>
        <v>1.5.1.4.</v>
      </c>
      <c r="E31" s="125" t="str">
        <f t="shared" ca="1" si="2"/>
        <v>CARGA DE MISTURA ASFÁLTICA EM CAMINHÃO BASCULANTE 10 M³ (UNIDADE: M3). AF_02/2026</v>
      </c>
      <c r="F31" s="126" t="str">
        <f ca="1">IF(RegimeExecucao="Global","",ORÇAMENTO.Unidade)</f>
        <v>M3</v>
      </c>
      <c r="G31" s="93">
        <f ca="1">IF(RegimeExecucao="Global","",ORÇAMENTO!T31)</f>
        <v>1060.92</v>
      </c>
      <c r="H31" s="93">
        <f ca="1">IF(RegimeExecucao="Global","",ORÇAMENTO!W31)</f>
        <v>13.18</v>
      </c>
      <c r="I31" s="96">
        <f ca="1">ORÇAMENTO!X31</f>
        <v>13982.93</v>
      </c>
      <c r="J31" s="257">
        <f ca="1">IF($A31="S",IF(CAIXA.Modo,BM.AFAnterior,BM.MEDAnterior),IF(AND(RegimeExecucao="Global",$I31&gt;0,COUNTIF($AB$13:$AM$13,BM.medicao-1)&gt;0),M31/$I31*100,0))</f>
        <v>0</v>
      </c>
      <c r="K31" s="93">
        <f t="shared" ca="1" si="3"/>
        <v>0</v>
      </c>
      <c r="L31" s="258">
        <f ca="1">IF($A31="S",IF(CAIXA.Modo,BM.AFAcumulado,BM.MEDAcumulado),IF(AND(RegimeExecucao="Global",$I31&gt;0,COUNTIF($AB$13:$AM$13,BM.medicao)&gt;0),O31/$I31*100,0))</f>
        <v>0</v>
      </c>
      <c r="M31" s="259">
        <f ca="1">IF($A31="S",VTOTALBM,IF($A31=0,0,ROUND(SomaAgrupBM,15-13*ORÇAMENTO!$AF$11)))</f>
        <v>0</v>
      </c>
      <c r="N31" s="260">
        <f t="shared" ca="1" si="4"/>
        <v>0</v>
      </c>
      <c r="O31" s="96">
        <f ca="1">IF($A31="S",VTOTALBM,IF($A31=0,0,ROUND(SomaAgrupBM,15-13*ORÇAMENTO!$AF$11)))</f>
        <v>0</v>
      </c>
      <c r="Q31" s="261"/>
      <c r="R31" s="262"/>
      <c r="T31" s="88" t="str">
        <f t="shared" ca="1" si="5"/>
        <v/>
      </c>
      <c r="U31" s="125" t="str">
        <f t="shared" ca="1" si="6"/>
        <v/>
      </c>
      <c r="V31" s="126" t="str">
        <f ca="1">IF(AND($W31&gt;0,RegimeExecucao="Unitário"),$F31,"")</f>
        <v/>
      </c>
      <c r="W31" s="366">
        <f ca="1">IF($Y31&gt;0,CHOOSE(MATCH(RegimeExecucao,{"Unitário","Global"},0),IF($A31="S",$Y31/$X31,""),($Y31/$X31)*100),0)</f>
        <v>0</v>
      </c>
      <c r="X31" s="263" t="str">
        <f ca="1">IF($Y31&gt;0,CHOOSE(MATCH(RegimeExecucao,{"Unitário","Global"},0),IF($A31="S",ROUND($H31,ORÇAMENTO!$AF$10),""),ROUND($I31,ORÇAMENTO!$AF$11)),"")</f>
        <v/>
      </c>
      <c r="Y31" s="263">
        <f t="shared" ca="1" si="7"/>
        <v>0</v>
      </c>
      <c r="Z31" s="384"/>
      <c r="AB31" s="261"/>
      <c r="AC31" s="349"/>
      <c r="AD31" s="349"/>
      <c r="AE31" s="349"/>
      <c r="AF31" s="349"/>
      <c r="AG31" s="349"/>
      <c r="AH31" s="349"/>
      <c r="AI31" s="349"/>
      <c r="AJ31" s="349"/>
      <c r="AK31" s="349"/>
      <c r="AL31" s="349"/>
      <c r="AM31" s="262"/>
      <c r="AO31">
        <f ca="1">IF($A31="S",IF(BM!$I31=0,0,CHOOSE(MATCH(RegimeExecucao,{"Global","Unitário"},0),ROUND(ROUND(BM.MEDAcumulado,15-13*BM!$A$9)/100*BM!$I31,15-13*ORÇAMENTO!$AF$11),ROUND(ROUND(BM.MEDAcumulado,15-13*BM!$A$9)*ROUND(BM!$H31,15-13*ORÇAMENTO!$AF$10),15-13*ORÇAMENTO!$AF$11))),IF($A31=0,0,ROUND(SomaAgrupBM,15-13*ORÇAMENTO!$AF$11)))</f>
        <v>0</v>
      </c>
    </row>
    <row r="32" spans="1:41" ht="39.6" x14ac:dyDescent="0.3">
      <c r="A32" t="str">
        <f ca="1">ORÇAMENTO!C32</f>
        <v>S</v>
      </c>
      <c r="B32">
        <f ca="1">ORÇAMENTO!D32</f>
        <v>0</v>
      </c>
      <c r="C32" s="85" t="str">
        <f t="shared" ca="1" si="1"/>
        <v>F</v>
      </c>
      <c r="D32" s="88" t="str">
        <f ca="1">ORÇAMENTO!O32</f>
        <v>1.5.1.5.</v>
      </c>
      <c r="E32" s="125" t="str">
        <f t="shared" ca="1" si="2"/>
        <v>TRANSPORTE COM CAMINHÃO BASCULANTE DE 18 M³, EM VIA URBANA PAVIMENTADA, DMT ATÉ 30 KM (UNIDADE: M3XKM). AF_02/2026</v>
      </c>
      <c r="F32" s="126" t="str">
        <f ca="1">IF(RegimeExecucao="Global","",ORÇAMENTO.Unidade)</f>
        <v>M3XKM</v>
      </c>
      <c r="G32" s="93">
        <f ca="1">IF(RegimeExecucao="Global","",ORÇAMENTO!T32)</f>
        <v>31827.599999999999</v>
      </c>
      <c r="H32" s="93">
        <f ca="1">IF(RegimeExecucao="Global","",ORÇAMENTO!W32)</f>
        <v>2.74</v>
      </c>
      <c r="I32" s="96">
        <f ca="1">ORÇAMENTO!X32</f>
        <v>87207.62</v>
      </c>
      <c r="J32" s="257">
        <f ca="1">IF($A32="S",IF(CAIXA.Modo,BM.AFAnterior,BM.MEDAnterior),IF(AND(RegimeExecucao="Global",$I32&gt;0,COUNTIF($AB$13:$AM$13,BM.medicao-1)&gt;0),M32/$I32*100,0))</f>
        <v>0</v>
      </c>
      <c r="K32" s="93">
        <f t="shared" ca="1" si="3"/>
        <v>0</v>
      </c>
      <c r="L32" s="258">
        <f ca="1">IF($A32="S",IF(CAIXA.Modo,BM.AFAcumulado,BM.MEDAcumulado),IF(AND(RegimeExecucao="Global",$I32&gt;0,COUNTIF($AB$13:$AM$13,BM.medicao)&gt;0),O32/$I32*100,0))</f>
        <v>0</v>
      </c>
      <c r="M32" s="259">
        <f ca="1">IF($A32="S",VTOTALBM,IF($A32=0,0,ROUND(SomaAgrupBM,15-13*ORÇAMENTO!$AF$11)))</f>
        <v>0</v>
      </c>
      <c r="N32" s="260">
        <f t="shared" ca="1" si="4"/>
        <v>0</v>
      </c>
      <c r="O32" s="96">
        <f ca="1">IF($A32="S",VTOTALBM,IF($A32=0,0,ROUND(SomaAgrupBM,15-13*ORÇAMENTO!$AF$11)))</f>
        <v>0</v>
      </c>
      <c r="Q32" s="261"/>
      <c r="R32" s="262"/>
      <c r="T32" s="88" t="str">
        <f t="shared" ca="1" si="5"/>
        <v/>
      </c>
      <c r="U32" s="125" t="str">
        <f t="shared" ca="1" si="6"/>
        <v/>
      </c>
      <c r="V32" s="126" t="str">
        <f ca="1">IF(AND($W32&gt;0,RegimeExecucao="Unitário"),$F32,"")</f>
        <v/>
      </c>
      <c r="W32" s="366">
        <f ca="1">IF($Y32&gt;0,CHOOSE(MATCH(RegimeExecucao,{"Unitário","Global"},0),IF($A32="S",$Y32/$X32,""),($Y32/$X32)*100),0)</f>
        <v>0</v>
      </c>
      <c r="X32" s="263" t="str">
        <f ca="1">IF($Y32&gt;0,CHOOSE(MATCH(RegimeExecucao,{"Unitário","Global"},0),IF($A32="S",ROUND($H32,ORÇAMENTO!$AF$10),""),ROUND($I32,ORÇAMENTO!$AF$11)),"")</f>
        <v/>
      </c>
      <c r="Y32" s="263">
        <f t="shared" ca="1" si="7"/>
        <v>0</v>
      </c>
      <c r="Z32" s="384"/>
      <c r="AB32" s="261"/>
      <c r="AC32" s="349"/>
      <c r="AD32" s="349"/>
      <c r="AE32" s="349"/>
      <c r="AF32" s="349"/>
      <c r="AG32" s="349"/>
      <c r="AH32" s="349"/>
      <c r="AI32" s="349"/>
      <c r="AJ32" s="349"/>
      <c r="AK32" s="349"/>
      <c r="AL32" s="349"/>
      <c r="AM32" s="262"/>
      <c r="AO32">
        <f ca="1">IF($A32="S",IF(BM!$I32=0,0,CHOOSE(MATCH(RegimeExecucao,{"Global","Unitário"},0),ROUND(ROUND(BM.MEDAcumulado,15-13*BM!$A$9)/100*BM!$I32,15-13*ORÇAMENTO!$AF$11),ROUND(ROUND(BM.MEDAcumulado,15-13*BM!$A$9)*ROUND(BM!$H32,15-13*ORÇAMENTO!$AF$10),15-13*ORÇAMENTO!$AF$11))),IF($A32=0,0,ROUND(SomaAgrupBM,15-13*ORÇAMENTO!$AF$11)))</f>
        <v>0</v>
      </c>
    </row>
    <row r="33" spans="1:41" ht="39.6" x14ac:dyDescent="0.3">
      <c r="A33" t="str">
        <f ca="1">ORÇAMENTO!C33</f>
        <v>S</v>
      </c>
      <c r="B33">
        <f ca="1">ORÇAMENTO!D33</f>
        <v>0</v>
      </c>
      <c r="C33" s="85" t="str">
        <f ca="1">IF(OR($I33&gt;0,$A33=1,$A33=2,$A33=3,$A33=4),"F","")</f>
        <v>F</v>
      </c>
      <c r="D33" s="88" t="str">
        <f ca="1">ORÇAMENTO!O33</f>
        <v>1.5.1.6.</v>
      </c>
      <c r="E33" s="125" t="str">
        <f ca="1">ORÇAMENTO.Descricao</f>
        <v>TRANSPORTE COM CAMINHÃO BASCULANTE DE 18 M³, EM VIA URBANA PAVIMENTADA, ADICIONAL PARA DMT EXCEDENTE A 30 KM (UNIDADE: M3XKM). AF_02/2026</v>
      </c>
      <c r="F33" s="126" t="str">
        <f ca="1">IF(RegimeExecucao="Global","",ORÇAMENTO.Unidade)</f>
        <v>M3XKM</v>
      </c>
      <c r="G33" s="93">
        <f ca="1">IF(RegimeExecucao="Global","",ORÇAMENTO!T33)</f>
        <v>168686.28</v>
      </c>
      <c r="H33" s="93">
        <f ca="1">IF(RegimeExecucao="Global","",ORÇAMENTO!W33)</f>
        <v>1.04</v>
      </c>
      <c r="I33" s="96">
        <f ca="1">ORÇAMENTO!X33</f>
        <v>175433.73</v>
      </c>
      <c r="J33" s="257">
        <f ca="1">IF($A33="S",IF(CAIXA.Modo,BM.AFAnterior,BM.MEDAnterior),IF(AND(RegimeExecucao="Global",$I33&gt;0,COUNTIF($AB$13:$AM$13,BM.medicao-1)&gt;0),M33/$I33*100,0))</f>
        <v>0</v>
      </c>
      <c r="K33" s="93">
        <f ca="1">L33-J33</f>
        <v>0</v>
      </c>
      <c r="L33" s="258">
        <f ca="1">IF($A33="S",IF(CAIXA.Modo,BM.AFAcumulado,BM.MEDAcumulado),IF(AND(RegimeExecucao="Global",$I33&gt;0,COUNTIF($AB$13:$AM$13,BM.medicao)&gt;0),O33/$I33*100,0))</f>
        <v>0</v>
      </c>
      <c r="M33" s="259">
        <f ca="1">IF($A33="S",VTOTALBM,IF($A33=0,0,ROUND(SomaAgrupBM,15-13*ORÇAMENTO!$AF$11)))</f>
        <v>0</v>
      </c>
      <c r="N33" s="260">
        <f ca="1">O33-M33</f>
        <v>0</v>
      </c>
      <c r="O33" s="96">
        <f ca="1">IF($A33="S",VTOTALBM,IF($A33=0,0,ROUND(SomaAgrupBM,15-13*ORÇAMENTO!$AF$11)))</f>
        <v>0</v>
      </c>
      <c r="Q33" s="261"/>
      <c r="R33" s="262"/>
      <c r="T33" s="88" t="str">
        <f ca="1">IF($W33&gt;0,$D33,"")</f>
        <v/>
      </c>
      <c r="U33" s="125" t="str">
        <f ca="1">IF($W33&gt;0,$E33,"")</f>
        <v/>
      </c>
      <c r="V33" s="126" t="str">
        <f ca="1">IF(AND($W33&gt;0,RegimeExecucao="Unitário"),$F33,"")</f>
        <v/>
      </c>
      <c r="W33" s="366">
        <f ca="1">IF($Y33&gt;0,CHOOSE(MATCH(RegimeExecucao,{"Unitário","Global"},0),IF($A33="S",$Y33/$X33,""),($Y33/$X33)*100),0)</f>
        <v>0</v>
      </c>
      <c r="X33" s="263" t="str">
        <f ca="1">IF($Y33&gt;0,CHOOSE(MATCH(RegimeExecucao,{"Unitário","Global"},0),IF($A33="S",ROUND($H33,ORÇAMENTO!$AF$10),""),ROUND($I33,ORÇAMENTO!$AF$11)),"")</f>
        <v/>
      </c>
      <c r="Y33" s="263">
        <f ca="1">AO33-O33</f>
        <v>0</v>
      </c>
      <c r="Z33" s="384"/>
      <c r="AB33" s="261"/>
      <c r="AC33" s="349"/>
      <c r="AD33" s="349"/>
      <c r="AE33" s="349"/>
      <c r="AF33" s="349"/>
      <c r="AG33" s="349"/>
      <c r="AH33" s="349"/>
      <c r="AI33" s="349"/>
      <c r="AJ33" s="349"/>
      <c r="AK33" s="349"/>
      <c r="AL33" s="349"/>
      <c r="AM33" s="262"/>
      <c r="AO33">
        <f ca="1">IF($A33="S",IF(BM!$I33=0,0,CHOOSE(MATCH(RegimeExecucao,{"Global","Unitário"},0),ROUND(ROUND(BM.MEDAcumulado,15-13*BM!$A$9)/100*BM!$I33,15-13*ORÇAMENTO!$AF$11),ROUND(ROUND(BM.MEDAcumulado,15-13*BM!$A$9)*ROUND(BM!$H33,15-13*ORÇAMENTO!$AF$10),15-13*ORÇAMENTO!$AF$11))),IF($A33=0,0,ROUND(SomaAgrupBM,15-13*ORÇAMENTO!$AF$11)))</f>
        <v>0</v>
      </c>
    </row>
    <row r="34" spans="1:41" ht="13.8" x14ac:dyDescent="0.3">
      <c r="A34">
        <f ca="1">ORÇAMENTO!C34</f>
        <v>3</v>
      </c>
      <c r="B34">
        <f ca="1">ORÇAMENTO!D34</f>
        <v>2</v>
      </c>
      <c r="C34" s="85" t="str">
        <f t="shared" ca="1" si="1"/>
        <v>F</v>
      </c>
      <c r="D34" s="88" t="str">
        <f ca="1">ORÇAMENTO!O34</f>
        <v>1.5.2.</v>
      </c>
      <c r="E34" s="125" t="str">
        <f t="shared" si="2"/>
        <v>DRENAGEM SUPERFICIAL</v>
      </c>
      <c r="F34" s="126" t="str">
        <f ca="1">IF(RegimeExecucao="Global","",ORÇAMENTO.Unidade)</f>
        <v>-</v>
      </c>
      <c r="G34" s="93">
        <f ca="1">IF(RegimeExecucao="Global","",ORÇAMENTO!T34)</f>
        <v>0</v>
      </c>
      <c r="H34" s="93">
        <f ca="1">IF(RegimeExecucao="Global","",ORÇAMENTO!W34)</f>
        <v>0</v>
      </c>
      <c r="I34" s="96">
        <f ca="1">ORÇAMENTO!X34</f>
        <v>773425.8</v>
      </c>
      <c r="J34" s="257">
        <f ca="1">IF($A34="S",IF(CAIXA.Modo,BM.AFAnterior,BM.MEDAnterior),IF(AND(RegimeExecucao="Global",$I34&gt;0,COUNTIF($AB$13:$AM$13,BM.medicao-1)&gt;0),M34/$I34*100,0))</f>
        <v>0</v>
      </c>
      <c r="K34" s="93">
        <f t="shared" ca="1" si="3"/>
        <v>0</v>
      </c>
      <c r="L34" s="258">
        <f ca="1">IF($A34="S",IF(CAIXA.Modo,BM.AFAcumulado,BM.MEDAcumulado),IF(AND(RegimeExecucao="Global",$I34&gt;0,COUNTIF($AB$13:$AM$13,BM.medicao)&gt;0),O34/$I34*100,0))</f>
        <v>0</v>
      </c>
      <c r="M34" s="259">
        <f ca="1">IF($A34="S",VTOTALBM,IF($A34=0,0,ROUND(SomaAgrupBM,15-13*ORÇAMENTO!$AF$11)))</f>
        <v>0</v>
      </c>
      <c r="N34" s="260">
        <f t="shared" ca="1" si="4"/>
        <v>0</v>
      </c>
      <c r="O34" s="96">
        <f ca="1">IF($A34="S",VTOTALBM,IF($A34=0,0,ROUND(SomaAgrupBM,15-13*ORÇAMENTO!$AF$11)))</f>
        <v>0</v>
      </c>
      <c r="Q34" s="261"/>
      <c r="R34" s="262"/>
      <c r="T34" s="88" t="str">
        <f t="shared" ca="1" si="5"/>
        <v/>
      </c>
      <c r="U34" s="125" t="str">
        <f t="shared" ca="1" si="6"/>
        <v/>
      </c>
      <c r="V34" s="126" t="str">
        <f ca="1">IF(AND($W34&gt;0,RegimeExecucao="Unitário"),$F34,"")</f>
        <v/>
      </c>
      <c r="W34" s="366">
        <f ca="1">IF($Y34&gt;0,CHOOSE(MATCH(RegimeExecucao,{"Unitário","Global"},0),IF($A34="S",$Y34/$X34,""),($Y34/$X34)*100),0)</f>
        <v>0</v>
      </c>
      <c r="X34" s="263" t="str">
        <f ca="1">IF($Y34&gt;0,CHOOSE(MATCH(RegimeExecucao,{"Unitário","Global"},0),IF($A34="S",ROUND($H34,ORÇAMENTO!$AF$10),""),ROUND($I34,ORÇAMENTO!$AF$11)),"")</f>
        <v/>
      </c>
      <c r="Y34" s="263">
        <f t="shared" ca="1" si="7"/>
        <v>0</v>
      </c>
      <c r="Z34" s="384"/>
      <c r="AB34" s="261"/>
      <c r="AC34" s="349"/>
      <c r="AD34" s="349"/>
      <c r="AE34" s="349"/>
      <c r="AF34" s="349"/>
      <c r="AG34" s="349"/>
      <c r="AH34" s="349"/>
      <c r="AI34" s="349"/>
      <c r="AJ34" s="349"/>
      <c r="AK34" s="349"/>
      <c r="AL34" s="349"/>
      <c r="AM34" s="262"/>
      <c r="AO34">
        <f ca="1">IF($A34="S",IF(BM!$I34=0,0,CHOOSE(MATCH(RegimeExecucao,{"Global","Unitário"},0),ROUND(ROUND(BM.MEDAcumulado,15-13*BM!$A$9)/100*BM!$I34,15-13*ORÇAMENTO!$AF$11),ROUND(ROUND(BM.MEDAcumulado,15-13*BM!$A$9)*ROUND(BM!$H34,15-13*ORÇAMENTO!$AF$10),15-13*ORÇAMENTO!$AF$11))),IF($A34=0,0,ROUND(SomaAgrupBM,15-13*ORÇAMENTO!$AF$11)))</f>
        <v>0</v>
      </c>
    </row>
    <row r="35" spans="1:41" ht="52.8" x14ac:dyDescent="0.3">
      <c r="A35" t="str">
        <f ca="1">ORÇAMENTO!C35</f>
        <v>S</v>
      </c>
      <c r="B35">
        <f ca="1">ORÇAMENTO!D35</f>
        <v>0</v>
      </c>
      <c r="C35" s="85" t="str">
        <f t="shared" ca="1" si="1"/>
        <v>F</v>
      </c>
      <c r="D35" s="88" t="str">
        <f ca="1">ORÇAMENTO!O35</f>
        <v>1.5.2.1.</v>
      </c>
      <c r="E35" s="125" t="str">
        <f t="shared" ca="1" si="2"/>
        <v>GUIA (MEIO-FIO) E SARJETA CONJUGADOS DE CONCRETO, MOLDADA IN LOCO EM TRECHO RETO COM EXTRUSORA, 45 CM BASE (15 CM BASE DA GUIA + 30 CM BASE DA SARJETA) X 22 CM ALTURA. AF_01/2024</v>
      </c>
      <c r="F35" s="126" t="str">
        <f ca="1">IF(RegimeExecucao="Global","",ORÇAMENTO.Unidade)</f>
        <v>M</v>
      </c>
      <c r="G35" s="93">
        <f ca="1">IF(RegimeExecucao="Global","",ORÇAMENTO!T35)</f>
        <v>8532</v>
      </c>
      <c r="H35" s="93">
        <f ca="1">IF(RegimeExecucao="Global","",ORÇAMENTO!W35)</f>
        <v>90.65</v>
      </c>
      <c r="I35" s="96">
        <f ca="1">ORÇAMENTO!X35</f>
        <v>773425.8</v>
      </c>
      <c r="J35" s="257">
        <f ca="1">IF($A35="S",IF(CAIXA.Modo,BM.AFAnterior,BM.MEDAnterior),IF(AND(RegimeExecucao="Global",$I35&gt;0,COUNTIF($AB$13:$AM$13,BM.medicao-1)&gt;0),M35/$I35*100,0))</f>
        <v>0</v>
      </c>
      <c r="K35" s="93">
        <f t="shared" ca="1" si="3"/>
        <v>0</v>
      </c>
      <c r="L35" s="258">
        <f ca="1">IF($A35="S",IF(CAIXA.Modo,BM.AFAcumulado,BM.MEDAcumulado),IF(AND(RegimeExecucao="Global",$I35&gt;0,COUNTIF($AB$13:$AM$13,BM.medicao)&gt;0),O35/$I35*100,0))</f>
        <v>0</v>
      </c>
      <c r="M35" s="259">
        <f ca="1">IF($A35="S",VTOTALBM,IF($A35=0,0,ROUND(SomaAgrupBM,15-13*ORÇAMENTO!$AF$11)))</f>
        <v>0</v>
      </c>
      <c r="N35" s="260">
        <f t="shared" ca="1" si="4"/>
        <v>0</v>
      </c>
      <c r="O35" s="96">
        <f ca="1">IF($A35="S",VTOTALBM,IF($A35=0,0,ROUND(SomaAgrupBM,15-13*ORÇAMENTO!$AF$11)))</f>
        <v>0</v>
      </c>
      <c r="Q35" s="261"/>
      <c r="R35" s="262"/>
      <c r="T35" s="88" t="str">
        <f t="shared" ca="1" si="5"/>
        <v/>
      </c>
      <c r="U35" s="125" t="str">
        <f t="shared" ca="1" si="6"/>
        <v/>
      </c>
      <c r="V35" s="126" t="str">
        <f ca="1">IF(AND($W35&gt;0,RegimeExecucao="Unitário"),$F35,"")</f>
        <v/>
      </c>
      <c r="W35" s="366">
        <f ca="1">IF($Y35&gt;0,CHOOSE(MATCH(RegimeExecucao,{"Unitário","Global"},0),IF($A35="S",$Y35/$X35,""),($Y35/$X35)*100),0)</f>
        <v>0</v>
      </c>
      <c r="X35" s="263" t="str">
        <f ca="1">IF($Y35&gt;0,CHOOSE(MATCH(RegimeExecucao,{"Unitário","Global"},0),IF($A35="S",ROUND($H35,ORÇAMENTO!$AF$10),""),ROUND($I35,ORÇAMENTO!$AF$11)),"")</f>
        <v/>
      </c>
      <c r="Y35" s="263">
        <f t="shared" ca="1" si="7"/>
        <v>0</v>
      </c>
      <c r="Z35" s="384"/>
      <c r="AB35" s="261"/>
      <c r="AC35" s="349"/>
      <c r="AD35" s="349"/>
      <c r="AE35" s="349"/>
      <c r="AF35" s="349"/>
      <c r="AG35" s="349"/>
      <c r="AH35" s="349"/>
      <c r="AI35" s="349"/>
      <c r="AJ35" s="349"/>
      <c r="AK35" s="349"/>
      <c r="AL35" s="349"/>
      <c r="AM35" s="262"/>
      <c r="AO35">
        <f ca="1">IF($A35="S",IF(BM!$I35=0,0,CHOOSE(MATCH(RegimeExecucao,{"Global","Unitário"},0),ROUND(ROUND(BM.MEDAcumulado,15-13*BM!$A$9)/100*BM!$I35,15-13*ORÇAMENTO!$AF$11),ROUND(ROUND(BM.MEDAcumulado,15-13*BM!$A$9)*ROUND(BM!$H35,15-13*ORÇAMENTO!$AF$10),15-13*ORÇAMENTO!$AF$11))),IF($A35=0,0,ROUND(SomaAgrupBM,15-13*ORÇAMENTO!$AF$11)))</f>
        <v>0</v>
      </c>
    </row>
    <row r="36" spans="1:41" ht="5.0999999999999996" customHeight="1" x14ac:dyDescent="0.3">
      <c r="C36" s="85" t="s">
        <v>542</v>
      </c>
      <c r="D36" s="580"/>
      <c r="E36" s="583"/>
      <c r="F36" s="583"/>
      <c r="G36" s="583"/>
      <c r="H36" s="583"/>
      <c r="I36" s="581"/>
      <c r="J36" s="580"/>
      <c r="K36" s="583"/>
      <c r="L36" s="581"/>
      <c r="M36" s="346"/>
      <c r="N36" s="347"/>
      <c r="O36" s="348"/>
      <c r="Q36" s="580"/>
      <c r="R36" s="581"/>
      <c r="T36" s="580"/>
      <c r="U36" s="583"/>
      <c r="V36" s="583"/>
      <c r="W36" s="583"/>
      <c r="X36" s="583"/>
      <c r="Y36" s="583"/>
      <c r="Z36" s="581"/>
      <c r="AB36" s="580"/>
      <c r="AC36" s="583"/>
      <c r="AD36" s="583"/>
      <c r="AE36" s="583"/>
      <c r="AF36" s="583"/>
      <c r="AG36" s="583"/>
      <c r="AH36" s="583"/>
      <c r="AI36" s="583"/>
      <c r="AJ36" s="583"/>
      <c r="AK36" s="583"/>
      <c r="AL36" s="583"/>
      <c r="AM36" s="581"/>
    </row>
    <row r="38" spans="1:41" ht="13.8" x14ac:dyDescent="0.25">
      <c r="D38" s="800" t="s">
        <v>696</v>
      </c>
      <c r="E38" s="800"/>
      <c r="F38" s="800"/>
      <c r="G38" s="800"/>
      <c r="H38" s="800"/>
      <c r="I38" s="800"/>
      <c r="J38" s="800"/>
      <c r="K38" s="800"/>
      <c r="L38" s="800"/>
      <c r="M38" s="800"/>
      <c r="N38" s="800"/>
      <c r="O38" s="800"/>
      <c r="T38" s="801" t="s">
        <v>890</v>
      </c>
      <c r="U38" s="801"/>
      <c r="V38" s="801"/>
      <c r="W38" s="801"/>
      <c r="X38" s="801"/>
      <c r="Y38" s="801"/>
      <c r="Z38" s="801"/>
    </row>
    <row r="39" spans="1:41" ht="12.75" customHeight="1" x14ac:dyDescent="0.25">
      <c r="D39" s="711"/>
      <c r="E39" s="711"/>
      <c r="F39" s="711"/>
      <c r="G39" s="711"/>
      <c r="H39" s="711"/>
      <c r="I39" s="711"/>
      <c r="J39" s="711"/>
      <c r="K39" s="711"/>
      <c r="L39" s="711"/>
      <c r="M39" s="711"/>
      <c r="N39" s="711"/>
      <c r="O39" s="711"/>
      <c r="T39" s="802"/>
      <c r="U39" s="802"/>
      <c r="V39" s="802"/>
      <c r="W39" s="802"/>
      <c r="X39" s="802"/>
      <c r="Y39" s="802"/>
      <c r="Z39" s="802"/>
    </row>
    <row r="40" spans="1:41" ht="12.75" customHeight="1" x14ac:dyDescent="0.25">
      <c r="D40" s="711"/>
      <c r="E40" s="711"/>
      <c r="F40" s="711"/>
      <c r="G40" s="711"/>
      <c r="H40" s="711"/>
      <c r="I40" s="711"/>
      <c r="J40" s="711"/>
      <c r="K40" s="711"/>
      <c r="L40" s="711"/>
      <c r="M40" s="711"/>
      <c r="N40" s="711"/>
      <c r="O40" s="711"/>
      <c r="T40" s="802"/>
      <c r="U40" s="802"/>
      <c r="V40" s="802"/>
      <c r="W40" s="802"/>
      <c r="X40" s="802"/>
      <c r="Y40" s="802"/>
      <c r="Z40" s="802"/>
    </row>
    <row r="41" spans="1:41" ht="12.75" customHeight="1" x14ac:dyDescent="0.25">
      <c r="D41" s="711"/>
      <c r="E41" s="711"/>
      <c r="F41" s="711"/>
      <c r="G41" s="711"/>
      <c r="H41" s="711"/>
      <c r="I41" s="711"/>
      <c r="J41" s="711"/>
      <c r="K41" s="711"/>
      <c r="L41" s="711"/>
      <c r="M41" s="711"/>
      <c r="N41" s="711"/>
      <c r="O41" s="711"/>
      <c r="T41" s="802"/>
      <c r="U41" s="802"/>
      <c r="V41" s="802"/>
      <c r="W41" s="802"/>
      <c r="X41" s="802"/>
      <c r="Y41" s="802"/>
      <c r="Z41" s="802"/>
    </row>
    <row r="42" spans="1:41" ht="13.8" x14ac:dyDescent="0.25">
      <c r="D42" s="355"/>
      <c r="E42" s="355"/>
      <c r="F42" s="355"/>
      <c r="G42" s="355"/>
      <c r="H42" s="355"/>
      <c r="I42" s="355"/>
      <c r="J42" s="355"/>
      <c r="K42" s="355"/>
      <c r="L42" s="355"/>
      <c r="M42" s="355"/>
      <c r="N42" s="355"/>
      <c r="O42" s="355"/>
    </row>
    <row r="43" spans="1:41" ht="15" customHeight="1" x14ac:dyDescent="0.25">
      <c r="D43" s="797"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43" s="797"/>
      <c r="F43" s="797"/>
      <c r="G43" s="797"/>
      <c r="H43" s="797"/>
      <c r="I43" s="797"/>
      <c r="J43" s="797"/>
      <c r="K43" s="797"/>
      <c r="L43" s="797"/>
    </row>
    <row r="44" spans="1:41" x14ac:dyDescent="0.25">
      <c r="D44" s="798"/>
      <c r="E44" s="798"/>
      <c r="F44" s="798"/>
      <c r="G44" s="798"/>
      <c r="H44" s="798"/>
      <c r="I44" s="798"/>
    </row>
    <row r="45" spans="1:41" x14ac:dyDescent="0.25">
      <c r="D45" s="79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45" s="795"/>
      <c r="F45" s="795"/>
      <c r="G45" s="795"/>
      <c r="H45" s="795"/>
      <c r="I45" s="795"/>
      <c r="J45" s="795"/>
      <c r="K45" s="795"/>
      <c r="L45" s="795"/>
      <c r="M45" s="795"/>
      <c r="N45" s="795"/>
      <c r="O45" s="795"/>
    </row>
    <row r="46" spans="1:41" ht="39.9" customHeight="1" x14ac:dyDescent="0.25">
      <c r="E46" s="520" t="str">
        <f>Import.Município</f>
        <v>URUARÁ-PARÁ</v>
      </c>
      <c r="J46" s="499" t="str">
        <f ca="1">IF(DADOS!$D$50&lt;&gt;"","Preencher os Dados do Responsável pela Fiscalização, na aba DADOS.","")</f>
        <v/>
      </c>
      <c r="K46" s="499"/>
      <c r="L46" s="499"/>
      <c r="M46" s="499"/>
      <c r="W46" s="796"/>
      <c r="X46" s="796"/>
      <c r="Y46" s="796"/>
      <c r="Z46" s="796"/>
    </row>
    <row r="47" spans="1:41" x14ac:dyDescent="0.25">
      <c r="E47" s="7" t="s">
        <v>700</v>
      </c>
      <c r="J47" s="535" t="s">
        <v>866</v>
      </c>
      <c r="W47" s="535" t="s">
        <v>891</v>
      </c>
    </row>
    <row r="48" spans="1:41" x14ac:dyDescent="0.25">
      <c r="J48" s="55" t="s">
        <v>240</v>
      </c>
      <c r="K48" s="536">
        <f t="array" ref="K48:K51">Import.RespFiscalização</f>
        <v>0</v>
      </c>
      <c r="L48" s="56"/>
      <c r="W48" s="55" t="s">
        <v>240</v>
      </c>
      <c r="X48" s="794"/>
      <c r="Y48" s="794"/>
      <c r="Z48" s="794"/>
    </row>
    <row r="49" spans="5:26" x14ac:dyDescent="0.25">
      <c r="E49" s="525">
        <f>DADOS!$C$48</f>
        <v>0</v>
      </c>
      <c r="J49" s="55" t="s">
        <v>325</v>
      </c>
      <c r="K49" s="536">
        <v>0</v>
      </c>
      <c r="L49" s="56"/>
      <c r="W49" s="55" t="s">
        <v>892</v>
      </c>
      <c r="X49" s="794"/>
      <c r="Y49" s="794"/>
      <c r="Z49" s="794"/>
    </row>
    <row r="50" spans="5:26" x14ac:dyDescent="0.25">
      <c r="E50" s="584" t="s">
        <v>701</v>
      </c>
      <c r="J50" s="55" t="s">
        <v>244</v>
      </c>
      <c r="K50" s="536">
        <v>0</v>
      </c>
      <c r="L50" s="56"/>
      <c r="W50" s="55" t="s">
        <v>244</v>
      </c>
      <c r="X50" s="794"/>
      <c r="Y50" s="794"/>
      <c r="Z50" s="794"/>
    </row>
    <row r="51" spans="5:26" x14ac:dyDescent="0.25">
      <c r="J51" s="55" t="s">
        <v>248</v>
      </c>
      <c r="K51" s="531">
        <v>0</v>
      </c>
      <c r="W51" s="55"/>
      <c r="X51" s="531"/>
    </row>
  </sheetData>
  <sheetProtection algorithmName="SHA-512" hashValue="Tf0d5BbpCRuOO/4aELzrUaHkhOXt3u3HhPntidP1xdbYATTe3YbHiCDCh4wKPntXRunWRprxudTSHPKHOHo03Q==" saltValue="D8ZEQrxZ6ISVdAK43AzY6A==" spinCount="100000" sheet="1" objects="1" scenarios="1" autoFilter="0"/>
  <autoFilter ref="C15:C36" xr:uid="{00000000-0009-0000-0000-00000B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43:L43"/>
    <mergeCell ref="D44:I44"/>
    <mergeCell ref="AB15:AM15"/>
    <mergeCell ref="D38:O38"/>
    <mergeCell ref="T38:Z38"/>
    <mergeCell ref="D39:O41"/>
    <mergeCell ref="T39:Z41"/>
    <mergeCell ref="D15:E15"/>
    <mergeCell ref="X50:Z50"/>
    <mergeCell ref="D45:O45"/>
    <mergeCell ref="W46:Z46"/>
    <mergeCell ref="X48:Z48"/>
    <mergeCell ref="X49:Z49"/>
  </mergeCells>
  <phoneticPr fontId="38" type="noConversion"/>
  <conditionalFormatting sqref="D14:O14 T14:Z14 D16:O19 T16:Z19 D28:O31 T28:Z31 T26:Z26 D26:O26 D34:O35 T34:Z35">
    <cfRule type="expression" dxfId="82" priority="10379" stopIfTrue="1">
      <formula>OR(ACOMPANHAMENTO="PLE",TIPOORCAMENTO="Proposto",$L14&lt;0,AND($L14&gt;100,RegimeExecucao="Global"),$O14&gt;$I14,$O14&lt;0)</formula>
    </cfRule>
    <cfRule type="expression" dxfId="81" priority="10380" stopIfTrue="1">
      <formula>$A14=1</formula>
    </cfRule>
    <cfRule type="expression" dxfId="80" priority="10381" stopIfTrue="1">
      <formula>$A14&lt;&gt;"S"</formula>
    </cfRule>
  </conditionalFormatting>
  <conditionalFormatting sqref="Q14:R14 AB14:AM14 Q16:R19 AB16:AM19 Q28:R31 AB28:AM31 AB26:AM26 Q26:R26 Q34:R35 AB34:AM35">
    <cfRule type="expression" dxfId="79" priority="10382" stopIfTrue="1">
      <formula>$A14=1</formula>
    </cfRule>
    <cfRule type="expression" dxfId="78" priority="10383" stopIfTrue="1">
      <formula>$A14&lt;&gt;"S"</formula>
    </cfRule>
  </conditionalFormatting>
  <conditionalFormatting sqref="E2">
    <cfRule type="expression" dxfId="77" priority="10384" stopIfTrue="1">
      <formula>Import.RegimeExecução="(SELECIONAR)"</formula>
    </cfRule>
  </conditionalFormatting>
  <conditionalFormatting sqref="F13:H13">
    <cfRule type="expression" dxfId="76" priority="10385" stopIfTrue="1">
      <formula>RegimeExecucao="Global"</formula>
    </cfRule>
  </conditionalFormatting>
  <conditionalFormatting sqref="D15:O15">
    <cfRule type="expression" dxfId="75" priority="10386" stopIfTrue="1">
      <formula>OR(ACOMPANHAMENTO="PLE",TIPOORCAMENTO="Proposto")</formula>
    </cfRule>
  </conditionalFormatting>
  <conditionalFormatting sqref="AB13">
    <cfRule type="cellIs" dxfId="74" priority="10387" stopIfTrue="1" operator="notEqual">
      <formula>1</formula>
    </cfRule>
  </conditionalFormatting>
  <conditionalFormatting sqref="O11">
    <cfRule type="expression" dxfId="73" priority="5246">
      <formula>ROUND($P$11,4)&gt;ROUND($P$10,4)</formula>
    </cfRule>
  </conditionalFormatting>
  <conditionalFormatting sqref="T22:Z25 D22:O25 T20:Z20 D20:O20">
    <cfRule type="expression" dxfId="72" priority="186" stopIfTrue="1">
      <formula>OR(ACOMPANHAMENTO="PLE",TIPOORCAMENTO="Proposto",$L20&lt;0,AND($L20&gt;100,RegimeExecucao="Global"),$O20&gt;$I20,$O20&lt;0)</formula>
    </cfRule>
    <cfRule type="expression" dxfId="71" priority="187" stopIfTrue="1">
      <formula>$A20=1</formula>
    </cfRule>
    <cfRule type="expression" dxfId="70" priority="188" stopIfTrue="1">
      <formula>$A20&lt;&gt;"S"</formula>
    </cfRule>
  </conditionalFormatting>
  <conditionalFormatting sqref="AB22:AM25 Q22:R25 AB20:AM20 Q20:R20">
    <cfRule type="expression" dxfId="69" priority="189" stopIfTrue="1">
      <formula>$A20=1</formula>
    </cfRule>
    <cfRule type="expression" dxfId="68" priority="190" stopIfTrue="1">
      <formula>$A20&lt;&gt;"S"</formula>
    </cfRule>
  </conditionalFormatting>
  <conditionalFormatting sqref="D32:O32 T32:Z32">
    <cfRule type="expression" dxfId="67" priority="166" stopIfTrue="1">
      <formula>OR(ACOMPANHAMENTO="PLE",TIPOORCAMENTO="Proposto",$L32&lt;0,AND($L32&gt;100,RegimeExecucao="Global"),$O32&gt;$I32,$O32&lt;0)</formula>
    </cfRule>
    <cfRule type="expression" dxfId="66" priority="167" stopIfTrue="1">
      <formula>$A32=1</formula>
    </cfRule>
    <cfRule type="expression" dxfId="65" priority="168" stopIfTrue="1">
      <formula>$A32&lt;&gt;"S"</formula>
    </cfRule>
  </conditionalFormatting>
  <conditionalFormatting sqref="Q32:R32 AB32:AM32">
    <cfRule type="expression" dxfId="64" priority="169" stopIfTrue="1">
      <formula>$A32=1</formula>
    </cfRule>
    <cfRule type="expression" dxfId="63" priority="170" stopIfTrue="1">
      <formula>$A32&lt;&gt;"S"</formula>
    </cfRule>
  </conditionalFormatting>
  <conditionalFormatting sqref="D33:O33 T33:Z33">
    <cfRule type="expression" dxfId="62" priority="46" stopIfTrue="1">
      <formula>OR(ACOMPANHAMENTO="PLE",TIPOORCAMENTO="Proposto",$L33&lt;0,AND($L33&gt;100,RegimeExecucao="Global"),$O33&gt;$I33,$O33&lt;0)</formula>
    </cfRule>
    <cfRule type="expression" dxfId="61" priority="47" stopIfTrue="1">
      <formula>$A33=1</formula>
    </cfRule>
    <cfRule type="expression" dxfId="60" priority="48" stopIfTrue="1">
      <formula>$A33&lt;&gt;"S"</formula>
    </cfRule>
  </conditionalFormatting>
  <conditionalFormatting sqref="Q33:R33 AB33:AM33">
    <cfRule type="expression" dxfId="59" priority="49" stopIfTrue="1">
      <formula>$A33=1</formula>
    </cfRule>
    <cfRule type="expression" dxfId="58" priority="50" stopIfTrue="1">
      <formula>$A33&lt;&gt;"S"</formula>
    </cfRule>
  </conditionalFormatting>
  <conditionalFormatting sqref="D21:O21 T21:Z21">
    <cfRule type="expression" dxfId="57" priority="41" stopIfTrue="1">
      <formula>OR(ACOMPANHAMENTO="PLE",TIPOORCAMENTO="Proposto",$L21&lt;0,AND($L21&gt;100,RegimeExecucao="Global"),$O21&gt;$I21,$O21&lt;0)</formula>
    </cfRule>
    <cfRule type="expression" dxfId="56" priority="42" stopIfTrue="1">
      <formula>$A21=1</formula>
    </cfRule>
    <cfRule type="expression" dxfId="55" priority="43" stopIfTrue="1">
      <formula>$A21&lt;&gt;"S"</formula>
    </cfRule>
  </conditionalFormatting>
  <conditionalFormatting sqref="Q21:R21 AB21:AM21">
    <cfRule type="expression" dxfId="54" priority="44" stopIfTrue="1">
      <formula>$A21=1</formula>
    </cfRule>
    <cfRule type="expression" dxfId="53" priority="45" stopIfTrue="1">
      <formula>$A21&lt;&gt;"S"</formula>
    </cfRule>
  </conditionalFormatting>
  <conditionalFormatting sqref="D27:O27 T27:Z27">
    <cfRule type="expression" dxfId="52" priority="1" stopIfTrue="1">
      <formula>OR(ACOMPANHAMENTO="PLE",TIPOORCAMENTO="Proposto",$L27&lt;0,AND($L27&gt;100,RegimeExecucao="Global"),$O27&gt;$I27,$O27&lt;0)</formula>
    </cfRule>
    <cfRule type="expression" dxfId="51" priority="2" stopIfTrue="1">
      <formula>$A27=1</formula>
    </cfRule>
    <cfRule type="expression" dxfId="50" priority="3" stopIfTrue="1">
      <formula>$A27&lt;&gt;"S"</formula>
    </cfRule>
  </conditionalFormatting>
  <conditionalFormatting sqref="Q27:R27 AB27:AM27">
    <cfRule type="expression" dxfId="49" priority="4" stopIfTrue="1">
      <formula>$A27=1</formula>
    </cfRule>
    <cfRule type="expression" dxfId="48" priority="5" stopIfTrue="1">
      <formula>$A27&lt;&gt;"S"</formula>
    </cfRule>
  </conditionalFormatting>
  <dataValidations count="4">
    <dataValidation type="list" allowBlank="1" showErrorMessage="1" sqref="Z14 Z16:Z3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3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3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&amp;LPMv3.08&amp;R&amp;P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6640625" customWidth="1"/>
    <col min="5" max="5" width="7.6640625" customWidth="1"/>
    <col min="6" max="6" width="35.6640625" customWidth="1"/>
    <col min="7" max="7" width="15.6640625" customWidth="1"/>
    <col min="8" max="8" width="12.6640625" customWidth="1"/>
    <col min="9" max="9" width="7.6640625" customWidth="1"/>
    <col min="10" max="10" width="16.6640625" customWidth="1"/>
    <col min="11" max="11" width="5.6640625" customWidth="1"/>
    <col min="12" max="15" width="16.6640625" customWidth="1"/>
    <col min="16" max="16" width="11.6640625" customWidth="1"/>
    <col min="17" max="21" width="9.109375" hidden="1" customWidth="1"/>
    <col min="22" max="22" width="12.109375" hidden="1" customWidth="1"/>
    <col min="23" max="24" width="5.6640625" customWidth="1"/>
    <col min="25" max="26" width="16.6640625" customWidth="1"/>
    <col min="27" max="27" width="1.6640625" customWidth="1"/>
    <col min="29" max="41" width="9.109375" hidden="1" customWidth="1"/>
  </cols>
  <sheetData>
    <row r="1" spans="1:41" ht="30" customHeight="1" x14ac:dyDescent="0.25">
      <c r="F1" s="270" t="str">
        <f>CONCATENATE("RRE - RELATÓRIO RESUMO DO EMPREENDIMENTO - ",IF(CAIXA.Modo,"CAIXA","TOMADOR"))</f>
        <v>RRE - RELATÓRIO RESUMO DO EMPREENDIMENTO - TOMADOR</v>
      </c>
      <c r="H1" s="6"/>
      <c r="I1" s="6"/>
      <c r="P1" s="403" t="s">
        <v>893</v>
      </c>
      <c r="AD1" s="653" t="s">
        <v>894</v>
      </c>
      <c r="AE1" s="654" t="s">
        <v>895</v>
      </c>
    </row>
    <row r="2" spans="1:41" x14ac:dyDescent="0.25">
      <c r="AC2" s="271" t="str">
        <f>J25</f>
        <v>Repasse</v>
      </c>
      <c r="AD2" s="272">
        <f ca="1">AD6-AD4-AD3</f>
        <v>0</v>
      </c>
      <c r="AE2" s="272">
        <f ca="1">AE6-AE4-AE3</f>
        <v>0</v>
      </c>
    </row>
    <row r="3" spans="1:41" x14ac:dyDescent="0.25">
      <c r="E3" s="702" t="s">
        <v>658</v>
      </c>
      <c r="F3" s="702"/>
      <c r="G3" s="702"/>
      <c r="H3" s="702"/>
      <c r="I3" s="690" t="s">
        <v>656</v>
      </c>
      <c r="J3" s="690"/>
      <c r="K3" s="690"/>
      <c r="L3" s="66" t="s">
        <v>714</v>
      </c>
      <c r="M3" s="110"/>
      <c r="O3" s="273"/>
      <c r="P3" s="218" t="s">
        <v>722</v>
      </c>
      <c r="R3" s="110"/>
      <c r="S3" s="110"/>
      <c r="T3" s="110"/>
      <c r="U3" s="110"/>
      <c r="AC3" s="271" t="s">
        <v>462</v>
      </c>
      <c r="AD3" s="272">
        <f ca="1">SUM(T13:OFFSET(T24,-1,0))</f>
        <v>0</v>
      </c>
      <c r="AE3" s="272">
        <f ca="1">IF(OR($O$28&lt;$M$28,$M$26&gt;$AD$3),MIN($M$26,$L$26),MIN($AD$3,$N$28-$N$27+$M$26))</f>
        <v>0</v>
      </c>
    </row>
    <row r="4" spans="1:41" ht="12.75" customHeight="1" x14ac:dyDescent="0.25">
      <c r="E4" s="707" t="str">
        <f>Import.Proponente</f>
        <v>PREFEITURA MUNICIPAL DE URUARÁ</v>
      </c>
      <c r="F4" s="707"/>
      <c r="G4" s="707"/>
      <c r="H4" s="707"/>
      <c r="I4" s="694" t="str">
        <f>Import.CR</f>
        <v>S/ INFORMAÇÃO</v>
      </c>
      <c r="J4" s="694"/>
      <c r="K4" s="694"/>
      <c r="L4" s="512" t="str">
        <f>Import.TransfereGOV</f>
        <v>S/ INFORMAÇÃO</v>
      </c>
      <c r="M4" s="807" t="s">
        <v>833</v>
      </c>
      <c r="N4" s="808"/>
      <c r="O4" s="809"/>
      <c r="P4" s="274" t="str">
        <f>import.recurso</f>
        <v>OGU</v>
      </c>
      <c r="R4" s="110"/>
      <c r="S4" s="110"/>
      <c r="T4" s="273"/>
      <c r="U4" s="273"/>
      <c r="AC4" s="271" t="s">
        <v>896</v>
      </c>
      <c r="AD4" s="272">
        <f ca="1">SUM(U13:OFFSET(U24,-1,0))</f>
        <v>0</v>
      </c>
      <c r="AE4" s="272">
        <f ca="1">IF(OR($O$28&lt;$M$28,$M$27&gt;$AD$4),MIN($M$27,$L$27),MIN($AD$4,$N$28+$M$27))</f>
        <v>0</v>
      </c>
    </row>
    <row r="5" spans="1:41" ht="5.0999999999999996" customHeight="1" x14ac:dyDescent="0.25">
      <c r="H5" s="221"/>
      <c r="I5" s="221"/>
      <c r="J5" s="221"/>
      <c r="K5" s="221"/>
      <c r="L5" s="221"/>
      <c r="M5" s="275"/>
      <c r="N5" s="212"/>
      <c r="O5" s="2"/>
      <c r="R5" s="110"/>
      <c r="S5" s="110"/>
      <c r="T5" s="110"/>
      <c r="U5" s="110"/>
    </row>
    <row r="6" spans="1:41" ht="12.75" customHeight="1" x14ac:dyDescent="0.25">
      <c r="E6" s="690" t="s">
        <v>715</v>
      </c>
      <c r="F6" s="690"/>
      <c r="G6" s="690"/>
      <c r="H6" s="690"/>
      <c r="I6" s="834" t="s">
        <v>832</v>
      </c>
      <c r="J6" s="834"/>
      <c r="K6" s="834"/>
      <c r="L6" s="834"/>
      <c r="M6" s="515" t="str">
        <f>IF(import.recurso="FGTS","FINANCIAMENTO","REPASSE")</f>
        <v>REPASSE</v>
      </c>
      <c r="N6" s="521" t="s">
        <v>834</v>
      </c>
      <c r="O6" s="515" t="s">
        <v>835</v>
      </c>
      <c r="P6" s="111" t="s">
        <v>897</v>
      </c>
      <c r="R6" s="110"/>
      <c r="S6" s="110"/>
      <c r="T6" s="110"/>
      <c r="U6" s="110"/>
      <c r="AC6" s="271" t="s">
        <v>898</v>
      </c>
      <c r="AD6" s="272">
        <f ca="1">$O$28</f>
        <v>0</v>
      </c>
      <c r="AE6" s="272">
        <f ca="1">AD6</f>
        <v>0</v>
      </c>
    </row>
    <row r="7" spans="1:41" ht="12.75" customHeight="1" x14ac:dyDescent="0.25">
      <c r="D7" s="683" t="s">
        <v>661</v>
      </c>
      <c r="E7" s="694" t="str">
        <f>Import.Apelido</f>
        <v>PAVIMENTAÇÃO DE VIAS NO MUNICÍPIO DE URUARÁ - PARÁ</v>
      </c>
      <c r="F7" s="694"/>
      <c r="G7" s="694"/>
      <c r="H7" s="694"/>
      <c r="I7" s="831" t="str">
        <f>Import.Município</f>
        <v>URUARÁ-PARÁ</v>
      </c>
      <c r="J7" s="831"/>
      <c r="K7" s="831"/>
      <c r="L7" s="831"/>
      <c r="M7" s="276">
        <f>Import.Repasse</f>
        <v>6000000</v>
      </c>
      <c r="N7" s="277">
        <f>Import.Contrapartida</f>
        <v>241069.2</v>
      </c>
      <c r="O7" s="276">
        <f>M7+N7</f>
        <v>6241069.2000000002</v>
      </c>
      <c r="P7" s="340">
        <f ca="1">IF(ACOMPANHAMENTO="PLE",PLE.Medicao,BM.medicao)</f>
        <v>1</v>
      </c>
      <c r="R7" s="110"/>
      <c r="S7" s="110"/>
      <c r="T7" s="110"/>
      <c r="U7" s="110"/>
    </row>
    <row r="8" spans="1:41" x14ac:dyDescent="0.25">
      <c r="D8" s="683"/>
      <c r="E8" s="534"/>
      <c r="F8" s="534"/>
      <c r="G8" s="534"/>
      <c r="H8" s="534"/>
      <c r="I8" s="534"/>
      <c r="J8" s="534"/>
      <c r="K8" s="534"/>
      <c r="L8" s="534"/>
      <c r="M8" s="534"/>
      <c r="N8" s="534"/>
      <c r="O8" s="534"/>
      <c r="P8" s="534"/>
      <c r="R8" s="110"/>
      <c r="S8" s="110"/>
      <c r="T8" s="110"/>
      <c r="U8" s="110"/>
    </row>
    <row r="9" spans="1:41" ht="12.75" customHeight="1" x14ac:dyDescent="0.25">
      <c r="D9" s="683"/>
      <c r="G9" s="832" t="s">
        <v>899</v>
      </c>
      <c r="H9" s="832"/>
      <c r="I9" s="832" t="s">
        <v>900</v>
      </c>
      <c r="J9" s="832"/>
      <c r="K9" s="278"/>
      <c r="L9" s="833" t="s">
        <v>839</v>
      </c>
      <c r="M9" s="655" t="s">
        <v>842</v>
      </c>
      <c r="N9" s="630" t="s">
        <v>748</v>
      </c>
      <c r="P9" s="279"/>
      <c r="R9" s="110"/>
      <c r="S9" s="110"/>
      <c r="T9" s="110"/>
      <c r="U9" s="110"/>
      <c r="V9" s="5" t="s">
        <v>901</v>
      </c>
    </row>
    <row r="10" spans="1:41" ht="12.75" customHeight="1" x14ac:dyDescent="0.25">
      <c r="D10" s="683"/>
      <c r="G10" s="696" t="str">
        <f ca="1">IF(J10="-","-",IF($P$24&lt;J10,"Atrasada",IF($P$24&gt;J10,"Adiantada","Normal")))</f>
        <v>Normal</v>
      </c>
      <c r="H10" s="696"/>
      <c r="I10" s="280">
        <f>DATE(YEAR($L$35),MONTH($L$35),1)</f>
        <v>1</v>
      </c>
      <c r="J10" s="281">
        <f ca="1">IF($I$10&lt;DATE(YEAR(CRONO!$U$13),MONTH(CRONO!$U$13),1),0,IF($I$10&gt;OFFSET(CRONO!$AG$13,0,-1),1,INDEX(CRONO!$T$170:$AH$170,MATCH(RRE!$I$10,CRONO!$T$13:$AG$13,0))))</f>
        <v>0</v>
      </c>
      <c r="K10" s="278"/>
      <c r="L10" s="833"/>
      <c r="M10" s="282">
        <f ca="1">QCI!L10</f>
        <v>0</v>
      </c>
      <c r="N10" s="223">
        <f ca="1">QCI!M10</f>
        <v>-1854.429999999993</v>
      </c>
      <c r="P10" s="279"/>
      <c r="R10" s="110"/>
      <c r="S10" s="110"/>
      <c r="T10" s="110"/>
      <c r="U10" s="110"/>
      <c r="AC10" s="828" t="s">
        <v>76</v>
      </c>
      <c r="AD10" s="828"/>
      <c r="AE10" s="828"/>
      <c r="AF10" s="828"/>
      <c r="AG10" s="828"/>
      <c r="AH10" s="828"/>
      <c r="AJ10" s="828" t="s">
        <v>78</v>
      </c>
      <c r="AK10" s="828"/>
      <c r="AL10" s="828"/>
      <c r="AM10" s="828"/>
      <c r="AN10" s="828"/>
      <c r="AO10" s="828"/>
    </row>
    <row r="11" spans="1:41" ht="20.100000000000001" customHeight="1" x14ac:dyDescent="0.25">
      <c r="D11" s="683"/>
      <c r="M11" s="363" t="str">
        <f>IF(CAIXA.Modo,"Valores Aferidos (R$)","Valores Medidos (R$)")</f>
        <v>Valores Medidos (R$)</v>
      </c>
      <c r="N11" s="363"/>
      <c r="O11" s="363"/>
      <c r="R11" s="656"/>
      <c r="S11" s="656"/>
      <c r="T11" s="363"/>
      <c r="U11" s="363"/>
      <c r="V11" s="360" t="s">
        <v>902</v>
      </c>
      <c r="Y11" s="829" t="str">
        <f>IF(CAIXA.Modo,"Valores Aferidos (R$)","Valores Medidos (R$)")</f>
        <v>Valores Medidos (R$)</v>
      </c>
      <c r="Z11" s="829"/>
      <c r="AC11" s="830" t="s">
        <v>903</v>
      </c>
      <c r="AD11" s="830"/>
      <c r="AE11" s="830"/>
      <c r="AF11" s="830" t="s">
        <v>904</v>
      </c>
      <c r="AG11" s="830"/>
      <c r="AH11" s="830"/>
      <c r="AJ11" s="830" t="s">
        <v>903</v>
      </c>
      <c r="AK11" s="830"/>
      <c r="AL11" s="830"/>
      <c r="AM11" s="830" t="s">
        <v>904</v>
      </c>
      <c r="AN11" s="830"/>
      <c r="AO11" s="830"/>
    </row>
    <row r="12" spans="1:41" hidden="1" x14ac:dyDescent="0.25">
      <c r="A12" t="e">
        <f ca="1">MATCH(E12,ORÇAMENTO!$E$15:$E$36,0)-1</f>
        <v>#N/A</v>
      </c>
      <c r="B12" t="e">
        <f ca="1">IF(ISERROR($A12),NA(),OFFSET(ORÇAMENTO!$D$15,$A12,0))</f>
        <v>#N/A</v>
      </c>
      <c r="C12" t="str">
        <f ca="1">QCI!B12</f>
        <v>Branco</v>
      </c>
      <c r="D12" t="str">
        <f ca="1">IF(L12&gt;0,"F","")</f>
        <v/>
      </c>
      <c r="E12" s="224">
        <f>QCI!D12</f>
        <v>-1</v>
      </c>
      <c r="F12" s="283" t="str">
        <f ca="1">QCI!G12</f>
        <v/>
      </c>
      <c r="G12" s="284">
        <f>QCI!H12</f>
        <v>0</v>
      </c>
      <c r="H12" s="225">
        <f>QCI!I12</f>
        <v>0</v>
      </c>
      <c r="I12" s="225" t="str">
        <f ca="1">QCI!J12</f>
        <v/>
      </c>
      <c r="J12" s="285" t="str">
        <f ca="1">QCI!K12</f>
        <v/>
      </c>
      <c r="K12" s="286" t="str">
        <f ca="1">IF($C12="Automático",IF(ACOMPANHAMENTO="BM",BM.medicao,PLE.Medicao),IF(ISBLANK($X12),"",$X12))</f>
        <v/>
      </c>
      <c r="L12" s="229">
        <f ca="1">QCI!$O12</f>
        <v>0</v>
      </c>
      <c r="M12" s="226">
        <f ca="1">ROUND(IF(C12="Automático",AE12+AL12,Y12),2)</f>
        <v>0</v>
      </c>
      <c r="N12" s="227">
        <f ca="1">O12-M12</f>
        <v>0</v>
      </c>
      <c r="O12" s="228">
        <f ca="1">ROUND(IF(C12="Automático",AH12+AO12,Z12),2)</f>
        <v>0</v>
      </c>
      <c r="P12" s="288">
        <f ca="1">O12/(L12+10^-12)</f>
        <v>0</v>
      </c>
      <c r="R12" s="287">
        <f ca="1">ROUND(IF($C12="Automático",AC12+AJ12,$Y12*IF(ISERROR(QCI!$AA12/QCI!$O12),0,QCI!$AA12/QCI!$O12)),2)</f>
        <v>0</v>
      </c>
      <c r="S12" s="287">
        <f ca="1">ROUND(IF($C12="Automático",AD12+AK12,$Y12*IF(ISERROR(QCI!$AB12/QCI!$O12),0,QCI!$AB12/QCI!$O12)),2)</f>
        <v>0</v>
      </c>
      <c r="T12" s="287">
        <f ca="1">ROUND(IF($C12="Automático",AF12+AM12,$Z12*IF(ISERROR(QCI!$AA12/QCI!$O12),0,QCI!$AA12/QCI!$O12)),2)</f>
        <v>0</v>
      </c>
      <c r="U12" s="287">
        <f ca="1">ROUND(IF($C12="Automático",AG12+AN12,$Z12*IF(ISERROR(QCI!$AB12/QCI!$O12),0,QCI!$AB12/QCI!$O12)),2)</f>
        <v>0</v>
      </c>
      <c r="V12" s="361" t="str">
        <f ca="1">IF(AND($L12&gt;0,$J12&lt;&gt;0,$J12&lt;&gt;"",COUNTIF($J12:$J$13,$J12)=1),OFFSET(V12,-1,0)+1,OFFSET(V12,-1,0))</f>
        <v>Lista CTEFs</v>
      </c>
      <c r="X12" s="422"/>
      <c r="Y12" s="230"/>
      <c r="Z12" s="231"/>
      <c r="AC12" s="143">
        <f ca="1">IF(ACOMPANHAMENTO&lt;&gt;"PLE",0,SUMPRODUCT((OFFSET(CÁLCULO!$AX$15:$BH$15,$A12,0,$B12)&lt;=(PLE.Medicao-1))*OFFSET(CÁLCULO!$AB$15:$AL$15,$A12,0,$B12)*OFFSET(ORÇAMENTO!$AA$15,$A12,0,$B12)/(OFFSET(ORÇAMENTO!$X$15,$A12,0,$B12)+10^-12))+IF(AUTOEVENTO="Manual",SUMPRODUCT((OFFSET(CÁLCULO!$M$15,$A12,0,$B12)=1)*OFFSET(ORÇAMENTO!$AA$15,$A12,0,$B12)*(PLE!$AE$9-PLE!$Y$9)),0))</f>
        <v>0</v>
      </c>
      <c r="AD12" s="143">
        <f ca="1">IF(ACOMPANHAMENTO&lt;&gt;"PLE",0,SUMPRODUCT((OFFSET(CÁLCULO!$AX$15:$BH$15,$A12,0,$B12)&lt;=(PLE.Medicao-1))*OFFSET(CÁLCULO!$AB$15:$AL$15,$A12,0,$B12)*OFFSET(ORÇAMENTO!$AB$15,$A12,0,$B12)/(OFFSET(ORÇAMENTO!$X$15,$A12,0,$B12)+10^-12))+IF(AUTOEVENTO="Manual",SUMPRODUCT((OFFSET(CÁLCULO!$M$15,$A12,0,$B12)=1)*OFFSET(ORÇAMENTO!$AB$15,$A12,0,$B12)*(PLE!$AE$9-PLE!$Y$9)),0))</f>
        <v>0</v>
      </c>
      <c r="AE12" s="143">
        <f ca="1">ROUND(IF(ACOMPANHAMENTO&lt;&gt;"PLE",0,SUMIF(OFFSET(CÁLCULO!$AX$15:$BH$15,$A12,0,$B12),"&lt;="&amp;(PLE.Medicao-1),OFFSET(CÁLCULO!$AB$15:$AL$15,$A12,0,$B12))+IF(AUTOEVENTO="Manual",SUMIF(OFFSET(CÁLCULO!$M$15,$A12,0,$B12),1,OFFSET(ORÇAMENTO!$X$15,$A12,0,$B12))*(PLE!$AE$9-PLE!$Y$9),0)),2)</f>
        <v>0</v>
      </c>
      <c r="AF12" s="143">
        <f ca="1">IF(ACOMPANHAMENTO&lt;&gt;"PLE",0,SUMPRODUCT((OFFSET(CÁLCULO!$AX$15:$BH$15,$A12,0,$B12)&lt;=PLE.Medicao)*OFFSET(CÁLCULO!$AB$15:$AL$15,$A12,0,$B12)*OFFSET(ORÇAMENTO!$AA$15,$A12,0,$B12)/(OFFSET(ORÇAMENTO!$X$15,$A12,0,$B12)+10^-12))+IF(AUTOEVENTO="Manual",SUMPRODUCT((OFFSET(CÁLCULO!$M$15,$A12,0,$B12)=1)*OFFSET(ORÇAMENTO!$AA$15,$A12,0,$B12)*PLE!$AE$9),0))</f>
        <v>0</v>
      </c>
      <c r="AG12" s="143">
        <f ca="1">IF(ACOMPANHAMENTO&lt;&gt;"PLE",0,SUMPRODUCT((OFFSET(CÁLCULO!$AX$15:$BH$15,$A12,0,$B12)&lt;=PLE.Medicao)*OFFSET(CÁLCULO!$AB$15:$AL$15,$A12,0,$B12)*OFFSET(ORÇAMENTO!$AB$15,$A12,0,$B12)/(OFFSET(ORÇAMENTO!$X$15,$A12,0,$B12)+10^-12))+IF(AUTOEVENTO="Manual",SUMPRODUCT((OFFSET(CÁLCULO!$M$15,$A12,0,$B12)=1)*OFFSET(ORÇAMENTO!$AB$15,$A12,0,$B12)*PLE!$AE$9),0))</f>
        <v>0</v>
      </c>
      <c r="AH12" s="143">
        <f ca="1">ROUND(IF(ACOMPANHAMENTO&lt;&gt;"PLE",0,SUMIF(OFFSET(CÁLCULO!$AX$15:$BH$15,$A12,0,$B12),"&lt;="&amp;PLE.Medicao,OFFSET(CÁLCULO!$AB$15:$AL$15,$A12,0,$B12))+IF(AUTOEVENTO="Manual",SUMIF(OFFSET(CÁLCULO!$M$15,$A12,0,$B12),1,OFFSET(ORÇAMENTO!$X$15,$A12,0,$B12))*PLE!$AE$9,0)),2)</f>
        <v>0</v>
      </c>
      <c r="AJ12" s="143" t="e">
        <f ca="1">IF(ACOMPANHAMENTO&lt;&gt;"BM",0,SUMPRODUCT(OFFSET(BM!$M$15,$A12,0,$B12)*(OFFSET(BM!$A$15,$A12,0,$B12)="S")*OFFSET(ORÇAMENTO!AA$15,$A12,0,$B12)/(OFFSET(ORÇAMENTO!$X$15,$A12,0,$B12)+10^-12)))</f>
        <v>#N/A</v>
      </c>
      <c r="AK12" s="143" t="e">
        <f ca="1">IF(ACOMPANHAMENTO&lt;&gt;"BM",0,SUMPRODUCT(OFFSET(BM!$M$15,$A12,0,$B12)*(OFFSET(BM!$A$15,$A12,0,$B12)="S")*OFFSET(ORÇAMENTO!AB$15,$A12,0,$B12)/(OFFSET(ORÇAMENTO!$X$15,$A12,0,$B12)+10^-12)))</f>
        <v>#N/A</v>
      </c>
      <c r="AL12" s="143" t="e">
        <f ca="1">IF(ACOMPANHAMENTO&lt;&gt;"BM",0,OFFSET(BM!$M$15,$A12,0))</f>
        <v>#N/A</v>
      </c>
      <c r="AM12" s="143" t="e">
        <f ca="1">IF(ACOMPANHAMENTO&lt;&gt;"BM",0,SUMPRODUCT(OFFSET(BM!$O$15,$A12,0,$B12)*(OFFSET(BM!$A$15,$A12,0,$B12)="S")*OFFSET(ORÇAMENTO!AA$15,$A12,0,$B12)/(OFFSET(ORÇAMENTO!$X$15,$A12,0,$B12)+10^-12)))</f>
        <v>#N/A</v>
      </c>
      <c r="AN12" s="143" t="e">
        <f ca="1">IF(ACOMPANHAMENTO&lt;&gt;"BM",0,SUMPRODUCT(OFFSET(BM!$O$15,$A12,0,$B12)*(OFFSET(BM!$A$15,$A12,0,$B12)="S")*OFFSET(ORÇAMENTO!AB$15,$A12,0,$B12)/(OFFSET(ORÇAMENTO!$X$15,$A12,0,$B12)+10^-12)))</f>
        <v>#N/A</v>
      </c>
      <c r="AO12" s="143" t="e">
        <f ca="1">IF(ACOMPANHAMENTO&lt;&gt;"BM",0,OFFSET(BM!$O$15,$A12,0))</f>
        <v>#N/A</v>
      </c>
    </row>
    <row r="13" spans="1:41" ht="39.9" customHeight="1" x14ac:dyDescent="0.25">
      <c r="A13" s="233" t="s">
        <v>905</v>
      </c>
      <c r="B13" s="7" t="s">
        <v>732</v>
      </c>
      <c r="C13" s="233" t="s">
        <v>844</v>
      </c>
      <c r="D13" s="79" t="s">
        <v>666</v>
      </c>
      <c r="E13" s="80" t="s">
        <v>708</v>
      </c>
      <c r="F13" s="80" t="s">
        <v>847</v>
      </c>
      <c r="G13" s="80" t="s">
        <v>674</v>
      </c>
      <c r="H13" s="80" t="s">
        <v>719</v>
      </c>
      <c r="I13" s="80" t="s">
        <v>848</v>
      </c>
      <c r="J13" s="80" t="s">
        <v>849</v>
      </c>
      <c r="K13" s="631" t="s">
        <v>906</v>
      </c>
      <c r="L13" s="80" t="s">
        <v>907</v>
      </c>
      <c r="M13" s="631" t="s">
        <v>903</v>
      </c>
      <c r="N13" s="632" t="s">
        <v>908</v>
      </c>
      <c r="O13" s="633" t="s">
        <v>904</v>
      </c>
      <c r="P13" s="80" t="s">
        <v>909</v>
      </c>
      <c r="R13" s="289" t="s">
        <v>910</v>
      </c>
      <c r="S13" s="289" t="s">
        <v>911</v>
      </c>
      <c r="T13" s="289" t="s">
        <v>912</v>
      </c>
      <c r="U13" s="289" t="s">
        <v>913</v>
      </c>
      <c r="V13" s="362"/>
      <c r="X13" s="631" t="s">
        <v>906</v>
      </c>
      <c r="Y13" s="566" t="s">
        <v>903</v>
      </c>
      <c r="Z13" s="569" t="s">
        <v>904</v>
      </c>
      <c r="AC13" s="532" t="s">
        <v>462</v>
      </c>
      <c r="AD13" s="532" t="s">
        <v>896</v>
      </c>
      <c r="AE13" s="532" t="s">
        <v>898</v>
      </c>
      <c r="AF13" s="532" t="s">
        <v>462</v>
      </c>
      <c r="AG13" s="532" t="s">
        <v>896</v>
      </c>
      <c r="AH13" s="532" t="s">
        <v>898</v>
      </c>
      <c r="AJ13" s="532" t="s">
        <v>462</v>
      </c>
      <c r="AK13" s="532" t="s">
        <v>896</v>
      </c>
      <c r="AL13" s="532" t="s">
        <v>898</v>
      </c>
      <c r="AM13" s="532" t="s">
        <v>462</v>
      </c>
      <c r="AN13" s="532" t="s">
        <v>896</v>
      </c>
      <c r="AO13" s="532" t="s">
        <v>898</v>
      </c>
    </row>
    <row r="14" spans="1:41" x14ac:dyDescent="0.25">
      <c r="A14">
        <f ca="1">MATCH(E14,ORÇAMENTO!$E$15:$E$36,0)-1</f>
        <v>1</v>
      </c>
      <c r="B14">
        <f ca="1">IF(ISERROR($A14),NA(),OFFSET(ORÇAMENTO!$D$15,$A14,0))</f>
        <v>20</v>
      </c>
      <c r="C14" t="str">
        <f ca="1">QCI!B14</f>
        <v>Automático</v>
      </c>
      <c r="D14" t="str">
        <f t="shared" ref="D14:D22" ca="1" si="0">IF(L14&gt;0,"F","")</f>
        <v>F</v>
      </c>
      <c r="E14" s="224">
        <f>QCI!D14</f>
        <v>1</v>
      </c>
      <c r="F14" s="283" t="str">
        <f ca="1">QCI!G14</f>
        <v>PAVIMENTAÇÃO ASFÁLTICA</v>
      </c>
      <c r="G14" s="284" t="str">
        <f>QCI!H14</f>
        <v>Em Análise</v>
      </c>
      <c r="H14" s="225">
        <f>QCI!I14</f>
        <v>8934.5499999999993</v>
      </c>
      <c r="I14" s="225" t="str">
        <f ca="1">QCI!J14</f>
        <v>m²</v>
      </c>
      <c r="J14" s="285" t="str">
        <f ca="1">QCI!K14</f>
        <v>LOTE 1</v>
      </c>
      <c r="K14" s="286">
        <f ca="1">IF($C14="Automático",IF(ACOMPANHAMENTO="BM",BM.medicao,PLE.Medicao),IF(ISBLANK($X14),"",$X14))</f>
        <v>1</v>
      </c>
      <c r="L14" s="229">
        <f ca="1">QCI!$O14</f>
        <v>6242923.6299999999</v>
      </c>
      <c r="M14" s="226">
        <f t="shared" ref="M14:M22" ca="1" si="1">ROUND(IF(C14="Automático",AE14+AL14,Y14),2)</f>
        <v>0</v>
      </c>
      <c r="N14" s="227">
        <f t="shared" ref="N14:N22" ca="1" si="2">O14-M14</f>
        <v>0</v>
      </c>
      <c r="O14" s="228">
        <f t="shared" ref="O14:O22" ca="1" si="3">ROUND(IF(C14="Automático",AH14+AO14,Z14),2)</f>
        <v>0</v>
      </c>
      <c r="P14" s="288">
        <f t="shared" ref="P14:P22" ca="1" si="4">O14/(L14+10^-12)</f>
        <v>0</v>
      </c>
      <c r="R14" s="287">
        <f ca="1">ROUND(IF($C14="Automático",AC14+AJ14,$Y14*IF(ISERROR(QCI!$AA14/QCI!$O14),0,QCI!$AA14/QCI!$O14)),2)</f>
        <v>0</v>
      </c>
      <c r="S14" s="287">
        <f ca="1">ROUND(IF($C14="Automático",AD14+AK14,$Y14*IF(ISERROR(QCI!$AB14/QCI!$O14),0,QCI!$AB14/QCI!$O14)),2)</f>
        <v>0</v>
      </c>
      <c r="T14" s="287">
        <f ca="1">ROUND(IF($C14="Automático",AF14+AM14,$Z14*IF(ISERROR(QCI!$AA14/QCI!$O14),0,QCI!$AA14/QCI!$O14)),2)</f>
        <v>0</v>
      </c>
      <c r="U14" s="287">
        <f ca="1">ROUND(IF($C14="Automático",AG14+AN14,$Z14*IF(ISERROR(QCI!$AB14/QCI!$O14),0,QCI!$AB14/QCI!$O14)),2)</f>
        <v>0</v>
      </c>
      <c r="V14" s="361">
        <f ca="1">IF(AND($L14&gt;0,$J14&lt;&gt;0,$J14&lt;&gt;"",COUNTIF($J$13:$J14,$J14)=1),OFFSET(V14,-1,0)+1,OFFSET(V14,-1,0))</f>
        <v>1</v>
      </c>
      <c r="X14" s="422"/>
      <c r="Y14" s="230"/>
      <c r="Z14" s="231"/>
      <c r="AC14" s="143">
        <f ca="1">IF(ACOMPANHAMENTO&lt;&gt;"PLE",0,SUMPRODUCT((OFFSET(CÁLCULO!$AX$15:$BH$15,$A14,0,$B14)&lt;=(PLE.Medicao-1))*OFFSET(CÁLCULO!$AB$15:$AL$15,$A14,0,$B14)*OFFSET(ORÇAMENTO!$AA$15,$A14,0,$B14)/(OFFSET(ORÇAMENTO!$X$15,$A14,0,$B14)+10^-12))+IF(AUTOEVENTO="Manual",SUMPRODUCT((OFFSET(CÁLCULO!$M$15,$A14,0,$B14)=1)*OFFSET(ORÇAMENTO!$AA$15,$A14,0,$B14)*(PLE!$AE$9-PLE!$Y$9)),0))</f>
        <v>0</v>
      </c>
      <c r="AD14" s="143">
        <f ca="1">IF(ACOMPANHAMENTO&lt;&gt;"PLE",0,SUMPRODUCT((OFFSET(CÁLCULO!$AX$15:$BH$15,$A14,0,$B14)&lt;=(PLE.Medicao-1))*OFFSET(CÁLCULO!$AB$15:$AL$15,$A14,0,$B14)*OFFSET(ORÇAMENTO!$AB$15,$A14,0,$B14)/(OFFSET(ORÇAMENTO!$X$15,$A14,0,$B14)+10^-12))+IF(AUTOEVENTO="Manual",SUMPRODUCT((OFFSET(CÁLCULO!$M$15,$A14,0,$B14)=1)*OFFSET(ORÇAMENTO!$AB$15,$A14,0,$B14)*(PLE!$AE$9-PLE!$Y$9)),0))</f>
        <v>0</v>
      </c>
      <c r="AE14" s="143">
        <f ca="1">ROUND(IF(ACOMPANHAMENTO&lt;&gt;"PLE",0,SUMIF(OFFSET(CÁLCULO!$AX$15:$BH$15,$A14,0,$B14),"&lt;="&amp;(PLE.Medicao-1),OFFSET(CÁLCULO!$AB$15:$AL$15,$A14,0,$B14))+IF(AUTOEVENTO="Manual",SUMIF(OFFSET(CÁLCULO!$M$15,$A14,0,$B14),1,OFFSET(ORÇAMENTO!$X$15,$A14,0,$B14))*(PLE!$AE$9-PLE!$Y$9),0)),2)</f>
        <v>0</v>
      </c>
      <c r="AF14" s="143">
        <f ca="1">IF(ACOMPANHAMENTO&lt;&gt;"PLE",0,SUMPRODUCT((OFFSET(CÁLCULO!$AX$15:$BH$15,$A14,0,$B14)&lt;=PLE.Medicao)*OFFSET(CÁLCULO!$AB$15:$AL$15,$A14,0,$B14)*OFFSET(ORÇAMENTO!$AA$15,$A14,0,$B14)/(OFFSET(ORÇAMENTO!$X$15,$A14,0,$B14)+10^-12))+IF(AUTOEVENTO="Manual",SUMPRODUCT((OFFSET(CÁLCULO!$M$15,$A14,0,$B14)=1)*OFFSET(ORÇAMENTO!$AA$15,$A14,0,$B14)*PLE!$AE$9),0))</f>
        <v>0</v>
      </c>
      <c r="AG14" s="143">
        <f ca="1">IF(ACOMPANHAMENTO&lt;&gt;"PLE",0,SUMPRODUCT((OFFSET(CÁLCULO!$AX$15:$BH$15,$A14,0,$B14)&lt;=PLE.Medicao)*OFFSET(CÁLCULO!$AB$15:$AL$15,$A14,0,$B14)*OFFSET(ORÇAMENTO!$AB$15,$A14,0,$B14)/(OFFSET(ORÇAMENTO!$X$15,$A14,0,$B14)+10^-12))+IF(AUTOEVENTO="Manual",SUMPRODUCT((OFFSET(CÁLCULO!$M$15,$A14,0,$B14)=1)*OFFSET(ORÇAMENTO!$AB$15,$A14,0,$B14)*PLE!$AE$9),0))</f>
        <v>0</v>
      </c>
      <c r="AH14" s="143">
        <f ca="1">ROUND(IF(ACOMPANHAMENTO&lt;&gt;"PLE",0,SUMIF(OFFSET(CÁLCULO!$AX$15:$BH$15,$A14,0,$B14),"&lt;="&amp;PLE.Medicao,OFFSET(CÁLCULO!$AB$15:$AL$15,$A14,0,$B14))+IF(AUTOEVENTO="Manual",SUMIF(OFFSET(CÁLCULO!$M$15,$A14,0,$B14),1,OFFSET(ORÇAMENTO!$X$15,$A14,0,$B14))*PLE!$AE$9,0)),2)</f>
        <v>0</v>
      </c>
      <c r="AJ14" s="143">
        <f ca="1">IF(ACOMPANHAMENTO&lt;&gt;"BM",0,SUMPRODUCT(OFFSET(BM!$M$15,$A14,0,$B14)*(OFFSET(BM!$A$15,$A14,0,$B14)="S")*OFFSET(ORÇAMENTO!AA$15,$A14,0,$B14)/(OFFSET(ORÇAMENTO!$X$15,$A14,0,$B14)+10^-12)))</f>
        <v>0</v>
      </c>
      <c r="AK14" s="143">
        <f ca="1">IF(ACOMPANHAMENTO&lt;&gt;"BM",0,SUMPRODUCT(OFFSET(BM!$M$15,$A14,0,$B14)*(OFFSET(BM!$A$15,$A14,0,$B14)="S")*OFFSET(ORÇAMENTO!AB$15,$A14,0,$B14)/(OFFSET(ORÇAMENTO!$X$15,$A14,0,$B14)+10^-12)))</f>
        <v>0</v>
      </c>
      <c r="AL14" s="143">
        <f ca="1">IF(ACOMPANHAMENTO&lt;&gt;"BM",0,OFFSET(BM!$M$15,$A14,0))</f>
        <v>0</v>
      </c>
      <c r="AM14" s="143">
        <f ca="1">IF(ACOMPANHAMENTO&lt;&gt;"BM",0,SUMPRODUCT(OFFSET(BM!$O$15,$A14,0,$B14)*(OFFSET(BM!$A$15,$A14,0,$B14)="S")*OFFSET(ORÇAMENTO!AA$15,$A14,0,$B14)/(OFFSET(ORÇAMENTO!$X$15,$A14,0,$B14)+10^-12)))</f>
        <v>0</v>
      </c>
      <c r="AN14" s="143">
        <f ca="1">IF(ACOMPANHAMENTO&lt;&gt;"BM",0,SUMPRODUCT(OFFSET(BM!$O$15,$A14,0,$B14)*(OFFSET(BM!$A$15,$A14,0,$B14)="S")*OFFSET(ORÇAMENTO!AB$15,$A14,0,$B14)/(OFFSET(ORÇAMENTO!$X$15,$A14,0,$B14)+10^-12)))</f>
        <v>0</v>
      </c>
      <c r="AO14" s="143">
        <f ca="1">IF(ACOMPANHAMENTO&lt;&gt;"BM",0,OFFSET(BM!$O$15,$A14,0))</f>
        <v>0</v>
      </c>
    </row>
    <row r="15" spans="1:41" x14ac:dyDescent="0.25">
      <c r="A15" t="e">
        <f ca="1">MATCH(E15,ORÇAMENTO!$E$15:$E$36,0)-1</f>
        <v>#N/A</v>
      </c>
      <c r="B15" t="e">
        <f ca="1">IF(ISERROR($A15),NA(),OFFSET(ORÇAMENTO!$D$15,$A15,0))</f>
        <v>#N/A</v>
      </c>
      <c r="C15" t="str">
        <f ca="1">QCI!B15</f>
        <v>Branco</v>
      </c>
      <c r="D15" t="str">
        <f t="shared" ca="1" si="0"/>
        <v/>
      </c>
      <c r="E15" s="224">
        <f>QCI!D15</f>
        <v>2</v>
      </c>
      <c r="F15" s="283" t="str">
        <f ca="1">QCI!G15</f>
        <v/>
      </c>
      <c r="G15" s="284">
        <f>QCI!H15</f>
        <v>0</v>
      </c>
      <c r="H15" s="225">
        <f>QCI!I15</f>
        <v>0</v>
      </c>
      <c r="I15" s="225" t="str">
        <f ca="1">QCI!J15</f>
        <v/>
      </c>
      <c r="J15" s="285" t="str">
        <f ca="1">QCI!K15</f>
        <v/>
      </c>
      <c r="K15" s="286" t="str">
        <f ca="1">IF($C15="Automático",IF(ACOMPANHAMENTO="BM",BM.medicao,PLE.Medicao),IF(ISBLANK($X15),"",$X15))</f>
        <v/>
      </c>
      <c r="L15" s="229">
        <f ca="1">QCI!$O15</f>
        <v>0</v>
      </c>
      <c r="M15" s="226">
        <f t="shared" ca="1" si="1"/>
        <v>0</v>
      </c>
      <c r="N15" s="227">
        <f t="shared" ca="1" si="2"/>
        <v>0</v>
      </c>
      <c r="O15" s="228">
        <f t="shared" ca="1" si="3"/>
        <v>0</v>
      </c>
      <c r="P15" s="288">
        <f t="shared" ca="1" si="4"/>
        <v>0</v>
      </c>
      <c r="R15" s="287">
        <f ca="1">ROUND(IF($C15="Automático",AC15+AJ15,$Y15*IF(ISERROR(QCI!$AA15/QCI!$O15),0,QCI!$AA15/QCI!$O15)),2)</f>
        <v>0</v>
      </c>
      <c r="S15" s="287">
        <f ca="1">ROUND(IF($C15="Automático",AD15+AK15,$Y15*IF(ISERROR(QCI!$AB15/QCI!$O15),0,QCI!$AB15/QCI!$O15)),2)</f>
        <v>0</v>
      </c>
      <c r="T15" s="287">
        <f ca="1">ROUND(IF($C15="Automático",AF15+AM15,$Z15*IF(ISERROR(QCI!$AA15/QCI!$O15),0,QCI!$AA15/QCI!$O15)),2)</f>
        <v>0</v>
      </c>
      <c r="U15" s="287">
        <f ca="1">ROUND(IF($C15="Automático",AG15+AN15,$Z15*IF(ISERROR(QCI!$AB15/QCI!$O15),0,QCI!$AB15/QCI!$O15)),2)</f>
        <v>0</v>
      </c>
      <c r="V15" s="361">
        <f ca="1">IF(AND($L15&gt;0,$J15&lt;&gt;0,$J15&lt;&gt;"",COUNTIF($J$13:$J15,$J15)=1),OFFSET(V15,-1,0)+1,OFFSET(V15,-1,0))</f>
        <v>1</v>
      </c>
      <c r="X15" s="422"/>
      <c r="Y15" s="230"/>
      <c r="Z15" s="231"/>
      <c r="AC15" s="143">
        <f ca="1">IF(ACOMPANHAMENTO&lt;&gt;"PLE",0,SUMPRODUCT((OFFSET(CÁLCULO!$AX$15:$BH$15,$A15,0,$B15)&lt;=(PLE.Medicao-1))*OFFSET(CÁLCULO!$AB$15:$AL$15,$A15,0,$B15)*OFFSET(ORÇAMENTO!$AA$15,$A15,0,$B15)/(OFFSET(ORÇAMENTO!$X$15,$A15,0,$B15)+10^-12))+IF(AUTOEVENTO="Manual",SUMPRODUCT((OFFSET(CÁLCULO!$M$15,$A15,0,$B15)=1)*OFFSET(ORÇAMENTO!$AA$15,$A15,0,$B15)*(PLE!$AE$9-PLE!$Y$9)),0))</f>
        <v>0</v>
      </c>
      <c r="AD15" s="143">
        <f ca="1">IF(ACOMPANHAMENTO&lt;&gt;"PLE",0,SUMPRODUCT((OFFSET(CÁLCULO!$AX$15:$BH$15,$A15,0,$B15)&lt;=(PLE.Medicao-1))*OFFSET(CÁLCULO!$AB$15:$AL$15,$A15,0,$B15)*OFFSET(ORÇAMENTO!$AB$15,$A15,0,$B15)/(OFFSET(ORÇAMENTO!$X$15,$A15,0,$B15)+10^-12))+IF(AUTOEVENTO="Manual",SUMPRODUCT((OFFSET(CÁLCULO!$M$15,$A15,0,$B15)=1)*OFFSET(ORÇAMENTO!$AB$15,$A15,0,$B15)*(PLE!$AE$9-PLE!$Y$9)),0))</f>
        <v>0</v>
      </c>
      <c r="AE15" s="143">
        <f ca="1">ROUND(IF(ACOMPANHAMENTO&lt;&gt;"PLE",0,SUMIF(OFFSET(CÁLCULO!$AX$15:$BH$15,$A15,0,$B15),"&lt;="&amp;(PLE.Medicao-1),OFFSET(CÁLCULO!$AB$15:$AL$15,$A15,0,$B15))+IF(AUTOEVENTO="Manual",SUMIF(OFFSET(CÁLCULO!$M$15,$A15,0,$B15),1,OFFSET(ORÇAMENTO!$X$15,$A15,0,$B15))*(PLE!$AE$9-PLE!$Y$9),0)),2)</f>
        <v>0</v>
      </c>
      <c r="AF15" s="143">
        <f ca="1">IF(ACOMPANHAMENTO&lt;&gt;"PLE",0,SUMPRODUCT((OFFSET(CÁLCULO!$AX$15:$BH$15,$A15,0,$B15)&lt;=PLE.Medicao)*OFFSET(CÁLCULO!$AB$15:$AL$15,$A15,0,$B15)*OFFSET(ORÇAMENTO!$AA$15,$A15,0,$B15)/(OFFSET(ORÇAMENTO!$X$15,$A15,0,$B15)+10^-12))+IF(AUTOEVENTO="Manual",SUMPRODUCT((OFFSET(CÁLCULO!$M$15,$A15,0,$B15)=1)*OFFSET(ORÇAMENTO!$AA$15,$A15,0,$B15)*PLE!$AE$9),0))</f>
        <v>0</v>
      </c>
      <c r="AG15" s="143">
        <f ca="1">IF(ACOMPANHAMENTO&lt;&gt;"PLE",0,SUMPRODUCT((OFFSET(CÁLCULO!$AX$15:$BH$15,$A15,0,$B15)&lt;=PLE.Medicao)*OFFSET(CÁLCULO!$AB$15:$AL$15,$A15,0,$B15)*OFFSET(ORÇAMENTO!$AB$15,$A15,0,$B15)/(OFFSET(ORÇAMENTO!$X$15,$A15,0,$B15)+10^-12))+IF(AUTOEVENTO="Manual",SUMPRODUCT((OFFSET(CÁLCULO!$M$15,$A15,0,$B15)=1)*OFFSET(ORÇAMENTO!$AB$15,$A15,0,$B15)*PLE!$AE$9),0))</f>
        <v>0</v>
      </c>
      <c r="AH15" s="143">
        <f ca="1">ROUND(IF(ACOMPANHAMENTO&lt;&gt;"PLE",0,SUMIF(OFFSET(CÁLCULO!$AX$15:$BH$15,$A15,0,$B15),"&lt;="&amp;PLE.Medicao,OFFSET(CÁLCULO!$AB$15:$AL$15,$A15,0,$B15))+IF(AUTOEVENTO="Manual",SUMIF(OFFSET(CÁLCULO!$M$15,$A15,0,$B15),1,OFFSET(ORÇAMENTO!$X$15,$A15,0,$B15))*PLE!$AE$9,0)),2)</f>
        <v>0</v>
      </c>
      <c r="AJ15" s="143" t="e">
        <f ca="1">IF(ACOMPANHAMENTO&lt;&gt;"BM",0,SUMPRODUCT(OFFSET(BM!$M$15,$A15,0,$B15)*(OFFSET(BM!$A$15,$A15,0,$B15)="S")*OFFSET(ORÇAMENTO!AA$15,$A15,0,$B15)/(OFFSET(ORÇAMENTO!$X$15,$A15,0,$B15)+10^-12)))</f>
        <v>#N/A</v>
      </c>
      <c r="AK15" s="143" t="e">
        <f ca="1">IF(ACOMPANHAMENTO&lt;&gt;"BM",0,SUMPRODUCT(OFFSET(BM!$M$15,$A15,0,$B15)*(OFFSET(BM!$A$15,$A15,0,$B15)="S")*OFFSET(ORÇAMENTO!AB$15,$A15,0,$B15)/(OFFSET(ORÇAMENTO!$X$15,$A15,0,$B15)+10^-12)))</f>
        <v>#N/A</v>
      </c>
      <c r="AL15" s="143" t="e">
        <f ca="1">IF(ACOMPANHAMENTO&lt;&gt;"BM",0,OFFSET(BM!$M$15,$A15,0))</f>
        <v>#N/A</v>
      </c>
      <c r="AM15" s="143" t="e">
        <f ca="1">IF(ACOMPANHAMENTO&lt;&gt;"BM",0,SUMPRODUCT(OFFSET(BM!$O$15,$A15,0,$B15)*(OFFSET(BM!$A$15,$A15,0,$B15)="S")*OFFSET(ORÇAMENTO!AA$15,$A15,0,$B15)/(OFFSET(ORÇAMENTO!$X$15,$A15,0,$B15)+10^-12)))</f>
        <v>#N/A</v>
      </c>
      <c r="AN15" s="143" t="e">
        <f ca="1">IF(ACOMPANHAMENTO&lt;&gt;"BM",0,SUMPRODUCT(OFFSET(BM!$O$15,$A15,0,$B15)*(OFFSET(BM!$A$15,$A15,0,$B15)="S")*OFFSET(ORÇAMENTO!AB$15,$A15,0,$B15)/(OFFSET(ORÇAMENTO!$X$15,$A15,0,$B15)+10^-12)))</f>
        <v>#N/A</v>
      </c>
      <c r="AO15" s="143" t="e">
        <f ca="1">IF(ACOMPANHAMENTO&lt;&gt;"BM",0,OFFSET(BM!$O$15,$A15,0))</f>
        <v>#N/A</v>
      </c>
    </row>
    <row r="16" spans="1:41" x14ac:dyDescent="0.25">
      <c r="A16" t="e">
        <f ca="1">MATCH(E16,ORÇAMENTO!$E$15:$E$36,0)-1</f>
        <v>#N/A</v>
      </c>
      <c r="B16" t="e">
        <f ca="1">IF(ISERROR($A16),NA(),OFFSET(ORÇAMENTO!$D$15,$A16,0))</f>
        <v>#N/A</v>
      </c>
      <c r="C16" t="str">
        <f ca="1">QCI!B16</f>
        <v>Branco</v>
      </c>
      <c r="D16" t="str">
        <f t="shared" ca="1" si="0"/>
        <v/>
      </c>
      <c r="E16" s="224">
        <f>QCI!D16</f>
        <v>3</v>
      </c>
      <c r="F16" s="283" t="str">
        <f ca="1">QCI!G16</f>
        <v/>
      </c>
      <c r="G16" s="284">
        <f>QCI!H16</f>
        <v>0</v>
      </c>
      <c r="H16" s="225">
        <f>QCI!I16</f>
        <v>0</v>
      </c>
      <c r="I16" s="225" t="str">
        <f ca="1">QCI!J16</f>
        <v/>
      </c>
      <c r="J16" s="285" t="str">
        <f ca="1">QCI!K16</f>
        <v/>
      </c>
      <c r="K16" s="286" t="str">
        <f ca="1">IF($C16="Automático",IF(ACOMPANHAMENTO="BM",BM.medicao,PLE.Medicao),IF(ISBLANK($X16),"",$X16))</f>
        <v/>
      </c>
      <c r="L16" s="229">
        <f ca="1">QCI!$O16</f>
        <v>0</v>
      </c>
      <c r="M16" s="226">
        <f t="shared" ca="1" si="1"/>
        <v>0</v>
      </c>
      <c r="N16" s="227">
        <f t="shared" ca="1" si="2"/>
        <v>0</v>
      </c>
      <c r="O16" s="228">
        <f t="shared" ca="1" si="3"/>
        <v>0</v>
      </c>
      <c r="P16" s="288">
        <f t="shared" ca="1" si="4"/>
        <v>0</v>
      </c>
      <c r="R16" s="287">
        <f ca="1">ROUND(IF($C16="Automático",AC16+AJ16,$Y16*IF(ISERROR(QCI!$AA16/QCI!$O16),0,QCI!$AA16/QCI!$O16)),2)</f>
        <v>0</v>
      </c>
      <c r="S16" s="287">
        <f ca="1">ROUND(IF($C16="Automático",AD16+AK16,$Y16*IF(ISERROR(QCI!$AB16/QCI!$O16),0,QCI!$AB16/QCI!$O16)),2)</f>
        <v>0</v>
      </c>
      <c r="T16" s="287">
        <f ca="1">ROUND(IF($C16="Automático",AF16+AM16,$Z16*IF(ISERROR(QCI!$AA16/QCI!$O16),0,QCI!$AA16/QCI!$O16)),2)</f>
        <v>0</v>
      </c>
      <c r="U16" s="287">
        <f ca="1">ROUND(IF($C16="Automático",AG16+AN16,$Z16*IF(ISERROR(QCI!$AB16/QCI!$O16),0,QCI!$AB16/QCI!$O16)),2)</f>
        <v>0</v>
      </c>
      <c r="V16" s="361">
        <f ca="1">IF(AND($L16&gt;0,$J16&lt;&gt;0,$J16&lt;&gt;"",COUNTIF($J$13:$J16,$J16)=1),OFFSET(V16,-1,0)+1,OFFSET(V16,-1,0))</f>
        <v>1</v>
      </c>
      <c r="X16" s="422"/>
      <c r="Y16" s="230"/>
      <c r="Z16" s="231"/>
      <c r="AC16" s="143">
        <f ca="1">IF(ACOMPANHAMENTO&lt;&gt;"PLE",0,SUMPRODUCT((OFFSET(CÁLCULO!$AX$15:$BH$15,$A16,0,$B16)&lt;=(PLE.Medicao-1))*OFFSET(CÁLCULO!$AB$15:$AL$15,$A16,0,$B16)*OFFSET(ORÇAMENTO!$AA$15,$A16,0,$B16)/(OFFSET(ORÇAMENTO!$X$15,$A16,0,$B16)+10^-12))+IF(AUTOEVENTO="Manual",SUMPRODUCT((OFFSET(CÁLCULO!$M$15,$A16,0,$B16)=1)*OFFSET(ORÇAMENTO!$AA$15,$A16,0,$B16)*(PLE!$AE$9-PLE!$Y$9)),0))</f>
        <v>0</v>
      </c>
      <c r="AD16" s="143">
        <f ca="1">IF(ACOMPANHAMENTO&lt;&gt;"PLE",0,SUMPRODUCT((OFFSET(CÁLCULO!$AX$15:$BH$15,$A16,0,$B16)&lt;=(PLE.Medicao-1))*OFFSET(CÁLCULO!$AB$15:$AL$15,$A16,0,$B16)*OFFSET(ORÇAMENTO!$AB$15,$A16,0,$B16)/(OFFSET(ORÇAMENTO!$X$15,$A16,0,$B16)+10^-12))+IF(AUTOEVENTO="Manual",SUMPRODUCT((OFFSET(CÁLCULO!$M$15,$A16,0,$B16)=1)*OFFSET(ORÇAMENTO!$AB$15,$A16,0,$B16)*(PLE!$AE$9-PLE!$Y$9)),0))</f>
        <v>0</v>
      </c>
      <c r="AE16" s="143">
        <f ca="1">ROUND(IF(ACOMPANHAMENTO&lt;&gt;"PLE",0,SUMIF(OFFSET(CÁLCULO!$AX$15:$BH$15,$A16,0,$B16),"&lt;="&amp;(PLE.Medicao-1),OFFSET(CÁLCULO!$AB$15:$AL$15,$A16,0,$B16))+IF(AUTOEVENTO="Manual",SUMIF(OFFSET(CÁLCULO!$M$15,$A16,0,$B16),1,OFFSET(ORÇAMENTO!$X$15,$A16,0,$B16))*(PLE!$AE$9-PLE!$Y$9),0)),2)</f>
        <v>0</v>
      </c>
      <c r="AF16" s="143">
        <f ca="1">IF(ACOMPANHAMENTO&lt;&gt;"PLE",0,SUMPRODUCT((OFFSET(CÁLCULO!$AX$15:$BH$15,$A16,0,$B16)&lt;=PLE.Medicao)*OFFSET(CÁLCULO!$AB$15:$AL$15,$A16,0,$B16)*OFFSET(ORÇAMENTO!$AA$15,$A16,0,$B16)/(OFFSET(ORÇAMENTO!$X$15,$A16,0,$B16)+10^-12))+IF(AUTOEVENTO="Manual",SUMPRODUCT((OFFSET(CÁLCULO!$M$15,$A16,0,$B16)=1)*OFFSET(ORÇAMENTO!$AA$15,$A16,0,$B16)*PLE!$AE$9),0))</f>
        <v>0</v>
      </c>
      <c r="AG16" s="143">
        <f ca="1">IF(ACOMPANHAMENTO&lt;&gt;"PLE",0,SUMPRODUCT((OFFSET(CÁLCULO!$AX$15:$BH$15,$A16,0,$B16)&lt;=PLE.Medicao)*OFFSET(CÁLCULO!$AB$15:$AL$15,$A16,0,$B16)*OFFSET(ORÇAMENTO!$AB$15,$A16,0,$B16)/(OFFSET(ORÇAMENTO!$X$15,$A16,0,$B16)+10^-12))+IF(AUTOEVENTO="Manual",SUMPRODUCT((OFFSET(CÁLCULO!$M$15,$A16,0,$B16)=1)*OFFSET(ORÇAMENTO!$AB$15,$A16,0,$B16)*PLE!$AE$9),0))</f>
        <v>0</v>
      </c>
      <c r="AH16" s="143">
        <f ca="1">ROUND(IF(ACOMPANHAMENTO&lt;&gt;"PLE",0,SUMIF(OFFSET(CÁLCULO!$AX$15:$BH$15,$A16,0,$B16),"&lt;="&amp;PLE.Medicao,OFFSET(CÁLCULO!$AB$15:$AL$15,$A16,0,$B16))+IF(AUTOEVENTO="Manual",SUMIF(OFFSET(CÁLCULO!$M$15,$A16,0,$B16),1,OFFSET(ORÇAMENTO!$X$15,$A16,0,$B16))*PLE!$AE$9,0)),2)</f>
        <v>0</v>
      </c>
      <c r="AJ16" s="143" t="e">
        <f ca="1">IF(ACOMPANHAMENTO&lt;&gt;"BM",0,SUMPRODUCT(OFFSET(BM!$M$15,$A16,0,$B16)*(OFFSET(BM!$A$15,$A16,0,$B16)="S")*OFFSET(ORÇAMENTO!AA$15,$A16,0,$B16)/(OFFSET(ORÇAMENTO!$X$15,$A16,0,$B16)+10^-12)))</f>
        <v>#N/A</v>
      </c>
      <c r="AK16" s="143" t="e">
        <f ca="1">IF(ACOMPANHAMENTO&lt;&gt;"BM",0,SUMPRODUCT(OFFSET(BM!$M$15,$A16,0,$B16)*(OFFSET(BM!$A$15,$A16,0,$B16)="S")*OFFSET(ORÇAMENTO!AB$15,$A16,0,$B16)/(OFFSET(ORÇAMENTO!$X$15,$A16,0,$B16)+10^-12)))</f>
        <v>#N/A</v>
      </c>
      <c r="AL16" s="143" t="e">
        <f ca="1">IF(ACOMPANHAMENTO&lt;&gt;"BM",0,OFFSET(BM!$M$15,$A16,0))</f>
        <v>#N/A</v>
      </c>
      <c r="AM16" s="143" t="e">
        <f ca="1">IF(ACOMPANHAMENTO&lt;&gt;"BM",0,SUMPRODUCT(OFFSET(BM!$O$15,$A16,0,$B16)*(OFFSET(BM!$A$15,$A16,0,$B16)="S")*OFFSET(ORÇAMENTO!AA$15,$A16,0,$B16)/(OFFSET(ORÇAMENTO!$X$15,$A16,0,$B16)+10^-12)))</f>
        <v>#N/A</v>
      </c>
      <c r="AN16" s="143" t="e">
        <f ca="1">IF(ACOMPANHAMENTO&lt;&gt;"BM",0,SUMPRODUCT(OFFSET(BM!$O$15,$A16,0,$B16)*(OFFSET(BM!$A$15,$A16,0,$B16)="S")*OFFSET(ORÇAMENTO!AB$15,$A16,0,$B16)/(OFFSET(ORÇAMENTO!$X$15,$A16,0,$B16)+10^-12)))</f>
        <v>#N/A</v>
      </c>
      <c r="AO16" s="143" t="e">
        <f ca="1">IF(ACOMPANHAMENTO&lt;&gt;"BM",0,OFFSET(BM!$O$15,$A16,0))</f>
        <v>#N/A</v>
      </c>
    </row>
    <row r="17" spans="1:41" x14ac:dyDescent="0.25">
      <c r="A17" t="e">
        <f ca="1">MATCH(E17,ORÇAMENTO!$E$15:$E$36,0)-1</f>
        <v>#N/A</v>
      </c>
      <c r="B17" t="e">
        <f ca="1">IF(ISERROR($A17),NA(),OFFSET(ORÇAMENTO!$D$15,$A17,0))</f>
        <v>#N/A</v>
      </c>
      <c r="C17" t="str">
        <f ca="1">QCI!B17</f>
        <v>Branco</v>
      </c>
      <c r="D17" t="str">
        <f t="shared" ca="1" si="0"/>
        <v/>
      </c>
      <c r="E17" s="224">
        <f>QCI!D17</f>
        <v>4</v>
      </c>
      <c r="F17" s="283" t="str">
        <f ca="1">QCI!G17</f>
        <v/>
      </c>
      <c r="G17" s="284">
        <f>QCI!H17</f>
        <v>0</v>
      </c>
      <c r="H17" s="225">
        <f>QCI!I17</f>
        <v>0</v>
      </c>
      <c r="I17" s="225" t="str">
        <f ca="1">QCI!J17</f>
        <v/>
      </c>
      <c r="J17" s="285" t="str">
        <f ca="1">QCI!K17</f>
        <v/>
      </c>
      <c r="K17" s="286" t="str">
        <f ca="1">IF($C17="Automático",IF(ACOMPANHAMENTO="BM",BM.medicao,PLE.Medicao),IF(ISBLANK($X17),"",$X17))</f>
        <v/>
      </c>
      <c r="L17" s="229">
        <f ca="1">QCI!$O17</f>
        <v>0</v>
      </c>
      <c r="M17" s="226">
        <f t="shared" ca="1" si="1"/>
        <v>0</v>
      </c>
      <c r="N17" s="227">
        <f t="shared" ca="1" si="2"/>
        <v>0</v>
      </c>
      <c r="O17" s="228">
        <f t="shared" ca="1" si="3"/>
        <v>0</v>
      </c>
      <c r="P17" s="288">
        <f t="shared" ca="1" si="4"/>
        <v>0</v>
      </c>
      <c r="R17" s="287">
        <f ca="1">ROUND(IF($C17="Automático",AC17+AJ17,$Y17*IF(ISERROR(QCI!$AA17/QCI!$O17),0,QCI!$AA17/QCI!$O17)),2)</f>
        <v>0</v>
      </c>
      <c r="S17" s="287">
        <f ca="1">ROUND(IF($C17="Automático",AD17+AK17,$Y17*IF(ISERROR(QCI!$AB17/QCI!$O17),0,QCI!$AB17/QCI!$O17)),2)</f>
        <v>0</v>
      </c>
      <c r="T17" s="287">
        <f ca="1">ROUND(IF($C17="Automático",AF17+AM17,$Z17*IF(ISERROR(QCI!$AA17/QCI!$O17),0,QCI!$AA17/QCI!$O17)),2)</f>
        <v>0</v>
      </c>
      <c r="U17" s="287">
        <f ca="1">ROUND(IF($C17="Automático",AG17+AN17,$Z17*IF(ISERROR(QCI!$AB17/QCI!$O17),0,QCI!$AB17/QCI!$O17)),2)</f>
        <v>0</v>
      </c>
      <c r="V17" s="361">
        <f ca="1">IF(AND($L17&gt;0,$J17&lt;&gt;0,$J17&lt;&gt;"",COUNTIF($J$13:$J17,$J17)=1),OFFSET(V17,-1,0)+1,OFFSET(V17,-1,0))</f>
        <v>1</v>
      </c>
      <c r="X17" s="422"/>
      <c r="Y17" s="230"/>
      <c r="Z17" s="231"/>
      <c r="AC17" s="143">
        <f ca="1">IF(ACOMPANHAMENTO&lt;&gt;"PLE",0,SUMPRODUCT((OFFSET(CÁLCULO!$AX$15:$BH$15,$A17,0,$B17)&lt;=(PLE.Medicao-1))*OFFSET(CÁLCULO!$AB$15:$AL$15,$A17,0,$B17)*OFFSET(ORÇAMENTO!$AA$15,$A17,0,$B17)/(OFFSET(ORÇAMENTO!$X$15,$A17,0,$B17)+10^-12))+IF(AUTOEVENTO="Manual",SUMPRODUCT((OFFSET(CÁLCULO!$M$15,$A17,0,$B17)=1)*OFFSET(ORÇAMENTO!$AA$15,$A17,0,$B17)*(PLE!$AE$9-PLE!$Y$9)),0))</f>
        <v>0</v>
      </c>
      <c r="AD17" s="143">
        <f ca="1">IF(ACOMPANHAMENTO&lt;&gt;"PLE",0,SUMPRODUCT((OFFSET(CÁLCULO!$AX$15:$BH$15,$A17,0,$B17)&lt;=(PLE.Medicao-1))*OFFSET(CÁLCULO!$AB$15:$AL$15,$A17,0,$B17)*OFFSET(ORÇAMENTO!$AB$15,$A17,0,$B17)/(OFFSET(ORÇAMENTO!$X$15,$A17,0,$B17)+10^-12))+IF(AUTOEVENTO="Manual",SUMPRODUCT((OFFSET(CÁLCULO!$M$15,$A17,0,$B17)=1)*OFFSET(ORÇAMENTO!$AB$15,$A17,0,$B17)*(PLE!$AE$9-PLE!$Y$9)),0))</f>
        <v>0</v>
      </c>
      <c r="AE17" s="143">
        <f ca="1">ROUND(IF(ACOMPANHAMENTO&lt;&gt;"PLE",0,SUMIF(OFFSET(CÁLCULO!$AX$15:$BH$15,$A17,0,$B17),"&lt;="&amp;(PLE.Medicao-1),OFFSET(CÁLCULO!$AB$15:$AL$15,$A17,0,$B17))+IF(AUTOEVENTO="Manual",SUMIF(OFFSET(CÁLCULO!$M$15,$A17,0,$B17),1,OFFSET(ORÇAMENTO!$X$15,$A17,0,$B17))*(PLE!$AE$9-PLE!$Y$9),0)),2)</f>
        <v>0</v>
      </c>
      <c r="AF17" s="143">
        <f ca="1">IF(ACOMPANHAMENTO&lt;&gt;"PLE",0,SUMPRODUCT((OFFSET(CÁLCULO!$AX$15:$BH$15,$A17,0,$B17)&lt;=PLE.Medicao)*OFFSET(CÁLCULO!$AB$15:$AL$15,$A17,0,$B17)*OFFSET(ORÇAMENTO!$AA$15,$A17,0,$B17)/(OFFSET(ORÇAMENTO!$X$15,$A17,0,$B17)+10^-12))+IF(AUTOEVENTO="Manual",SUMPRODUCT((OFFSET(CÁLCULO!$M$15,$A17,0,$B17)=1)*OFFSET(ORÇAMENTO!$AA$15,$A17,0,$B17)*PLE!$AE$9),0))</f>
        <v>0</v>
      </c>
      <c r="AG17" s="143">
        <f ca="1">IF(ACOMPANHAMENTO&lt;&gt;"PLE",0,SUMPRODUCT((OFFSET(CÁLCULO!$AX$15:$BH$15,$A17,0,$B17)&lt;=PLE.Medicao)*OFFSET(CÁLCULO!$AB$15:$AL$15,$A17,0,$B17)*OFFSET(ORÇAMENTO!$AB$15,$A17,0,$B17)/(OFFSET(ORÇAMENTO!$X$15,$A17,0,$B17)+10^-12))+IF(AUTOEVENTO="Manual",SUMPRODUCT((OFFSET(CÁLCULO!$M$15,$A17,0,$B17)=1)*OFFSET(ORÇAMENTO!$AB$15,$A17,0,$B17)*PLE!$AE$9),0))</f>
        <v>0</v>
      </c>
      <c r="AH17" s="143">
        <f ca="1">ROUND(IF(ACOMPANHAMENTO&lt;&gt;"PLE",0,SUMIF(OFFSET(CÁLCULO!$AX$15:$BH$15,$A17,0,$B17),"&lt;="&amp;PLE.Medicao,OFFSET(CÁLCULO!$AB$15:$AL$15,$A17,0,$B17))+IF(AUTOEVENTO="Manual",SUMIF(OFFSET(CÁLCULO!$M$15,$A17,0,$B17),1,OFFSET(ORÇAMENTO!$X$15,$A17,0,$B17))*PLE!$AE$9,0)),2)</f>
        <v>0</v>
      </c>
      <c r="AJ17" s="143" t="e">
        <f ca="1">IF(ACOMPANHAMENTO&lt;&gt;"BM",0,SUMPRODUCT(OFFSET(BM!$M$15,$A17,0,$B17)*(OFFSET(BM!$A$15,$A17,0,$B17)="S")*OFFSET(ORÇAMENTO!AA$15,$A17,0,$B17)/(OFFSET(ORÇAMENTO!$X$15,$A17,0,$B17)+10^-12)))</f>
        <v>#N/A</v>
      </c>
      <c r="AK17" s="143" t="e">
        <f ca="1">IF(ACOMPANHAMENTO&lt;&gt;"BM",0,SUMPRODUCT(OFFSET(BM!$M$15,$A17,0,$B17)*(OFFSET(BM!$A$15,$A17,0,$B17)="S")*OFFSET(ORÇAMENTO!AB$15,$A17,0,$B17)/(OFFSET(ORÇAMENTO!$X$15,$A17,0,$B17)+10^-12)))</f>
        <v>#N/A</v>
      </c>
      <c r="AL17" s="143" t="e">
        <f ca="1">IF(ACOMPANHAMENTO&lt;&gt;"BM",0,OFFSET(BM!$M$15,$A17,0))</f>
        <v>#N/A</v>
      </c>
      <c r="AM17" s="143" t="e">
        <f ca="1">IF(ACOMPANHAMENTO&lt;&gt;"BM",0,SUMPRODUCT(OFFSET(BM!$O$15,$A17,0,$B17)*(OFFSET(BM!$A$15,$A17,0,$B17)="S")*OFFSET(ORÇAMENTO!AA$15,$A17,0,$B17)/(OFFSET(ORÇAMENTO!$X$15,$A17,0,$B17)+10^-12)))</f>
        <v>#N/A</v>
      </c>
      <c r="AN17" s="143" t="e">
        <f ca="1">IF(ACOMPANHAMENTO&lt;&gt;"BM",0,SUMPRODUCT(OFFSET(BM!$O$15,$A17,0,$B17)*(OFFSET(BM!$A$15,$A17,0,$B17)="S")*OFFSET(ORÇAMENTO!AB$15,$A17,0,$B17)/(OFFSET(ORÇAMENTO!$X$15,$A17,0,$B17)+10^-12)))</f>
        <v>#N/A</v>
      </c>
      <c r="AO17" s="143" t="e">
        <f ca="1">IF(ACOMPANHAMENTO&lt;&gt;"BM",0,OFFSET(BM!$O$15,$A17,0))</f>
        <v>#N/A</v>
      </c>
    </row>
    <row r="18" spans="1:41" x14ac:dyDescent="0.25">
      <c r="A18" t="e">
        <f ca="1">MATCH(E18,ORÇAMENTO!$E$15:$E$36,0)-1</f>
        <v>#N/A</v>
      </c>
      <c r="B18" t="e">
        <f ca="1">IF(ISERROR($A18),NA(),OFFSET(ORÇAMENTO!$D$15,$A18,0))</f>
        <v>#N/A</v>
      </c>
      <c r="C18" t="str">
        <f ca="1">QCI!B18</f>
        <v>Branco</v>
      </c>
      <c r="D18" t="str">
        <f t="shared" ca="1" si="0"/>
        <v/>
      </c>
      <c r="E18" s="224">
        <f>QCI!D18</f>
        <v>5</v>
      </c>
      <c r="F18" s="283" t="str">
        <f ca="1">QCI!G18</f>
        <v/>
      </c>
      <c r="G18" s="284">
        <f>QCI!H18</f>
        <v>0</v>
      </c>
      <c r="H18" s="225">
        <f>QCI!I18</f>
        <v>0</v>
      </c>
      <c r="I18" s="225" t="str">
        <f ca="1">QCI!J18</f>
        <v/>
      </c>
      <c r="J18" s="285" t="str">
        <f ca="1">QCI!K18</f>
        <v/>
      </c>
      <c r="K18" s="286" t="str">
        <f ca="1">IF($C18="Automático",IF(ACOMPANHAMENTO="BM",BM.medicao,PLE.Medicao),IF(ISBLANK($X18),"",$X18))</f>
        <v/>
      </c>
      <c r="L18" s="229">
        <f ca="1">QCI!$O18</f>
        <v>0</v>
      </c>
      <c r="M18" s="226">
        <f t="shared" ca="1" si="1"/>
        <v>0</v>
      </c>
      <c r="N18" s="227">
        <f t="shared" ca="1" si="2"/>
        <v>0</v>
      </c>
      <c r="O18" s="228">
        <f t="shared" ca="1" si="3"/>
        <v>0</v>
      </c>
      <c r="P18" s="288">
        <f t="shared" ca="1" si="4"/>
        <v>0</v>
      </c>
      <c r="R18" s="287">
        <f ca="1">ROUND(IF($C18="Automático",AC18+AJ18,$Y18*IF(ISERROR(QCI!$AA18/QCI!$O18),0,QCI!$AA18/QCI!$O18)),2)</f>
        <v>0</v>
      </c>
      <c r="S18" s="287">
        <f ca="1">ROUND(IF($C18="Automático",AD18+AK18,$Y18*IF(ISERROR(QCI!$AB18/QCI!$O18),0,QCI!$AB18/QCI!$O18)),2)</f>
        <v>0</v>
      </c>
      <c r="T18" s="287">
        <f ca="1">ROUND(IF($C18="Automático",AF18+AM18,$Z18*IF(ISERROR(QCI!$AA18/QCI!$O18),0,QCI!$AA18/QCI!$O18)),2)</f>
        <v>0</v>
      </c>
      <c r="U18" s="287">
        <f ca="1">ROUND(IF($C18="Automático",AG18+AN18,$Z18*IF(ISERROR(QCI!$AB18/QCI!$O18),0,QCI!$AB18/QCI!$O18)),2)</f>
        <v>0</v>
      </c>
      <c r="V18" s="361">
        <f ca="1">IF(AND($L18&gt;0,$J18&lt;&gt;0,$J18&lt;&gt;"",COUNTIF($J$13:$J18,$J18)=1),OFFSET(V18,-1,0)+1,OFFSET(V18,-1,0))</f>
        <v>1</v>
      </c>
      <c r="X18" s="422"/>
      <c r="Y18" s="230"/>
      <c r="Z18" s="231"/>
      <c r="AC18" s="143">
        <f ca="1">IF(ACOMPANHAMENTO&lt;&gt;"PLE",0,SUMPRODUCT((OFFSET(CÁLCULO!$AX$15:$BH$15,$A18,0,$B18)&lt;=(PLE.Medicao-1))*OFFSET(CÁLCULO!$AB$15:$AL$15,$A18,0,$B18)*OFFSET(ORÇAMENTO!$AA$15,$A18,0,$B18)/(OFFSET(ORÇAMENTO!$X$15,$A18,0,$B18)+10^-12))+IF(AUTOEVENTO="Manual",SUMPRODUCT((OFFSET(CÁLCULO!$M$15,$A18,0,$B18)=1)*OFFSET(ORÇAMENTO!$AA$15,$A18,0,$B18)*(PLE!$AE$9-PLE!$Y$9)),0))</f>
        <v>0</v>
      </c>
      <c r="AD18" s="143">
        <f ca="1">IF(ACOMPANHAMENTO&lt;&gt;"PLE",0,SUMPRODUCT((OFFSET(CÁLCULO!$AX$15:$BH$15,$A18,0,$B18)&lt;=(PLE.Medicao-1))*OFFSET(CÁLCULO!$AB$15:$AL$15,$A18,0,$B18)*OFFSET(ORÇAMENTO!$AB$15,$A18,0,$B18)/(OFFSET(ORÇAMENTO!$X$15,$A18,0,$B18)+10^-12))+IF(AUTOEVENTO="Manual",SUMPRODUCT((OFFSET(CÁLCULO!$M$15,$A18,0,$B18)=1)*OFFSET(ORÇAMENTO!$AB$15,$A18,0,$B18)*(PLE!$AE$9-PLE!$Y$9)),0))</f>
        <v>0</v>
      </c>
      <c r="AE18" s="143">
        <f ca="1">ROUND(IF(ACOMPANHAMENTO&lt;&gt;"PLE",0,SUMIF(OFFSET(CÁLCULO!$AX$15:$BH$15,$A18,0,$B18),"&lt;="&amp;(PLE.Medicao-1),OFFSET(CÁLCULO!$AB$15:$AL$15,$A18,0,$B18))+IF(AUTOEVENTO="Manual",SUMIF(OFFSET(CÁLCULO!$M$15,$A18,0,$B18),1,OFFSET(ORÇAMENTO!$X$15,$A18,0,$B18))*(PLE!$AE$9-PLE!$Y$9),0)),2)</f>
        <v>0</v>
      </c>
      <c r="AF18" s="143">
        <f ca="1">IF(ACOMPANHAMENTO&lt;&gt;"PLE",0,SUMPRODUCT((OFFSET(CÁLCULO!$AX$15:$BH$15,$A18,0,$B18)&lt;=PLE.Medicao)*OFFSET(CÁLCULO!$AB$15:$AL$15,$A18,0,$B18)*OFFSET(ORÇAMENTO!$AA$15,$A18,0,$B18)/(OFFSET(ORÇAMENTO!$X$15,$A18,0,$B18)+10^-12))+IF(AUTOEVENTO="Manual",SUMPRODUCT((OFFSET(CÁLCULO!$M$15,$A18,0,$B18)=1)*OFFSET(ORÇAMENTO!$AA$15,$A18,0,$B18)*PLE!$AE$9),0))</f>
        <v>0</v>
      </c>
      <c r="AG18" s="143">
        <f ca="1">IF(ACOMPANHAMENTO&lt;&gt;"PLE",0,SUMPRODUCT((OFFSET(CÁLCULO!$AX$15:$BH$15,$A18,0,$B18)&lt;=PLE.Medicao)*OFFSET(CÁLCULO!$AB$15:$AL$15,$A18,0,$B18)*OFFSET(ORÇAMENTO!$AB$15,$A18,0,$B18)/(OFFSET(ORÇAMENTO!$X$15,$A18,0,$B18)+10^-12))+IF(AUTOEVENTO="Manual",SUMPRODUCT((OFFSET(CÁLCULO!$M$15,$A18,0,$B18)=1)*OFFSET(ORÇAMENTO!$AB$15,$A18,0,$B18)*PLE!$AE$9),0))</f>
        <v>0</v>
      </c>
      <c r="AH18" s="143">
        <f ca="1">ROUND(IF(ACOMPANHAMENTO&lt;&gt;"PLE",0,SUMIF(OFFSET(CÁLCULO!$AX$15:$BH$15,$A18,0,$B18),"&lt;="&amp;PLE.Medicao,OFFSET(CÁLCULO!$AB$15:$AL$15,$A18,0,$B18))+IF(AUTOEVENTO="Manual",SUMIF(OFFSET(CÁLCULO!$M$15,$A18,0,$B18),1,OFFSET(ORÇAMENTO!$X$15,$A18,0,$B18))*PLE!$AE$9,0)),2)</f>
        <v>0</v>
      </c>
      <c r="AJ18" s="143" t="e">
        <f ca="1">IF(ACOMPANHAMENTO&lt;&gt;"BM",0,SUMPRODUCT(OFFSET(BM!$M$15,$A18,0,$B18)*(OFFSET(BM!$A$15,$A18,0,$B18)="S")*OFFSET(ORÇAMENTO!AA$15,$A18,0,$B18)/(OFFSET(ORÇAMENTO!$X$15,$A18,0,$B18)+10^-12)))</f>
        <v>#N/A</v>
      </c>
      <c r="AK18" s="143" t="e">
        <f ca="1">IF(ACOMPANHAMENTO&lt;&gt;"BM",0,SUMPRODUCT(OFFSET(BM!$M$15,$A18,0,$B18)*(OFFSET(BM!$A$15,$A18,0,$B18)="S")*OFFSET(ORÇAMENTO!AB$15,$A18,0,$B18)/(OFFSET(ORÇAMENTO!$X$15,$A18,0,$B18)+10^-12)))</f>
        <v>#N/A</v>
      </c>
      <c r="AL18" s="143" t="e">
        <f ca="1">IF(ACOMPANHAMENTO&lt;&gt;"BM",0,OFFSET(BM!$M$15,$A18,0))</f>
        <v>#N/A</v>
      </c>
      <c r="AM18" s="143" t="e">
        <f ca="1">IF(ACOMPANHAMENTO&lt;&gt;"BM",0,SUMPRODUCT(OFFSET(BM!$O$15,$A18,0,$B18)*(OFFSET(BM!$A$15,$A18,0,$B18)="S")*OFFSET(ORÇAMENTO!AA$15,$A18,0,$B18)/(OFFSET(ORÇAMENTO!$X$15,$A18,0,$B18)+10^-12)))</f>
        <v>#N/A</v>
      </c>
      <c r="AN18" s="143" t="e">
        <f ca="1">IF(ACOMPANHAMENTO&lt;&gt;"BM",0,SUMPRODUCT(OFFSET(BM!$O$15,$A18,0,$B18)*(OFFSET(BM!$A$15,$A18,0,$B18)="S")*OFFSET(ORÇAMENTO!AB$15,$A18,0,$B18)/(OFFSET(ORÇAMENTO!$X$15,$A18,0,$B18)+10^-12)))</f>
        <v>#N/A</v>
      </c>
      <c r="AO18" s="143" t="e">
        <f ca="1">IF(ACOMPANHAMENTO&lt;&gt;"BM",0,OFFSET(BM!$O$15,$A18,0))</f>
        <v>#N/A</v>
      </c>
    </row>
    <row r="19" spans="1:41" x14ac:dyDescent="0.25">
      <c r="A19" t="e">
        <f ca="1">MATCH(E19,ORÇAMENTO!$E$15:$E$36,0)-1</f>
        <v>#N/A</v>
      </c>
      <c r="B19" t="e">
        <f ca="1">IF(ISERROR($A19),NA(),OFFSET(ORÇAMENTO!$D$15,$A19,0))</f>
        <v>#N/A</v>
      </c>
      <c r="C19" t="str">
        <f ca="1">QCI!B19</f>
        <v>Branco</v>
      </c>
      <c r="D19" t="str">
        <f t="shared" ca="1" si="0"/>
        <v/>
      </c>
      <c r="E19" s="224">
        <f>QCI!D19</f>
        <v>6</v>
      </c>
      <c r="F19" s="283" t="str">
        <f ca="1">QCI!G19</f>
        <v/>
      </c>
      <c r="G19" s="284">
        <f>QCI!H19</f>
        <v>0</v>
      </c>
      <c r="H19" s="225">
        <f>QCI!I19</f>
        <v>0</v>
      </c>
      <c r="I19" s="225" t="str">
        <f ca="1">QCI!J19</f>
        <v/>
      </c>
      <c r="J19" s="285" t="str">
        <f ca="1">QCI!K19</f>
        <v/>
      </c>
      <c r="K19" s="286" t="str">
        <f ca="1">IF($C19="Automático",IF(ACOMPANHAMENTO="BM",BM.medicao,PLE.Medicao),IF(ISBLANK($X19),"",$X19))</f>
        <v/>
      </c>
      <c r="L19" s="229">
        <f ca="1">QCI!$O19</f>
        <v>0</v>
      </c>
      <c r="M19" s="226">
        <f t="shared" ca="1" si="1"/>
        <v>0</v>
      </c>
      <c r="N19" s="227">
        <f t="shared" ca="1" si="2"/>
        <v>0</v>
      </c>
      <c r="O19" s="228">
        <f t="shared" ca="1" si="3"/>
        <v>0</v>
      </c>
      <c r="P19" s="288">
        <f t="shared" ca="1" si="4"/>
        <v>0</v>
      </c>
      <c r="R19" s="287">
        <f ca="1">ROUND(IF($C19="Automático",AC19+AJ19,$Y19*IF(ISERROR(QCI!$AA19/QCI!$O19),0,QCI!$AA19/QCI!$O19)),2)</f>
        <v>0</v>
      </c>
      <c r="S19" s="287">
        <f ca="1">ROUND(IF($C19="Automático",AD19+AK19,$Y19*IF(ISERROR(QCI!$AB19/QCI!$O19),0,QCI!$AB19/QCI!$O19)),2)</f>
        <v>0</v>
      </c>
      <c r="T19" s="287">
        <f ca="1">ROUND(IF($C19="Automático",AF19+AM19,$Z19*IF(ISERROR(QCI!$AA19/QCI!$O19),0,QCI!$AA19/QCI!$O19)),2)</f>
        <v>0</v>
      </c>
      <c r="U19" s="287">
        <f ca="1">ROUND(IF($C19="Automático",AG19+AN19,$Z19*IF(ISERROR(QCI!$AB19/QCI!$O19),0,QCI!$AB19/QCI!$O19)),2)</f>
        <v>0</v>
      </c>
      <c r="V19" s="361">
        <f ca="1">IF(AND($L19&gt;0,$J19&lt;&gt;0,$J19&lt;&gt;"",COUNTIF($J$13:$J19,$J19)=1),OFFSET(V19,-1,0)+1,OFFSET(V19,-1,0))</f>
        <v>1</v>
      </c>
      <c r="X19" s="422"/>
      <c r="Y19" s="230"/>
      <c r="Z19" s="231"/>
      <c r="AC19" s="143">
        <f ca="1">IF(ACOMPANHAMENTO&lt;&gt;"PLE",0,SUMPRODUCT((OFFSET(CÁLCULO!$AX$15:$BH$15,$A19,0,$B19)&lt;=(PLE.Medicao-1))*OFFSET(CÁLCULO!$AB$15:$AL$15,$A19,0,$B19)*OFFSET(ORÇAMENTO!$AA$15,$A19,0,$B19)/(OFFSET(ORÇAMENTO!$X$15,$A19,0,$B19)+10^-12))+IF(AUTOEVENTO="Manual",SUMPRODUCT((OFFSET(CÁLCULO!$M$15,$A19,0,$B19)=1)*OFFSET(ORÇAMENTO!$AA$15,$A19,0,$B19)*(PLE!$AE$9-PLE!$Y$9)),0))</f>
        <v>0</v>
      </c>
      <c r="AD19" s="143">
        <f ca="1">IF(ACOMPANHAMENTO&lt;&gt;"PLE",0,SUMPRODUCT((OFFSET(CÁLCULO!$AX$15:$BH$15,$A19,0,$B19)&lt;=(PLE.Medicao-1))*OFFSET(CÁLCULO!$AB$15:$AL$15,$A19,0,$B19)*OFFSET(ORÇAMENTO!$AB$15,$A19,0,$B19)/(OFFSET(ORÇAMENTO!$X$15,$A19,0,$B19)+10^-12))+IF(AUTOEVENTO="Manual",SUMPRODUCT((OFFSET(CÁLCULO!$M$15,$A19,0,$B19)=1)*OFFSET(ORÇAMENTO!$AB$15,$A19,0,$B19)*(PLE!$AE$9-PLE!$Y$9)),0))</f>
        <v>0</v>
      </c>
      <c r="AE19" s="143">
        <f ca="1">ROUND(IF(ACOMPANHAMENTO&lt;&gt;"PLE",0,SUMIF(OFFSET(CÁLCULO!$AX$15:$BH$15,$A19,0,$B19),"&lt;="&amp;(PLE.Medicao-1),OFFSET(CÁLCULO!$AB$15:$AL$15,$A19,0,$B19))+IF(AUTOEVENTO="Manual",SUMIF(OFFSET(CÁLCULO!$M$15,$A19,0,$B19),1,OFFSET(ORÇAMENTO!$X$15,$A19,0,$B19))*(PLE!$AE$9-PLE!$Y$9),0)),2)</f>
        <v>0</v>
      </c>
      <c r="AF19" s="143">
        <f ca="1">IF(ACOMPANHAMENTO&lt;&gt;"PLE",0,SUMPRODUCT((OFFSET(CÁLCULO!$AX$15:$BH$15,$A19,0,$B19)&lt;=PLE.Medicao)*OFFSET(CÁLCULO!$AB$15:$AL$15,$A19,0,$B19)*OFFSET(ORÇAMENTO!$AA$15,$A19,0,$B19)/(OFFSET(ORÇAMENTO!$X$15,$A19,0,$B19)+10^-12))+IF(AUTOEVENTO="Manual",SUMPRODUCT((OFFSET(CÁLCULO!$M$15,$A19,0,$B19)=1)*OFFSET(ORÇAMENTO!$AA$15,$A19,0,$B19)*PLE!$AE$9),0))</f>
        <v>0</v>
      </c>
      <c r="AG19" s="143">
        <f ca="1">IF(ACOMPANHAMENTO&lt;&gt;"PLE",0,SUMPRODUCT((OFFSET(CÁLCULO!$AX$15:$BH$15,$A19,0,$B19)&lt;=PLE.Medicao)*OFFSET(CÁLCULO!$AB$15:$AL$15,$A19,0,$B19)*OFFSET(ORÇAMENTO!$AB$15,$A19,0,$B19)/(OFFSET(ORÇAMENTO!$X$15,$A19,0,$B19)+10^-12))+IF(AUTOEVENTO="Manual",SUMPRODUCT((OFFSET(CÁLCULO!$M$15,$A19,0,$B19)=1)*OFFSET(ORÇAMENTO!$AB$15,$A19,0,$B19)*PLE!$AE$9),0))</f>
        <v>0</v>
      </c>
      <c r="AH19" s="143">
        <f ca="1">ROUND(IF(ACOMPANHAMENTO&lt;&gt;"PLE",0,SUMIF(OFFSET(CÁLCULO!$AX$15:$BH$15,$A19,0,$B19),"&lt;="&amp;PLE.Medicao,OFFSET(CÁLCULO!$AB$15:$AL$15,$A19,0,$B19))+IF(AUTOEVENTO="Manual",SUMIF(OFFSET(CÁLCULO!$M$15,$A19,0,$B19),1,OFFSET(ORÇAMENTO!$X$15,$A19,0,$B19))*PLE!$AE$9,0)),2)</f>
        <v>0</v>
      </c>
      <c r="AJ19" s="143" t="e">
        <f ca="1">IF(ACOMPANHAMENTO&lt;&gt;"BM",0,SUMPRODUCT(OFFSET(BM!$M$15,$A19,0,$B19)*(OFFSET(BM!$A$15,$A19,0,$B19)="S")*OFFSET(ORÇAMENTO!AA$15,$A19,0,$B19)/(OFFSET(ORÇAMENTO!$X$15,$A19,0,$B19)+10^-12)))</f>
        <v>#N/A</v>
      </c>
      <c r="AK19" s="143" t="e">
        <f ca="1">IF(ACOMPANHAMENTO&lt;&gt;"BM",0,SUMPRODUCT(OFFSET(BM!$M$15,$A19,0,$B19)*(OFFSET(BM!$A$15,$A19,0,$B19)="S")*OFFSET(ORÇAMENTO!AB$15,$A19,0,$B19)/(OFFSET(ORÇAMENTO!$X$15,$A19,0,$B19)+10^-12)))</f>
        <v>#N/A</v>
      </c>
      <c r="AL19" s="143" t="e">
        <f ca="1">IF(ACOMPANHAMENTO&lt;&gt;"BM",0,OFFSET(BM!$M$15,$A19,0))</f>
        <v>#N/A</v>
      </c>
      <c r="AM19" s="143" t="e">
        <f ca="1">IF(ACOMPANHAMENTO&lt;&gt;"BM",0,SUMPRODUCT(OFFSET(BM!$O$15,$A19,0,$B19)*(OFFSET(BM!$A$15,$A19,0,$B19)="S")*OFFSET(ORÇAMENTO!AA$15,$A19,0,$B19)/(OFFSET(ORÇAMENTO!$X$15,$A19,0,$B19)+10^-12)))</f>
        <v>#N/A</v>
      </c>
      <c r="AN19" s="143" t="e">
        <f ca="1">IF(ACOMPANHAMENTO&lt;&gt;"BM",0,SUMPRODUCT(OFFSET(BM!$O$15,$A19,0,$B19)*(OFFSET(BM!$A$15,$A19,0,$B19)="S")*OFFSET(ORÇAMENTO!AB$15,$A19,0,$B19)/(OFFSET(ORÇAMENTO!$X$15,$A19,0,$B19)+10^-12)))</f>
        <v>#N/A</v>
      </c>
      <c r="AO19" s="143" t="e">
        <f ca="1">IF(ACOMPANHAMENTO&lt;&gt;"BM",0,OFFSET(BM!$O$15,$A19,0))</f>
        <v>#N/A</v>
      </c>
    </row>
    <row r="20" spans="1:41" x14ac:dyDescent="0.25">
      <c r="A20" t="e">
        <f ca="1">MATCH(E20,ORÇAMENTO!$E$15:$E$36,0)-1</f>
        <v>#N/A</v>
      </c>
      <c r="B20" t="e">
        <f ca="1">IF(ISERROR($A20),NA(),OFFSET(ORÇAMENTO!$D$15,$A20,0))</f>
        <v>#N/A</v>
      </c>
      <c r="C20" t="str">
        <f ca="1">QCI!B20</f>
        <v>Branco</v>
      </c>
      <c r="D20" t="str">
        <f t="shared" ca="1" si="0"/>
        <v/>
      </c>
      <c r="E20" s="224">
        <f>QCI!D20</f>
        <v>7</v>
      </c>
      <c r="F20" s="283" t="str">
        <f ca="1">QCI!G20</f>
        <v/>
      </c>
      <c r="G20" s="284">
        <f>QCI!H20</f>
        <v>0</v>
      </c>
      <c r="H20" s="225">
        <f>QCI!I20</f>
        <v>0</v>
      </c>
      <c r="I20" s="225" t="str">
        <f ca="1">QCI!J20</f>
        <v>m²</v>
      </c>
      <c r="J20" s="285" t="str">
        <f ca="1">QCI!K20</f>
        <v/>
      </c>
      <c r="K20" s="286" t="str">
        <f ca="1">IF($C20="Automático",IF(ACOMPANHAMENTO="BM",BM.medicao,PLE.Medicao),IF(ISBLANK($X20),"",$X20))</f>
        <v/>
      </c>
      <c r="L20" s="229">
        <f ca="1">QCI!$O20</f>
        <v>0</v>
      </c>
      <c r="M20" s="226">
        <f t="shared" ca="1" si="1"/>
        <v>0</v>
      </c>
      <c r="N20" s="227">
        <f t="shared" ca="1" si="2"/>
        <v>0</v>
      </c>
      <c r="O20" s="228">
        <f t="shared" ca="1" si="3"/>
        <v>0</v>
      </c>
      <c r="P20" s="288">
        <f t="shared" ca="1" si="4"/>
        <v>0</v>
      </c>
      <c r="R20" s="287">
        <f ca="1">ROUND(IF($C20="Automático",AC20+AJ20,$Y20*IF(ISERROR(QCI!$AA20/QCI!$O20),0,QCI!$AA20/QCI!$O20)),2)</f>
        <v>0</v>
      </c>
      <c r="S20" s="287">
        <f ca="1">ROUND(IF($C20="Automático",AD20+AK20,$Y20*IF(ISERROR(QCI!$AB20/QCI!$O20),0,QCI!$AB20/QCI!$O20)),2)</f>
        <v>0</v>
      </c>
      <c r="T20" s="287">
        <f ca="1">ROUND(IF($C20="Automático",AF20+AM20,$Z20*IF(ISERROR(QCI!$AA20/QCI!$O20),0,QCI!$AA20/QCI!$O20)),2)</f>
        <v>0</v>
      </c>
      <c r="U20" s="287">
        <f ca="1">ROUND(IF($C20="Automático",AG20+AN20,$Z20*IF(ISERROR(QCI!$AB20/QCI!$O20),0,QCI!$AB20/QCI!$O20)),2)</f>
        <v>0</v>
      </c>
      <c r="V20" s="361">
        <f ca="1">IF(AND($L20&gt;0,$J20&lt;&gt;0,$J20&lt;&gt;"",COUNTIF($J$13:$J20,$J20)=1),OFFSET(V20,-1,0)+1,OFFSET(V20,-1,0))</f>
        <v>1</v>
      </c>
      <c r="X20" s="422"/>
      <c r="Y20" s="230"/>
      <c r="Z20" s="231"/>
      <c r="AC20" s="143">
        <f ca="1">IF(ACOMPANHAMENTO&lt;&gt;"PLE",0,SUMPRODUCT((OFFSET(CÁLCULO!$AX$15:$BH$15,$A20,0,$B20)&lt;=(PLE.Medicao-1))*OFFSET(CÁLCULO!$AB$15:$AL$15,$A20,0,$B20)*OFFSET(ORÇAMENTO!$AA$15,$A20,0,$B20)/(OFFSET(ORÇAMENTO!$X$15,$A20,0,$B20)+10^-12))+IF(AUTOEVENTO="Manual",SUMPRODUCT((OFFSET(CÁLCULO!$M$15,$A20,0,$B20)=1)*OFFSET(ORÇAMENTO!$AA$15,$A20,0,$B20)*(PLE!$AE$9-PLE!$Y$9)),0))</f>
        <v>0</v>
      </c>
      <c r="AD20" s="143">
        <f ca="1">IF(ACOMPANHAMENTO&lt;&gt;"PLE",0,SUMPRODUCT((OFFSET(CÁLCULO!$AX$15:$BH$15,$A20,0,$B20)&lt;=(PLE.Medicao-1))*OFFSET(CÁLCULO!$AB$15:$AL$15,$A20,0,$B20)*OFFSET(ORÇAMENTO!$AB$15,$A20,0,$B20)/(OFFSET(ORÇAMENTO!$X$15,$A20,0,$B20)+10^-12))+IF(AUTOEVENTO="Manual",SUMPRODUCT((OFFSET(CÁLCULO!$M$15,$A20,0,$B20)=1)*OFFSET(ORÇAMENTO!$AB$15,$A20,0,$B20)*(PLE!$AE$9-PLE!$Y$9)),0))</f>
        <v>0</v>
      </c>
      <c r="AE20" s="143">
        <f ca="1">ROUND(IF(ACOMPANHAMENTO&lt;&gt;"PLE",0,SUMIF(OFFSET(CÁLCULO!$AX$15:$BH$15,$A20,0,$B20),"&lt;="&amp;(PLE.Medicao-1),OFFSET(CÁLCULO!$AB$15:$AL$15,$A20,0,$B20))+IF(AUTOEVENTO="Manual",SUMIF(OFFSET(CÁLCULO!$M$15,$A20,0,$B20),1,OFFSET(ORÇAMENTO!$X$15,$A20,0,$B20))*(PLE!$AE$9-PLE!$Y$9),0)),2)</f>
        <v>0</v>
      </c>
      <c r="AF20" s="143">
        <f ca="1">IF(ACOMPANHAMENTO&lt;&gt;"PLE",0,SUMPRODUCT((OFFSET(CÁLCULO!$AX$15:$BH$15,$A20,0,$B20)&lt;=PLE.Medicao)*OFFSET(CÁLCULO!$AB$15:$AL$15,$A20,0,$B20)*OFFSET(ORÇAMENTO!$AA$15,$A20,0,$B20)/(OFFSET(ORÇAMENTO!$X$15,$A20,0,$B20)+10^-12))+IF(AUTOEVENTO="Manual",SUMPRODUCT((OFFSET(CÁLCULO!$M$15,$A20,0,$B20)=1)*OFFSET(ORÇAMENTO!$AA$15,$A20,0,$B20)*PLE!$AE$9),0))</f>
        <v>0</v>
      </c>
      <c r="AG20" s="143">
        <f ca="1">IF(ACOMPANHAMENTO&lt;&gt;"PLE",0,SUMPRODUCT((OFFSET(CÁLCULO!$AX$15:$BH$15,$A20,0,$B20)&lt;=PLE.Medicao)*OFFSET(CÁLCULO!$AB$15:$AL$15,$A20,0,$B20)*OFFSET(ORÇAMENTO!$AB$15,$A20,0,$B20)/(OFFSET(ORÇAMENTO!$X$15,$A20,0,$B20)+10^-12))+IF(AUTOEVENTO="Manual",SUMPRODUCT((OFFSET(CÁLCULO!$M$15,$A20,0,$B20)=1)*OFFSET(ORÇAMENTO!$AB$15,$A20,0,$B20)*PLE!$AE$9),0))</f>
        <v>0</v>
      </c>
      <c r="AH20" s="143">
        <f ca="1">ROUND(IF(ACOMPANHAMENTO&lt;&gt;"PLE",0,SUMIF(OFFSET(CÁLCULO!$AX$15:$BH$15,$A20,0,$B20),"&lt;="&amp;PLE.Medicao,OFFSET(CÁLCULO!$AB$15:$AL$15,$A20,0,$B20))+IF(AUTOEVENTO="Manual",SUMIF(OFFSET(CÁLCULO!$M$15,$A20,0,$B20),1,OFFSET(ORÇAMENTO!$X$15,$A20,0,$B20))*PLE!$AE$9,0)),2)</f>
        <v>0</v>
      </c>
      <c r="AJ20" s="143" t="e">
        <f ca="1">IF(ACOMPANHAMENTO&lt;&gt;"BM",0,SUMPRODUCT(OFFSET(BM!$M$15,$A20,0,$B20)*(OFFSET(BM!$A$15,$A20,0,$B20)="S")*OFFSET(ORÇAMENTO!AA$15,$A20,0,$B20)/(OFFSET(ORÇAMENTO!$X$15,$A20,0,$B20)+10^-12)))</f>
        <v>#N/A</v>
      </c>
      <c r="AK20" s="143" t="e">
        <f ca="1">IF(ACOMPANHAMENTO&lt;&gt;"BM",0,SUMPRODUCT(OFFSET(BM!$M$15,$A20,0,$B20)*(OFFSET(BM!$A$15,$A20,0,$B20)="S")*OFFSET(ORÇAMENTO!AB$15,$A20,0,$B20)/(OFFSET(ORÇAMENTO!$X$15,$A20,0,$B20)+10^-12)))</f>
        <v>#N/A</v>
      </c>
      <c r="AL20" s="143" t="e">
        <f ca="1">IF(ACOMPANHAMENTO&lt;&gt;"BM",0,OFFSET(BM!$M$15,$A20,0))</f>
        <v>#N/A</v>
      </c>
      <c r="AM20" s="143" t="e">
        <f ca="1">IF(ACOMPANHAMENTO&lt;&gt;"BM",0,SUMPRODUCT(OFFSET(BM!$O$15,$A20,0,$B20)*(OFFSET(BM!$A$15,$A20,0,$B20)="S")*OFFSET(ORÇAMENTO!AA$15,$A20,0,$B20)/(OFFSET(ORÇAMENTO!$X$15,$A20,0,$B20)+10^-12)))</f>
        <v>#N/A</v>
      </c>
      <c r="AN20" s="143" t="e">
        <f ca="1">IF(ACOMPANHAMENTO&lt;&gt;"BM",0,SUMPRODUCT(OFFSET(BM!$O$15,$A20,0,$B20)*(OFFSET(BM!$A$15,$A20,0,$B20)="S")*OFFSET(ORÇAMENTO!AB$15,$A20,0,$B20)/(OFFSET(ORÇAMENTO!$X$15,$A20,0,$B20)+10^-12)))</f>
        <v>#N/A</v>
      </c>
      <c r="AO20" s="143" t="e">
        <f ca="1">IF(ACOMPANHAMENTO&lt;&gt;"BM",0,OFFSET(BM!$O$15,$A20,0))</f>
        <v>#N/A</v>
      </c>
    </row>
    <row r="21" spans="1:41" x14ac:dyDescent="0.25">
      <c r="A21" t="e">
        <f ca="1">MATCH(E21,ORÇAMENTO!$E$15:$E$36,0)-1</f>
        <v>#N/A</v>
      </c>
      <c r="B21" t="e">
        <f ca="1">IF(ISERROR($A21),NA(),OFFSET(ORÇAMENTO!$D$15,$A21,0))</f>
        <v>#N/A</v>
      </c>
      <c r="C21" t="str">
        <f ca="1">QCI!B21</f>
        <v>Branco</v>
      </c>
      <c r="D21" t="str">
        <f t="shared" ca="1" si="0"/>
        <v/>
      </c>
      <c r="E21" s="224">
        <f>QCI!D21</f>
        <v>8</v>
      </c>
      <c r="F21" s="283" t="str">
        <f ca="1">QCI!G21</f>
        <v/>
      </c>
      <c r="G21" s="284">
        <f>QCI!H21</f>
        <v>0</v>
      </c>
      <c r="H21" s="225">
        <f>QCI!I21</f>
        <v>0</v>
      </c>
      <c r="I21" s="225" t="str">
        <f ca="1">QCI!J21</f>
        <v/>
      </c>
      <c r="J21" s="285" t="str">
        <f ca="1">QCI!K21</f>
        <v/>
      </c>
      <c r="K21" s="286" t="str">
        <f ca="1">IF($C21="Automático",IF(ACOMPANHAMENTO="BM",BM.medicao,PLE.Medicao),IF(ISBLANK($X21),"",$X21))</f>
        <v/>
      </c>
      <c r="L21" s="229">
        <f ca="1">QCI!$O21</f>
        <v>0</v>
      </c>
      <c r="M21" s="226">
        <f t="shared" ca="1" si="1"/>
        <v>0</v>
      </c>
      <c r="N21" s="227">
        <f t="shared" ca="1" si="2"/>
        <v>0</v>
      </c>
      <c r="O21" s="228">
        <f t="shared" ca="1" si="3"/>
        <v>0</v>
      </c>
      <c r="P21" s="288">
        <f t="shared" ca="1" si="4"/>
        <v>0</v>
      </c>
      <c r="R21" s="287">
        <f ca="1">ROUND(IF($C21="Automático",AC21+AJ21,$Y21*IF(ISERROR(QCI!$AA21/QCI!$O21),0,QCI!$AA21/QCI!$O21)),2)</f>
        <v>0</v>
      </c>
      <c r="S21" s="287">
        <f ca="1">ROUND(IF($C21="Automático",AD21+AK21,$Y21*IF(ISERROR(QCI!$AB21/QCI!$O21),0,QCI!$AB21/QCI!$O21)),2)</f>
        <v>0</v>
      </c>
      <c r="T21" s="287">
        <f ca="1">ROUND(IF($C21="Automático",AF21+AM21,$Z21*IF(ISERROR(QCI!$AA21/QCI!$O21),0,QCI!$AA21/QCI!$O21)),2)</f>
        <v>0</v>
      </c>
      <c r="U21" s="287">
        <f ca="1">ROUND(IF($C21="Automático",AG21+AN21,$Z21*IF(ISERROR(QCI!$AB21/QCI!$O21),0,QCI!$AB21/QCI!$O21)),2)</f>
        <v>0</v>
      </c>
      <c r="V21" s="361">
        <f ca="1">IF(AND($L21&gt;0,$J21&lt;&gt;0,$J21&lt;&gt;"",COUNTIF($J$13:$J21,$J21)=1),OFFSET(V21,-1,0)+1,OFFSET(V21,-1,0))</f>
        <v>1</v>
      </c>
      <c r="X21" s="422"/>
      <c r="Y21" s="230"/>
      <c r="Z21" s="231"/>
      <c r="AC21" s="143">
        <f ca="1">IF(ACOMPANHAMENTO&lt;&gt;"PLE",0,SUMPRODUCT((OFFSET(CÁLCULO!$AX$15:$BH$15,$A21,0,$B21)&lt;=(PLE.Medicao-1))*OFFSET(CÁLCULO!$AB$15:$AL$15,$A21,0,$B21)*OFFSET(ORÇAMENTO!$AA$15,$A21,0,$B21)/(OFFSET(ORÇAMENTO!$X$15,$A21,0,$B21)+10^-12))+IF(AUTOEVENTO="Manual",SUMPRODUCT((OFFSET(CÁLCULO!$M$15,$A21,0,$B21)=1)*OFFSET(ORÇAMENTO!$AA$15,$A21,0,$B21)*(PLE!$AE$9-PLE!$Y$9)),0))</f>
        <v>0</v>
      </c>
      <c r="AD21" s="143">
        <f ca="1">IF(ACOMPANHAMENTO&lt;&gt;"PLE",0,SUMPRODUCT((OFFSET(CÁLCULO!$AX$15:$BH$15,$A21,0,$B21)&lt;=(PLE.Medicao-1))*OFFSET(CÁLCULO!$AB$15:$AL$15,$A21,0,$B21)*OFFSET(ORÇAMENTO!$AB$15,$A21,0,$B21)/(OFFSET(ORÇAMENTO!$X$15,$A21,0,$B21)+10^-12))+IF(AUTOEVENTO="Manual",SUMPRODUCT((OFFSET(CÁLCULO!$M$15,$A21,0,$B21)=1)*OFFSET(ORÇAMENTO!$AB$15,$A21,0,$B21)*(PLE!$AE$9-PLE!$Y$9)),0))</f>
        <v>0</v>
      </c>
      <c r="AE21" s="143">
        <f ca="1">ROUND(IF(ACOMPANHAMENTO&lt;&gt;"PLE",0,SUMIF(OFFSET(CÁLCULO!$AX$15:$BH$15,$A21,0,$B21),"&lt;="&amp;(PLE.Medicao-1),OFFSET(CÁLCULO!$AB$15:$AL$15,$A21,0,$B21))+IF(AUTOEVENTO="Manual",SUMIF(OFFSET(CÁLCULO!$M$15,$A21,0,$B21),1,OFFSET(ORÇAMENTO!$X$15,$A21,0,$B21))*(PLE!$AE$9-PLE!$Y$9),0)),2)</f>
        <v>0</v>
      </c>
      <c r="AF21" s="143">
        <f ca="1">IF(ACOMPANHAMENTO&lt;&gt;"PLE",0,SUMPRODUCT((OFFSET(CÁLCULO!$AX$15:$BH$15,$A21,0,$B21)&lt;=PLE.Medicao)*OFFSET(CÁLCULO!$AB$15:$AL$15,$A21,0,$B21)*OFFSET(ORÇAMENTO!$AA$15,$A21,0,$B21)/(OFFSET(ORÇAMENTO!$X$15,$A21,0,$B21)+10^-12))+IF(AUTOEVENTO="Manual",SUMPRODUCT((OFFSET(CÁLCULO!$M$15,$A21,0,$B21)=1)*OFFSET(ORÇAMENTO!$AA$15,$A21,0,$B21)*PLE!$AE$9),0))</f>
        <v>0</v>
      </c>
      <c r="AG21" s="143">
        <f ca="1">IF(ACOMPANHAMENTO&lt;&gt;"PLE",0,SUMPRODUCT((OFFSET(CÁLCULO!$AX$15:$BH$15,$A21,0,$B21)&lt;=PLE.Medicao)*OFFSET(CÁLCULO!$AB$15:$AL$15,$A21,0,$B21)*OFFSET(ORÇAMENTO!$AB$15,$A21,0,$B21)/(OFFSET(ORÇAMENTO!$X$15,$A21,0,$B21)+10^-12))+IF(AUTOEVENTO="Manual",SUMPRODUCT((OFFSET(CÁLCULO!$M$15,$A21,0,$B21)=1)*OFFSET(ORÇAMENTO!$AB$15,$A21,0,$B21)*PLE!$AE$9),0))</f>
        <v>0</v>
      </c>
      <c r="AH21" s="143">
        <f ca="1">ROUND(IF(ACOMPANHAMENTO&lt;&gt;"PLE",0,SUMIF(OFFSET(CÁLCULO!$AX$15:$BH$15,$A21,0,$B21),"&lt;="&amp;PLE.Medicao,OFFSET(CÁLCULO!$AB$15:$AL$15,$A21,0,$B21))+IF(AUTOEVENTO="Manual",SUMIF(OFFSET(CÁLCULO!$M$15,$A21,0,$B21),1,OFFSET(ORÇAMENTO!$X$15,$A21,0,$B21))*PLE!$AE$9,0)),2)</f>
        <v>0</v>
      </c>
      <c r="AJ21" s="143" t="e">
        <f ca="1">IF(ACOMPANHAMENTO&lt;&gt;"BM",0,SUMPRODUCT(OFFSET(BM!$M$15,$A21,0,$B21)*(OFFSET(BM!$A$15,$A21,0,$B21)="S")*OFFSET(ORÇAMENTO!AA$15,$A21,0,$B21)/(OFFSET(ORÇAMENTO!$X$15,$A21,0,$B21)+10^-12)))</f>
        <v>#N/A</v>
      </c>
      <c r="AK21" s="143" t="e">
        <f ca="1">IF(ACOMPANHAMENTO&lt;&gt;"BM",0,SUMPRODUCT(OFFSET(BM!$M$15,$A21,0,$B21)*(OFFSET(BM!$A$15,$A21,0,$B21)="S")*OFFSET(ORÇAMENTO!AB$15,$A21,0,$B21)/(OFFSET(ORÇAMENTO!$X$15,$A21,0,$B21)+10^-12)))</f>
        <v>#N/A</v>
      </c>
      <c r="AL21" s="143" t="e">
        <f ca="1">IF(ACOMPANHAMENTO&lt;&gt;"BM",0,OFFSET(BM!$M$15,$A21,0))</f>
        <v>#N/A</v>
      </c>
      <c r="AM21" s="143" t="e">
        <f ca="1">IF(ACOMPANHAMENTO&lt;&gt;"BM",0,SUMPRODUCT(OFFSET(BM!$O$15,$A21,0,$B21)*(OFFSET(BM!$A$15,$A21,0,$B21)="S")*OFFSET(ORÇAMENTO!AA$15,$A21,0,$B21)/(OFFSET(ORÇAMENTO!$X$15,$A21,0,$B21)+10^-12)))</f>
        <v>#N/A</v>
      </c>
      <c r="AN21" s="143" t="e">
        <f ca="1">IF(ACOMPANHAMENTO&lt;&gt;"BM",0,SUMPRODUCT(OFFSET(BM!$O$15,$A21,0,$B21)*(OFFSET(BM!$A$15,$A21,0,$B21)="S")*OFFSET(ORÇAMENTO!AB$15,$A21,0,$B21)/(OFFSET(ORÇAMENTO!$X$15,$A21,0,$B21)+10^-12)))</f>
        <v>#N/A</v>
      </c>
      <c r="AO21" s="143" t="e">
        <f ca="1">IF(ACOMPANHAMENTO&lt;&gt;"BM",0,OFFSET(BM!$O$15,$A21,0))</f>
        <v>#N/A</v>
      </c>
    </row>
    <row r="22" spans="1:41" x14ac:dyDescent="0.25">
      <c r="A22" t="e">
        <f ca="1">MATCH(E22,ORÇAMENTO!$E$15:$E$36,0)-1</f>
        <v>#N/A</v>
      </c>
      <c r="B22" t="e">
        <f ca="1">IF(ISERROR($A22),NA(),OFFSET(ORÇAMENTO!$D$15,$A22,0))</f>
        <v>#N/A</v>
      </c>
      <c r="C22" t="str">
        <f ca="1">QCI!B22</f>
        <v>Branco</v>
      </c>
      <c r="D22" t="str">
        <f t="shared" ca="1" si="0"/>
        <v/>
      </c>
      <c r="E22" s="224">
        <f>QCI!D22</f>
        <v>9</v>
      </c>
      <c r="F22" s="283" t="str">
        <f ca="1">QCI!G22</f>
        <v/>
      </c>
      <c r="G22" s="284">
        <f>QCI!H22</f>
        <v>0</v>
      </c>
      <c r="H22" s="225">
        <f>QCI!I22</f>
        <v>0</v>
      </c>
      <c r="I22" s="225" t="str">
        <f ca="1">QCI!J22</f>
        <v/>
      </c>
      <c r="J22" s="285" t="str">
        <f ca="1">QCI!K22</f>
        <v/>
      </c>
      <c r="K22" s="286" t="str">
        <f ca="1">IF($C22="Automático",IF(ACOMPANHAMENTO="BM",BM.medicao,PLE.Medicao),IF(ISBLANK($X22),"",$X22))</f>
        <v/>
      </c>
      <c r="L22" s="229">
        <f ca="1">QCI!$O22</f>
        <v>0</v>
      </c>
      <c r="M22" s="226">
        <f t="shared" ca="1" si="1"/>
        <v>0</v>
      </c>
      <c r="N22" s="227">
        <f t="shared" ca="1" si="2"/>
        <v>0</v>
      </c>
      <c r="O22" s="228">
        <f t="shared" ca="1" si="3"/>
        <v>0</v>
      </c>
      <c r="P22" s="288">
        <f t="shared" ca="1" si="4"/>
        <v>0</v>
      </c>
      <c r="R22" s="287">
        <f ca="1">ROUND(IF($C22="Automático",AC22+AJ22,$Y22*IF(ISERROR(QCI!$AA22/QCI!$O22),0,QCI!$AA22/QCI!$O22)),2)</f>
        <v>0</v>
      </c>
      <c r="S22" s="287">
        <f ca="1">ROUND(IF($C22="Automático",AD22+AK22,$Y22*IF(ISERROR(QCI!$AB22/QCI!$O22),0,QCI!$AB22/QCI!$O22)),2)</f>
        <v>0</v>
      </c>
      <c r="T22" s="287">
        <f ca="1">ROUND(IF($C22="Automático",AF22+AM22,$Z22*IF(ISERROR(QCI!$AA22/QCI!$O22),0,QCI!$AA22/QCI!$O22)),2)</f>
        <v>0</v>
      </c>
      <c r="U22" s="287">
        <f ca="1">ROUND(IF($C22="Automático",AG22+AN22,$Z22*IF(ISERROR(QCI!$AB22/QCI!$O22),0,QCI!$AB22/QCI!$O22)),2)</f>
        <v>0</v>
      </c>
      <c r="V22" s="361">
        <f ca="1">IF(AND($L22&gt;0,$J22&lt;&gt;0,$J22&lt;&gt;"",COUNTIF($J$13:$J22,$J22)=1),OFFSET(V22,-1,0)+1,OFFSET(V22,-1,0))</f>
        <v>1</v>
      </c>
      <c r="X22" s="422"/>
      <c r="Y22" s="230"/>
      <c r="Z22" s="231"/>
      <c r="AC22" s="143">
        <f ca="1">IF(ACOMPANHAMENTO&lt;&gt;"PLE",0,SUMPRODUCT((OFFSET(CÁLCULO!$AX$15:$BH$15,$A22,0,$B22)&lt;=(PLE.Medicao-1))*OFFSET(CÁLCULO!$AB$15:$AL$15,$A22,0,$B22)*OFFSET(ORÇAMENTO!$AA$15,$A22,0,$B22)/(OFFSET(ORÇAMENTO!$X$15,$A22,0,$B22)+10^-12))+IF(AUTOEVENTO="Manual",SUMPRODUCT((OFFSET(CÁLCULO!$M$15,$A22,0,$B22)=1)*OFFSET(ORÇAMENTO!$AA$15,$A22,0,$B22)*(PLE!$AE$9-PLE!$Y$9)),0))</f>
        <v>0</v>
      </c>
      <c r="AD22" s="143">
        <f ca="1">IF(ACOMPANHAMENTO&lt;&gt;"PLE",0,SUMPRODUCT((OFFSET(CÁLCULO!$AX$15:$BH$15,$A22,0,$B22)&lt;=(PLE.Medicao-1))*OFFSET(CÁLCULO!$AB$15:$AL$15,$A22,0,$B22)*OFFSET(ORÇAMENTO!$AB$15,$A22,0,$B22)/(OFFSET(ORÇAMENTO!$X$15,$A22,0,$B22)+10^-12))+IF(AUTOEVENTO="Manual",SUMPRODUCT((OFFSET(CÁLCULO!$M$15,$A22,0,$B22)=1)*OFFSET(ORÇAMENTO!$AB$15,$A22,0,$B22)*(PLE!$AE$9-PLE!$Y$9)),0))</f>
        <v>0</v>
      </c>
      <c r="AE22" s="143">
        <f ca="1">ROUND(IF(ACOMPANHAMENTO&lt;&gt;"PLE",0,SUMIF(OFFSET(CÁLCULO!$AX$15:$BH$15,$A22,0,$B22),"&lt;="&amp;(PLE.Medicao-1),OFFSET(CÁLCULO!$AB$15:$AL$15,$A22,0,$B22))+IF(AUTOEVENTO="Manual",SUMIF(OFFSET(CÁLCULO!$M$15,$A22,0,$B22),1,OFFSET(ORÇAMENTO!$X$15,$A22,0,$B22))*(PLE!$AE$9-PLE!$Y$9),0)),2)</f>
        <v>0</v>
      </c>
      <c r="AF22" s="143">
        <f ca="1">IF(ACOMPANHAMENTO&lt;&gt;"PLE",0,SUMPRODUCT((OFFSET(CÁLCULO!$AX$15:$BH$15,$A22,0,$B22)&lt;=PLE.Medicao)*OFFSET(CÁLCULO!$AB$15:$AL$15,$A22,0,$B22)*OFFSET(ORÇAMENTO!$AA$15,$A22,0,$B22)/(OFFSET(ORÇAMENTO!$X$15,$A22,0,$B22)+10^-12))+IF(AUTOEVENTO="Manual",SUMPRODUCT((OFFSET(CÁLCULO!$M$15,$A22,0,$B22)=1)*OFFSET(ORÇAMENTO!$AA$15,$A22,0,$B22)*PLE!$AE$9),0))</f>
        <v>0</v>
      </c>
      <c r="AG22" s="143">
        <f ca="1">IF(ACOMPANHAMENTO&lt;&gt;"PLE",0,SUMPRODUCT((OFFSET(CÁLCULO!$AX$15:$BH$15,$A22,0,$B22)&lt;=PLE.Medicao)*OFFSET(CÁLCULO!$AB$15:$AL$15,$A22,0,$B22)*OFFSET(ORÇAMENTO!$AB$15,$A22,0,$B22)/(OFFSET(ORÇAMENTO!$X$15,$A22,0,$B22)+10^-12))+IF(AUTOEVENTO="Manual",SUMPRODUCT((OFFSET(CÁLCULO!$M$15,$A22,0,$B22)=1)*OFFSET(ORÇAMENTO!$AB$15,$A22,0,$B22)*PLE!$AE$9),0))</f>
        <v>0</v>
      </c>
      <c r="AH22" s="143">
        <f ca="1">ROUND(IF(ACOMPANHAMENTO&lt;&gt;"PLE",0,SUMIF(OFFSET(CÁLCULO!$AX$15:$BH$15,$A22,0,$B22),"&lt;="&amp;PLE.Medicao,OFFSET(CÁLCULO!$AB$15:$AL$15,$A22,0,$B22))+IF(AUTOEVENTO="Manual",SUMIF(OFFSET(CÁLCULO!$M$15,$A22,0,$B22),1,OFFSET(ORÇAMENTO!$X$15,$A22,0,$B22))*PLE!$AE$9,0)),2)</f>
        <v>0</v>
      </c>
      <c r="AJ22" s="143" t="e">
        <f ca="1">IF(ACOMPANHAMENTO&lt;&gt;"BM",0,SUMPRODUCT(OFFSET(BM!$M$15,$A22,0,$B22)*(OFFSET(BM!$A$15,$A22,0,$B22)="S")*OFFSET(ORÇAMENTO!AA$15,$A22,0,$B22)/(OFFSET(ORÇAMENTO!$X$15,$A22,0,$B22)+10^-12)))</f>
        <v>#N/A</v>
      </c>
      <c r="AK22" s="143" t="e">
        <f ca="1">IF(ACOMPANHAMENTO&lt;&gt;"BM",0,SUMPRODUCT(OFFSET(BM!$M$15,$A22,0,$B22)*(OFFSET(BM!$A$15,$A22,0,$B22)="S")*OFFSET(ORÇAMENTO!AB$15,$A22,0,$B22)/(OFFSET(ORÇAMENTO!$X$15,$A22,0,$B22)+10^-12)))</f>
        <v>#N/A</v>
      </c>
      <c r="AL22" s="143" t="e">
        <f ca="1">IF(ACOMPANHAMENTO&lt;&gt;"BM",0,OFFSET(BM!$M$15,$A22,0))</f>
        <v>#N/A</v>
      </c>
      <c r="AM22" s="143" t="e">
        <f ca="1">IF(ACOMPANHAMENTO&lt;&gt;"BM",0,SUMPRODUCT(OFFSET(BM!$O$15,$A22,0,$B22)*(OFFSET(BM!$A$15,$A22,0,$B22)="S")*OFFSET(ORÇAMENTO!AA$15,$A22,0,$B22)/(OFFSET(ORÇAMENTO!$X$15,$A22,0,$B22)+10^-12)))</f>
        <v>#N/A</v>
      </c>
      <c r="AN22" s="143" t="e">
        <f ca="1">IF(ACOMPANHAMENTO&lt;&gt;"BM",0,SUMPRODUCT(OFFSET(BM!$O$15,$A22,0,$B22)*(OFFSET(BM!$A$15,$A22,0,$B22)="S")*OFFSET(ORÇAMENTO!AB$15,$A22,0,$B22)/(OFFSET(ORÇAMENTO!$X$15,$A22,0,$B22)+10^-12)))</f>
        <v>#N/A</v>
      </c>
      <c r="AO22" s="143" t="e">
        <f ca="1">IF(ACOMPANHAMENTO&lt;&gt;"BM",0,OFFSET(BM!$O$15,$A22,0))</f>
        <v>#N/A</v>
      </c>
    </row>
    <row r="23" spans="1:41" x14ac:dyDescent="0.25">
      <c r="A23" t="e">
        <f ca="1">MATCH(E23,ORÇAMENTO!$E$15:$E$36,0)-1</f>
        <v>#N/A</v>
      </c>
      <c r="B23" t="e">
        <f ca="1">IF(ISERROR($A23),NA(),OFFSET(ORÇAMENTO!$D$15,$A23,0))</f>
        <v>#N/A</v>
      </c>
      <c r="C23" t="str">
        <f ca="1">QCI!B23</f>
        <v>Branco</v>
      </c>
      <c r="D23" t="str">
        <f ca="1">IF(L23&gt;0,"F","")</f>
        <v/>
      </c>
      <c r="E23" s="224">
        <f>QCI!D23</f>
        <v>10</v>
      </c>
      <c r="F23" s="283" t="str">
        <f ca="1">QCI!G23</f>
        <v/>
      </c>
      <c r="G23" s="284">
        <f>QCI!H23</f>
        <v>0</v>
      </c>
      <c r="H23" s="225">
        <f>QCI!I23</f>
        <v>0</v>
      </c>
      <c r="I23" s="225" t="str">
        <f ca="1">QCI!J23</f>
        <v/>
      </c>
      <c r="J23" s="285" t="str">
        <f ca="1">QCI!K23</f>
        <v/>
      </c>
      <c r="K23" s="286" t="str">
        <f ca="1">IF($C23="Automático",IF(ACOMPANHAMENTO="BM",BM.medicao,PLE.Medicao),IF(ISBLANK($X23),"",$X23))</f>
        <v/>
      </c>
      <c r="L23" s="229">
        <f ca="1">QCI!$O23</f>
        <v>0</v>
      </c>
      <c r="M23" s="226">
        <f ca="1">ROUND(IF(C23="Automático",AE23+AL23,Y23),2)</f>
        <v>0</v>
      </c>
      <c r="N23" s="227">
        <f ca="1">O23-M23</f>
        <v>0</v>
      </c>
      <c r="O23" s="228">
        <f ca="1">ROUND(IF(C23="Automático",AH23+AO23,Z23),2)</f>
        <v>0</v>
      </c>
      <c r="P23" s="288">
        <f ca="1">O23/(L23+10^-12)</f>
        <v>0</v>
      </c>
      <c r="R23" s="287">
        <f ca="1">ROUND(IF($C23="Automático",AC23+AJ23,$Y23*IF(ISERROR(QCI!$AA23/QCI!$O23),0,QCI!$AA23/QCI!$O23)),2)</f>
        <v>0</v>
      </c>
      <c r="S23" s="287">
        <f ca="1">ROUND(IF($C23="Automático",AD23+AK23,$Y23*IF(ISERROR(QCI!$AB23/QCI!$O23),0,QCI!$AB23/QCI!$O23)),2)</f>
        <v>0</v>
      </c>
      <c r="T23" s="287">
        <f ca="1">ROUND(IF($C23="Automático",AF23+AM23,$Z23*IF(ISERROR(QCI!$AA23/QCI!$O23),0,QCI!$AA23/QCI!$O23)),2)</f>
        <v>0</v>
      </c>
      <c r="U23" s="287">
        <f ca="1">ROUND(IF($C23="Automático",AG23+AN23,$Z23*IF(ISERROR(QCI!$AB23/QCI!$O23),0,QCI!$AB23/QCI!$O23)),2)</f>
        <v>0</v>
      </c>
      <c r="V23" s="361">
        <f ca="1">IF(AND($L23&gt;0,$J23&lt;&gt;0,$J23&lt;&gt;"",COUNTIF($J$13:$J23,$J23)=1),OFFSET(V23,-1,0)+1,OFFSET(V23,-1,0))</f>
        <v>1</v>
      </c>
      <c r="X23" s="422"/>
      <c r="Y23" s="230"/>
      <c r="Z23" s="231"/>
      <c r="AC23" s="143">
        <f ca="1">IF(ACOMPANHAMENTO&lt;&gt;"PLE",0,SUMPRODUCT((OFFSET(CÁLCULO!$AX$15:$BH$15,$A23,0,$B23)&lt;=(PLE.Medicao-1))*OFFSET(CÁLCULO!$AB$15:$AL$15,$A23,0,$B23)*OFFSET(ORÇAMENTO!$AA$15,$A23,0,$B23)/(OFFSET(ORÇAMENTO!$X$15,$A23,0,$B23)+10^-12))+IF(AUTOEVENTO="Manual",SUMPRODUCT((OFFSET(CÁLCULO!$M$15,$A23,0,$B23)=1)*OFFSET(ORÇAMENTO!$AA$15,$A23,0,$B23)*(PLE!$AE$9-PLE!$Y$9)),0))</f>
        <v>0</v>
      </c>
      <c r="AD23" s="143">
        <f ca="1">IF(ACOMPANHAMENTO&lt;&gt;"PLE",0,SUMPRODUCT((OFFSET(CÁLCULO!$AX$15:$BH$15,$A23,0,$B23)&lt;=(PLE.Medicao-1))*OFFSET(CÁLCULO!$AB$15:$AL$15,$A23,0,$B23)*OFFSET(ORÇAMENTO!$AB$15,$A23,0,$B23)/(OFFSET(ORÇAMENTO!$X$15,$A23,0,$B23)+10^-12))+IF(AUTOEVENTO="Manual",SUMPRODUCT((OFFSET(CÁLCULO!$M$15,$A23,0,$B23)=1)*OFFSET(ORÇAMENTO!$AB$15,$A23,0,$B23)*(PLE!$AE$9-PLE!$Y$9)),0))</f>
        <v>0</v>
      </c>
      <c r="AE23" s="143">
        <f ca="1">ROUND(IF(ACOMPANHAMENTO&lt;&gt;"PLE",0,SUMIF(OFFSET(CÁLCULO!$AX$15:$BH$15,$A23,0,$B23),"&lt;="&amp;(PLE.Medicao-1),OFFSET(CÁLCULO!$AB$15:$AL$15,$A23,0,$B23))+IF(AUTOEVENTO="Manual",SUMIF(OFFSET(CÁLCULO!$M$15,$A23,0,$B23),1,OFFSET(ORÇAMENTO!$X$15,$A23,0,$B23))*(PLE!$AE$9-PLE!$Y$9),0)),2)</f>
        <v>0</v>
      </c>
      <c r="AF23" s="143">
        <f ca="1">IF(ACOMPANHAMENTO&lt;&gt;"PLE",0,SUMPRODUCT((OFFSET(CÁLCULO!$AX$15:$BH$15,$A23,0,$B23)&lt;=PLE.Medicao)*OFFSET(CÁLCULO!$AB$15:$AL$15,$A23,0,$B23)*OFFSET(ORÇAMENTO!$AA$15,$A23,0,$B23)/(OFFSET(ORÇAMENTO!$X$15,$A23,0,$B23)+10^-12))+IF(AUTOEVENTO="Manual",SUMPRODUCT((OFFSET(CÁLCULO!$M$15,$A23,0,$B23)=1)*OFFSET(ORÇAMENTO!$AA$15,$A23,0,$B23)*PLE!$AE$9),0))</f>
        <v>0</v>
      </c>
      <c r="AG23" s="143">
        <f ca="1">IF(ACOMPANHAMENTO&lt;&gt;"PLE",0,SUMPRODUCT((OFFSET(CÁLCULO!$AX$15:$BH$15,$A23,0,$B23)&lt;=PLE.Medicao)*OFFSET(CÁLCULO!$AB$15:$AL$15,$A23,0,$B23)*OFFSET(ORÇAMENTO!$AB$15,$A23,0,$B23)/(OFFSET(ORÇAMENTO!$X$15,$A23,0,$B23)+10^-12))+IF(AUTOEVENTO="Manual",SUMPRODUCT((OFFSET(CÁLCULO!$M$15,$A23,0,$B23)=1)*OFFSET(ORÇAMENTO!$AB$15,$A23,0,$B23)*PLE!$AE$9),0))</f>
        <v>0</v>
      </c>
      <c r="AH23" s="143">
        <f ca="1">ROUND(IF(ACOMPANHAMENTO&lt;&gt;"PLE",0,SUMIF(OFFSET(CÁLCULO!$AX$15:$BH$15,$A23,0,$B23),"&lt;="&amp;PLE.Medicao,OFFSET(CÁLCULO!$AB$15:$AL$15,$A23,0,$B23))+IF(AUTOEVENTO="Manual",SUMIF(OFFSET(CÁLCULO!$M$15,$A23,0,$B23),1,OFFSET(ORÇAMENTO!$X$15,$A23,0,$B23))*PLE!$AE$9,0)),2)</f>
        <v>0</v>
      </c>
      <c r="AJ23" s="143" t="e">
        <f ca="1">IF(ACOMPANHAMENTO&lt;&gt;"BM",0,SUMPRODUCT(OFFSET(BM!$M$15,$A23,0,$B23)*(OFFSET(BM!$A$15,$A23,0,$B23)="S")*OFFSET(ORÇAMENTO!AA$15,$A23,0,$B23)/(OFFSET(ORÇAMENTO!$X$15,$A23,0,$B23)+10^-12)))</f>
        <v>#N/A</v>
      </c>
      <c r="AK23" s="143" t="e">
        <f ca="1">IF(ACOMPANHAMENTO&lt;&gt;"BM",0,SUMPRODUCT(OFFSET(BM!$M$15,$A23,0,$B23)*(OFFSET(BM!$A$15,$A23,0,$B23)="S")*OFFSET(ORÇAMENTO!AB$15,$A23,0,$B23)/(OFFSET(ORÇAMENTO!$X$15,$A23,0,$B23)+10^-12)))</f>
        <v>#N/A</v>
      </c>
      <c r="AL23" s="143" t="e">
        <f ca="1">IF(ACOMPANHAMENTO&lt;&gt;"BM",0,OFFSET(BM!$M$15,$A23,0))</f>
        <v>#N/A</v>
      </c>
      <c r="AM23" s="143" t="e">
        <f ca="1">IF(ACOMPANHAMENTO&lt;&gt;"BM",0,SUMPRODUCT(OFFSET(BM!$O$15,$A23,0,$B23)*(OFFSET(BM!$A$15,$A23,0,$B23)="S")*OFFSET(ORÇAMENTO!AA$15,$A23,0,$B23)/(OFFSET(ORÇAMENTO!$X$15,$A23,0,$B23)+10^-12)))</f>
        <v>#N/A</v>
      </c>
      <c r="AN23" s="143" t="e">
        <f ca="1">IF(ACOMPANHAMENTO&lt;&gt;"BM",0,SUMPRODUCT(OFFSET(BM!$O$15,$A23,0,$B23)*(OFFSET(BM!$A$15,$A23,0,$B23)="S")*OFFSET(ORÇAMENTO!AB$15,$A23,0,$B23)/(OFFSET(ORÇAMENTO!$X$15,$A23,0,$B23)+10^-12)))</f>
        <v>#N/A</v>
      </c>
      <c r="AO23" s="143" t="e">
        <f ca="1">IF(ACOMPANHAMENTO&lt;&gt;"BM",0,OFFSET(BM!$O$15,$A23,0))</f>
        <v>#N/A</v>
      </c>
    </row>
    <row r="24" spans="1:41" ht="12.9" customHeight="1" x14ac:dyDescent="0.25">
      <c r="D24" t="s">
        <v>542</v>
      </c>
      <c r="E24" s="585"/>
      <c r="F24" s="585"/>
      <c r="G24" s="585"/>
      <c r="H24" s="585"/>
      <c r="I24" s="649"/>
      <c r="J24" s="816" t="s">
        <v>914</v>
      </c>
      <c r="K24" s="817"/>
      <c r="L24" s="290">
        <f ca="1">IF(ISERROR(L28/$L28),0,ROUND(L28/$L28,4))</f>
        <v>1</v>
      </c>
      <c r="M24" s="292">
        <f ca="1">IF(ISERROR(M28/$L28),0,ROUND(M28/$L28,4))</f>
        <v>0</v>
      </c>
      <c r="N24" s="291">
        <f ca="1">IF(ISERROR(N28/$L28),0,ROUND(N28/$L28,4))</f>
        <v>0</v>
      </c>
      <c r="O24" s="293">
        <f ca="1">IF(ISERROR(O28/$L28),0,ROUND(O28/$L28,4))</f>
        <v>0</v>
      </c>
      <c r="P24" s="818">
        <f ca="1">O28/(L28+10^-12)</f>
        <v>0</v>
      </c>
      <c r="X24" s="643"/>
      <c r="Y24" s="645"/>
      <c r="Z24" s="646"/>
    </row>
    <row r="25" spans="1:41" ht="12.9" customHeight="1" x14ac:dyDescent="0.25">
      <c r="D25" t="s">
        <v>542</v>
      </c>
      <c r="I25" s="2"/>
      <c r="J25" s="819" t="str">
        <f>IF(import.recurso="FGTS","Financiamento","Repasse")</f>
        <v>Repasse</v>
      </c>
      <c r="K25" s="820"/>
      <c r="L25" s="229">
        <f ca="1">QCI!L24</f>
        <v>6000000</v>
      </c>
      <c r="M25" s="226">
        <f ca="1">M28-M27-M26</f>
        <v>0</v>
      </c>
      <c r="N25" s="227">
        <f ca="1">O25-M25</f>
        <v>0</v>
      </c>
      <c r="O25" s="228">
        <f ca="1">O28-O27-O26</f>
        <v>0</v>
      </c>
      <c r="P25" s="818"/>
      <c r="X25" s="294"/>
      <c r="Y25" s="295" t="s">
        <v>915</v>
      </c>
      <c r="Z25" s="296" t="s">
        <v>916</v>
      </c>
      <c r="AC25" s="297" t="s">
        <v>917</v>
      </c>
      <c r="AD25" s="297" t="s">
        <v>918</v>
      </c>
    </row>
    <row r="26" spans="1:41" ht="12.9" customHeight="1" x14ac:dyDescent="0.25">
      <c r="D26" t="s">
        <v>542</v>
      </c>
      <c r="I26" s="2"/>
      <c r="J26" s="821" t="s">
        <v>919</v>
      </c>
      <c r="K26" s="822"/>
      <c r="L26" s="298">
        <f ca="1">QCI!M24</f>
        <v>242923.63</v>
      </c>
      <c r="M26" s="299">
        <f ca="1">ROUND(IF(OFFSET($X$26,0,1)&lt;&gt;"",OFFSET($X$26,0,1),SUM(R13:OFFSET(R24,-1,0))),2)</f>
        <v>0</v>
      </c>
      <c r="N26" s="300">
        <f ca="1">O26-M26</f>
        <v>0</v>
      </c>
      <c r="O26" s="301">
        <f ca="1">IF(OFFSET($X$26,0,2)&lt;&gt;"",OFFSET($X$26,0,2),$AE$3)</f>
        <v>0</v>
      </c>
      <c r="P26" s="818"/>
      <c r="X26" s="302" t="s">
        <v>462</v>
      </c>
      <c r="Y26" s="356"/>
      <c r="Z26" s="357"/>
      <c r="AC26" s="303">
        <f ca="1">MIN($L26,$O$28-OFFSET($X$27,0,1))</f>
        <v>0</v>
      </c>
      <c r="AD26" s="303">
        <f ca="1">MIN($L26,$O$28-OFFSET($X$27,0,2))</f>
        <v>0</v>
      </c>
    </row>
    <row r="27" spans="1:41" ht="12.9" customHeight="1" x14ac:dyDescent="0.25">
      <c r="D27" t="s">
        <v>542</v>
      </c>
      <c r="I27" s="2"/>
      <c r="J27" s="823" t="s">
        <v>896</v>
      </c>
      <c r="K27" s="824"/>
      <c r="L27" s="304">
        <f ca="1">QCI!N24</f>
        <v>0</v>
      </c>
      <c r="M27" s="305">
        <f ca="1">ROUND(IF(OFFSET($X$27,0,1)&lt;&gt;"",OFFSET($X$27,0,1),SUM(S13:OFFSET(S24,-1,0))),2)</f>
        <v>0</v>
      </c>
      <c r="N27" s="306">
        <f ca="1">O27-M27</f>
        <v>0</v>
      </c>
      <c r="O27" s="307">
        <f ca="1">IF(OFFSET($X$27,0,2)&lt;&gt;"",OFFSET($X$27,0,2),$AE$4)</f>
        <v>0</v>
      </c>
      <c r="P27" s="818"/>
      <c r="X27" s="308" t="s">
        <v>818</v>
      </c>
      <c r="Y27" s="358"/>
      <c r="Z27" s="359"/>
      <c r="AC27" s="303">
        <f ca="1">MIN($L27,$O$28-OFFSET($X$26,0,1))</f>
        <v>0</v>
      </c>
      <c r="AD27" s="303">
        <f ca="1">MIN($L27,$O$28-OFFSET($X$26,0,2))</f>
        <v>0</v>
      </c>
    </row>
    <row r="28" spans="1:41" ht="13.8" x14ac:dyDescent="0.25">
      <c r="D28" t="s">
        <v>542</v>
      </c>
      <c r="I28" s="2"/>
      <c r="J28" s="825" t="s">
        <v>898</v>
      </c>
      <c r="K28" s="826"/>
      <c r="L28" s="309">
        <f ca="1">SUM(L13:OFFSET(L24,-1,0))</f>
        <v>6242923.6299999999</v>
      </c>
      <c r="M28" s="657">
        <f ca="1">ROUND(SUM(M13:OFFSET(M24,-1,0)),2)</f>
        <v>0</v>
      </c>
      <c r="N28" s="658">
        <f ca="1">O28-M28</f>
        <v>0</v>
      </c>
      <c r="O28" s="659">
        <f ca="1">SUM(O13:OFFSET(O24,-1,0))</f>
        <v>0</v>
      </c>
      <c r="P28" s="818"/>
      <c r="X28" s="242"/>
      <c r="Y28" s="244"/>
      <c r="Z28" s="245"/>
    </row>
    <row r="29" spans="1:41" x14ac:dyDescent="0.25">
      <c r="O29" s="827" t="str">
        <f ca="1">"Acumulado Anterior:  "&amp;TEXT($M$28/($L$28+10^-12),"0,00%")</f>
        <v>Acumulado Anterior:  0,00%</v>
      </c>
      <c r="P29" s="827"/>
    </row>
    <row r="30" spans="1:41" ht="13.8" x14ac:dyDescent="0.25">
      <c r="E30" s="103" t="s">
        <v>696</v>
      </c>
      <c r="P30" s="332"/>
    </row>
    <row r="31" spans="1:41" ht="12.75" customHeight="1" x14ac:dyDescent="0.25">
      <c r="E31" s="810"/>
      <c r="F31" s="811"/>
      <c r="G31" s="811"/>
      <c r="H31" s="811"/>
      <c r="I31" s="811"/>
      <c r="J31" s="811"/>
      <c r="K31" s="811"/>
      <c r="L31" s="811"/>
      <c r="M31" s="811"/>
      <c r="N31" s="811"/>
      <c r="O31" s="811"/>
      <c r="P31" s="812"/>
    </row>
    <row r="32" spans="1:41" ht="12.75" customHeight="1" x14ac:dyDescent="0.25">
      <c r="E32" s="810"/>
      <c r="F32" s="811"/>
      <c r="G32" s="811"/>
      <c r="H32" s="811"/>
      <c r="I32" s="811"/>
      <c r="J32" s="811"/>
      <c r="K32" s="811"/>
      <c r="L32" s="811"/>
      <c r="M32" s="811"/>
      <c r="N32" s="811"/>
      <c r="O32" s="811"/>
      <c r="P32" s="812"/>
      <c r="Y32" s="310"/>
      <c r="Z32" s="310"/>
    </row>
    <row r="33" spans="5:16" ht="12.75" customHeight="1" x14ac:dyDescent="0.25">
      <c r="E33" s="813"/>
      <c r="F33" s="814"/>
      <c r="G33" s="814"/>
      <c r="H33" s="814"/>
      <c r="I33" s="814"/>
      <c r="J33" s="814"/>
      <c r="K33" s="814"/>
      <c r="L33" s="814"/>
      <c r="M33" s="814"/>
      <c r="N33" s="814"/>
      <c r="O33" s="814"/>
      <c r="P33" s="815"/>
    </row>
    <row r="34" spans="5:16" x14ac:dyDescent="0.25">
      <c r="L34" s="484" t="str">
        <f>IF(L35=0,"Preencher a data de fechamento do RRE na aba DADOS (célula "&amp;ADDRESS(ROW(Import.DataFechaRRE),COLUMN(Import.DataFechaRRE),4)&amp;")","")</f>
        <v>Preencher a data de fechamento do RRE na aba DADOS (célula C48)</v>
      </c>
    </row>
    <row r="35" spans="5:16" ht="13.8" x14ac:dyDescent="0.25">
      <c r="E35" s="713" t="str">
        <f>Import.Município</f>
        <v>URUARÁ-PARÁ</v>
      </c>
      <c r="F35" s="713"/>
      <c r="G35" s="713"/>
      <c r="I35" s="311"/>
      <c r="K35" s="498"/>
      <c r="L35" s="757">
        <f>DADOS!$C$48</f>
        <v>0</v>
      </c>
      <c r="M35" s="757"/>
      <c r="N35" s="757"/>
      <c r="O35" s="757"/>
    </row>
    <row r="36" spans="5:16" x14ac:dyDescent="0.25">
      <c r="E36" s="7" t="s">
        <v>700</v>
      </c>
      <c r="L36" s="7" t="s">
        <v>701</v>
      </c>
    </row>
    <row r="38" spans="5:16" x14ac:dyDescent="0.25">
      <c r="E38" s="142"/>
      <c r="F38" s="142"/>
      <c r="G38" s="142"/>
      <c r="L38" s="142"/>
      <c r="M38" s="142"/>
      <c r="N38" s="142"/>
      <c r="O38" s="142"/>
    </row>
    <row r="39" spans="5:16" x14ac:dyDescent="0.25">
      <c r="E39" s="312" t="str">
        <f>IF(CAIXA.Modo,"Responsável Gerencial CAIXA","Representante Tomador")</f>
        <v>Representante Tomador</v>
      </c>
      <c r="F39" s="5"/>
      <c r="L39" s="312" t="str">
        <f>IF(CAIXA.Modo,"Responsável Técnico CAIXA","Responsável Técnico pela Fiscalização")</f>
        <v>Responsável Técnico pela Fiscalização</v>
      </c>
    </row>
    <row r="40" spans="5:16" x14ac:dyDescent="0.25">
      <c r="E40" s="55" t="s">
        <v>240</v>
      </c>
      <c r="F40" s="536" t="str">
        <f>IF(CAIXA.Modo,DADOS!C60,DADOS!C28)</f>
        <v>CARLOS ANTÔNIO ZANCAN</v>
      </c>
      <c r="L40" s="55" t="s">
        <v>240</v>
      </c>
      <c r="M40" s="795">
        <f>IF(CAIXA.Modo,BM!X48,DADOS!C51)</f>
        <v>0</v>
      </c>
      <c r="N40" s="795"/>
      <c r="O40" s="795"/>
    </row>
    <row r="41" spans="5:16" x14ac:dyDescent="0.25">
      <c r="E41" s="55" t="str">
        <f>IF(CAIXA.Modo,"Função:","Cargo:")</f>
        <v>Cargo:</v>
      </c>
      <c r="F41" s="536" t="str">
        <f>IF(CAIXA.Modo,DADOS!C61,DADOS!C29)</f>
        <v>PREFEITO DE URUARÁ</v>
      </c>
      <c r="L41" s="55" t="str">
        <f>IF(CAIXA.Modo,"Matrícula:","Profissão:")</f>
        <v>Profissão:</v>
      </c>
      <c r="M41" s="795">
        <f>IF(CAIXA.Modo,BM!X49,DADOS!C52)</f>
        <v>0</v>
      </c>
      <c r="N41" s="795"/>
      <c r="O41" s="795"/>
    </row>
    <row r="42" spans="5:16" x14ac:dyDescent="0.25">
      <c r="L42" s="55" t="s">
        <v>244</v>
      </c>
      <c r="M42" s="795">
        <f>IF(CAIXA.Modo,BM!X50,DADOS!C53)</f>
        <v>0</v>
      </c>
      <c r="N42" s="795"/>
      <c r="O42" s="795"/>
    </row>
    <row r="43" spans="5:16" x14ac:dyDescent="0.25">
      <c r="L43" s="55" t="str">
        <f>IF(CAIXA.Modo,"","ART/RRT:")</f>
        <v>ART/RRT:</v>
      </c>
      <c r="M43" s="531">
        <f>IF(CAIXA.Modo,"",DADOS!C54)</f>
        <v>0</v>
      </c>
    </row>
    <row r="45" spans="5:16" x14ac:dyDescent="0.25">
      <c r="E45" s="142"/>
      <c r="F45" s="142"/>
      <c r="G45" s="142"/>
      <c r="L45" s="142"/>
      <c r="M45" s="142"/>
      <c r="N45" s="142"/>
      <c r="O45" s="142"/>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55" t="s">
        <v>240</v>
      </c>
      <c r="F47" s="794"/>
      <c r="G47" s="794"/>
      <c r="L47" s="55" t="s">
        <v>240</v>
      </c>
      <c r="M47" s="794"/>
      <c r="N47" s="794"/>
      <c r="O47" s="794"/>
    </row>
    <row r="48" spans="5:16" x14ac:dyDescent="0.25">
      <c r="E48" s="55" t="str">
        <f>IF(CAIXA.Modo,"Função:","Cargo:")</f>
        <v>Cargo:</v>
      </c>
      <c r="F48" s="794"/>
      <c r="G48" s="794"/>
      <c r="L48" s="55" t="str">
        <f>IF(CAIXA.Modo,"Função:","Cargo:")</f>
        <v>Cargo:</v>
      </c>
      <c r="M48" s="794"/>
      <c r="N48" s="794"/>
      <c r="O48" s="794"/>
    </row>
    <row r="49" spans="5:15" x14ac:dyDescent="0.25">
      <c r="E49" s="55" t="str">
        <f>IF(CAIXA.Modo,"Matr:","")</f>
        <v/>
      </c>
      <c r="F49" s="794"/>
      <c r="G49" s="794"/>
      <c r="L49" s="55" t="str">
        <f>IF(CAIXA.Modo,"Matrícula:","")</f>
        <v/>
      </c>
      <c r="M49" s="794"/>
      <c r="N49" s="794"/>
      <c r="O49" s="794"/>
    </row>
  </sheetData>
  <sheetProtection algorithmName="SHA-512" hashValue="7zFURwHLdDHGI0ge+CcKB2AXy4f5/CaKIDyZe2mkiFYDtHne2Kx/Vlu8CUdtc3VdbQ+e+NMDy8Yjq3Ft5j3eaQ==" saltValue="X8qOQh3hE4hOvJ2pxckhzw=="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308" stopIfTrue="1">
      <formula>OR($C12="Automático",$C12="Branco")</formula>
    </cfRule>
  </conditionalFormatting>
  <conditionalFormatting sqref="F49:G49 M49:O49">
    <cfRule type="expression" dxfId="46" priority="309" stopIfTrue="1">
      <formula>CAIXA.Modo=FALSE</formula>
    </cfRule>
  </conditionalFormatting>
  <conditionalFormatting sqref="M12 M25:M28 O12 O25:O28">
    <cfRule type="cellIs" dxfId="45" priority="310" stopIfTrue="1" operator="notBetween">
      <formula>0</formula>
      <formula>$L12</formula>
    </cfRule>
  </conditionalFormatting>
  <conditionalFormatting sqref="M10:N10">
    <cfRule type="cellIs" dxfId="44" priority="311"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0" firstPageNumber="0" fitToHeight="0" orientation="landscape" horizontalDpi="300" verticalDpi="300" r:id="rId1"/>
  <headerFooter alignWithMargins="0">
    <oddHeader>&amp;L_&amp;C&amp;14I</oddHeader>
    <oddFooter>&amp;LPMv3.08&amp;R&amp;P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6640625" customWidth="1"/>
    <col min="3" max="3" width="6.6640625" customWidth="1"/>
    <col min="4" max="5" width="20.6640625" customWidth="1"/>
    <col min="6" max="6" width="8.6640625" customWidth="1"/>
    <col min="7" max="7" width="12.6640625" customWidth="1"/>
    <col min="8" max="8" width="20.6640625" customWidth="1"/>
    <col min="10" max="10" width="14.109375" customWidth="1"/>
  </cols>
  <sheetData>
    <row r="1" spans="2:13" x14ac:dyDescent="0.25">
      <c r="B1" s="852"/>
      <c r="C1" s="852"/>
      <c r="D1" s="45"/>
      <c r="E1" s="45"/>
      <c r="F1" s="45"/>
      <c r="G1" s="513" t="s">
        <v>650</v>
      </c>
    </row>
    <row r="2" spans="2:13" x14ac:dyDescent="0.25">
      <c r="B2" s="852"/>
      <c r="C2" s="852"/>
      <c r="D2" s="45"/>
      <c r="E2" s="45"/>
      <c r="F2" s="45"/>
      <c r="G2" s="514" t="s">
        <v>920</v>
      </c>
    </row>
    <row r="3" spans="2:13" ht="26.1" customHeight="1" x14ac:dyDescent="0.25">
      <c r="B3" s="852"/>
      <c r="C3" s="852"/>
      <c r="D3" s="45"/>
      <c r="E3" s="45"/>
      <c r="F3" s="45"/>
      <c r="G3" s="660"/>
    </row>
    <row r="4" spans="2:13" ht="12.75" customHeight="1" x14ac:dyDescent="0.25">
      <c r="B4" s="852"/>
      <c r="C4" s="852"/>
      <c r="D4" s="45"/>
      <c r="E4" s="45"/>
      <c r="F4" s="45"/>
      <c r="G4" s="45"/>
    </row>
    <row r="5" spans="2:13" x14ac:dyDescent="0.25">
      <c r="C5" s="484" t="str">
        <f>IF(Import.Ofício.Num=0,"Preencher o número do Ofício","")</f>
        <v>Preencher o número do Ofício</v>
      </c>
    </row>
    <row r="6" spans="2:13" x14ac:dyDescent="0.25">
      <c r="B6" s="313" t="s">
        <v>921</v>
      </c>
      <c r="C6" s="850"/>
      <c r="D6" s="850"/>
      <c r="E6" s="313"/>
      <c r="F6" s="313"/>
      <c r="G6" s="45"/>
      <c r="J6" s="7"/>
    </row>
    <row r="7" spans="2:13" x14ac:dyDescent="0.25">
      <c r="B7" s="45"/>
      <c r="C7" s="45"/>
      <c r="D7" s="45"/>
      <c r="E7" s="45"/>
      <c r="F7" s="45"/>
      <c r="G7" s="45"/>
    </row>
    <row r="8" spans="2:13" x14ac:dyDescent="0.25">
      <c r="B8" s="851" t="str">
        <f>CONCATENATE(RRE!$E$35,", ",TEXT(RRE!$L$35,"dd"" de ""mmmm"" de ""aaaa"))</f>
        <v>URUARÁ-PARÁ, 00 de janeiro de 1900</v>
      </c>
      <c r="C8" s="851"/>
      <c r="D8" s="851"/>
      <c r="E8" s="851"/>
      <c r="F8" s="851"/>
      <c r="G8" s="851"/>
      <c r="H8" s="314"/>
      <c r="J8" s="314"/>
      <c r="K8" s="314"/>
      <c r="L8" s="314"/>
      <c r="M8" s="314"/>
    </row>
    <row r="9" spans="2:13" x14ac:dyDescent="0.25">
      <c r="B9" s="533" t="s">
        <v>922</v>
      </c>
      <c r="C9" s="45"/>
      <c r="D9" s="45"/>
      <c r="G9" s="45"/>
      <c r="H9" s="314"/>
      <c r="J9" s="314"/>
      <c r="K9" s="314"/>
      <c r="L9" s="314"/>
      <c r="M9" s="314"/>
    </row>
    <row r="10" spans="2:13" x14ac:dyDescent="0.25">
      <c r="B10" s="845" t="s">
        <v>923</v>
      </c>
      <c r="C10" s="845"/>
      <c r="D10" s="845"/>
      <c r="G10" s="45"/>
      <c r="H10" s="314"/>
      <c r="J10" s="314"/>
      <c r="K10" s="314"/>
      <c r="L10" s="314"/>
      <c r="M10" s="314"/>
    </row>
    <row r="11" spans="2:13" x14ac:dyDescent="0.25">
      <c r="B11" s="315" t="s">
        <v>924</v>
      </c>
      <c r="C11" s="794"/>
      <c r="D11" s="794"/>
      <c r="G11" s="45"/>
      <c r="H11" s="314"/>
      <c r="J11" s="314"/>
      <c r="K11" s="314"/>
      <c r="L11" s="314"/>
      <c r="M11" s="314"/>
    </row>
    <row r="12" spans="2:13" x14ac:dyDescent="0.25">
      <c r="B12" s="316"/>
      <c r="C12" s="316"/>
      <c r="D12" s="316"/>
      <c r="E12" s="316"/>
      <c r="F12" s="316"/>
      <c r="G12" s="45"/>
      <c r="H12" s="314"/>
      <c r="J12" s="314"/>
      <c r="K12" s="314"/>
      <c r="L12" s="314"/>
      <c r="M12" s="314"/>
    </row>
    <row r="13" spans="2:13" x14ac:dyDescent="0.25">
      <c r="B13" s="45"/>
      <c r="C13" s="45"/>
      <c r="D13" s="45"/>
      <c r="E13" s="45"/>
      <c r="F13" s="45"/>
      <c r="G13" s="45"/>
    </row>
    <row r="14" spans="2:13" x14ac:dyDescent="0.25">
      <c r="B14" s="533" t="s">
        <v>925</v>
      </c>
      <c r="C14" s="845" t="str">
        <f ca="1">CONCATENATE(RRE.Numero,"ª"," Solicitação de ",IF(import.recurso="OGU","Desbloqueio","Desembolso")," de Recursos.")</f>
        <v>1ª Solicitação de Desbloqueio de Recursos.</v>
      </c>
      <c r="D14" s="845"/>
      <c r="E14" s="845"/>
      <c r="F14" s="845"/>
      <c r="G14" s="845"/>
    </row>
    <row r="15" spans="2:13" ht="12.75" customHeight="1" x14ac:dyDescent="0.25">
      <c r="B15" s="533" t="s">
        <v>926</v>
      </c>
      <c r="C15" s="846" t="str">
        <f>CONCATENATE("Contrato de ",IF(import.recurso="OGU","Repasse","Financiamento")," - Operação nº ",Import.CR,IF(Import.TransfereGOV="","",CONCATENATE(" - TransfereGOV nº ",Import.TransfereGOV)))</f>
        <v>Contrato de Repasse - Operação nº S/ INFORMAÇÃO - TransfereGOV nº S/ INFORMAÇÃO</v>
      </c>
      <c r="D15" s="846"/>
      <c r="E15" s="846"/>
      <c r="F15" s="846"/>
      <c r="G15" s="846"/>
    </row>
    <row r="16" spans="2:13" x14ac:dyDescent="0.25">
      <c r="B16" s="533"/>
      <c r="C16" s="846"/>
      <c r="D16" s="846"/>
      <c r="E16" s="846"/>
      <c r="F16" s="846"/>
      <c r="G16" s="846"/>
    </row>
    <row r="17" spans="2:7" x14ac:dyDescent="0.25">
      <c r="B17" s="45"/>
      <c r="C17" s="45"/>
      <c r="D17" s="45"/>
      <c r="E17" s="45"/>
      <c r="F17" s="45"/>
      <c r="G17" s="45"/>
    </row>
    <row r="18" spans="2:7" ht="12.75" customHeight="1" x14ac:dyDescent="0.25">
      <c r="B18" s="536" t="s">
        <v>927</v>
      </c>
      <c r="C18" s="847" t="str">
        <f>Import.DescLote</f>
        <v>PAVIMENTAÇÃO DE VIAS NO MUNICÍPIO DE URUARÁ - PARÁ</v>
      </c>
      <c r="D18" s="847"/>
      <c r="E18" s="847"/>
      <c r="F18" s="847"/>
      <c r="G18" s="847"/>
    </row>
    <row r="19" spans="2:7" ht="12.75" customHeight="1" x14ac:dyDescent="0.25">
      <c r="B19" s="843" t="s">
        <v>928</v>
      </c>
      <c r="C19" s="844" t="str">
        <f>Import.Proponente</f>
        <v>PREFEITURA MUNICIPAL DE URUARÁ</v>
      </c>
      <c r="D19" s="844"/>
      <c r="E19" s="844"/>
      <c r="F19" s="844"/>
      <c r="G19" s="844"/>
    </row>
    <row r="20" spans="2:7" x14ac:dyDescent="0.25">
      <c r="B20" s="843"/>
      <c r="C20" s="844"/>
      <c r="D20" s="844"/>
      <c r="E20" s="844"/>
      <c r="F20" s="844"/>
      <c r="G20" s="844"/>
    </row>
    <row r="21" spans="2:7" x14ac:dyDescent="0.25">
      <c r="B21" s="45"/>
      <c r="C21" s="45"/>
      <c r="D21" s="45"/>
      <c r="E21" s="45"/>
      <c r="F21" s="45"/>
      <c r="G21" s="45"/>
    </row>
    <row r="22" spans="2:7" x14ac:dyDescent="0.25">
      <c r="B22" t="str">
        <f>IF(B11="GIGOV","Senhor Gerente","Senhor Superintendente")</f>
        <v>Senhor Gerente</v>
      </c>
      <c r="D22" s="45"/>
      <c r="E22" s="45"/>
      <c r="F22" s="45"/>
      <c r="G22" s="45"/>
    </row>
    <row r="23" spans="2:7" x14ac:dyDescent="0.25">
      <c r="B23" s="45"/>
      <c r="C23" s="45"/>
      <c r="D23" s="45"/>
      <c r="E23" s="45"/>
      <c r="F23" s="45"/>
      <c r="G23" s="45"/>
    </row>
    <row r="24" spans="2:7" ht="12.75" customHeight="1" x14ac:dyDescent="0.25">
      <c r="B24" s="84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7"/>
      <c r="D24" s="847"/>
      <c r="E24" s="847"/>
      <c r="F24" s="847"/>
      <c r="G24" s="847"/>
    </row>
    <row r="25" spans="2:7" x14ac:dyDescent="0.25">
      <c r="B25" s="847"/>
      <c r="C25" s="847"/>
      <c r="D25" s="847"/>
      <c r="E25" s="847"/>
      <c r="F25" s="847"/>
      <c r="G25" s="847"/>
    </row>
    <row r="26" spans="2:7" x14ac:dyDescent="0.25">
      <c r="B26" s="847"/>
      <c r="C26" s="847"/>
      <c r="D26" s="847"/>
      <c r="E26" s="847"/>
      <c r="F26" s="847"/>
      <c r="G26" s="847"/>
    </row>
    <row r="27" spans="2:7" x14ac:dyDescent="0.25">
      <c r="B27" s="45"/>
      <c r="C27" s="45"/>
      <c r="D27" s="45"/>
      <c r="E27" s="45"/>
      <c r="F27" s="45"/>
      <c r="G27" s="45"/>
    </row>
    <row r="28" spans="2:7" ht="12.75" customHeight="1" x14ac:dyDescent="0.25">
      <c r="B28" s="842"/>
      <c r="C28" s="842"/>
      <c r="D28" s="848" t="s">
        <v>929</v>
      </c>
      <c r="E28" s="848" t="str">
        <f ca="1">"Evolução da "&amp;RRE.Numero&amp;"ª Medição"</f>
        <v>Evolução da 1ª Medição</v>
      </c>
      <c r="F28" s="849" t="s">
        <v>930</v>
      </c>
      <c r="G28" s="849"/>
    </row>
    <row r="29" spans="2:7" x14ac:dyDescent="0.25">
      <c r="B29" s="842"/>
      <c r="C29" s="842"/>
      <c r="D29" s="848"/>
      <c r="E29" s="848"/>
      <c r="F29" s="849"/>
      <c r="G29" s="849"/>
    </row>
    <row r="30" spans="2:7" x14ac:dyDescent="0.25">
      <c r="B30" s="837" t="str">
        <f>IF(import.recurso="FGTS","Financiamento:","Repasse:")</f>
        <v>Repasse:</v>
      </c>
      <c r="C30" s="837"/>
      <c r="D30" s="317">
        <f ca="1">RRE!L25</f>
        <v>6000000</v>
      </c>
      <c r="E30" s="317">
        <f ca="1">RRE!N25</f>
        <v>0</v>
      </c>
      <c r="F30" s="838">
        <f ca="1">RRE!O25</f>
        <v>0</v>
      </c>
      <c r="G30" s="838"/>
    </row>
    <row r="31" spans="2:7" x14ac:dyDescent="0.25">
      <c r="B31" s="837" t="s">
        <v>931</v>
      </c>
      <c r="C31" s="837"/>
      <c r="D31" s="317">
        <f ca="1">RRE!L26</f>
        <v>242923.63</v>
      </c>
      <c r="E31" s="317">
        <f ca="1">RRE!N26</f>
        <v>0</v>
      </c>
      <c r="F31" s="838">
        <f ca="1">RRE!O26</f>
        <v>0</v>
      </c>
      <c r="G31" s="838"/>
    </row>
    <row r="32" spans="2:7" x14ac:dyDescent="0.25">
      <c r="B32" s="837" t="s">
        <v>825</v>
      </c>
      <c r="C32" s="837"/>
      <c r="D32" s="317">
        <f ca="1">RRE!L27</f>
        <v>0</v>
      </c>
      <c r="E32" s="317">
        <f ca="1">RRE!N27</f>
        <v>0</v>
      </c>
      <c r="F32" s="838">
        <f ca="1">RRE!O27</f>
        <v>0</v>
      </c>
      <c r="G32" s="838"/>
    </row>
    <row r="33" spans="2:7" x14ac:dyDescent="0.25">
      <c r="B33" s="837" t="s">
        <v>826</v>
      </c>
      <c r="C33" s="837"/>
      <c r="D33" s="317">
        <f ca="1">RRE!L28</f>
        <v>6242923.6299999999</v>
      </c>
      <c r="E33" s="317">
        <f ca="1">RRE!N28</f>
        <v>0</v>
      </c>
      <c r="F33" s="838">
        <f ca="1">RRE!O28</f>
        <v>0</v>
      </c>
      <c r="G33" s="838"/>
    </row>
    <row r="34" spans="2:7" x14ac:dyDescent="0.25">
      <c r="B34" s="839" t="s">
        <v>932</v>
      </c>
      <c r="C34" s="839"/>
      <c r="D34" s="318" t="s">
        <v>695</v>
      </c>
      <c r="E34" s="319">
        <f ca="1">RRE!$N$28/(RRE!$L$28+10^-12)</f>
        <v>0</v>
      </c>
      <c r="F34" s="840">
        <f ca="1">RRE!P24</f>
        <v>0</v>
      </c>
      <c r="G34" s="840"/>
    </row>
    <row r="35" spans="2:7" x14ac:dyDescent="0.25">
      <c r="B35" s="535"/>
      <c r="C35" s="45"/>
      <c r="D35" s="45"/>
      <c r="E35" s="45"/>
      <c r="F35" s="45"/>
      <c r="G35" s="45"/>
    </row>
    <row r="36" spans="2:7" x14ac:dyDescent="0.25">
      <c r="B36" s="535"/>
      <c r="C36" s="535"/>
      <c r="D36" s="535"/>
      <c r="E36" s="535"/>
      <c r="F36" s="535"/>
      <c r="G36" s="45"/>
    </row>
    <row r="37" spans="2:7" x14ac:dyDescent="0.25">
      <c r="B37" s="841" t="str">
        <f ca="1">IF(RRE.Numero&gt;1,"2. Encaminhamos ainda a documentação relativa à prestação de contas da etapa físico-financeira anterior.","")</f>
        <v/>
      </c>
      <c r="C37" s="841"/>
      <c r="D37" s="841"/>
      <c r="E37" s="841"/>
      <c r="F37" s="841"/>
      <c r="G37" s="841"/>
    </row>
    <row r="38" spans="2:7" x14ac:dyDescent="0.25">
      <c r="B38" s="841"/>
      <c r="C38" s="841"/>
      <c r="D38" s="841"/>
      <c r="E38" s="841"/>
      <c r="F38" s="841"/>
      <c r="G38" s="841"/>
    </row>
    <row r="39" spans="2:7" ht="12.75" customHeight="1" x14ac:dyDescent="0.25">
      <c r="B39" s="841" t="str">
        <f ca="1">IF(AND(RRE.Numero&gt;1,NOT(ISBLANK(Import.TransfereGOV))),"3. Na oportunidade, informamos que a execução financeira da parcela anterior está devidamente comprovada no TransfereGOV.","")</f>
        <v/>
      </c>
      <c r="C39" s="841"/>
      <c r="D39" s="841"/>
      <c r="E39" s="841"/>
      <c r="F39" s="841"/>
      <c r="G39" s="841"/>
    </row>
    <row r="40" spans="2:7" x14ac:dyDescent="0.25">
      <c r="B40" s="841"/>
      <c r="C40" s="841"/>
      <c r="D40" s="841"/>
      <c r="E40" s="841"/>
      <c r="F40" s="841"/>
      <c r="G40" s="841"/>
    </row>
    <row r="41" spans="2:7" x14ac:dyDescent="0.25">
      <c r="B41" s="320"/>
      <c r="C41" s="315"/>
      <c r="D41" s="315"/>
      <c r="E41" s="315"/>
      <c r="F41" s="315"/>
      <c r="G41" s="315"/>
    </row>
    <row r="42" spans="2:7" ht="12.75" customHeight="1" x14ac:dyDescent="0.25">
      <c r="B42" s="84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41"/>
      <c r="D42" s="841"/>
      <c r="E42" s="841"/>
      <c r="F42" s="841"/>
      <c r="G42" s="841"/>
    </row>
    <row r="43" spans="2:7" x14ac:dyDescent="0.25">
      <c r="B43" s="841"/>
      <c r="C43" s="841"/>
      <c r="D43" s="841"/>
      <c r="E43" s="841"/>
      <c r="F43" s="841"/>
      <c r="G43" s="841"/>
    </row>
    <row r="44" spans="2:7" x14ac:dyDescent="0.25">
      <c r="B44" s="841"/>
      <c r="C44" s="841"/>
      <c r="D44" s="841"/>
      <c r="E44" s="841"/>
      <c r="F44" s="841"/>
      <c r="G44" s="841"/>
    </row>
    <row r="45" spans="2:7" x14ac:dyDescent="0.25">
      <c r="B45" s="841"/>
      <c r="C45" s="841"/>
      <c r="D45" s="841"/>
      <c r="E45" s="841"/>
      <c r="F45" s="841"/>
      <c r="G45" s="841"/>
    </row>
    <row r="46" spans="2:7" x14ac:dyDescent="0.25">
      <c r="B46" s="841"/>
      <c r="C46" s="841"/>
      <c r="D46" s="841"/>
      <c r="E46" s="841"/>
      <c r="F46" s="841"/>
      <c r="G46" s="841"/>
    </row>
    <row r="47" spans="2:7" x14ac:dyDescent="0.25">
      <c r="G47" s="221"/>
    </row>
    <row r="48" spans="2:7" x14ac:dyDescent="0.25">
      <c r="G48" s="221"/>
    </row>
    <row r="49" spans="2:7" x14ac:dyDescent="0.25">
      <c r="B49" s="45" t="s">
        <v>933</v>
      </c>
      <c r="G49" s="221"/>
    </row>
    <row r="50" spans="2:7" x14ac:dyDescent="0.25">
      <c r="B50" s="221"/>
      <c r="C50" s="221"/>
      <c r="D50" s="221"/>
      <c r="E50" s="221"/>
      <c r="F50" s="221"/>
      <c r="G50" s="221"/>
    </row>
    <row r="51" spans="2:7" x14ac:dyDescent="0.25">
      <c r="B51" s="45"/>
      <c r="C51" s="45"/>
      <c r="D51" s="45"/>
      <c r="E51" s="45"/>
      <c r="F51" s="45"/>
      <c r="G51" s="45"/>
    </row>
    <row r="52" spans="2:7" x14ac:dyDescent="0.25">
      <c r="B52" s="45"/>
      <c r="C52" s="45"/>
      <c r="D52" s="45"/>
      <c r="E52" s="45"/>
      <c r="F52" s="45"/>
      <c r="G52" s="45"/>
    </row>
    <row r="53" spans="2:7" x14ac:dyDescent="0.25">
      <c r="B53" s="321"/>
      <c r="C53" s="321"/>
      <c r="D53" s="321"/>
      <c r="E53" s="45"/>
      <c r="F53" s="45"/>
      <c r="G53" s="45"/>
    </row>
    <row r="54" spans="2:7" x14ac:dyDescent="0.25">
      <c r="B54" s="835" t="str">
        <f>DADOS!$C$28</f>
        <v>CARLOS ANTÔNIO ZANCAN</v>
      </c>
      <c r="C54" s="835"/>
      <c r="D54" s="835"/>
      <c r="E54" s="835"/>
      <c r="F54" s="835"/>
      <c r="G54" s="835"/>
    </row>
    <row r="55" spans="2:7" x14ac:dyDescent="0.25">
      <c r="B55" s="835" t="str">
        <f>DADOS!$C$29</f>
        <v>PREFEITO DE URUARÁ</v>
      </c>
      <c r="C55" s="835"/>
      <c r="D55" s="835"/>
      <c r="E55" s="835"/>
      <c r="F55" s="835"/>
      <c r="G55" s="835"/>
    </row>
    <row r="56" spans="2:7" x14ac:dyDescent="0.25">
      <c r="B56" s="836"/>
      <c r="C56" s="836"/>
      <c r="D56" s="836"/>
      <c r="E56" s="836"/>
      <c r="F56" s="836"/>
      <c r="G56" s="836"/>
    </row>
  </sheetData>
  <sheetProtection algorithmName="SHA-512" hashValue="Ji3Ooox8kQF1WgUPKjoiSi5YWAzPmVYtsgNqQu2VLuB7mKOYsuUXPegXu7T2ci67gtSDSQBJmQlKT3bmfmG6dg==" saltValue="1+XiIAWs7VVlWXqRvTbdY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&amp;LPMv3.08&amp;R&amp;P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424" customWidth="1"/>
    <col min="2" max="2" width="25" style="424" customWidth="1"/>
    <col min="3" max="3" width="12" style="424" customWidth="1"/>
    <col min="4" max="4" width="15.6640625" style="426" customWidth="1"/>
    <col min="5" max="5" width="70" style="424" customWidth="1"/>
    <col min="6" max="6" width="20" style="424" customWidth="1"/>
    <col min="7" max="7" width="10" style="424" customWidth="1"/>
    <col min="8" max="8" width="25" style="424" customWidth="1"/>
    <col min="9" max="9" width="15" style="424" customWidth="1"/>
    <col min="10" max="10" width="13" style="424" customWidth="1"/>
    <col min="11" max="12" width="35" style="424" customWidth="1"/>
    <col min="13" max="13" width="20" style="424" customWidth="1"/>
    <col min="14" max="14" width="15" style="424" customWidth="1"/>
    <col min="15" max="15" width="50" style="424" customWidth="1"/>
    <col min="16" max="16" width="20" style="424" customWidth="1"/>
    <col min="17" max="17" width="50" style="424" customWidth="1"/>
    <col min="18" max="18" width="15" style="424" customWidth="1"/>
    <col min="19" max="19" width="17.6640625" style="424" customWidth="1"/>
    <col min="20" max="16384" width="9.109375" style="424"/>
  </cols>
  <sheetData>
    <row r="1" spans="1:19" x14ac:dyDescent="0.3">
      <c r="A1" s="423" t="s">
        <v>934</v>
      </c>
      <c r="B1" s="423" t="s">
        <v>935</v>
      </c>
      <c r="C1" s="423" t="s">
        <v>743</v>
      </c>
      <c r="D1" s="425" t="s">
        <v>744</v>
      </c>
      <c r="E1" s="423" t="s">
        <v>936</v>
      </c>
      <c r="F1" s="423" t="s">
        <v>937</v>
      </c>
      <c r="G1" s="423" t="s">
        <v>938</v>
      </c>
      <c r="H1" s="423" t="s">
        <v>939</v>
      </c>
      <c r="I1" s="423" t="s">
        <v>940</v>
      </c>
      <c r="J1" s="423" t="s">
        <v>23</v>
      </c>
      <c r="K1" s="423" t="s">
        <v>941</v>
      </c>
      <c r="L1" s="423" t="s">
        <v>942</v>
      </c>
      <c r="M1" s="423" t="s">
        <v>943</v>
      </c>
      <c r="N1" s="423" t="s">
        <v>944</v>
      </c>
      <c r="O1" s="423" t="s">
        <v>945</v>
      </c>
      <c r="P1" s="423" t="s">
        <v>946</v>
      </c>
      <c r="Q1" s="423" t="s">
        <v>947</v>
      </c>
      <c r="R1" s="423" t="s">
        <v>948</v>
      </c>
      <c r="S1" s="423" t="s">
        <v>949</v>
      </c>
    </row>
    <row r="2" spans="1:19" ht="45" customHeight="1" x14ac:dyDescent="0.3">
      <c r="A2" s="502"/>
      <c r="B2" s="503"/>
      <c r="C2" s="502"/>
      <c r="D2" s="502"/>
      <c r="E2" s="502"/>
      <c r="F2" s="504"/>
      <c r="G2" s="502"/>
      <c r="H2" s="505"/>
      <c r="I2" s="505"/>
      <c r="J2" s="510"/>
      <c r="K2" s="507"/>
      <c r="L2" s="511"/>
      <c r="M2" s="502"/>
      <c r="N2" s="508"/>
      <c r="O2" s="502"/>
      <c r="P2" s="508"/>
      <c r="Q2" s="502"/>
      <c r="R2" s="509"/>
      <c r="S2" s="507"/>
    </row>
  </sheetData>
  <conditionalFormatting sqref="A2:S2">
    <cfRule type="expression" dxfId="38" priority="64">
      <formula>$A2="Macrosserviço"</formula>
    </cfRule>
  </conditionalFormatting>
  <conditionalFormatting sqref="E2">
    <cfRule type="expression" dxfId="37" priority="70">
      <formula>OR(E2="",IF($A2="Macrosserviço",LEN($E2)&gt;100,LEN($E2)&gt;500))</formula>
    </cfRule>
  </conditionalFormatting>
  <conditionalFormatting sqref="M2">
    <cfRule type="expression" dxfId="36" priority="65">
      <formula>IF($A2="Serviço",LEN(M2)&gt;500,M2&lt;&gt;"")</formula>
    </cfRule>
  </conditionalFormatting>
  <conditionalFormatting sqref="A2">
    <cfRule type="expression" dxfId="35" priority="57">
      <formula>AND(A2&lt;&gt;"Macrosserviço",A2&lt;&gt;"Serviço")</formula>
    </cfRule>
  </conditionalFormatting>
  <conditionalFormatting sqref="C2">
    <cfRule type="expression" dxfId="34" priority="56">
      <formula>IF($A2="Serviço",AND(C2&lt;&gt;"Composição",C2&lt;&gt;"Cotação",C2&lt;&gt;"SINAPI",C2&lt;&gt;"Outros"),C2&lt;&gt;"")</formula>
    </cfRule>
  </conditionalFormatting>
  <conditionalFormatting sqref="D2">
    <cfRule type="expression" dxfId="33" priority="55">
      <formula>IF($A2="Serviço",OR(D2="",LEN($D2)&gt;13),D2&lt;&gt;"")</formula>
    </cfRule>
  </conditionalFormatting>
  <conditionalFormatting sqref="H2">
    <cfRule type="expression" dxfId="32" priority="54">
      <formula>IF(A2="Serviço",OR(NOT(ISNUMBER(H2)),H2&lt;&gt;ROUND(H2,2),AND(C2&lt;&gt;"SINAPI",H2=0),H2&lt;0,H2&gt;9999999999.99),H2&lt;&gt;"")</formula>
    </cfRule>
  </conditionalFormatting>
  <conditionalFormatting sqref="I2">
    <cfRule type="expression" dxfId="31" priority="53">
      <formula>IF($A2="Serviço",OR(NOT(ISNUMBER(I2)),I2&lt;&gt;ROUND(I2,2),I2&lt;=0,I2&gt;9999999999.99),I2&lt;&gt;"")</formula>
    </cfRule>
  </conditionalFormatting>
  <conditionalFormatting sqref="J2">
    <cfRule type="expression" dxfId="30" priority="52">
      <formula>IF($A2="Serviço",OR(NOT(ISNUMBER(VALUE(J2))),VALUE(J2)&lt;&gt;ROUND(VALUE(J2),4),VALUE(J2)&lt;=0,VALUE(J2)&gt;100%),J2&lt;&gt;"")</formula>
    </cfRule>
  </conditionalFormatting>
  <conditionalFormatting sqref="N2">
    <cfRule type="expression" dxfId="29" priority="51">
      <formula>IF($A2="Serviço",OR(NOT(ISNUMBER(N2)),N2&lt;&gt;ROUND(N2,0),N2&lt;1,N2&gt;999),N2&lt;&gt;"")</formula>
    </cfRule>
  </conditionalFormatting>
  <conditionalFormatting sqref="O2">
    <cfRule type="expression" dxfId="28" priority="50">
      <formula>IF($A2="Serviço",OR(O2="",LEN(O2)&gt;100),O2&lt;&gt;"")</formula>
    </cfRule>
  </conditionalFormatting>
  <conditionalFormatting sqref="P2">
    <cfRule type="expression" dxfId="27" priority="49">
      <formula>IF($A2="Macrosserviço",P2&lt;&gt;"",OR(NOT(ISNUMBER(P2)),P2&lt;&gt;ROUND(P2,0),P2&lt;1,P2&gt;999))</formula>
    </cfRule>
  </conditionalFormatting>
  <conditionalFormatting sqref="Q2">
    <cfRule type="expression" dxfId="26" priority="48">
      <formula>IF($A2="Macrosserviço",Q2&lt;&gt;"",OR(Q2="",LEN(Q2)&gt;100))</formula>
    </cfRule>
  </conditionalFormatting>
  <conditionalFormatting sqref="B2">
    <cfRule type="cellIs" dxfId="25" priority="47" operator="equal">
      <formula>""</formula>
    </cfRule>
  </conditionalFormatting>
  <conditionalFormatting sqref="R2">
    <cfRule type="expression" dxfId="24" priority="39">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6"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2"/>
  <dimension ref="A1:E2"/>
  <sheetViews>
    <sheetView workbookViewId="0"/>
  </sheetViews>
  <sheetFormatPr defaultColWidth="9.109375" defaultRowHeight="14.4" x14ac:dyDescent="0.3"/>
  <cols>
    <col min="1" max="1" width="15" style="424" customWidth="1"/>
    <col min="2" max="2" width="50" style="424" customWidth="1"/>
    <col min="3" max="3" width="20" style="424" customWidth="1"/>
    <col min="4" max="4" width="50" style="424" customWidth="1"/>
    <col min="5" max="5" width="35" style="424" customWidth="1"/>
    <col min="6" max="16384" width="9.109375" style="424"/>
  </cols>
  <sheetData>
    <row r="1" spans="1:5" x14ac:dyDescent="0.3">
      <c r="A1" s="423" t="s">
        <v>950</v>
      </c>
      <c r="B1" s="423" t="s">
        <v>785</v>
      </c>
      <c r="C1" s="423" t="s">
        <v>951</v>
      </c>
      <c r="D1" s="423" t="s">
        <v>947</v>
      </c>
      <c r="E1" s="423" t="s">
        <v>952</v>
      </c>
    </row>
    <row r="2" spans="1:5" ht="45" customHeight="1" x14ac:dyDescent="0.3">
      <c r="A2" s="663"/>
      <c r="B2" s="663"/>
      <c r="C2" s="663"/>
      <c r="D2" s="663"/>
      <c r="E2" s="663"/>
    </row>
  </sheetData>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424" customWidth="1"/>
    <col min="2" max="2" width="25" style="424" customWidth="1"/>
    <col min="3" max="3" width="12" style="424" customWidth="1"/>
    <col min="4" max="4" width="15.6640625" style="426" customWidth="1"/>
    <col min="5" max="5" width="70" style="424" customWidth="1"/>
    <col min="6" max="6" width="20" style="424" customWidth="1"/>
    <col min="7" max="7" width="10" style="424" customWidth="1"/>
    <col min="8" max="8" width="25" style="424" customWidth="1"/>
    <col min="9" max="9" width="15" style="424" customWidth="1"/>
    <col min="10" max="10" width="13" style="424" customWidth="1"/>
    <col min="11" max="12" width="35" style="424" customWidth="1"/>
    <col min="13" max="14" width="20" style="424" customWidth="1"/>
    <col min="15" max="15" width="50" style="424" customWidth="1"/>
    <col min="16" max="16" width="15" style="424" customWidth="1"/>
    <col min="17" max="17" width="17.6640625" style="424" customWidth="1"/>
    <col min="18" max="16384" width="9.109375" style="424"/>
  </cols>
  <sheetData>
    <row r="1" spans="1:17" x14ac:dyDescent="0.3">
      <c r="A1" s="423" t="s">
        <v>934</v>
      </c>
      <c r="B1" s="423" t="s">
        <v>935</v>
      </c>
      <c r="C1" s="423" t="s">
        <v>743</v>
      </c>
      <c r="D1" s="425" t="s">
        <v>744</v>
      </c>
      <c r="E1" s="423" t="s">
        <v>936</v>
      </c>
      <c r="F1" s="423" t="s">
        <v>937</v>
      </c>
      <c r="G1" s="423" t="s">
        <v>938</v>
      </c>
      <c r="H1" s="423" t="s">
        <v>939</v>
      </c>
      <c r="I1" s="423" t="s">
        <v>940</v>
      </c>
      <c r="J1" s="423" t="s">
        <v>23</v>
      </c>
      <c r="K1" s="423" t="s">
        <v>941</v>
      </c>
      <c r="L1" s="423" t="s">
        <v>942</v>
      </c>
      <c r="M1" s="423" t="s">
        <v>943</v>
      </c>
      <c r="N1" s="423" t="s">
        <v>946</v>
      </c>
      <c r="O1" s="423" t="s">
        <v>947</v>
      </c>
      <c r="P1" s="423" t="s">
        <v>948</v>
      </c>
      <c r="Q1" s="423" t="s">
        <v>949</v>
      </c>
    </row>
    <row r="2" spans="1:17" ht="45" customHeight="1" x14ac:dyDescent="0.3">
      <c r="A2" s="502"/>
      <c r="B2" s="503"/>
      <c r="C2" s="502"/>
      <c r="D2" s="502"/>
      <c r="E2" s="502"/>
      <c r="F2" s="504"/>
      <c r="G2" s="502"/>
      <c r="H2" s="505"/>
      <c r="I2" s="505"/>
      <c r="J2" s="506"/>
      <c r="K2" s="507"/>
      <c r="L2" s="507"/>
      <c r="M2" s="502"/>
      <c r="N2" s="508"/>
      <c r="O2" s="502"/>
      <c r="P2" s="509"/>
      <c r="Q2" s="507"/>
    </row>
  </sheetData>
  <sheetProtection algorithmName="SHA-512" hashValue="AMjEdc1hnlr90UPPDTxM01Sk9Ckb6oJFBXrU32VPAKljMhF34q4l4UOjgAhkZaepzhmtyNBTD4qsAzFpc4cPRw==" saltValue="nGxGVA9oJRN5zmUBvliSdw==" spinCount="100000" sheet="1" objects="1" scenarios="1"/>
  <conditionalFormatting sqref="A2:Q2">
    <cfRule type="expression" dxfId="17" priority="36">
      <formula>$A2="Macrosserviço"</formula>
    </cfRule>
  </conditionalFormatting>
  <conditionalFormatting sqref="E2">
    <cfRule type="expression" dxfId="16" priority="38">
      <formula>OR(E2="",IF($A2="Macrosserviço",LEN($E2)&gt;100,LEN($E2)&gt;500))</formula>
    </cfRule>
  </conditionalFormatting>
  <conditionalFormatting sqref="M2">
    <cfRule type="expression" dxfId="15" priority="37">
      <formula>IF($A2="Serviço",LEN(M2)&gt;500,M2&lt;&gt;"")</formula>
    </cfRule>
  </conditionalFormatting>
  <conditionalFormatting sqref="A2">
    <cfRule type="expression" dxfId="14" priority="35">
      <formula>AND(A2&lt;&gt;"Macrosserviço",A2&lt;&gt;"Serviço")</formula>
    </cfRule>
  </conditionalFormatting>
  <conditionalFormatting sqref="C2">
    <cfRule type="expression" dxfId="13" priority="34">
      <formula>IF($A2="Serviço",AND(C2&lt;&gt;"Composição",C2&lt;&gt;"Cotação",C2&lt;&gt;"SINAPI",C2&lt;&gt;"Outros"),C2&lt;&gt;"")</formula>
    </cfRule>
  </conditionalFormatting>
  <conditionalFormatting sqref="D2">
    <cfRule type="expression" dxfId="12" priority="33">
      <formula>IF($A2="Serviço",OR(D2="",LEN($D2)&gt;13),D2&lt;&gt;"")</formula>
    </cfRule>
  </conditionalFormatting>
  <conditionalFormatting sqref="H2">
    <cfRule type="expression" dxfId="11" priority="32">
      <formula>IF(A2="Serviço",OR(NOT(ISNUMBER(H2)),H2&lt;&gt;ROUND(H2,2),AND(C2&lt;&gt;"SINAPI",H2=0),H2&lt;0,H2&gt;9999999999.99),H2&lt;&gt;"")</formula>
    </cfRule>
  </conditionalFormatting>
  <conditionalFormatting sqref="I2">
    <cfRule type="expression" dxfId="10" priority="31">
      <formula>IF($A2="Serviço",OR(NOT(ISNUMBER(I2)),I2&lt;&gt;ROUND(I2,2),I2&lt;=0,I2&gt;9999999999.99),I2&lt;&gt;"")</formula>
    </cfRule>
  </conditionalFormatting>
  <conditionalFormatting sqref="J2">
    <cfRule type="expression" dxfId="9" priority="30">
      <formula>IF($A2="Serviço",OR(NOT(ISNUMBER(VALUE(J2))),VALUE(J2)&lt;&gt;ROUND(VALUE(J2),4),VALUE(J2)&lt;=0,VALUE(J2)&gt;100%),J2&lt;&gt;"")</formula>
    </cfRule>
  </conditionalFormatting>
  <conditionalFormatting sqref="B2">
    <cfRule type="cellIs" dxfId="8" priority="29" operator="equal">
      <formula>""</formula>
    </cfRule>
  </conditionalFormatting>
  <conditionalFormatting sqref="N2">
    <cfRule type="expression" dxfId="7" priority="27">
      <formula>IF($A2="Macrosserviço",N2&lt;&gt;"",OR(NOT(ISNUMBER(N2)),N2&lt;&gt;ROUND(N2,0),N2&lt;1,N2&gt;999))</formula>
    </cfRule>
  </conditionalFormatting>
  <conditionalFormatting sqref="O2">
    <cfRule type="expression" dxfId="6" priority="26">
      <formula>IF($A2="Macrosserviço",O2&lt;&gt;"",OR(O2="",LEN(O2)&gt;100))</formula>
    </cfRule>
  </conditionalFormatting>
  <conditionalFormatting sqref="P2">
    <cfRule type="expression" dxfId="5" priority="25">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extLst>
    <ext xmlns:x14="http://schemas.microsoft.com/office/spreadsheetml/2009/9/main" uri="{78C0D931-6437-407d-A8EE-F0AAD7539E65}">
      <x14:conditionalFormattings>
        <x14:conditionalFormatting xmlns:xm="http://schemas.microsoft.com/office/excel/2006/main">
          <x14:cfRule type="expression" priority="39"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4"/>
  <dimension ref="A1:D2"/>
  <sheetViews>
    <sheetView workbookViewId="0"/>
  </sheetViews>
  <sheetFormatPr defaultColWidth="9.109375" defaultRowHeight="14.4" x14ac:dyDescent="0.3"/>
  <cols>
    <col min="1" max="1" width="15" style="424" customWidth="1"/>
    <col min="2" max="2" width="70" style="424" customWidth="1"/>
    <col min="3" max="3" width="10" style="424" customWidth="1"/>
    <col min="4" max="4" width="20" style="424" customWidth="1"/>
    <col min="5" max="16384" width="9.109375" style="424"/>
  </cols>
  <sheetData>
    <row r="1" spans="1:4" x14ac:dyDescent="0.3">
      <c r="A1" s="423" t="s">
        <v>953</v>
      </c>
      <c r="B1" s="423" t="s">
        <v>954</v>
      </c>
      <c r="C1" s="423" t="s">
        <v>804</v>
      </c>
      <c r="D1" s="423" t="s">
        <v>955</v>
      </c>
    </row>
    <row r="2" spans="1:4" ht="45" customHeight="1" x14ac:dyDescent="0.3">
      <c r="A2" s="661"/>
      <c r="B2" s="661"/>
      <c r="C2" s="662"/>
      <c r="D2" s="510"/>
    </row>
  </sheetData>
  <sheetProtection algorithmName="SHA-512" hashValue="TEwUu9W0crpolohrgOs26iB2eltue23rGHT8ieuOTzMTeemRp07S1OMOpL5lh4yh29TTZ+lTSbqugOD2xYYfxg==" saltValue="ugWA3KmxkWSGFDCsscOxz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&amp;LPMv3.08&amp;R&amp;P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dc:creator>
  <cp:keywords/>
  <dc:description/>
  <cp:lastModifiedBy>Patrícia Santos</cp:lastModifiedBy>
  <cp:revision>5</cp:revision>
  <cp:lastPrinted>2026-05-19T19:14:29Z</cp:lastPrinted>
  <dcterms:created xsi:type="dcterms:W3CDTF">1997-01-10T22:22:50Z</dcterms:created>
  <dcterms:modified xsi:type="dcterms:W3CDTF">2026-06-23T13:55:14Z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