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POA_DIATA\PESQUISA DE PREÇO\2026\ITENS DIVERSOS (vinil)\"/>
    </mc:Choice>
  </mc:AlternateContent>
  <xr:revisionPtr revIDLastSave="0" documentId="13_ncr:1_{FCA51236-6206-45A5-BED7-712FD5FDAC89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PESQUISA INICIAL" sheetId="2" r:id="rId1"/>
    <sheet name="PESQUISA APÓS DESCONSIDERAÇÕES" sheetId="3" r:id="rId2"/>
    <sheet name="PESQUISA FINAL" sheetId="4" r:id="rId3"/>
  </sheets>
  <definedNames>
    <definedName name="_xlnm._FilterDatabase" localSheetId="1" hidden="1">'PESQUISA APÓS DESCONSIDERAÇÕES'!$B$3:$AG$13</definedName>
    <definedName name="_xlnm._FilterDatabase" localSheetId="2" hidden="1">'PESQUISA FINAL'!$C$2:$J$10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4" l="1"/>
  <c r="AA13" i="2"/>
  <c r="AB9" i="2"/>
  <c r="AA9" i="2"/>
  <c r="AC8" i="2"/>
  <c r="AC7" i="2"/>
  <c r="AB7" i="2"/>
  <c r="AA7" i="2"/>
  <c r="AC6" i="2"/>
  <c r="AB6" i="2"/>
  <c r="AA6" i="2"/>
  <c r="AA4" i="2"/>
  <c r="AE13" i="3"/>
  <c r="AD13" i="3"/>
  <c r="AC13" i="3"/>
  <c r="AB13" i="3"/>
  <c r="AA13" i="3"/>
  <c r="AD12" i="3"/>
  <c r="AB12" i="3"/>
  <c r="AA12" i="3"/>
  <c r="AA10" i="3"/>
  <c r="AA9" i="3"/>
  <c r="AB8" i="3"/>
  <c r="AE7" i="3"/>
  <c r="AD7" i="3"/>
  <c r="AC7" i="3"/>
  <c r="AB7" i="3"/>
  <c r="AA7" i="3"/>
  <c r="AB6" i="3"/>
  <c r="AA5" i="3"/>
  <c r="AD4" i="3"/>
  <c r="AC4" i="3"/>
  <c r="I11" i="4"/>
  <c r="AC12" i="3"/>
  <c r="AC11" i="3"/>
  <c r="AB11" i="3"/>
  <c r="AD10" i="3"/>
  <c r="AC10" i="3"/>
  <c r="AB10" i="3"/>
  <c r="AC12" i="2"/>
  <c r="AB12" i="2"/>
  <c r="AA12" i="2"/>
  <c r="I12" i="4"/>
  <c r="I9" i="4"/>
  <c r="X6" i="3"/>
  <c r="Y6" i="3"/>
  <c r="I4" i="4"/>
  <c r="I5" i="4"/>
  <c r="I6" i="4"/>
  <c r="I7" i="4"/>
  <c r="I8" i="4"/>
  <c r="I10" i="4"/>
  <c r="I3" i="4"/>
  <c r="AA11" i="3"/>
  <c r="AD11" i="3"/>
  <c r="AD9" i="3"/>
  <c r="AC9" i="3"/>
  <c r="AB9" i="3"/>
  <c r="AD8" i="3"/>
  <c r="AC8" i="3"/>
  <c r="AA8" i="3"/>
  <c r="AE12" i="3" l="1"/>
  <c r="AE12" i="2"/>
  <c r="AD12" i="2"/>
  <c r="AA6" i="3"/>
  <c r="AD6" i="3"/>
  <c r="AC6" i="3"/>
  <c r="AE9" i="3"/>
  <c r="AE11" i="3"/>
  <c r="AE10" i="3"/>
  <c r="AE8" i="3"/>
  <c r="AE6" i="3" l="1"/>
  <c r="Z5" i="3"/>
  <c r="Z4" i="3"/>
  <c r="AA4" i="3" s="1"/>
  <c r="AC13" i="2"/>
  <c r="AB13" i="2"/>
  <c r="AC11" i="2"/>
  <c r="AB11" i="2"/>
  <c r="AA11" i="2"/>
  <c r="AC10" i="2"/>
  <c r="AB10" i="2"/>
  <c r="AA10" i="2"/>
  <c r="AD10" i="2" s="1"/>
  <c r="AC9" i="2"/>
  <c r="AB8" i="2"/>
  <c r="AA8" i="2"/>
  <c r="X6" i="2"/>
  <c r="AD13" i="2" l="1"/>
  <c r="AE8" i="2"/>
  <c r="AD5" i="3"/>
  <c r="AC5" i="3"/>
  <c r="AB5" i="3"/>
  <c r="AB4" i="3"/>
  <c r="AE10" i="2"/>
  <c r="AE7" i="2"/>
  <c r="AE9" i="2"/>
  <c r="AE5" i="3" l="1"/>
  <c r="AE4" i="3"/>
  <c r="Y6" i="2"/>
  <c r="AD7" i="2"/>
  <c r="AD8" i="2"/>
  <c r="AD9" i="2"/>
  <c r="Z5" i="2"/>
  <c r="AA5" i="2" s="1"/>
  <c r="Z4" i="2"/>
  <c r="AB4" i="2" l="1"/>
  <c r="AE13" i="2"/>
  <c r="AC5" i="2"/>
  <c r="AB5" i="2"/>
  <c r="AD11" i="2"/>
  <c r="AE11" i="2"/>
  <c r="AC4" i="2"/>
  <c r="AD5" i="2" l="1"/>
  <c r="AE5" i="2"/>
  <c r="AE6" i="2"/>
  <c r="AD6" i="2"/>
  <c r="AD4" i="2"/>
  <c r="AE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tc={B38B780F-6994-4EE6-8EC7-52D52CDE5B5B}</author>
  </authors>
  <commentList>
    <comment ref="AE2" authorId="0" shapeId="0" xr:uid="{B38B780F-6994-4EE6-8EC7-52D52CDE5B5B}">
      <text>
        <t xml:space="preserve">[Comentário encadeado]
Sua versão do Excel permite que você leia este comentário encadeado, no entanto, as edições serão removidas se o arquivo for aberto em uma versão mais recente do Excel. Saiba mais: https://go.microsoft.com/fwlink/?linkid=870924
Comentário:
    O coeficiente de variação é considerado baixo quando apresentar percentual igual ou inferior a 25%, sendo nesse caso indicada a média como critério de definição do valor de mercado. Se ele for superior a 25%, o coeficiente indica a presença de valores extremos afetando a média, situação em que se recomenda
o uso da mediana como critério de definição do preço médio.
</t>
      </text>
    </comment>
  </commentList>
</comments>
</file>

<file path=xl/sharedStrings.xml><?xml version="1.0" encoding="utf-8"?>
<sst xmlns="http://schemas.openxmlformats.org/spreadsheetml/2006/main" count="193" uniqueCount="65">
  <si>
    <t>METODOLOGIA PARA ANÁLISE</t>
  </si>
  <si>
    <t>MÉDIA</t>
  </si>
  <si>
    <t>MEDIANA</t>
  </si>
  <si>
    <t>DESVIO PADRÃO</t>
  </si>
  <si>
    <t>VALOR TOTAL</t>
  </si>
  <si>
    <t>VALOR UNIT</t>
  </si>
  <si>
    <t>CONTRATAÇÕES SIMILARES</t>
  </si>
  <si>
    <t>EXCESIVAMENTE ELEVADO</t>
  </si>
  <si>
    <t>INEXEQUÍVEL</t>
  </si>
  <si>
    <t>QTDE</t>
  </si>
  <si>
    <t>REI DOS CAPACHOS</t>
  </si>
  <si>
    <t>MULTKAP</t>
  </si>
  <si>
    <t>MODESTO CAPACHOS</t>
  </si>
  <si>
    <t>DOS ANJOS</t>
  </si>
  <si>
    <t>FORNECEDORES</t>
  </si>
  <si>
    <t>BANDEIRA 1</t>
  </si>
  <si>
    <t>SITIOS ESPECIALIZADOS</t>
  </si>
  <si>
    <t>ITEM </t>
  </si>
  <si>
    <t>CATMAT</t>
  </si>
  <si>
    <t>Tamanho da bandeira: 10 a 12 cm de altura, por 20 a 22 cm de largura, aproximadamente. Altura total (incluindo mastro e base): aproximadamente 30 a 35 cm. Material: Tecido de poliéster ou cetim de alto brilho, com estampa em ambas as faces. Material: Resina ou metal pintado. Base: Material: Plástico ou madeira pintada. Formato: Circular Cor: Marrom brilhante Diâmetro da base: Aproximadamente 6 a 8 cm. Ponteira: Modelo: Ponteira tipo “lança tailandesa” ou “flor de lótus estilizada”, dourada.</t>
  </si>
  <si>
    <t>Cordão Crachá</t>
  </si>
  <si>
    <t>Material em 100% poliéster acetinado, antialérgico, de perfil achatado, com pontos bem fechados;
Cor predominante do tecido: verde;
Código de cor do cordão: #54a533 ou CMYK: 71%, 8%, 100%, 0%;
Medidas: comprimento 85 cm, largura 12 mm;
Fixador de solda liso niquelado;
Anel regulador liso niquelado; e
Cordão com impressão digital em alta definição/sublimação sem restrição de cores, policromia em degrade.</t>
  </si>
  <si>
    <t>PLANILHA COMPARATIVA</t>
  </si>
  <si>
    <t>SISTEMA PESQUISA DE PREÇOS</t>
  </si>
  <si>
    <t>TORCIDA BRASILEIRA</t>
  </si>
  <si>
    <t>7º BIB - EXÉRCITO
Dispensa nº 90028/2025
Homologada em 29/05/2025</t>
  </si>
  <si>
    <t xml:space="preserve">	446546</t>
  </si>
  <si>
    <t>Bandeira Oficial representação Nacional Brasil - AUDITÓRIO</t>
  </si>
  <si>
    <t>Bandeira Oficial representação Nacional Brasil - EXTERNA</t>
  </si>
  <si>
    <t>Ref. 3,0P (1,35 x 1,93m) Bandeira oficial confeccionada em tecido 100% poliéster, de primeira qualidade, para ambiente externo, dupla face com arte totalmente bordada, com tralha forrada de entretela plástica e ilhoses metálicos para fixação.</t>
  </si>
  <si>
    <t>Ref. 2,5P (1,12 x 1,60m) Bandeira oficial confeccionada em tecido 100% poliéster, de primeira qualidade, para ambiente interno, dupla face com arte totalmente bordada, com tralha forrada de entretela plástica e ilhoses metálicos para fixação.</t>
  </si>
  <si>
    <t>Kit Mastro Bandeira com base - AUDITÓRIO</t>
  </si>
  <si>
    <t>Kit Base em Madeira, Revestida em Laminado na Cor Mogno, acabamento com canopla Cromada, Acompanha 03 (Três) Mastros medindo 2,20 M de altura Ideal para qualquer Ambiente, encaixe para mastro com espessura de 28 mm.</t>
  </si>
  <si>
    <t>OBJETO</t>
  </si>
  <si>
    <t>Bandeira Oficial para Mesa - representação de países diversos</t>
  </si>
  <si>
    <r>
      <t xml:space="preserve">VALOR UNIT
</t>
    </r>
    <r>
      <rPr>
        <b/>
        <sz val="10"/>
        <color theme="1"/>
        <rFont val="Calibri"/>
        <family val="2"/>
        <scheme val="minor"/>
      </rPr>
      <t>(MEDIANA)</t>
    </r>
  </si>
  <si>
    <t>Capacho personalizado destinado à entrada privativa</t>
  </si>
  <si>
    <t>Capacho personalizado destinado à entrada principal </t>
  </si>
  <si>
    <t>Protetor Paredes Elevador</t>
  </si>
  <si>
    <t>Acolchoado para Elevador Atlas Schindler com capacidade para 16 (dezesseis) pessoas/1.120 kg, fabricado em resistente Lona  e/ou confeccionado em Poliéster PVC ou tecido sintético, na cor sólida (azul, verde ou próximo), tecido antichamas, fácil de limpar e/ou lavar, costurado com fio de nylon ou linha de costura, antifungo, antimofo e com revestimento interno emborrachado. Medidas aproximadas - altura: 230 cm e largura: 136 cm.</t>
  </si>
  <si>
    <t>CAPACHOLÂNDIA</t>
  </si>
  <si>
    <t>MDHC
Dispensa nº 90003/2025
Homologada em 06/06/2025</t>
  </si>
  <si>
    <t>SFB
Dispensa nº 90008/2025
Homologada em 06/08/2025</t>
  </si>
  <si>
    <t>KAPAZI</t>
  </si>
  <si>
    <t>VIDEBAND</t>
  </si>
  <si>
    <t>PORTO FABRICA DE BANDEIRAS</t>
  </si>
  <si>
    <t>ID PROMO</t>
  </si>
  <si>
    <t>NOGUEIRA BRINDES</t>
  </si>
  <si>
    <t>CAPACHO CENTRO OESTE</t>
  </si>
  <si>
    <t>MAGALU</t>
  </si>
  <si>
    <t>BANDEIRA STORE</t>
  </si>
  <si>
    <t>INEXEQ ADM NÃO TIRA</t>
  </si>
  <si>
    <t>PORCENTAGEM 
(Coeficiente de Variação)</t>
  </si>
  <si>
    <t>QUANTOS PREÇOS?</t>
  </si>
  <si>
    <t>ANÁLISE</t>
  </si>
  <si>
    <t>VALOR TOTAL ESTIMADO (R$)</t>
  </si>
  <si>
    <t>ESPECIFICAÇÃO</t>
  </si>
  <si>
    <t>Capacho personalizado destinado à entrada da DIPA - Divisão de Patrimônio e Almoxarifado</t>
  </si>
  <si>
    <t>Capacho personalizado destinado à entrada do auditório</t>
  </si>
  <si>
    <t>Material: fibra de vinil sintética; Dimensões Capacho: 1,80m x 0,80m.
Desejável espessura do capacho de 1cm.
Retenção de Sujeira: Projetado para reter partículas sólidas, como areia e poeira. 
Alto relevo que absorve sujeira e água dos pés. 
Antiderrapante: Base que proporciona aderência ao piso, prevenindo deslizamentos. 
Personalização: Possibilidade de inclusão de logotipo ou brasão institucional, conforme arte aprovada pelo contratante. 
Condições de Fornecimento: Produto novo, sem uso anterior. Garantia mínima de 12 meses contra defeitos de fabricação. 
Entrega no local determinado pelo contratante, com transporte e descarregamento inclusos.</t>
  </si>
  <si>
    <t>Material: fibra de vinil sintética; Dimensões Capacho: 0,88m x 1,05m.
Desejável espessura do capacho de 1cm.
Retenção de Sujeira: Projetado para reter partículas sólidas, como areia e poeira. 
Alto relevo que absorve sujeira e água dos pés. 
Antiderrapante: Base que proporciona aderência ao piso, prevenindo deslizamentos. 
Personalização: Possibilidade de inclusão de logotipo ou brasão institucional, conforme arte aprovada pelo contratante. 
Condições de Fornecimento: Produto novo, sem uso anterior. Garantia mínima de 12 meses contra defeitos de fabricação. 
Entrega no local determinado pelo contratante, com transporte e descarregamento inclusos.</t>
  </si>
  <si>
    <t>Material: fibra de vinil sintética; Dimensões Capacho: 1,20m x 1,60m.
Desejável espessura do capacho de 1cm.
Retenção de Sujeira: Projetado para reter partículas sólidas, como areia e poeira. 
Alto relevo que absorve sujeira e água dos pés. 
Antiderrapante: Base que proporciona aderência ao piso, prevenindo deslizamentos. 
Personalização: Possibilidade de inclusão de logotipo ou brasão institucional, conforme arte aprovada pelo contratante. 
Condições de Fornecimento: Produto novo, sem uso anterior. Garantia mínima de 12 meses contra defeitos de fabricação. 
Entrega no local determinado pelo contratante, com transporte e descarregamento inclusos.</t>
  </si>
  <si>
    <t>Material: fibra de vinil sintética; Dimensões Capacho: 1,50m x 3,52m.
Desejável espessura do capacho de 2cm.
Retenção de Sujeira: Projetado para reter partículas sólidas, como areia e poeira. 
Alto relevo que absorve sujeira e água dos pés. 
Antiderrapante: Base que proporciona aderência ao piso, prevenindo deslizamentos. 
Personalização: Possibilidade de inclusão de logotipo ou brasão institucional, conforme arte aprovada pelo contratante. 
Condições de Fornecimento: Produto novo, sem uso anterior. Garantia mínima de 12 meses contra defeitos de fabricação. 
Entrega no local determinado pelo contratante, com transporte e descarregamento inclusos.</t>
  </si>
  <si>
    <t>Grupo 1</t>
  </si>
  <si>
    <t>GRUPO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</si>
</sst>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Up="1"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 diagonalUp="1" diagonalDown="1"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/>
      <top style="medium">
        <color indexed="64"/>
      </top>
      <bottom style="thin">
        <color auto="1"/>
      </bottom>
      <diagonal/>
    </border>
    <border diagonalUp="1" diagonalDown="1">
      <left style="thin">
        <color auto="1"/>
      </left>
      <right style="medium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 diagonalUp="1" diagonalDown="1">
      <left style="medium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/>
      <diagonal style="thin">
        <color auto="1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00">
    <xf numFmtId="0" fontId="0" fillId="0" borderId="0" xfId="0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4" fontId="1" fillId="6" borderId="7" xfId="0" applyNumberFormat="1" applyFont="1" applyFill="1" applyBorder="1" applyAlignment="1">
      <alignment horizontal="center" vertical="center" wrapText="1"/>
    </xf>
    <xf numFmtId="4" fontId="1" fillId="2" borderId="6" xfId="0" applyNumberFormat="1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4" fontId="1" fillId="5" borderId="7" xfId="0" applyNumberFormat="1" applyFont="1" applyFill="1" applyBorder="1" applyAlignment="1">
      <alignment horizontal="center" vertical="center" wrapText="1"/>
    </xf>
    <xf numFmtId="4" fontId="1" fillId="3" borderId="20" xfId="0" applyNumberFormat="1" applyFont="1" applyFill="1" applyBorder="1" applyAlignment="1">
      <alignment horizontal="center" vertical="center" wrapText="1"/>
    </xf>
    <xf numFmtId="4" fontId="1" fillId="6" borderId="6" xfId="0" applyNumberFormat="1" applyFont="1" applyFill="1" applyBorder="1" applyAlignment="1">
      <alignment horizontal="center" vertical="center" wrapText="1"/>
    </xf>
    <xf numFmtId="4" fontId="1" fillId="6" borderId="10" xfId="0" applyNumberFormat="1" applyFont="1" applyFill="1" applyBorder="1" applyAlignment="1">
      <alignment horizontal="center" vertical="center" wrapText="1"/>
    </xf>
    <xf numFmtId="4" fontId="1" fillId="2" borderId="24" xfId="0" applyNumberFormat="1" applyFont="1" applyFill="1" applyBorder="1" applyAlignment="1">
      <alignment horizontal="center" vertical="center" wrapText="1"/>
    </xf>
    <xf numFmtId="4" fontId="1" fillId="7" borderId="6" xfId="0" applyNumberFormat="1" applyFont="1" applyFill="1" applyBorder="1" applyAlignment="1">
      <alignment horizontal="center" vertical="center" wrapText="1"/>
    </xf>
    <xf numFmtId="4" fontId="1" fillId="7" borderId="10" xfId="0" applyNumberFormat="1" applyFont="1" applyFill="1" applyBorder="1" applyAlignment="1">
      <alignment horizontal="center" vertical="center" wrapText="1"/>
    </xf>
    <xf numFmtId="4" fontId="8" fillId="6" borderId="12" xfId="0" applyNumberFormat="1" applyFont="1" applyFill="1" applyBorder="1" applyAlignment="1">
      <alignment horizontal="center" vertical="center" wrapText="1"/>
    </xf>
    <xf numFmtId="4" fontId="8" fillId="6" borderId="13" xfId="0" applyNumberFormat="1" applyFont="1" applyFill="1" applyBorder="1" applyAlignment="1">
      <alignment horizontal="center" vertical="center" wrapText="1"/>
    </xf>
    <xf numFmtId="4" fontId="8" fillId="6" borderId="14" xfId="0" applyNumberFormat="1" applyFont="1" applyFill="1" applyBorder="1" applyAlignment="1">
      <alignment horizontal="center" vertical="center" wrapText="1"/>
    </xf>
    <xf numFmtId="4" fontId="9" fillId="2" borderId="12" xfId="0" applyNumberFormat="1" applyFont="1" applyFill="1" applyBorder="1" applyAlignment="1">
      <alignment horizontal="center" vertical="center"/>
    </xf>
    <xf numFmtId="4" fontId="9" fillId="2" borderId="13" xfId="0" applyNumberFormat="1" applyFont="1" applyFill="1" applyBorder="1" applyAlignment="1">
      <alignment horizontal="center" vertical="center" wrapText="1"/>
    </xf>
    <xf numFmtId="4" fontId="9" fillId="2" borderId="26" xfId="0" applyNumberFormat="1" applyFont="1" applyFill="1" applyBorder="1" applyAlignment="1">
      <alignment horizontal="center" vertical="center" wrapText="1"/>
    </xf>
    <xf numFmtId="4" fontId="9" fillId="7" borderId="12" xfId="0" applyNumberFormat="1" applyFont="1" applyFill="1" applyBorder="1" applyAlignment="1">
      <alignment horizontal="center" vertical="center" wrapText="1"/>
    </xf>
    <xf numFmtId="4" fontId="9" fillId="7" borderId="14" xfId="0" applyNumberFormat="1" applyFont="1" applyFill="1" applyBorder="1" applyAlignment="1">
      <alignment horizontal="center" vertical="center" wrapText="1"/>
    </xf>
    <xf numFmtId="4" fontId="9" fillId="5" borderId="13" xfId="0" applyNumberFormat="1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3" fontId="1" fillId="8" borderId="7" xfId="0" applyNumberFormat="1" applyFont="1" applyFill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4" fontId="9" fillId="5" borderId="12" xfId="0" applyNumberFormat="1" applyFont="1" applyFill="1" applyBorder="1" applyAlignment="1">
      <alignment horizontal="center" vertical="center" wrapText="1"/>
    </xf>
    <xf numFmtId="4" fontId="1" fillId="5" borderId="6" xfId="0" applyNumberFormat="1" applyFont="1" applyFill="1" applyBorder="1" applyAlignment="1">
      <alignment horizontal="center" vertical="center" wrapText="1"/>
    </xf>
    <xf numFmtId="4" fontId="1" fillId="7" borderId="7" xfId="0" applyNumberFormat="1" applyFont="1" applyFill="1" applyBorder="1" applyAlignment="1">
      <alignment horizontal="center" vertical="center" wrapText="1"/>
    </xf>
    <xf numFmtId="4" fontId="9" fillId="7" borderId="13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3" fontId="0" fillId="0" borderId="4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0" fillId="0" borderId="19" xfId="0" applyNumberFormat="1" applyBorder="1" applyAlignment="1">
      <alignment horizontal="center" vertical="center" wrapText="1"/>
    </xf>
    <xf numFmtId="4" fontId="0" fillId="0" borderId="3" xfId="0" applyNumberFormat="1" applyBorder="1" applyAlignment="1">
      <alignment horizontal="center" vertical="center" wrapText="1"/>
    </xf>
    <xf numFmtId="4" fontId="0" fillId="0" borderId="4" xfId="0" applyNumberFormat="1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4" fontId="0" fillId="0" borderId="25" xfId="0" applyNumberFormat="1" applyBorder="1" applyAlignment="1">
      <alignment horizontal="center" vertical="center" wrapText="1"/>
    </xf>
    <xf numFmtId="4" fontId="0" fillId="0" borderId="12" xfId="0" applyNumberFormat="1" applyBorder="1" applyAlignment="1">
      <alignment horizontal="center" vertical="center" wrapText="1"/>
    </xf>
    <xf numFmtId="4" fontId="0" fillId="0" borderId="13" xfId="0" applyNumberFormat="1" applyBorder="1" applyAlignment="1">
      <alignment horizontal="center" vertical="center" wrapText="1"/>
    </xf>
    <xf numFmtId="4" fontId="0" fillId="0" borderId="14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" fontId="0" fillId="0" borderId="21" xfId="0" applyNumberFormat="1" applyBorder="1" applyAlignment="1">
      <alignment horizontal="center" vertical="center" wrapText="1"/>
    </xf>
    <xf numFmtId="4" fontId="0" fillId="0" borderId="8" xfId="0" applyNumberForma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 wrapText="1"/>
    </xf>
    <xf numFmtId="4" fontId="0" fillId="0" borderId="23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" fontId="5" fillId="0" borderId="21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3" fontId="0" fillId="0" borderId="7" xfId="0" applyNumberFormat="1" applyBorder="1" applyAlignment="1">
      <alignment horizontal="center" vertical="center" wrapText="1"/>
    </xf>
    <xf numFmtId="4" fontId="0" fillId="0" borderId="30" xfId="0" applyNumberFormat="1" applyBorder="1" applyAlignment="1">
      <alignment horizontal="center" vertical="center" wrapText="1"/>
    </xf>
    <xf numFmtId="4" fontId="0" fillId="0" borderId="31" xfId="0" applyNumberFormat="1" applyBorder="1" applyAlignment="1">
      <alignment horizontal="center" vertical="center" wrapText="1"/>
    </xf>
    <xf numFmtId="4" fontId="0" fillId="0" borderId="32" xfId="0" applyNumberFormat="1" applyBorder="1" applyAlignment="1">
      <alignment horizontal="center" vertical="center" wrapText="1"/>
    </xf>
    <xf numFmtId="4" fontId="0" fillId="0" borderId="33" xfId="0" applyNumberFormat="1" applyBorder="1" applyAlignment="1">
      <alignment horizontal="center" vertical="center" wrapText="1"/>
    </xf>
    <xf numFmtId="3" fontId="1" fillId="7" borderId="20" xfId="0" applyNumberFormat="1" applyFont="1" applyFill="1" applyBorder="1" applyAlignment="1">
      <alignment horizontal="center" vertical="center" wrapText="1"/>
    </xf>
    <xf numFmtId="3" fontId="0" fillId="0" borderId="36" xfId="0" applyNumberFormat="1" applyBorder="1" applyAlignment="1">
      <alignment horizontal="center" vertical="center" wrapText="1"/>
    </xf>
    <xf numFmtId="3" fontId="0" fillId="0" borderId="37" xfId="0" applyNumberFormat="1" applyBorder="1" applyAlignment="1">
      <alignment horizontal="center" vertical="center" wrapText="1"/>
    </xf>
    <xf numFmtId="9" fontId="0" fillId="0" borderId="0" xfId="0" applyNumberFormat="1" applyAlignment="1">
      <alignment horizontal="center" vertical="center" wrapText="1"/>
    </xf>
    <xf numFmtId="9" fontId="11" fillId="0" borderId="9" xfId="0" applyNumberFormat="1" applyFont="1" applyBorder="1" applyAlignment="1">
      <alignment horizontal="center" vertical="center" wrapText="1"/>
    </xf>
    <xf numFmtId="4" fontId="9" fillId="5" borderId="3" xfId="0" applyNumberFormat="1" applyFont="1" applyFill="1" applyBorder="1" applyAlignment="1">
      <alignment horizontal="center" vertical="center" wrapText="1"/>
    </xf>
    <xf numFmtId="4" fontId="9" fillId="5" borderId="4" xfId="0" applyNumberFormat="1" applyFont="1" applyFill="1" applyBorder="1" applyAlignment="1">
      <alignment horizontal="center" vertical="center" wrapText="1"/>
    </xf>
    <xf numFmtId="9" fontId="0" fillId="0" borderId="5" xfId="0" applyNumberFormat="1" applyBorder="1" applyAlignment="1">
      <alignment horizontal="center" vertical="center" wrapText="1"/>
    </xf>
    <xf numFmtId="9" fontId="0" fillId="0" borderId="9" xfId="0" applyNumberForma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" fontId="0" fillId="0" borderId="43" xfId="0" applyNumberFormat="1" applyBorder="1" applyAlignment="1">
      <alignment horizontal="center" vertical="center" wrapText="1"/>
    </xf>
    <xf numFmtId="4" fontId="0" fillId="0" borderId="44" xfId="0" applyNumberForma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" fontId="3" fillId="8" borderId="41" xfId="0" applyNumberFormat="1" applyFont="1" applyFill="1" applyBorder="1" applyAlignment="1">
      <alignment vertical="center"/>
    </xf>
    <xf numFmtId="4" fontId="3" fillId="8" borderId="17" xfId="0" applyNumberFormat="1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3" fontId="3" fillId="8" borderId="16" xfId="0" applyNumberFormat="1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4" fontId="0" fillId="0" borderId="27" xfId="0" applyNumberFormat="1" applyBorder="1" applyAlignment="1">
      <alignment horizontal="center" vertical="center" wrapText="1"/>
    </xf>
    <xf numFmtId="4" fontId="0" fillId="0" borderId="15" xfId="0" applyNumberFormat="1" applyBorder="1" applyAlignment="1">
      <alignment horizontal="center" vertical="center" wrapText="1"/>
    </xf>
    <xf numFmtId="4" fontId="0" fillId="0" borderId="16" xfId="0" applyNumberFormat="1" applyBorder="1" applyAlignment="1">
      <alignment horizontal="center" vertical="center" wrapText="1"/>
    </xf>
    <xf numFmtId="4" fontId="0" fillId="0" borderId="17" xfId="0" applyNumberFormat="1" applyBorder="1" applyAlignment="1">
      <alignment horizontal="center" vertical="center" wrapText="1"/>
    </xf>
    <xf numFmtId="4" fontId="0" fillId="0" borderId="42" xfId="0" applyNumberFormat="1" applyBorder="1" applyAlignment="1">
      <alignment horizontal="center" vertical="center" wrapText="1"/>
    </xf>
    <xf numFmtId="3" fontId="0" fillId="0" borderId="28" xfId="0" applyNumberFormat="1" applyBorder="1" applyAlignment="1">
      <alignment horizontal="center" vertical="center" wrapText="1"/>
    </xf>
    <xf numFmtId="9" fontId="0" fillId="0" borderId="17" xfId="0" applyNumberFormat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7" xfId="0" applyBorder="1" applyAlignment="1">
      <alignment horizontal="left" vertical="center" wrapText="1"/>
    </xf>
    <xf numFmtId="3" fontId="0" fillId="0" borderId="47" xfId="0" applyNumberForma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4" fontId="0" fillId="0" borderId="49" xfId="0" applyNumberFormat="1" applyBorder="1" applyAlignment="1">
      <alignment horizontal="center" vertical="center" wrapText="1"/>
    </xf>
    <xf numFmtId="4" fontId="0" fillId="0" borderId="50" xfId="0" applyNumberFormat="1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4" fontId="0" fillId="0" borderId="51" xfId="0" applyNumberFormat="1" applyBorder="1" applyAlignment="1">
      <alignment horizontal="center" vertical="center" wrapText="1"/>
    </xf>
    <xf numFmtId="4" fontId="0" fillId="0" borderId="46" xfId="0" applyNumberFormat="1" applyBorder="1" applyAlignment="1">
      <alignment horizontal="center" vertical="center" wrapText="1"/>
    </xf>
    <xf numFmtId="4" fontId="0" fillId="0" borderId="47" xfId="0" applyNumberFormat="1" applyBorder="1" applyAlignment="1">
      <alignment horizontal="center" vertical="center" wrapText="1"/>
    </xf>
    <xf numFmtId="4" fontId="0" fillId="0" borderId="48" xfId="0" applyNumberFormat="1" applyBorder="1" applyAlignment="1">
      <alignment horizontal="center" vertical="center" wrapText="1"/>
    </xf>
    <xf numFmtId="9" fontId="0" fillId="0" borderId="49" xfId="0" applyNumberFormat="1" applyBorder="1" applyAlignment="1">
      <alignment horizontal="center" vertical="center" wrapText="1"/>
    </xf>
    <xf numFmtId="0" fontId="0" fillId="2" borderId="55" xfId="0" applyFill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56" xfId="0" applyBorder="1" applyAlignment="1">
      <alignment horizontal="left" vertical="center" wrapText="1"/>
    </xf>
    <xf numFmtId="3" fontId="0" fillId="0" borderId="56" xfId="0" applyNumberForma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4" fontId="0" fillId="0" borderId="57" xfId="0" applyNumberFormat="1" applyBorder="1" applyAlignment="1">
      <alignment horizontal="center" vertical="center" wrapText="1"/>
    </xf>
    <xf numFmtId="4" fontId="0" fillId="0" borderId="55" xfId="0" applyNumberFormat="1" applyBorder="1" applyAlignment="1">
      <alignment horizontal="center" vertical="center" wrapText="1"/>
    </xf>
    <xf numFmtId="4" fontId="0" fillId="0" borderId="56" xfId="0" applyNumberFormat="1" applyBorder="1" applyAlignment="1">
      <alignment horizontal="center" vertical="center" wrapText="1"/>
    </xf>
    <xf numFmtId="4" fontId="0" fillId="0" borderId="35" xfId="0" applyNumberFormat="1" applyBorder="1" applyAlignment="1">
      <alignment horizontal="center" vertical="center" wrapText="1"/>
    </xf>
    <xf numFmtId="4" fontId="0" fillId="0" borderId="58" xfId="0" applyNumberFormat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58" xfId="0" applyBorder="1" applyAlignment="1">
      <alignment horizontal="center" vertical="center" wrapText="1"/>
    </xf>
    <xf numFmtId="4" fontId="0" fillId="0" borderId="59" xfId="0" applyNumberFormat="1" applyBorder="1" applyAlignment="1">
      <alignment horizontal="center" vertical="center" wrapText="1"/>
    </xf>
    <xf numFmtId="4" fontId="1" fillId="0" borderId="59" xfId="0" applyNumberFormat="1" applyFont="1" applyBorder="1" applyAlignment="1">
      <alignment horizontal="center" vertical="center" wrapText="1"/>
    </xf>
    <xf numFmtId="0" fontId="0" fillId="2" borderId="57" xfId="0" applyFill="1" applyBorder="1" applyAlignment="1">
      <alignment horizontal="center" vertical="center" wrapText="1"/>
    </xf>
    <xf numFmtId="3" fontId="0" fillId="0" borderId="61" xfId="0" applyNumberFormat="1" applyBorder="1" applyAlignment="1">
      <alignment horizontal="center" vertical="center" wrapText="1"/>
    </xf>
    <xf numFmtId="4" fontId="1" fillId="0" borderId="46" xfId="0" applyNumberFormat="1" applyFont="1" applyBorder="1" applyAlignment="1">
      <alignment horizontal="center" vertical="center" wrapText="1"/>
    </xf>
    <xf numFmtId="0" fontId="1" fillId="8" borderId="52" xfId="0" applyFont="1" applyFill="1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/>
    </xf>
    <xf numFmtId="4" fontId="1" fillId="0" borderId="47" xfId="0" applyNumberFormat="1" applyFont="1" applyBorder="1" applyAlignment="1">
      <alignment horizontal="center" vertical="center" wrapText="1"/>
    </xf>
    <xf numFmtId="4" fontId="0" fillId="0" borderId="66" xfId="0" applyNumberFormat="1" applyBorder="1" applyAlignment="1">
      <alignment horizontal="center" vertical="center" wrapText="1"/>
    </xf>
    <xf numFmtId="3" fontId="0" fillId="0" borderId="67" xfId="0" applyNumberForma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3" fontId="0" fillId="0" borderId="16" xfId="0" applyNumberForma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4" fontId="0" fillId="0" borderId="68" xfId="0" applyNumberFormat="1" applyBorder="1" applyAlignment="1">
      <alignment horizontal="center" vertical="center" wrapText="1"/>
    </xf>
    <xf numFmtId="4" fontId="1" fillId="0" borderId="16" xfId="0" applyNumberFormat="1" applyFont="1" applyBorder="1" applyAlignment="1">
      <alignment horizontal="center" vertical="center" wrapText="1"/>
    </xf>
    <xf numFmtId="0" fontId="1" fillId="8" borderId="22" xfId="0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 wrapText="1"/>
    </xf>
    <xf numFmtId="4" fontId="0" fillId="0" borderId="69" xfId="0" applyNumberFormat="1" applyBorder="1" applyAlignment="1">
      <alignment horizontal="center" vertical="center" wrapText="1"/>
    </xf>
    <xf numFmtId="4" fontId="0" fillId="0" borderId="70" xfId="0" applyNumberForma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2" borderId="65" xfId="0" applyFill="1" applyBorder="1" applyAlignment="1">
      <alignment horizontal="center" vertical="center" wrapText="1"/>
    </xf>
    <xf numFmtId="0" fontId="0" fillId="2" borderId="60" xfId="0" applyFill="1" applyBorder="1" applyAlignment="1">
      <alignment horizontal="center" vertical="center" wrapText="1"/>
    </xf>
    <xf numFmtId="4" fontId="9" fillId="5" borderId="14" xfId="0" applyNumberFormat="1" applyFont="1" applyFill="1" applyBorder="1" applyAlignment="1">
      <alignment horizontal="center" vertical="center" wrapText="1"/>
    </xf>
    <xf numFmtId="4" fontId="9" fillId="5" borderId="10" xfId="0" applyNumberFormat="1" applyFont="1" applyFill="1" applyBorder="1" applyAlignment="1">
      <alignment horizontal="center" vertical="center" wrapText="1"/>
    </xf>
    <xf numFmtId="4" fontId="1" fillId="5" borderId="15" xfId="0" applyNumberFormat="1" applyFont="1" applyFill="1" applyBorder="1" applyAlignment="1">
      <alignment horizontal="center" vertical="center" wrapText="1"/>
    </xf>
    <xf numFmtId="4" fontId="1" fillId="5" borderId="16" xfId="0" applyNumberFormat="1" applyFont="1" applyFill="1" applyBorder="1" applyAlignment="1">
      <alignment horizontal="center" vertical="center" wrapText="1"/>
    </xf>
    <xf numFmtId="4" fontId="1" fillId="5" borderId="17" xfId="0" applyNumberFormat="1" applyFont="1" applyFill="1" applyBorder="1" applyAlignment="1">
      <alignment horizontal="center" vertical="center" wrapText="1"/>
    </xf>
    <xf numFmtId="4" fontId="9" fillId="5" borderId="13" xfId="0" applyNumberFormat="1" applyFont="1" applyFill="1" applyBorder="1" applyAlignment="1">
      <alignment horizontal="center" vertical="center" wrapText="1"/>
    </xf>
    <xf numFmtId="4" fontId="9" fillId="5" borderId="7" xfId="0" applyNumberFormat="1" applyFont="1" applyFill="1" applyBorder="1" applyAlignment="1">
      <alignment horizontal="center" vertical="center" wrapText="1"/>
    </xf>
    <xf numFmtId="4" fontId="6" fillId="3" borderId="2" xfId="0" applyNumberFormat="1" applyFont="1" applyFill="1" applyBorder="1" applyAlignment="1">
      <alignment horizontal="center" vertical="center" wrapText="1"/>
    </xf>
    <xf numFmtId="4" fontId="6" fillId="3" borderId="18" xfId="0" applyNumberFormat="1" applyFont="1" applyFill="1" applyBorder="1" applyAlignment="1">
      <alignment horizontal="center" vertical="center" wrapText="1"/>
    </xf>
    <xf numFmtId="4" fontId="6" fillId="6" borderId="27" xfId="0" applyNumberFormat="1" applyFont="1" applyFill="1" applyBorder="1" applyAlignment="1">
      <alignment horizontal="center" vertical="center" wrapText="1"/>
    </xf>
    <xf numFmtId="4" fontId="6" fillId="6" borderId="28" xfId="0" applyNumberFormat="1" applyFont="1" applyFill="1" applyBorder="1" applyAlignment="1">
      <alignment horizontal="center" vertical="center" wrapText="1"/>
    </xf>
    <xf numFmtId="4" fontId="6" fillId="6" borderId="29" xfId="0" applyNumberFormat="1" applyFont="1" applyFill="1" applyBorder="1" applyAlignment="1">
      <alignment horizontal="center" vertical="center" wrapText="1"/>
    </xf>
    <xf numFmtId="4" fontId="1" fillId="7" borderId="15" xfId="0" applyNumberFormat="1" applyFont="1" applyFill="1" applyBorder="1" applyAlignment="1">
      <alignment horizontal="center" vertical="center" wrapText="1"/>
    </xf>
    <xf numFmtId="4" fontId="1" fillId="7" borderId="16" xfId="0" applyNumberFormat="1" applyFont="1" applyFill="1" applyBorder="1" applyAlignment="1">
      <alignment horizontal="center" vertical="center" wrapText="1"/>
    </xf>
    <xf numFmtId="4" fontId="1" fillId="7" borderId="17" xfId="0" applyNumberFormat="1" applyFont="1" applyFill="1" applyBorder="1" applyAlignment="1">
      <alignment horizontal="center" vertical="center" wrapText="1"/>
    </xf>
    <xf numFmtId="4" fontId="1" fillId="2" borderId="27" xfId="0" applyNumberFormat="1" applyFont="1" applyFill="1" applyBorder="1" applyAlignment="1">
      <alignment horizontal="center" vertical="center" wrapText="1"/>
    </xf>
    <xf numFmtId="4" fontId="1" fillId="2" borderId="28" xfId="0" applyNumberFormat="1" applyFont="1" applyFill="1" applyBorder="1" applyAlignment="1">
      <alignment horizontal="center" vertical="center" wrapText="1"/>
    </xf>
    <xf numFmtId="4" fontId="1" fillId="2" borderId="29" xfId="0" applyNumberFormat="1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54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4" fontId="1" fillId="5" borderId="27" xfId="0" applyNumberFormat="1" applyFont="1" applyFill="1" applyBorder="1" applyAlignment="1">
      <alignment horizontal="center" vertical="center" wrapText="1"/>
    </xf>
    <xf numFmtId="4" fontId="1" fillId="5" borderId="28" xfId="0" applyNumberFormat="1" applyFont="1" applyFill="1" applyBorder="1" applyAlignment="1">
      <alignment horizontal="center" vertical="center" wrapText="1"/>
    </xf>
    <xf numFmtId="4" fontId="1" fillId="5" borderId="40" xfId="0" applyNumberFormat="1" applyFont="1" applyFill="1" applyBorder="1" applyAlignment="1">
      <alignment horizontal="center" vertical="center" wrapText="1"/>
    </xf>
    <xf numFmtId="4" fontId="9" fillId="5" borderId="4" xfId="0" applyNumberFormat="1" applyFont="1" applyFill="1" applyBorder="1" applyAlignment="1">
      <alignment horizontal="center" vertical="center" wrapText="1"/>
    </xf>
    <xf numFmtId="9" fontId="10" fillId="5" borderId="34" xfId="0" applyNumberFormat="1" applyFont="1" applyFill="1" applyBorder="1" applyAlignment="1">
      <alignment horizontal="center" vertical="center" wrapText="1"/>
    </xf>
    <xf numFmtId="9" fontId="10" fillId="5" borderId="35" xfId="0" applyNumberFormat="1" applyFont="1" applyFill="1" applyBorder="1" applyAlignment="1">
      <alignment horizontal="center" vertical="center" wrapText="1"/>
    </xf>
    <xf numFmtId="3" fontId="1" fillId="7" borderId="38" xfId="0" applyNumberFormat="1" applyFont="1" applyFill="1" applyBorder="1" applyAlignment="1">
      <alignment horizontal="center" vertical="center" wrapText="1"/>
    </xf>
    <xf numFmtId="3" fontId="1" fillId="7" borderId="39" xfId="0" applyNumberFormat="1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3" fontId="0" fillId="0" borderId="7" xfId="0" applyNumberFormat="1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4" fontId="0" fillId="0" borderId="22" xfId="0" applyNumberFormat="1" applyFill="1" applyBorder="1" applyAlignment="1">
      <alignment horizontal="center" vertical="center" wrapText="1"/>
    </xf>
    <xf numFmtId="4" fontId="0" fillId="0" borderId="6" xfId="0" applyNumberFormat="1" applyFill="1" applyBorder="1" applyAlignment="1">
      <alignment horizontal="center" vertical="center" wrapText="1"/>
    </xf>
    <xf numFmtId="4" fontId="0" fillId="0" borderId="7" xfId="0" applyNumberFormat="1" applyFill="1" applyBorder="1" applyAlignment="1">
      <alignment horizontal="center" vertical="center" wrapText="1"/>
    </xf>
    <xf numFmtId="4" fontId="0" fillId="0" borderId="10" xfId="0" applyNumberFormat="1" applyFill="1" applyBorder="1" applyAlignment="1">
      <alignment horizontal="center" vertical="center" wrapText="1"/>
    </xf>
    <xf numFmtId="4" fontId="0" fillId="0" borderId="24" xfId="0" applyNumberForma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4" fontId="0" fillId="0" borderId="71" xfId="0" applyNumberFormat="1" applyFill="1" applyBorder="1" applyAlignment="1">
      <alignment horizontal="center" vertical="center" wrapText="1"/>
    </xf>
    <xf numFmtId="3" fontId="0" fillId="0" borderId="20" xfId="0" applyNumberFormat="1" applyFill="1" applyBorder="1" applyAlignment="1">
      <alignment horizontal="center" vertical="center" wrapText="1"/>
    </xf>
    <xf numFmtId="4" fontId="1" fillId="0" borderId="6" xfId="0" applyNumberFormat="1" applyFont="1" applyFill="1" applyBorder="1" applyAlignment="1">
      <alignment horizontal="center" vertical="center" wrapText="1"/>
    </xf>
    <xf numFmtId="4" fontId="0" fillId="0" borderId="47" xfId="0" applyNumberFormat="1" applyFill="1" applyBorder="1" applyAlignment="1">
      <alignment horizontal="center" vertical="center" wrapText="1"/>
    </xf>
    <xf numFmtId="9" fontId="0" fillId="0" borderId="49" xfId="0" applyNumberFormat="1" applyFill="1" applyBorder="1" applyAlignment="1">
      <alignment horizontal="center" vertical="center" wrapText="1"/>
    </xf>
    <xf numFmtId="4" fontId="0" fillId="0" borderId="45" xfId="0" applyNumberFormat="1" applyFill="1" applyBorder="1" applyAlignment="1">
      <alignment horizontal="center" vertical="center" wrapText="1"/>
    </xf>
    <xf numFmtId="4" fontId="0" fillId="0" borderId="4" xfId="0" applyNumberFormat="1" applyFont="1" applyBorder="1" applyAlignment="1">
      <alignment horizontal="center" vertical="center" wrapText="1"/>
    </xf>
  </cellXfs>
  <cellStyles count="2">
    <cellStyle name="Moeda 2" xfId="1" xr:uid="{0639285C-65C6-480A-ADE2-1BAD36326C5F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line Rodrigues Costa" id="{2458FDBF-8E7B-4793-8E98-593967D649D2}" userId="697b712e41710bc1" providerId="Windows Live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E2" dT="2024-08-25T19:02:03.38" personId="{2458FDBF-8E7B-4793-8E98-593967D649D2}" id="{B38B780F-6994-4EE6-8EC7-52D52CDE5B5B}">
    <text xml:space="preserve">O coeficiente de variação é considerado baixo quando apresentar percentual igual ou inferior a 25%, sendo nesse caso indicada a média como critério de definição do valor de mercado. Se ele for superior a 25%, o coeficiente indica a presença de valores extremos afetando a média, situação em que se recomenda
o uso da mediana como critério de definição do preço médio.
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6031-3BDA-45F9-8243-2FF88CEBD720}">
  <dimension ref="A1:AE13"/>
  <sheetViews>
    <sheetView showGridLines="0" zoomScale="55" zoomScaleNormal="55" workbookViewId="0">
      <pane ySplit="3" topLeftCell="A4" activePane="bottomLeft" state="frozen"/>
      <selection pane="bottomLeft" sqref="A1:F2"/>
    </sheetView>
  </sheetViews>
  <sheetFormatPr defaultRowHeight="14.4" x14ac:dyDescent="0.3"/>
  <cols>
    <col min="1" max="1" width="10.21875" style="1" bestFit="1" customWidth="1"/>
    <col min="2" max="2" width="8.6640625" style="1" customWidth="1"/>
    <col min="3" max="3" width="44.88671875" style="1" customWidth="1"/>
    <col min="4" max="4" width="68.77734375" style="1" customWidth="1"/>
    <col min="5" max="5" width="8" style="4" bestFit="1" customWidth="1"/>
    <col min="6" max="6" width="12.21875" style="1" customWidth="1"/>
    <col min="7" max="7" width="14.44140625" style="5" customWidth="1"/>
    <col min="8" max="8" width="21.109375" style="5" customWidth="1"/>
    <col min="9" max="10" width="18.33203125" style="5" customWidth="1"/>
    <col min="11" max="11" width="21.5546875" style="5" bestFit="1" customWidth="1"/>
    <col min="12" max="12" width="15.33203125" style="5" customWidth="1"/>
    <col min="13" max="13" width="11.88671875" style="5" customWidth="1"/>
    <col min="14" max="14" width="15.44140625" style="5" customWidth="1"/>
    <col min="15" max="15" width="12.88671875" style="5" customWidth="1"/>
    <col min="16" max="16" width="12.44140625" style="5" customWidth="1"/>
    <col min="17" max="18" width="15.109375" style="5" customWidth="1"/>
    <col min="19" max="23" width="12.88671875" style="5" customWidth="1"/>
    <col min="24" max="24" width="15.33203125" style="5" customWidth="1"/>
    <col min="25" max="25" width="12.88671875" style="5" customWidth="1"/>
    <col min="26" max="26" width="16.33203125" style="5" customWidth="1"/>
    <col min="27" max="27" width="9.77734375" style="5" bestFit="1" customWidth="1"/>
    <col min="28" max="28" width="13.109375" style="5" customWidth="1"/>
    <col min="29" max="29" width="11" style="5" customWidth="1"/>
    <col min="30" max="30" width="20.33203125" style="5" customWidth="1"/>
    <col min="31" max="31" width="16.77734375" style="5" customWidth="1"/>
    <col min="32" max="16384" width="8.88671875" style="1"/>
  </cols>
  <sheetData>
    <row r="1" spans="1:31" s="3" customFormat="1" ht="43.2" customHeight="1" thickBot="1" x14ac:dyDescent="0.35">
      <c r="A1" s="164" t="s">
        <v>22</v>
      </c>
      <c r="B1" s="164"/>
      <c r="C1" s="164"/>
      <c r="D1" s="164"/>
      <c r="E1" s="164"/>
      <c r="F1" s="165"/>
      <c r="G1" s="153" t="s">
        <v>23</v>
      </c>
      <c r="H1" s="155" t="s">
        <v>6</v>
      </c>
      <c r="I1" s="156"/>
      <c r="J1" s="157"/>
      <c r="K1" s="161" t="s">
        <v>14</v>
      </c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3"/>
      <c r="W1" s="158" t="s">
        <v>16</v>
      </c>
      <c r="X1" s="159"/>
      <c r="Y1" s="159"/>
      <c r="Z1" s="160"/>
      <c r="AA1" s="148" t="s">
        <v>0</v>
      </c>
      <c r="AB1" s="149"/>
      <c r="AC1" s="149"/>
      <c r="AD1" s="149"/>
      <c r="AE1" s="150"/>
    </row>
    <row r="2" spans="1:31" s="3" customFormat="1" ht="76.2" customHeight="1" x14ac:dyDescent="0.3">
      <c r="A2" s="164"/>
      <c r="B2" s="164"/>
      <c r="C2" s="164"/>
      <c r="D2" s="164"/>
      <c r="E2" s="164"/>
      <c r="F2" s="165"/>
      <c r="G2" s="154"/>
      <c r="H2" s="16" t="s">
        <v>25</v>
      </c>
      <c r="I2" s="17" t="s">
        <v>41</v>
      </c>
      <c r="J2" s="18" t="s">
        <v>42</v>
      </c>
      <c r="K2" s="19" t="s">
        <v>40</v>
      </c>
      <c r="L2" s="20" t="s">
        <v>10</v>
      </c>
      <c r="M2" s="20" t="s">
        <v>11</v>
      </c>
      <c r="N2" s="20" t="s">
        <v>12</v>
      </c>
      <c r="O2" s="20" t="s">
        <v>48</v>
      </c>
      <c r="P2" s="20" t="s">
        <v>13</v>
      </c>
      <c r="Q2" s="20" t="s">
        <v>24</v>
      </c>
      <c r="R2" s="20" t="s">
        <v>45</v>
      </c>
      <c r="S2" s="20" t="s">
        <v>43</v>
      </c>
      <c r="T2" s="20" t="s">
        <v>46</v>
      </c>
      <c r="U2" s="21" t="s">
        <v>47</v>
      </c>
      <c r="V2" s="21" t="s">
        <v>44</v>
      </c>
      <c r="W2" s="22" t="s">
        <v>49</v>
      </c>
      <c r="X2" s="31" t="s">
        <v>24</v>
      </c>
      <c r="Y2" s="31" t="s">
        <v>50</v>
      </c>
      <c r="Z2" s="23" t="s">
        <v>15</v>
      </c>
      <c r="AA2" s="28" t="s">
        <v>1</v>
      </c>
      <c r="AB2" s="24" t="s">
        <v>2</v>
      </c>
      <c r="AC2" s="151" t="s">
        <v>3</v>
      </c>
      <c r="AD2" s="151" t="s">
        <v>7</v>
      </c>
      <c r="AE2" s="146" t="s">
        <v>8</v>
      </c>
    </row>
    <row r="3" spans="1:31" ht="53.4" customHeight="1" thickBot="1" x14ac:dyDescent="0.35">
      <c r="A3" s="126" t="s">
        <v>64</v>
      </c>
      <c r="B3" s="121" t="s">
        <v>17</v>
      </c>
      <c r="C3" s="25" t="s">
        <v>33</v>
      </c>
      <c r="D3" s="25" t="s">
        <v>56</v>
      </c>
      <c r="E3" s="26" t="s">
        <v>9</v>
      </c>
      <c r="F3" s="27" t="s">
        <v>18</v>
      </c>
      <c r="G3" s="10" t="s">
        <v>35</v>
      </c>
      <c r="H3" s="11" t="s">
        <v>5</v>
      </c>
      <c r="I3" s="6" t="s">
        <v>5</v>
      </c>
      <c r="J3" s="12" t="s">
        <v>5</v>
      </c>
      <c r="K3" s="7" t="s">
        <v>5</v>
      </c>
      <c r="L3" s="8" t="s">
        <v>5</v>
      </c>
      <c r="M3" s="8" t="s">
        <v>5</v>
      </c>
      <c r="N3" s="8" t="s">
        <v>5</v>
      </c>
      <c r="O3" s="8" t="s">
        <v>5</v>
      </c>
      <c r="P3" s="8" t="s">
        <v>5</v>
      </c>
      <c r="Q3" s="8" t="s">
        <v>5</v>
      </c>
      <c r="R3" s="8" t="s">
        <v>5</v>
      </c>
      <c r="S3" s="8" t="s">
        <v>5</v>
      </c>
      <c r="T3" s="8" t="s">
        <v>5</v>
      </c>
      <c r="U3" s="13" t="s">
        <v>5</v>
      </c>
      <c r="V3" s="13" t="s">
        <v>5</v>
      </c>
      <c r="W3" s="14" t="s">
        <v>5</v>
      </c>
      <c r="X3" s="30" t="s">
        <v>5</v>
      </c>
      <c r="Y3" s="30" t="s">
        <v>5</v>
      </c>
      <c r="Z3" s="15" t="s">
        <v>5</v>
      </c>
      <c r="AA3" s="29" t="s">
        <v>5</v>
      </c>
      <c r="AB3" s="9" t="s">
        <v>5</v>
      </c>
      <c r="AC3" s="152"/>
      <c r="AD3" s="152"/>
      <c r="AE3" s="147"/>
    </row>
    <row r="4" spans="1:31" ht="57.6" x14ac:dyDescent="0.3">
      <c r="A4" s="144"/>
      <c r="B4" s="122">
        <v>1</v>
      </c>
      <c r="C4" s="32" t="s">
        <v>28</v>
      </c>
      <c r="D4" s="33" t="s">
        <v>29</v>
      </c>
      <c r="E4" s="34">
        <v>6</v>
      </c>
      <c r="F4" s="35">
        <v>449994</v>
      </c>
      <c r="G4" s="36">
        <v>415.99</v>
      </c>
      <c r="H4" s="37"/>
      <c r="I4" s="38"/>
      <c r="J4" s="39"/>
      <c r="K4" s="37"/>
      <c r="L4" s="38"/>
      <c r="M4" s="38"/>
      <c r="N4" s="38"/>
      <c r="O4" s="38"/>
      <c r="P4" s="38"/>
      <c r="Q4" s="38"/>
      <c r="R4" s="38">
        <v>625</v>
      </c>
      <c r="S4" s="38"/>
      <c r="T4" s="38"/>
      <c r="U4" s="40"/>
      <c r="V4" s="40">
        <v>350</v>
      </c>
      <c r="W4" s="41"/>
      <c r="X4" s="42"/>
      <c r="Y4" s="42"/>
      <c r="Z4" s="43">
        <f>320.65+23.42</f>
        <v>344.07</v>
      </c>
      <c r="AA4" s="37">
        <f>AVERAGE(G4,R4,V4,Z4)</f>
        <v>433.76499999999999</v>
      </c>
      <c r="AB4" s="38">
        <f>MEDIAN(G4,R4,V4,Z4)</f>
        <v>382.995</v>
      </c>
      <c r="AC4" s="38">
        <f>_xlfn.STDEV.S(G4,R4,V4,Z4)</f>
        <v>131.59096232897869</v>
      </c>
      <c r="AD4" s="38">
        <f>AA4+AC4</f>
        <v>565.35596232897865</v>
      </c>
      <c r="AE4" s="39">
        <f>AA4-AC4</f>
        <v>302.17403767102132</v>
      </c>
    </row>
    <row r="5" spans="1:31" ht="57.6" x14ac:dyDescent="0.3">
      <c r="A5" s="145"/>
      <c r="B5" s="123">
        <v>2</v>
      </c>
      <c r="C5" s="44" t="s">
        <v>27</v>
      </c>
      <c r="D5" s="45" t="s">
        <v>30</v>
      </c>
      <c r="E5" s="46">
        <v>6</v>
      </c>
      <c r="F5" s="47">
        <v>362948</v>
      </c>
      <c r="G5" s="48">
        <v>126.5</v>
      </c>
      <c r="H5" s="49"/>
      <c r="I5" s="50"/>
      <c r="J5" s="51"/>
      <c r="K5" s="49"/>
      <c r="L5" s="50"/>
      <c r="M5" s="50"/>
      <c r="N5" s="50"/>
      <c r="O5" s="50"/>
      <c r="P5" s="50"/>
      <c r="Q5" s="50"/>
      <c r="R5" s="50">
        <v>495</v>
      </c>
      <c r="S5" s="50"/>
      <c r="T5" s="50"/>
      <c r="U5" s="52"/>
      <c r="V5" s="52">
        <v>300</v>
      </c>
      <c r="W5" s="49"/>
      <c r="X5" s="50"/>
      <c r="Y5" s="50"/>
      <c r="Z5" s="51">
        <f>261.36+22.86</f>
        <v>284.22000000000003</v>
      </c>
      <c r="AA5" s="49">
        <f>AVERAGE(G5,R5,V5,Z5)</f>
        <v>301.43</v>
      </c>
      <c r="AB5" s="50">
        <f>MEDIAN(G5,R5,V5,Z5)</f>
        <v>292.11</v>
      </c>
      <c r="AC5" s="50">
        <f>_xlfn.STDEV.S(G5,R5,V5,Z5)</f>
        <v>150.96145070845077</v>
      </c>
      <c r="AD5" s="50">
        <f t="shared" ref="AD5:AD11" si="0">AA5+AC5</f>
        <v>452.39145070845075</v>
      </c>
      <c r="AE5" s="51">
        <f t="shared" ref="AE5:AE11" si="1">AA5-AC5</f>
        <v>150.46854929154924</v>
      </c>
    </row>
    <row r="6" spans="1:31" ht="85.8" customHeight="1" x14ac:dyDescent="0.3">
      <c r="A6" s="145"/>
      <c r="B6" s="123">
        <v>3</v>
      </c>
      <c r="C6" s="44" t="s">
        <v>31</v>
      </c>
      <c r="D6" s="53" t="s">
        <v>32</v>
      </c>
      <c r="E6" s="46">
        <v>6</v>
      </c>
      <c r="F6" s="47">
        <v>271195</v>
      </c>
      <c r="G6" s="54">
        <v>430</v>
      </c>
      <c r="H6" s="49"/>
      <c r="I6" s="50"/>
      <c r="J6" s="51"/>
      <c r="K6" s="49"/>
      <c r="L6" s="50"/>
      <c r="M6" s="50"/>
      <c r="N6" s="50"/>
      <c r="O6" s="50"/>
      <c r="P6" s="50"/>
      <c r="Q6" s="50"/>
      <c r="R6" s="50"/>
      <c r="S6" s="50"/>
      <c r="T6" s="50"/>
      <c r="U6" s="52"/>
      <c r="V6" s="52">
        <v>1800</v>
      </c>
      <c r="W6" s="49">
        <v>1144</v>
      </c>
      <c r="X6" s="50">
        <f>770+56.91</f>
        <v>826.91</v>
      </c>
      <c r="Y6" s="50">
        <f>790+73.47</f>
        <v>863.47</v>
      </c>
      <c r="Z6" s="51"/>
      <c r="AA6" s="49">
        <f>AVERAGE(G6,X6,V6,W6,Y6)</f>
        <v>1012.876</v>
      </c>
      <c r="AB6" s="50">
        <f>MEDIAN(G6,X6,V6,W6,Y6)</f>
        <v>863.47</v>
      </c>
      <c r="AC6" s="50">
        <f>_xlfn.STDEV.S(G6,X6,V6,W6,Y6)</f>
        <v>508.28329505306368</v>
      </c>
      <c r="AD6" s="50">
        <f t="shared" si="0"/>
        <v>1521.1592950530637</v>
      </c>
      <c r="AE6" s="51">
        <f t="shared" si="1"/>
        <v>504.59270494693629</v>
      </c>
    </row>
    <row r="7" spans="1:31" ht="100.8" x14ac:dyDescent="0.3">
      <c r="A7" s="145"/>
      <c r="B7" s="123">
        <v>4</v>
      </c>
      <c r="C7" s="44" t="s">
        <v>34</v>
      </c>
      <c r="D7" s="53" t="s">
        <v>19</v>
      </c>
      <c r="E7" s="46">
        <v>50</v>
      </c>
      <c r="F7" s="47" t="s">
        <v>26</v>
      </c>
      <c r="G7" s="48">
        <v>40</v>
      </c>
      <c r="H7" s="49">
        <v>25</v>
      </c>
      <c r="I7" s="50"/>
      <c r="J7" s="51"/>
      <c r="K7" s="49"/>
      <c r="L7" s="50"/>
      <c r="M7" s="50"/>
      <c r="N7" s="50"/>
      <c r="O7" s="50"/>
      <c r="P7" s="50">
        <v>65</v>
      </c>
      <c r="Q7" s="50">
        <v>24.9</v>
      </c>
      <c r="R7" s="50">
        <v>70</v>
      </c>
      <c r="S7" s="50"/>
      <c r="T7" s="50"/>
      <c r="U7" s="52"/>
      <c r="V7" s="52">
        <v>120</v>
      </c>
      <c r="W7" s="49"/>
      <c r="X7" s="50"/>
      <c r="Y7" s="50"/>
      <c r="Z7" s="51"/>
      <c r="AA7" s="49">
        <f>AVERAGE(G7,R7,V7,Q7,P7,H7)</f>
        <v>57.483333333333327</v>
      </c>
      <c r="AB7" s="50">
        <f>MEDIAN(G7,R7,V7,Q7,P7,H7)</f>
        <v>52.5</v>
      </c>
      <c r="AC7" s="50">
        <f>_xlfn.STDEV.S(G7,R7,V7,Q7,P7,H7)</f>
        <v>36.177364009372866</v>
      </c>
      <c r="AD7" s="50">
        <f t="shared" si="0"/>
        <v>93.660697342706186</v>
      </c>
      <c r="AE7" s="51">
        <f t="shared" si="1"/>
        <v>21.305969323960461</v>
      </c>
    </row>
    <row r="8" spans="1:31" ht="87" thickBot="1" x14ac:dyDescent="0.35">
      <c r="A8" s="145"/>
      <c r="B8" s="124">
        <v>5</v>
      </c>
      <c r="C8" s="92" t="s">
        <v>38</v>
      </c>
      <c r="D8" s="93" t="s">
        <v>39</v>
      </c>
      <c r="E8" s="94">
        <v>2</v>
      </c>
      <c r="F8" s="98">
        <v>233592</v>
      </c>
      <c r="G8" s="99">
        <v>2650</v>
      </c>
      <c r="H8" s="100"/>
      <c r="I8" s="101"/>
      <c r="J8" s="96"/>
      <c r="K8" s="100"/>
      <c r="L8" s="101">
        <v>7200</v>
      </c>
      <c r="M8" s="101"/>
      <c r="N8" s="101"/>
      <c r="O8" s="101"/>
      <c r="P8" s="101"/>
      <c r="Q8" s="101"/>
      <c r="R8" s="101"/>
      <c r="S8" s="101">
        <v>5118</v>
      </c>
      <c r="T8" s="101"/>
      <c r="U8" s="102"/>
      <c r="V8" s="102"/>
      <c r="W8" s="100"/>
      <c r="X8" s="101"/>
      <c r="Y8" s="101"/>
      <c r="Z8" s="96"/>
      <c r="AA8" s="100">
        <f>AVERAGE(G8,L8,S8)</f>
        <v>4989.333333333333</v>
      </c>
      <c r="AB8" s="101">
        <f>MEDIAN(G8,L8,S8)</f>
        <v>5118</v>
      </c>
      <c r="AC8" s="101">
        <f>_xlfn.STDEV.S(G8,L8,S8)</f>
        <v>2277.7272297914287</v>
      </c>
      <c r="AD8" s="101">
        <f t="shared" si="0"/>
        <v>7267.0605631247618</v>
      </c>
      <c r="AE8" s="96">
        <f t="shared" si="1"/>
        <v>2711.6061035419043</v>
      </c>
    </row>
    <row r="9" spans="1:31" ht="166.8" customHeight="1" x14ac:dyDescent="0.3">
      <c r="A9" s="141" t="s">
        <v>63</v>
      </c>
      <c r="B9" s="122">
        <v>6</v>
      </c>
      <c r="C9" s="32" t="s">
        <v>37</v>
      </c>
      <c r="D9" s="114" t="s">
        <v>62</v>
      </c>
      <c r="E9" s="34">
        <v>1</v>
      </c>
      <c r="F9" s="35">
        <v>600917</v>
      </c>
      <c r="G9" s="36">
        <v>2280</v>
      </c>
      <c r="H9" s="37"/>
      <c r="I9" s="38"/>
      <c r="J9" s="39"/>
      <c r="K9" s="37">
        <v>1347</v>
      </c>
      <c r="L9" s="38">
        <v>2138.4</v>
      </c>
      <c r="M9" s="38">
        <v>2296.8000000000002</v>
      </c>
      <c r="N9" s="38">
        <v>2060</v>
      </c>
      <c r="O9" s="38">
        <v>2956.8</v>
      </c>
      <c r="P9" s="38"/>
      <c r="Q9" s="38"/>
      <c r="R9" s="38"/>
      <c r="S9" s="38"/>
      <c r="T9" s="38"/>
      <c r="U9" s="40"/>
      <c r="V9" s="40"/>
      <c r="W9" s="37"/>
      <c r="X9" s="38"/>
      <c r="Y9" s="38"/>
      <c r="Z9" s="39"/>
      <c r="AA9" s="37">
        <f>AVERAGE(G9,K9,L9,M9,N9,O9)</f>
        <v>2179.8333333333335</v>
      </c>
      <c r="AB9" s="38">
        <f>MEDIAN(G9,K9,L9,M9,N9,O9)</f>
        <v>2209.1999999999998</v>
      </c>
      <c r="AC9" s="38">
        <f>_xlfn.STDEV.S(G9,K9,L9,M9,N9,O9)</f>
        <v>517.12278490380425</v>
      </c>
      <c r="AD9" s="38">
        <f t="shared" si="0"/>
        <v>2696.9561182371376</v>
      </c>
      <c r="AE9" s="39">
        <f t="shared" si="1"/>
        <v>1662.7105484295294</v>
      </c>
    </row>
    <row r="10" spans="1:31" ht="151.19999999999999" customHeight="1" x14ac:dyDescent="0.3">
      <c r="A10" s="142"/>
      <c r="B10" s="123">
        <v>7</v>
      </c>
      <c r="C10" s="44" t="s">
        <v>36</v>
      </c>
      <c r="D10" s="53" t="s">
        <v>61</v>
      </c>
      <c r="E10" s="46">
        <v>1</v>
      </c>
      <c r="F10" s="47">
        <v>600917</v>
      </c>
      <c r="G10" s="48">
        <v>589</v>
      </c>
      <c r="H10" s="49"/>
      <c r="I10" s="50"/>
      <c r="J10" s="51"/>
      <c r="K10" s="49">
        <v>489</v>
      </c>
      <c r="L10" s="50">
        <v>777.6</v>
      </c>
      <c r="M10" s="50">
        <v>835.2</v>
      </c>
      <c r="N10" s="50">
        <v>750</v>
      </c>
      <c r="O10" s="50">
        <v>1075.2</v>
      </c>
      <c r="P10" s="50"/>
      <c r="Q10" s="50"/>
      <c r="R10" s="50"/>
      <c r="S10" s="50"/>
      <c r="T10" s="50"/>
      <c r="U10" s="52"/>
      <c r="V10" s="52"/>
      <c r="W10" s="49"/>
      <c r="X10" s="50"/>
      <c r="Y10" s="50"/>
      <c r="Z10" s="51"/>
      <c r="AA10" s="49">
        <f>AVERAGE(G10,K10,L10,M10,N10,O10)</f>
        <v>752.66666666666663</v>
      </c>
      <c r="AB10" s="50">
        <f>MEDIAN(G10,K10,L10,M10,N10,O10)</f>
        <v>763.8</v>
      </c>
      <c r="AC10" s="50">
        <f>_xlfn.STDEV.S(G10,K10,L10,M10,N10,O10)</f>
        <v>203.85052039832192</v>
      </c>
      <c r="AD10" s="50">
        <f>AA10+AC10</f>
        <v>956.51718706498855</v>
      </c>
      <c r="AE10" s="51">
        <f t="shared" si="1"/>
        <v>548.81614626834471</v>
      </c>
    </row>
    <row r="11" spans="1:31" ht="156" customHeight="1" x14ac:dyDescent="0.3">
      <c r="A11" s="142"/>
      <c r="B11" s="123">
        <v>8</v>
      </c>
      <c r="C11" s="44" t="s">
        <v>58</v>
      </c>
      <c r="D11" s="53" t="s">
        <v>60</v>
      </c>
      <c r="E11" s="46">
        <v>1</v>
      </c>
      <c r="F11" s="47">
        <v>600917</v>
      </c>
      <c r="G11" s="48">
        <v>266</v>
      </c>
      <c r="H11" s="49"/>
      <c r="I11" s="50"/>
      <c r="J11" s="51"/>
      <c r="K11" s="49">
        <v>236</v>
      </c>
      <c r="L11" s="50">
        <v>374.22</v>
      </c>
      <c r="M11" s="50">
        <v>401.94</v>
      </c>
      <c r="N11" s="50">
        <v>350</v>
      </c>
      <c r="O11" s="50">
        <v>591.29999999999995</v>
      </c>
      <c r="P11" s="50"/>
      <c r="Q11" s="50"/>
      <c r="R11" s="50"/>
      <c r="S11" s="50"/>
      <c r="T11" s="50"/>
      <c r="U11" s="52"/>
      <c r="V11" s="52"/>
      <c r="W11" s="49"/>
      <c r="X11" s="50"/>
      <c r="Y11" s="50"/>
      <c r="Z11" s="51"/>
      <c r="AA11" s="49">
        <f>AVERAGE(G11,K11,L11,M11,N11,O11)</f>
        <v>369.91</v>
      </c>
      <c r="AB11" s="50">
        <f>MEDIAN(G11,K11,L11,M11,N11,O11)</f>
        <v>362.11</v>
      </c>
      <c r="AC11" s="50">
        <f>_xlfn.STDEV.S(G11,K11,L11,M11,N11,O11)</f>
        <v>125.84404109849604</v>
      </c>
      <c r="AD11" s="50">
        <f t="shared" si="0"/>
        <v>495.75404109849603</v>
      </c>
      <c r="AE11" s="51">
        <f t="shared" si="1"/>
        <v>244.06595890150399</v>
      </c>
    </row>
    <row r="12" spans="1:31" s="192" customFormat="1" ht="191.4" customHeight="1" thickBot="1" x14ac:dyDescent="0.35">
      <c r="A12" s="143"/>
      <c r="B12" s="182">
        <v>9</v>
      </c>
      <c r="C12" s="183" t="s">
        <v>57</v>
      </c>
      <c r="D12" s="184" t="s">
        <v>59</v>
      </c>
      <c r="E12" s="185">
        <v>1</v>
      </c>
      <c r="F12" s="186">
        <v>600917</v>
      </c>
      <c r="G12" s="187">
        <v>550</v>
      </c>
      <c r="H12" s="188"/>
      <c r="I12" s="189"/>
      <c r="J12" s="190"/>
      <c r="K12" s="188"/>
      <c r="L12" s="189">
        <v>819.36</v>
      </c>
      <c r="M12" s="189">
        <v>676.8</v>
      </c>
      <c r="N12" s="189">
        <v>590.4</v>
      </c>
      <c r="O12" s="189">
        <v>810</v>
      </c>
      <c r="P12" s="189"/>
      <c r="Q12" s="189"/>
      <c r="R12" s="189"/>
      <c r="S12" s="189"/>
      <c r="T12" s="189"/>
      <c r="U12" s="191"/>
      <c r="V12" s="191"/>
      <c r="W12" s="188"/>
      <c r="X12" s="189"/>
      <c r="Y12" s="189"/>
      <c r="Z12" s="190"/>
      <c r="AA12" s="188">
        <f>AVERAGE(G12,L12,M12,N12,O12)</f>
        <v>689.31200000000001</v>
      </c>
      <c r="AB12" s="189">
        <f>MEDIAN(G12,L12,M12,N12,O12)</f>
        <v>676.8</v>
      </c>
      <c r="AC12" s="189">
        <f>_xlfn.STDEV.S(G12,L12,M12,N12,O12)</f>
        <v>123.3146816887588</v>
      </c>
      <c r="AD12" s="189">
        <f t="shared" ref="AD12" si="2">AA12+AC12</f>
        <v>812.62668168875882</v>
      </c>
      <c r="AE12" s="190">
        <f t="shared" ref="AE12" si="3">AA12-AC12</f>
        <v>565.9973183112412</v>
      </c>
    </row>
    <row r="13" spans="1:31" ht="130.19999999999999" thickBot="1" x14ac:dyDescent="0.35">
      <c r="A13" s="104"/>
      <c r="B13" s="125">
        <v>10</v>
      </c>
      <c r="C13" s="105" t="s">
        <v>20</v>
      </c>
      <c r="D13" s="106" t="s">
        <v>21</v>
      </c>
      <c r="E13" s="107">
        <v>1000</v>
      </c>
      <c r="F13" s="108">
        <v>376001</v>
      </c>
      <c r="G13" s="109">
        <v>2.62</v>
      </c>
      <c r="H13" s="110"/>
      <c r="I13" s="111">
        <v>1.7</v>
      </c>
      <c r="J13" s="112">
        <v>5.42</v>
      </c>
      <c r="K13" s="110"/>
      <c r="L13" s="111"/>
      <c r="M13" s="111"/>
      <c r="N13" s="111"/>
      <c r="O13" s="111"/>
      <c r="P13" s="111"/>
      <c r="Q13" s="111"/>
      <c r="R13" s="111"/>
      <c r="S13" s="111"/>
      <c r="T13" s="111">
        <v>1.96</v>
      </c>
      <c r="U13" s="113">
        <v>3.35</v>
      </c>
      <c r="V13" s="113"/>
      <c r="W13" s="110"/>
      <c r="X13" s="111"/>
      <c r="Y13" s="111"/>
      <c r="Z13" s="112"/>
      <c r="AA13" s="110">
        <f>AVERAGE(G13,I13,J13,T13,U13)</f>
        <v>3.01</v>
      </c>
      <c r="AB13" s="111">
        <f>MEDIAN(G13,I13,J13,T13,U13)</f>
        <v>2.62</v>
      </c>
      <c r="AC13" s="111">
        <f>_xlfn.STDEV.S(G13,I13,J13,T13,U13)</f>
        <v>1.4911740341086961</v>
      </c>
      <c r="AD13" s="111">
        <f>AA13+AC13</f>
        <v>4.5011740341086961</v>
      </c>
      <c r="AE13" s="112">
        <f>AA13-AC13</f>
        <v>1.5188259658913037</v>
      </c>
    </row>
  </sheetData>
  <mergeCells count="11">
    <mergeCell ref="A9:A12"/>
    <mergeCell ref="A4:A8"/>
    <mergeCell ref="AE2:AE3"/>
    <mergeCell ref="AA1:AE1"/>
    <mergeCell ref="AC2:AC3"/>
    <mergeCell ref="AD2:AD3"/>
    <mergeCell ref="G1:G2"/>
    <mergeCell ref="H1:J1"/>
    <mergeCell ref="W1:Z1"/>
    <mergeCell ref="K1:V1"/>
    <mergeCell ref="A1:F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1DDBB-C0B9-48E6-8890-B559B03F0083}">
  <dimension ref="A1:AF13"/>
  <sheetViews>
    <sheetView showGridLines="0" zoomScale="55" zoomScaleNormal="55" workbookViewId="0">
      <pane ySplit="3" topLeftCell="A4" activePane="bottomLeft" state="frozen"/>
      <selection activeCell="F1" sqref="F1"/>
      <selection pane="bottomLeft" sqref="A1:F2"/>
    </sheetView>
  </sheetViews>
  <sheetFormatPr defaultRowHeight="14.4" x14ac:dyDescent="0.3"/>
  <cols>
    <col min="1" max="1" width="8.88671875" style="1"/>
    <col min="2" max="2" width="8.6640625" style="1" customWidth="1"/>
    <col min="3" max="3" width="44.88671875" style="1" customWidth="1"/>
    <col min="4" max="4" width="68.77734375" style="1" customWidth="1"/>
    <col min="5" max="5" width="8" style="4" bestFit="1" customWidth="1"/>
    <col min="6" max="6" width="12.21875" style="1" customWidth="1"/>
    <col min="7" max="7" width="14.44140625" style="5" customWidth="1"/>
    <col min="8" max="8" width="21.109375" style="5" customWidth="1"/>
    <col min="9" max="10" width="18.33203125" style="5" customWidth="1"/>
    <col min="11" max="11" width="21.5546875" style="5" bestFit="1" customWidth="1"/>
    <col min="12" max="12" width="15.33203125" style="5" customWidth="1"/>
    <col min="13" max="13" width="11.88671875" style="5" customWidth="1"/>
    <col min="14" max="14" width="15.44140625" style="5" customWidth="1"/>
    <col min="15" max="15" width="12.88671875" style="5" customWidth="1"/>
    <col min="16" max="16" width="12.44140625" style="5" customWidth="1"/>
    <col min="17" max="18" width="15.109375" style="5" customWidth="1"/>
    <col min="19" max="23" width="12.88671875" style="5" customWidth="1"/>
    <col min="24" max="24" width="15.33203125" style="5" customWidth="1"/>
    <col min="25" max="25" width="12.88671875" style="5" customWidth="1"/>
    <col min="26" max="26" width="16.33203125" style="5" customWidth="1"/>
    <col min="27" max="27" width="16.33203125" style="4" customWidth="1"/>
    <col min="28" max="28" width="11.5546875" style="5" customWidth="1"/>
    <col min="29" max="29" width="13.109375" style="5" customWidth="1"/>
    <col min="30" max="30" width="11" style="5" customWidth="1"/>
    <col min="31" max="31" width="20.33203125" style="65" customWidth="1"/>
    <col min="32" max="16384" width="8.88671875" style="1"/>
  </cols>
  <sheetData>
    <row r="1" spans="1:32" s="3" customFormat="1" ht="43.2" customHeight="1" thickBot="1" x14ac:dyDescent="0.35">
      <c r="A1" s="164" t="s">
        <v>22</v>
      </c>
      <c r="B1" s="164"/>
      <c r="C1" s="164"/>
      <c r="D1" s="164"/>
      <c r="E1" s="164"/>
      <c r="F1" s="165"/>
      <c r="G1" s="153" t="s">
        <v>23</v>
      </c>
      <c r="H1" s="155" t="s">
        <v>6</v>
      </c>
      <c r="I1" s="156"/>
      <c r="J1" s="157"/>
      <c r="K1" s="161" t="s">
        <v>14</v>
      </c>
      <c r="L1" s="162"/>
      <c r="M1" s="162"/>
      <c r="N1" s="162"/>
      <c r="O1" s="162"/>
      <c r="P1" s="162"/>
      <c r="Q1" s="162"/>
      <c r="R1" s="162"/>
      <c r="S1" s="162"/>
      <c r="T1" s="162"/>
      <c r="U1" s="162"/>
      <c r="V1" s="163"/>
      <c r="W1" s="158" t="s">
        <v>16</v>
      </c>
      <c r="X1" s="159"/>
      <c r="Y1" s="159"/>
      <c r="Z1" s="160"/>
      <c r="AA1" s="177" t="s">
        <v>54</v>
      </c>
      <c r="AB1" s="171" t="s">
        <v>0</v>
      </c>
      <c r="AC1" s="172"/>
      <c r="AD1" s="172"/>
      <c r="AE1" s="173"/>
    </row>
    <row r="2" spans="1:32" s="3" customFormat="1" ht="76.2" customHeight="1" x14ac:dyDescent="0.3">
      <c r="A2" s="164"/>
      <c r="B2" s="164"/>
      <c r="C2" s="164"/>
      <c r="D2" s="164"/>
      <c r="E2" s="164"/>
      <c r="F2" s="165"/>
      <c r="G2" s="154"/>
      <c r="H2" s="16" t="s">
        <v>25</v>
      </c>
      <c r="I2" s="17" t="s">
        <v>41</v>
      </c>
      <c r="J2" s="18" t="s">
        <v>42</v>
      </c>
      <c r="K2" s="19" t="s">
        <v>40</v>
      </c>
      <c r="L2" s="20" t="s">
        <v>10</v>
      </c>
      <c r="M2" s="20" t="s">
        <v>11</v>
      </c>
      <c r="N2" s="20" t="s">
        <v>12</v>
      </c>
      <c r="O2" s="20" t="s">
        <v>48</v>
      </c>
      <c r="P2" s="20" t="s">
        <v>13</v>
      </c>
      <c r="Q2" s="20" t="s">
        <v>24</v>
      </c>
      <c r="R2" s="20" t="s">
        <v>45</v>
      </c>
      <c r="S2" s="20" t="s">
        <v>43</v>
      </c>
      <c r="T2" s="20" t="s">
        <v>46</v>
      </c>
      <c r="U2" s="21" t="s">
        <v>47</v>
      </c>
      <c r="V2" s="21" t="s">
        <v>44</v>
      </c>
      <c r="W2" s="22" t="s">
        <v>49</v>
      </c>
      <c r="X2" s="31" t="s">
        <v>24</v>
      </c>
      <c r="Y2" s="31" t="s">
        <v>50</v>
      </c>
      <c r="Z2" s="23" t="s">
        <v>15</v>
      </c>
      <c r="AA2" s="178"/>
      <c r="AB2" s="67" t="s">
        <v>1</v>
      </c>
      <c r="AC2" s="68" t="s">
        <v>2</v>
      </c>
      <c r="AD2" s="174" t="s">
        <v>3</v>
      </c>
      <c r="AE2" s="175" t="s">
        <v>52</v>
      </c>
      <c r="AF2" s="1" t="s">
        <v>51</v>
      </c>
    </row>
    <row r="3" spans="1:32" ht="53.4" customHeight="1" thickBot="1" x14ac:dyDescent="0.35">
      <c r="A3" s="137" t="s">
        <v>64</v>
      </c>
      <c r="B3" s="25" t="s">
        <v>17</v>
      </c>
      <c r="C3" s="25" t="s">
        <v>33</v>
      </c>
      <c r="D3" s="25" t="s">
        <v>56</v>
      </c>
      <c r="E3" s="26" t="s">
        <v>9</v>
      </c>
      <c r="F3" s="27" t="s">
        <v>18</v>
      </c>
      <c r="G3" s="10" t="s">
        <v>35</v>
      </c>
      <c r="H3" s="11" t="s">
        <v>5</v>
      </c>
      <c r="I3" s="6" t="s">
        <v>5</v>
      </c>
      <c r="J3" s="12" t="s">
        <v>5</v>
      </c>
      <c r="K3" s="7" t="s">
        <v>5</v>
      </c>
      <c r="L3" s="8" t="s">
        <v>5</v>
      </c>
      <c r="M3" s="8" t="s">
        <v>5</v>
      </c>
      <c r="N3" s="8" t="s">
        <v>5</v>
      </c>
      <c r="O3" s="8" t="s">
        <v>5</v>
      </c>
      <c r="P3" s="8" t="s">
        <v>5</v>
      </c>
      <c r="Q3" s="8" t="s">
        <v>5</v>
      </c>
      <c r="R3" s="8" t="s">
        <v>5</v>
      </c>
      <c r="S3" s="8" t="s">
        <v>5</v>
      </c>
      <c r="T3" s="8" t="s">
        <v>5</v>
      </c>
      <c r="U3" s="13" t="s">
        <v>5</v>
      </c>
      <c r="V3" s="13" t="s">
        <v>5</v>
      </c>
      <c r="W3" s="14" t="s">
        <v>5</v>
      </c>
      <c r="X3" s="30" t="s">
        <v>5</v>
      </c>
      <c r="Y3" s="30" t="s">
        <v>5</v>
      </c>
      <c r="Z3" s="15" t="s">
        <v>5</v>
      </c>
      <c r="AA3" s="62" t="s">
        <v>53</v>
      </c>
      <c r="AB3" s="29" t="s">
        <v>5</v>
      </c>
      <c r="AC3" s="9" t="s">
        <v>5</v>
      </c>
      <c r="AD3" s="152"/>
      <c r="AE3" s="176"/>
    </row>
    <row r="4" spans="1:32" ht="57.6" x14ac:dyDescent="0.3">
      <c r="A4" s="166"/>
      <c r="B4" s="32">
        <v>1</v>
      </c>
      <c r="C4" s="32" t="s">
        <v>28</v>
      </c>
      <c r="D4" s="33" t="s">
        <v>29</v>
      </c>
      <c r="E4" s="34">
        <v>6</v>
      </c>
      <c r="F4" s="35">
        <v>449994</v>
      </c>
      <c r="G4" s="36">
        <v>415.99</v>
      </c>
      <c r="H4" s="37"/>
      <c r="I4" s="38"/>
      <c r="J4" s="39"/>
      <c r="K4" s="37"/>
      <c r="L4" s="38"/>
      <c r="M4" s="38"/>
      <c r="N4" s="38"/>
      <c r="O4" s="38"/>
      <c r="P4" s="38"/>
      <c r="Q4" s="38"/>
      <c r="R4" s="58">
        <v>625</v>
      </c>
      <c r="S4" s="38"/>
      <c r="T4" s="38"/>
      <c r="U4" s="40"/>
      <c r="V4" s="40">
        <v>350</v>
      </c>
      <c r="W4" s="41"/>
      <c r="X4" s="42"/>
      <c r="Y4" s="42"/>
      <c r="Z4" s="43">
        <f>320.65+23.42</f>
        <v>344.07</v>
      </c>
      <c r="AA4" s="63">
        <f>COUNTA(Z4,V4,G4)</f>
        <v>3</v>
      </c>
      <c r="AB4" s="130">
        <f>AVERAGE(G4,V4,Z4)</f>
        <v>370.02</v>
      </c>
      <c r="AC4" s="199">
        <f>MEDIAN(G4,V4,Z4)</f>
        <v>350</v>
      </c>
      <c r="AD4" s="38">
        <f>_xlfn.STDEV.S(G4,V4,Z4)</f>
        <v>39.921446617075397</v>
      </c>
      <c r="AE4" s="69">
        <f>AD4/AB4</f>
        <v>0.1078899697775131</v>
      </c>
    </row>
    <row r="5" spans="1:32" ht="57.6" x14ac:dyDescent="0.3">
      <c r="A5" s="167"/>
      <c r="B5" s="44">
        <v>2</v>
      </c>
      <c r="C5" s="44" t="s">
        <v>27</v>
      </c>
      <c r="D5" s="45" t="s">
        <v>30</v>
      </c>
      <c r="E5" s="46">
        <v>6</v>
      </c>
      <c r="F5" s="47">
        <v>362948</v>
      </c>
      <c r="G5" s="48">
        <v>126.5</v>
      </c>
      <c r="H5" s="49"/>
      <c r="I5" s="50"/>
      <c r="J5" s="51"/>
      <c r="K5" s="49"/>
      <c r="L5" s="50"/>
      <c r="M5" s="50"/>
      <c r="N5" s="50"/>
      <c r="O5" s="50"/>
      <c r="P5" s="50"/>
      <c r="Q5" s="50"/>
      <c r="R5" s="59">
        <v>495</v>
      </c>
      <c r="S5" s="50"/>
      <c r="T5" s="50"/>
      <c r="U5" s="52"/>
      <c r="V5" s="52">
        <v>300</v>
      </c>
      <c r="W5" s="49"/>
      <c r="X5" s="50"/>
      <c r="Y5" s="50"/>
      <c r="Z5" s="51">
        <f>261.36+22.86</f>
        <v>284.22000000000003</v>
      </c>
      <c r="AA5" s="64">
        <f>COUNTA(Z5,V5,G5)</f>
        <v>3</v>
      </c>
      <c r="AB5" s="49">
        <f>AVERAGE(G5,V5,Z5)</f>
        <v>236.90666666666667</v>
      </c>
      <c r="AC5" s="72">
        <f>MEDIAN(G5,V5,Z5)</f>
        <v>284.22000000000003</v>
      </c>
      <c r="AD5" s="50">
        <f>_xlfn.STDEV.S(G5,V5,Z5)</f>
        <v>95.939961086782517</v>
      </c>
      <c r="AE5" s="70">
        <f t="shared" ref="AE5:AE13" si="0">AD5/AB5</f>
        <v>0.40496944402907975</v>
      </c>
    </row>
    <row r="6" spans="1:32" ht="85.8" customHeight="1" x14ac:dyDescent="0.3">
      <c r="A6" s="167"/>
      <c r="B6" s="44">
        <v>3</v>
      </c>
      <c r="C6" s="44" t="s">
        <v>31</v>
      </c>
      <c r="D6" s="53" t="s">
        <v>32</v>
      </c>
      <c r="E6" s="46">
        <v>6</v>
      </c>
      <c r="F6" s="47">
        <v>271195</v>
      </c>
      <c r="G6" s="54">
        <v>430</v>
      </c>
      <c r="H6" s="49"/>
      <c r="I6" s="50"/>
      <c r="J6" s="51"/>
      <c r="K6" s="49"/>
      <c r="L6" s="50"/>
      <c r="M6" s="50"/>
      <c r="N6" s="50"/>
      <c r="O6" s="50"/>
      <c r="P6" s="50"/>
      <c r="Q6" s="50"/>
      <c r="R6" s="50"/>
      <c r="S6" s="50"/>
      <c r="T6" s="50"/>
      <c r="U6" s="52"/>
      <c r="V6" s="60">
        <v>1800</v>
      </c>
      <c r="W6" s="49">
        <v>1144</v>
      </c>
      <c r="X6" s="50">
        <f>770+56.91</f>
        <v>826.91</v>
      </c>
      <c r="Y6" s="50">
        <f>790+73.47</f>
        <v>863.47</v>
      </c>
      <c r="Z6" s="51"/>
      <c r="AA6" s="64">
        <f>COUNTA(G6,X6,W6,Y6)</f>
        <v>4</v>
      </c>
      <c r="AB6" s="49">
        <f>AVERAGE(G6,X6,W6,Y6)</f>
        <v>816.09500000000003</v>
      </c>
      <c r="AC6" s="72">
        <f>MEDIAN(G6,X6,W6,Y6)</f>
        <v>845.19</v>
      </c>
      <c r="AD6" s="50">
        <f>_xlfn.STDEV.S(G6,X6,W6,Y6)</f>
        <v>293.79833951198532</v>
      </c>
      <c r="AE6" s="66">
        <f t="shared" si="0"/>
        <v>0.36000507234082468</v>
      </c>
    </row>
    <row r="7" spans="1:32" ht="100.8" x14ac:dyDescent="0.3">
      <c r="A7" s="167"/>
      <c r="B7" s="44">
        <v>4</v>
      </c>
      <c r="C7" s="44" t="s">
        <v>34</v>
      </c>
      <c r="D7" s="53" t="s">
        <v>19</v>
      </c>
      <c r="E7" s="46">
        <v>50</v>
      </c>
      <c r="F7" s="47" t="s">
        <v>26</v>
      </c>
      <c r="G7" s="48">
        <v>40</v>
      </c>
      <c r="H7" s="49">
        <v>25</v>
      </c>
      <c r="I7" s="50"/>
      <c r="J7" s="51"/>
      <c r="K7" s="49"/>
      <c r="L7" s="50"/>
      <c r="M7" s="50"/>
      <c r="N7" s="50"/>
      <c r="O7" s="50"/>
      <c r="P7" s="50">
        <v>65</v>
      </c>
      <c r="Q7" s="50">
        <v>24.9</v>
      </c>
      <c r="R7" s="50">
        <v>70</v>
      </c>
      <c r="S7" s="50"/>
      <c r="T7" s="50"/>
      <c r="U7" s="52"/>
      <c r="V7" s="60">
        <v>120</v>
      </c>
      <c r="W7" s="49"/>
      <c r="X7" s="50"/>
      <c r="Y7" s="50"/>
      <c r="Z7" s="51"/>
      <c r="AA7" s="64">
        <f>COUNTA(G7,R7,Q7,P7,H7)</f>
        <v>5</v>
      </c>
      <c r="AB7" s="49">
        <f>AVERAGE(G7,R7,Q7,P7,H7)</f>
        <v>44.980000000000004</v>
      </c>
      <c r="AC7" s="72">
        <f>MEDIAN(G7,R7,Q7,P7,H7)</f>
        <v>40</v>
      </c>
      <c r="AD7" s="50">
        <f>_xlfn.STDEV.S(G7,R7,Q7,P7,H7)</f>
        <v>21.529096590428498</v>
      </c>
      <c r="AE7" s="70">
        <f>AD7/AB7</f>
        <v>0.47863709627453305</v>
      </c>
    </row>
    <row r="8" spans="1:32" ht="87" thickBot="1" x14ac:dyDescent="0.35">
      <c r="A8" s="167"/>
      <c r="B8" s="92">
        <v>5</v>
      </c>
      <c r="C8" s="92" t="s">
        <v>38</v>
      </c>
      <c r="D8" s="93" t="s">
        <v>39</v>
      </c>
      <c r="E8" s="94">
        <v>2</v>
      </c>
      <c r="F8" s="98">
        <v>233592</v>
      </c>
      <c r="G8" s="99">
        <v>2650</v>
      </c>
      <c r="H8" s="100"/>
      <c r="I8" s="101"/>
      <c r="J8" s="96"/>
      <c r="K8" s="100"/>
      <c r="L8" s="101">
        <v>7200</v>
      </c>
      <c r="M8" s="101"/>
      <c r="N8" s="101"/>
      <c r="O8" s="101"/>
      <c r="P8" s="101"/>
      <c r="Q8" s="101"/>
      <c r="R8" s="101"/>
      <c r="S8" s="101">
        <v>5118</v>
      </c>
      <c r="T8" s="101"/>
      <c r="U8" s="102"/>
      <c r="V8" s="102"/>
      <c r="W8" s="100"/>
      <c r="X8" s="101"/>
      <c r="Y8" s="101"/>
      <c r="Z8" s="96"/>
      <c r="AA8" s="119">
        <f>COUNTA(G8,L8,S8)</f>
        <v>3</v>
      </c>
      <c r="AB8" s="100">
        <f>AVERAGE(G8,L8,S8)</f>
        <v>4989.333333333333</v>
      </c>
      <c r="AC8" s="127">
        <f>MEDIAN(G8,L8,S8)</f>
        <v>5118</v>
      </c>
      <c r="AD8" s="101">
        <f>_xlfn.STDEV.S(G8,L8,S8)</f>
        <v>2277.7272297914287</v>
      </c>
      <c r="AE8" s="103">
        <f t="shared" si="0"/>
        <v>0.45651935391330084</v>
      </c>
    </row>
    <row r="9" spans="1:32" ht="172.8" x14ac:dyDescent="0.3">
      <c r="A9" s="168" t="s">
        <v>63</v>
      </c>
      <c r="B9" s="32">
        <v>6</v>
      </c>
      <c r="C9" s="32" t="s">
        <v>37</v>
      </c>
      <c r="D9" s="114" t="s">
        <v>62</v>
      </c>
      <c r="E9" s="34">
        <v>1</v>
      </c>
      <c r="F9" s="35">
        <v>600917</v>
      </c>
      <c r="G9" s="36">
        <v>2280</v>
      </c>
      <c r="H9" s="37"/>
      <c r="I9" s="38"/>
      <c r="J9" s="39"/>
      <c r="K9" s="128">
        <v>1347</v>
      </c>
      <c r="L9" s="38">
        <v>2138.4</v>
      </c>
      <c r="M9" s="38">
        <v>2296.8000000000002</v>
      </c>
      <c r="N9" s="38">
        <v>2060</v>
      </c>
      <c r="O9" s="58">
        <v>2956.8</v>
      </c>
      <c r="P9" s="38"/>
      <c r="Q9" s="38"/>
      <c r="R9" s="38"/>
      <c r="S9" s="38"/>
      <c r="T9" s="38"/>
      <c r="U9" s="40"/>
      <c r="V9" s="40"/>
      <c r="W9" s="37"/>
      <c r="X9" s="38"/>
      <c r="Y9" s="38"/>
      <c r="Z9" s="39"/>
      <c r="AA9" s="129">
        <f>COUNTA(G9,L9,M9,N9)</f>
        <v>4</v>
      </c>
      <c r="AB9" s="130">
        <f>AVERAGE(G9,L9,M9,N9)</f>
        <v>2193.8000000000002</v>
      </c>
      <c r="AC9" s="38">
        <f>MEDIAN(G9,L9,M9,N9)</f>
        <v>2209.1999999999998</v>
      </c>
      <c r="AD9" s="38">
        <f>_xlfn.STDEV.S(G9,L9,M9,N9)</f>
        <v>114.03367923556623</v>
      </c>
      <c r="AE9" s="69">
        <f t="shared" si="0"/>
        <v>5.1979979595025171E-2</v>
      </c>
    </row>
    <row r="10" spans="1:32" ht="172.8" x14ac:dyDescent="0.3">
      <c r="A10" s="169"/>
      <c r="B10" s="44">
        <v>7</v>
      </c>
      <c r="C10" s="44" t="s">
        <v>36</v>
      </c>
      <c r="D10" s="53" t="s">
        <v>61</v>
      </c>
      <c r="E10" s="46">
        <v>1</v>
      </c>
      <c r="F10" s="47">
        <v>600917</v>
      </c>
      <c r="G10" s="48">
        <v>589</v>
      </c>
      <c r="H10" s="49"/>
      <c r="I10" s="50"/>
      <c r="J10" s="51"/>
      <c r="K10" s="61">
        <v>489</v>
      </c>
      <c r="L10" s="50">
        <v>777.6</v>
      </c>
      <c r="M10" s="50">
        <v>835.2</v>
      </c>
      <c r="N10" s="50">
        <v>750</v>
      </c>
      <c r="O10" s="59">
        <v>1075.2</v>
      </c>
      <c r="P10" s="50"/>
      <c r="Q10" s="50"/>
      <c r="R10" s="50"/>
      <c r="S10" s="50"/>
      <c r="T10" s="50"/>
      <c r="U10" s="52"/>
      <c r="V10" s="52"/>
      <c r="W10" s="49"/>
      <c r="X10" s="50"/>
      <c r="Y10" s="50"/>
      <c r="Z10" s="51"/>
      <c r="AA10" s="64">
        <f>COUNTA(G10,L10,M10,N10)</f>
        <v>4</v>
      </c>
      <c r="AB10" s="71">
        <f>AVERAGE(G10,L10,M10,N10)</f>
        <v>737.95</v>
      </c>
      <c r="AC10" s="50">
        <f>MEDIAN(G10,L10,M10,N10)</f>
        <v>763.8</v>
      </c>
      <c r="AD10" s="50">
        <f>_xlfn.STDEV.S(G10,L10,M10,N10)</f>
        <v>105.45297530178995</v>
      </c>
      <c r="AE10" s="70">
        <f t="shared" si="0"/>
        <v>0.14289989200052841</v>
      </c>
    </row>
    <row r="11" spans="1:32" ht="172.8" x14ac:dyDescent="0.3">
      <c r="A11" s="169"/>
      <c r="B11" s="92">
        <v>8</v>
      </c>
      <c r="C11" s="92" t="s">
        <v>58</v>
      </c>
      <c r="D11" s="93" t="s">
        <v>60</v>
      </c>
      <c r="E11" s="94">
        <v>1</v>
      </c>
      <c r="F11" s="98">
        <v>600917</v>
      </c>
      <c r="G11" s="99">
        <v>266</v>
      </c>
      <c r="H11" s="100"/>
      <c r="I11" s="101"/>
      <c r="J11" s="96"/>
      <c r="K11" s="139">
        <v>236</v>
      </c>
      <c r="L11" s="101">
        <v>374.22</v>
      </c>
      <c r="M11" s="101">
        <v>401.94</v>
      </c>
      <c r="N11" s="101">
        <v>350</v>
      </c>
      <c r="O11" s="140">
        <v>591.29999999999995</v>
      </c>
      <c r="P11" s="101"/>
      <c r="Q11" s="101"/>
      <c r="R11" s="101"/>
      <c r="S11" s="101"/>
      <c r="T11" s="101"/>
      <c r="U11" s="102"/>
      <c r="V11" s="102"/>
      <c r="W11" s="100"/>
      <c r="X11" s="101"/>
      <c r="Y11" s="101"/>
      <c r="Z11" s="96"/>
      <c r="AA11" s="119">
        <f>COUNTA(G11,L11,M11,N11)</f>
        <v>4</v>
      </c>
      <c r="AB11" s="120">
        <f>AVERAGE(G11,L11,M11,N11)</f>
        <v>348.04</v>
      </c>
      <c r="AC11" s="101">
        <f>MEDIAN(G11,L11,M11,N11)</f>
        <v>362.11</v>
      </c>
      <c r="AD11" s="101">
        <f>_xlfn.STDEV.S(G11,L11,M11,N11)</f>
        <v>58.665735598672285</v>
      </c>
      <c r="AE11" s="103">
        <f t="shared" si="0"/>
        <v>0.16856032524615641</v>
      </c>
    </row>
    <row r="12" spans="1:32" s="192" customFormat="1" ht="173.4" thickBot="1" x14ac:dyDescent="0.35">
      <c r="A12" s="170"/>
      <c r="B12" s="183">
        <v>9</v>
      </c>
      <c r="C12" s="183" t="s">
        <v>57</v>
      </c>
      <c r="D12" s="184" t="s">
        <v>59</v>
      </c>
      <c r="E12" s="185">
        <v>1</v>
      </c>
      <c r="F12" s="186">
        <v>600917</v>
      </c>
      <c r="G12" s="187">
        <v>550</v>
      </c>
      <c r="H12" s="188"/>
      <c r="I12" s="189"/>
      <c r="J12" s="190"/>
      <c r="K12" s="188"/>
      <c r="L12" s="193">
        <v>819.36</v>
      </c>
      <c r="M12" s="189">
        <v>676.8</v>
      </c>
      <c r="N12" s="189">
        <v>590.4</v>
      </c>
      <c r="O12" s="189">
        <v>810</v>
      </c>
      <c r="P12" s="189"/>
      <c r="Q12" s="189"/>
      <c r="R12" s="189"/>
      <c r="S12" s="189"/>
      <c r="T12" s="189"/>
      <c r="U12" s="191"/>
      <c r="V12" s="191"/>
      <c r="W12" s="188"/>
      <c r="X12" s="189"/>
      <c r="Y12" s="189"/>
      <c r="Z12" s="190"/>
      <c r="AA12" s="194">
        <f>COUNTA(G12,M12,N12,O12)</f>
        <v>4</v>
      </c>
      <c r="AB12" s="195">
        <f>AVERAGE(G12,M12,N12,O12)</f>
        <v>656.8</v>
      </c>
      <c r="AC12" s="196">
        <f>MEDIAN(G12,O12,M12,N12)</f>
        <v>633.59999999999991</v>
      </c>
      <c r="AD12" s="196">
        <f>_xlfn.STDEV.S(G12,O12,M12,N12)</f>
        <v>115.01512943956573</v>
      </c>
      <c r="AE12" s="197">
        <f>AD12/AB12</f>
        <v>0.17511438708825477</v>
      </c>
    </row>
    <row r="13" spans="1:32" ht="130.19999999999999" thickBot="1" x14ac:dyDescent="0.35">
      <c r="A13" s="138"/>
      <c r="B13" s="131">
        <v>10</v>
      </c>
      <c r="C13" s="131" t="s">
        <v>20</v>
      </c>
      <c r="D13" s="132" t="s">
        <v>21</v>
      </c>
      <c r="E13" s="133">
        <v>1000</v>
      </c>
      <c r="F13" s="134">
        <v>376001</v>
      </c>
      <c r="G13" s="85">
        <v>2.62</v>
      </c>
      <c r="H13" s="86"/>
      <c r="I13" s="87">
        <v>1.7</v>
      </c>
      <c r="J13" s="135">
        <v>5.42</v>
      </c>
      <c r="K13" s="86"/>
      <c r="L13" s="87"/>
      <c r="M13" s="87"/>
      <c r="N13" s="87"/>
      <c r="O13" s="87"/>
      <c r="P13" s="87"/>
      <c r="Q13" s="87"/>
      <c r="R13" s="87"/>
      <c r="S13" s="87"/>
      <c r="T13" s="87">
        <v>1.96</v>
      </c>
      <c r="U13" s="89">
        <v>3.35</v>
      </c>
      <c r="V13" s="89"/>
      <c r="W13" s="86"/>
      <c r="X13" s="87"/>
      <c r="Y13" s="87"/>
      <c r="Z13" s="88"/>
      <c r="AA13" s="90">
        <f>COUNTA(G13,I13,T13,U13)</f>
        <v>4</v>
      </c>
      <c r="AB13" s="86">
        <f>AVERAGE(G13,I13,T13,U13)</f>
        <v>2.4075000000000002</v>
      </c>
      <c r="AC13" s="136">
        <f>MEDIAN(G13,I13,T13,U13)</f>
        <v>2.29</v>
      </c>
      <c r="AD13" s="87">
        <f>_xlfn.STDEV.S(G13,I13,T13,U13)</f>
        <v>0.73807745754313059</v>
      </c>
      <c r="AE13" s="91">
        <f>AD13/AB13</f>
        <v>0.30657422950908847</v>
      </c>
    </row>
  </sheetData>
  <mergeCells count="11">
    <mergeCell ref="A1:F2"/>
    <mergeCell ref="A4:A8"/>
    <mergeCell ref="A9:A12"/>
    <mergeCell ref="AB1:AE1"/>
    <mergeCell ref="G1:G2"/>
    <mergeCell ref="H1:J1"/>
    <mergeCell ref="K1:V1"/>
    <mergeCell ref="W1:Z1"/>
    <mergeCell ref="AD2:AD3"/>
    <mergeCell ref="AE2:AE3"/>
    <mergeCell ref="AA1:AA2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D46BB-4FB7-4B96-8702-078A1190CCEB}">
  <dimension ref="B1:I13"/>
  <sheetViews>
    <sheetView showGridLines="0" tabSelected="1" zoomScale="85" zoomScaleNormal="85" workbookViewId="0">
      <pane ySplit="2" topLeftCell="A3" activePane="bottomLeft" state="frozen"/>
      <selection activeCell="F1" sqref="F1"/>
      <selection pane="bottomLeft"/>
    </sheetView>
  </sheetViews>
  <sheetFormatPr defaultRowHeight="14.4" x14ac:dyDescent="0.3"/>
  <cols>
    <col min="1" max="1" width="1.5546875" style="1" customWidth="1"/>
    <col min="2" max="2" width="7.77734375" style="1" bestFit="1" customWidth="1"/>
    <col min="3" max="3" width="6.33203125" style="1" bestFit="1" customWidth="1"/>
    <col min="4" max="4" width="44.88671875" style="1" customWidth="1"/>
    <col min="5" max="5" width="90.77734375" style="1" bestFit="1" customWidth="1"/>
    <col min="6" max="6" width="6.21875" style="4" bestFit="1" customWidth="1"/>
    <col min="7" max="7" width="9" style="1" bestFit="1" customWidth="1"/>
    <col min="8" max="8" width="12.6640625" style="5" bestFit="1" customWidth="1"/>
    <col min="9" max="9" width="14.109375" style="5" bestFit="1" customWidth="1"/>
    <col min="10" max="16384" width="8.88671875" style="1"/>
  </cols>
  <sheetData>
    <row r="1" spans="2:9" ht="15" thickBot="1" x14ac:dyDescent="0.35"/>
    <row r="2" spans="2:9" s="2" customFormat="1" ht="16.2" thickBot="1" x14ac:dyDescent="0.35">
      <c r="B2" s="81" t="s">
        <v>64</v>
      </c>
      <c r="C2" s="82" t="s">
        <v>17</v>
      </c>
      <c r="D2" s="82" t="s">
        <v>33</v>
      </c>
      <c r="E2" s="82" t="s">
        <v>56</v>
      </c>
      <c r="F2" s="83" t="s">
        <v>9</v>
      </c>
      <c r="G2" s="84" t="s">
        <v>18</v>
      </c>
      <c r="H2" s="80" t="s">
        <v>5</v>
      </c>
      <c r="I2" s="79" t="s">
        <v>4</v>
      </c>
    </row>
    <row r="3" spans="2:9" ht="43.2" x14ac:dyDescent="0.3">
      <c r="B3" s="167"/>
      <c r="C3" s="32">
        <v>1</v>
      </c>
      <c r="D3" s="32" t="s">
        <v>28</v>
      </c>
      <c r="E3" s="33" t="s">
        <v>29</v>
      </c>
      <c r="F3" s="34">
        <v>6</v>
      </c>
      <c r="G3" s="76">
        <v>449994</v>
      </c>
      <c r="H3" s="39">
        <v>370.02</v>
      </c>
      <c r="I3" s="74">
        <f>F3*H3</f>
        <v>2220.12</v>
      </c>
    </row>
    <row r="4" spans="2:9" ht="43.2" x14ac:dyDescent="0.3">
      <c r="B4" s="167"/>
      <c r="C4" s="44">
        <v>2</v>
      </c>
      <c r="D4" s="44" t="s">
        <v>27</v>
      </c>
      <c r="E4" s="45" t="s">
        <v>30</v>
      </c>
      <c r="F4" s="46">
        <v>6</v>
      </c>
      <c r="G4" s="77">
        <v>362948</v>
      </c>
      <c r="H4" s="51">
        <v>284.22000000000003</v>
      </c>
      <c r="I4" s="75">
        <f t="shared" ref="I4:I11" si="0">F4*H4</f>
        <v>1705.3200000000002</v>
      </c>
    </row>
    <row r="5" spans="2:9" ht="43.2" x14ac:dyDescent="0.3">
      <c r="B5" s="167"/>
      <c r="C5" s="44">
        <v>3</v>
      </c>
      <c r="D5" s="44" t="s">
        <v>31</v>
      </c>
      <c r="E5" s="53" t="s">
        <v>32</v>
      </c>
      <c r="F5" s="46">
        <v>6</v>
      </c>
      <c r="G5" s="77">
        <v>271195</v>
      </c>
      <c r="H5" s="51">
        <v>845.19</v>
      </c>
      <c r="I5" s="75">
        <f t="shared" si="0"/>
        <v>5071.1400000000003</v>
      </c>
    </row>
    <row r="6" spans="2:9" ht="72" x14ac:dyDescent="0.3">
      <c r="B6" s="167"/>
      <c r="C6" s="44">
        <v>4</v>
      </c>
      <c r="D6" s="44" t="s">
        <v>34</v>
      </c>
      <c r="E6" s="53" t="s">
        <v>19</v>
      </c>
      <c r="F6" s="46">
        <v>50</v>
      </c>
      <c r="G6" s="77" t="s">
        <v>26</v>
      </c>
      <c r="H6" s="51">
        <v>40</v>
      </c>
      <c r="I6" s="75">
        <f t="shared" si="0"/>
        <v>2000</v>
      </c>
    </row>
    <row r="7" spans="2:9" ht="72.599999999999994" thickBot="1" x14ac:dyDescent="0.35">
      <c r="B7" s="167"/>
      <c r="C7" s="92">
        <v>5</v>
      </c>
      <c r="D7" s="92" t="s">
        <v>38</v>
      </c>
      <c r="E7" s="93" t="s">
        <v>39</v>
      </c>
      <c r="F7" s="94">
        <v>2</v>
      </c>
      <c r="G7" s="95">
        <v>233592</v>
      </c>
      <c r="H7" s="96">
        <v>5118</v>
      </c>
      <c r="I7" s="97">
        <f t="shared" si="0"/>
        <v>10236</v>
      </c>
    </row>
    <row r="8" spans="2:9" ht="144" x14ac:dyDescent="0.3">
      <c r="B8" s="168" t="s">
        <v>63</v>
      </c>
      <c r="C8" s="32">
        <v>6</v>
      </c>
      <c r="D8" s="32" t="s">
        <v>37</v>
      </c>
      <c r="E8" s="114" t="s">
        <v>62</v>
      </c>
      <c r="F8" s="34">
        <v>1</v>
      </c>
      <c r="G8" s="76">
        <v>600917</v>
      </c>
      <c r="H8" s="39">
        <v>2193.8000000000002</v>
      </c>
      <c r="I8" s="74">
        <f t="shared" si="0"/>
        <v>2193.8000000000002</v>
      </c>
    </row>
    <row r="9" spans="2:9" ht="144" x14ac:dyDescent="0.3">
      <c r="B9" s="169"/>
      <c r="C9" s="44">
        <v>7</v>
      </c>
      <c r="D9" s="44" t="s">
        <v>36</v>
      </c>
      <c r="E9" s="53" t="s">
        <v>61</v>
      </c>
      <c r="F9" s="46">
        <v>1</v>
      </c>
      <c r="G9" s="77">
        <v>600917</v>
      </c>
      <c r="H9" s="51">
        <v>737.95</v>
      </c>
      <c r="I9" s="75">
        <f t="shared" si="0"/>
        <v>737.95</v>
      </c>
    </row>
    <row r="10" spans="2:9" ht="144" x14ac:dyDescent="0.3">
      <c r="B10" s="169"/>
      <c r="C10" s="44">
        <v>8</v>
      </c>
      <c r="D10" s="44" t="s">
        <v>58</v>
      </c>
      <c r="E10" s="53" t="s">
        <v>60</v>
      </c>
      <c r="F10" s="46">
        <v>1</v>
      </c>
      <c r="G10" s="77">
        <v>600917</v>
      </c>
      <c r="H10" s="51">
        <v>348.04</v>
      </c>
      <c r="I10" s="75">
        <f t="shared" si="0"/>
        <v>348.04</v>
      </c>
    </row>
    <row r="11" spans="2:9" ht="144.6" thickBot="1" x14ac:dyDescent="0.35">
      <c r="B11" s="170"/>
      <c r="C11" s="55">
        <v>9</v>
      </c>
      <c r="D11" s="55" t="s">
        <v>57</v>
      </c>
      <c r="E11" s="56" t="s">
        <v>59</v>
      </c>
      <c r="F11" s="57">
        <v>1</v>
      </c>
      <c r="G11" s="78">
        <v>600917</v>
      </c>
      <c r="H11" s="191">
        <v>656.8</v>
      </c>
      <c r="I11" s="198">
        <f t="shared" si="0"/>
        <v>656.8</v>
      </c>
    </row>
    <row r="12" spans="2:9" ht="116.4" customHeight="1" thickBot="1" x14ac:dyDescent="0.35">
      <c r="B12" s="118"/>
      <c r="C12" s="105">
        <v>10</v>
      </c>
      <c r="D12" s="105" t="s">
        <v>20</v>
      </c>
      <c r="E12" s="106" t="s">
        <v>21</v>
      </c>
      <c r="F12" s="107">
        <v>1000</v>
      </c>
      <c r="G12" s="115">
        <v>376001</v>
      </c>
      <c r="H12" s="112">
        <v>2.29</v>
      </c>
      <c r="I12" s="116">
        <f t="shared" ref="I12" si="1">F12*H12</f>
        <v>2290</v>
      </c>
    </row>
    <row r="13" spans="2:9" s="73" customFormat="1" ht="15" customHeight="1" thickBot="1" x14ac:dyDescent="0.35">
      <c r="B13" s="179" t="s">
        <v>55</v>
      </c>
      <c r="C13" s="180"/>
      <c r="D13" s="180"/>
      <c r="E13" s="180"/>
      <c r="F13" s="180"/>
      <c r="G13" s="180"/>
      <c r="H13" s="181"/>
      <c r="I13" s="117">
        <f>SUM(I3:I12)</f>
        <v>27459.170000000002</v>
      </c>
    </row>
  </sheetData>
  <mergeCells count="3">
    <mergeCell ref="B8:B11"/>
    <mergeCell ref="B3:B7"/>
    <mergeCell ref="B13:H13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PESQUISA INICIAL</vt:lpstr>
      <vt:lpstr>PESQUISA APÓS DESCONSIDERAÇÕES</vt:lpstr>
      <vt:lpstr>PESQUISA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Aline Rodrigues Costa</dc:creator>
  <cp:lastModifiedBy>Aline Rodrigues Costa</cp:lastModifiedBy>
  <dcterms:created xsi:type="dcterms:W3CDTF">2025-06-06T20:52:59Z</dcterms:created>
  <dcterms:modified xsi:type="dcterms:W3CDTF">2026-05-11T18:11:37Z</dcterms:modified>
</cp:coreProperties>
</file>