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1-BELTRAMELOS ENGENHARIA\#01-PROJETOS\PREFEITURAS DE MS\Pref_NHS\03-EXECUÇÃO DO CONTRATO_023-2023\04-DEFINITIVO PREFEITURA\"/>
    </mc:Choice>
  </mc:AlternateContent>
  <xr:revisionPtr revIDLastSave="0" documentId="13_ncr:1_{595D8F8E-71D7-49E7-965A-A3AEF3DCF91C}" xr6:coauthVersionLast="47" xr6:coauthVersionMax="47" xr10:uidLastSave="{00000000-0000-0000-0000-000000000000}"/>
  <bookViews>
    <workbookView xWindow="-108" yWindow="-108" windowWidth="23256" windowHeight="12456" tabRatio="621" xr2:uid="{00000000-000D-0000-FFFF-FFFF00000000}"/>
  </bookViews>
  <sheets>
    <sheet name="BDI" sheetId="35" r:id="rId1"/>
  </sheets>
  <definedNames>
    <definedName name="_xlnm.Print_Area" localSheetId="0">BDI!$A$1:$G$54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9" i="35" l="1"/>
  <c r="BU315" i="35"/>
  <c r="BU314" i="35"/>
  <c r="BU313" i="35"/>
  <c r="BT312" i="35"/>
  <c r="BU312" i="35" s="1"/>
  <c r="CE311" i="35"/>
  <c r="CD311" i="35"/>
  <c r="CD312" i="35" s="1"/>
  <c r="CD313" i="35" s="1"/>
  <c r="CD314" i="35" s="1"/>
  <c r="CD315" i="35" s="1"/>
  <c r="CD316" i="35" s="1"/>
  <c r="BU311" i="35"/>
  <c r="BT310" i="35"/>
  <c r="BU310" i="35" s="1"/>
  <c r="CE304" i="35"/>
  <c r="CD304" i="35"/>
  <c r="CD305" i="35" s="1"/>
  <c r="CD306" i="35" s="1"/>
  <c r="CD307" i="35" s="1"/>
  <c r="CD308" i="35" s="1"/>
  <c r="CD309" i="35" s="1"/>
  <c r="CE298" i="35"/>
  <c r="CD298" i="35"/>
  <c r="CD299" i="35" s="1"/>
  <c r="CD300" i="35" s="1"/>
  <c r="CD301" i="35" s="1"/>
  <c r="CD302" i="35" s="1"/>
  <c r="CD303" i="35" s="1"/>
  <c r="CE291" i="35"/>
  <c r="CD291" i="35"/>
  <c r="CD292" i="35" s="1"/>
  <c r="CD293" i="35" s="1"/>
  <c r="CD294" i="35" s="1"/>
  <c r="CD295" i="35" s="1"/>
  <c r="CD296" i="35" s="1"/>
  <c r="CE283" i="35"/>
  <c r="CD283" i="35"/>
  <c r="CD284" i="35" s="1"/>
  <c r="CD285" i="35" s="1"/>
  <c r="CD286" i="35" s="1"/>
  <c r="CD287" i="35" s="1"/>
  <c r="CD288" i="35" s="1"/>
  <c r="CE275" i="35"/>
  <c r="CD275" i="35"/>
  <c r="CD276" i="35" s="1"/>
  <c r="CD277" i="35" s="1"/>
  <c r="CD278" i="35" s="1"/>
  <c r="CD279" i="35" s="1"/>
  <c r="CD280" i="35" s="1"/>
  <c r="BV266" i="35"/>
  <c r="BV265" i="35"/>
  <c r="BV264" i="35"/>
  <c r="BU299" i="35" s="1"/>
  <c r="BV299" i="35" s="1"/>
  <c r="C54" i="35" s="1"/>
  <c r="BV263" i="35"/>
  <c r="BV262" i="35"/>
  <c r="BV261" i="35"/>
  <c r="K58" i="35"/>
  <c r="K49" i="35"/>
  <c r="I40" i="35"/>
  <c r="I39" i="35"/>
  <c r="I38" i="35"/>
  <c r="I37" i="35"/>
  <c r="I36" i="35"/>
  <c r="C25" i="35"/>
  <c r="CI271" i="35" s="1"/>
  <c r="K12" i="35"/>
  <c r="CI270" i="35" l="1"/>
  <c r="BW299" i="35"/>
  <c r="D54" i="35" s="1"/>
  <c r="F27" i="35"/>
  <c r="BX299" i="35"/>
  <c r="E54" i="35" s="1"/>
  <c r="BU300" i="35"/>
  <c r="B16" i="35"/>
  <c r="BW300" i="35" l="1"/>
  <c r="D36" i="35" s="1"/>
  <c r="BX300" i="35"/>
  <c r="E36" i="35" s="1"/>
  <c r="BV300" i="35"/>
  <c r="C36" i="35" s="1"/>
  <c r="BU301" i="35"/>
  <c r="F42" i="35"/>
  <c r="I42" i="35" s="1"/>
  <c r="F60" i="35"/>
  <c r="I60" i="35" s="1"/>
  <c r="E58" i="35" s="1"/>
  <c r="K36" i="35" l="1"/>
  <c r="B51" i="35"/>
  <c r="BX301" i="35"/>
  <c r="E37" i="35" s="1"/>
  <c r="K37" i="35" s="1"/>
  <c r="BW301" i="35"/>
  <c r="D37" i="35" s="1"/>
  <c r="BU302" i="35"/>
  <c r="BV301" i="35"/>
  <c r="C37" i="35" s="1"/>
  <c r="BW302" i="35" l="1"/>
  <c r="D38" i="35" s="1"/>
  <c r="BV302" i="35"/>
  <c r="C38" i="35" s="1"/>
  <c r="BU303" i="35"/>
  <c r="BX302" i="35"/>
  <c r="E38" i="35" s="1"/>
  <c r="BU304" i="35" l="1"/>
  <c r="BW303" i="35"/>
  <c r="D39" i="35" s="1"/>
  <c r="BV303" i="35"/>
  <c r="C39" i="35" s="1"/>
  <c r="BX303" i="35"/>
  <c r="E39" i="35" s="1"/>
  <c r="K39" i="35" s="1"/>
  <c r="K38" i="35"/>
  <c r="BX304" i="35" l="1"/>
  <c r="E40" i="35" s="1"/>
  <c r="BW304" i="35"/>
  <c r="D40" i="35" s="1"/>
  <c r="BV304" i="35"/>
  <c r="C40" i="35" s="1"/>
  <c r="K40" i="35" l="1"/>
</calcChain>
</file>

<file path=xl/sharedStrings.xml><?xml version="1.0" encoding="utf-8"?>
<sst xmlns="http://schemas.openxmlformats.org/spreadsheetml/2006/main" count="105" uniqueCount="64">
  <si>
    <t>Risco</t>
  </si>
  <si>
    <t>PIS</t>
  </si>
  <si>
    <t>DADOS INICIAIS</t>
  </si>
  <si>
    <t>TIPO DE OBRA:</t>
  </si>
  <si>
    <t>Construção e Manutenção de Estações e Redes de Distribuição de Energia Elétrica</t>
  </si>
  <si>
    <t>ENQUADRAMENTO NA DESONERAÇÃO CONFORME LEI N° 12.844/2013:*</t>
  </si>
  <si>
    <t>*Uso de encargos sociais desonerados na elaboração do orçamento</t>
  </si>
  <si>
    <t>ENQUADRAM-SE NO TIPO SELECIONADO:</t>
  </si>
  <si>
    <t>CÁLCULO DOS IMPOSTOS</t>
  </si>
  <si>
    <t xml:space="preserve">TRIBUTOS (impostos COFINS 3%, e PIS 0,65%) </t>
  </si>
  <si>
    <t>ISS BRUTO % (LEI MUNICIPAL):</t>
  </si>
  <si>
    <t>% INCIDÊNCIA (M.OBRA)*</t>
  </si>
  <si>
    <t>ISS LÍQUIDO</t>
  </si>
  <si>
    <t>TOTAL IMPOSTOS</t>
  </si>
  <si>
    <t>*Incidência do total do contrato que representa mão de obra para compor a base de cálculo conf. legislação municipal.</t>
  </si>
  <si>
    <t>VERFICAÇÃO E CÁLCULO DO BDI</t>
  </si>
  <si>
    <t>ITEM COMPONENTE</t>
  </si>
  <si>
    <t>1º QUARTIL</t>
  </si>
  <si>
    <t>MÉDIO</t>
  </si>
  <si>
    <t>3º QUARTIL</t>
  </si>
  <si>
    <t>Adotado</t>
  </si>
  <si>
    <t>Cálculo arredondado</t>
  </si>
  <si>
    <t>Administração Central</t>
  </si>
  <si>
    <t>Seguro e Garantia</t>
  </si>
  <si>
    <t>Despesas Financeiras</t>
  </si>
  <si>
    <t>Lucro</t>
  </si>
  <si>
    <t>Impostos</t>
  </si>
  <si>
    <t>BDI CALCULADO</t>
  </si>
  <si>
    <t>LIMITES DO BDI</t>
  </si>
  <si>
    <t>CORREÇÃO DA DESONERAÇÃO</t>
  </si>
  <si>
    <t>BDI CALCULADO C/ DESONERAÇÃO:</t>
  </si>
  <si>
    <t>Contribuição Previdenciária sobre a Receita Bruta (CPRB)</t>
  </si>
  <si>
    <t>BANCO DE DADOS</t>
  </si>
  <si>
    <t>TIPO DE OBRA</t>
  </si>
  <si>
    <t>CÓDIGO</t>
  </si>
  <si>
    <t>ENQUARAMENTO</t>
  </si>
  <si>
    <t>Construção de edificios</t>
  </si>
  <si>
    <t>A construção e reforma de: edifícios, unidades habitacionais, escolas, hospitais, hotéis, restaurantes, armazéns e depósitos, edifícios para uso agropecuário, estações para trens e metropolitanos, estádios esportivos e quadras cobertas, instalações para embarque e desembarque de passageiros (em aeroportos, rodoviárias, portos, etc.), penitenciárias e presídios, a construção de edifícios industriais (fábricas, oficinas, galpões industriais, etc.), conforme classificação 4120-4 do CNAE 2.0. Também enquadram-se pórticos, mirantes e outros edifícios de finalidade turística.</t>
  </si>
  <si>
    <t>Construção de rodovias e ferrovias</t>
  </si>
  <si>
    <t>A construção e recuperação de: auto-estradas, rodovias e outras vias não-urbanas para passagem de veículos, vias férreas de superfície ou subterrâneas (inclusive para metropolitanos), pistas de aeroportos. Esta classe compreende também: a pavimentação de auto-estradas,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</t>
  </si>
  <si>
    <t>Construção de Redes de Abastecimento de Água, Coleta de Esgoto e Construções Correlatas</t>
  </si>
  <si>
    <t>A construção de sistemas para o abastecimento de água tratada: reservatórios de distribuição, estações elevatórias de bombeamento, linhas principais de adução de longa e média distância e redes de distribuição de água; a construção de redes de coleta de esgoto, inclusive de interceptores, estações de tratamento de esgoto (ETE), estações de bombeamento de esgoto (EBE); a construção de galerias pluviais (obras de micro e macro drenagem). Esta classe compreende também: as obras de irrigação (canais); a manutenção de redes de abastecimento de água tratada; a manutenção de redes de coleta e de sistemas de tratamento de esgoto, conforme classificação 4222-7 do CNAE 2.0. Enquadra-se ainda a construção de estações de tratamento de água (ETA).</t>
  </si>
  <si>
    <t>A construção de usinas, estações e subestações hidrelétricas, eólicas, nucleares, termoelétricas; a construção de redes de transmissão e distribuição de energia elétrica, inclusive o serviço de eletrificação rural. Esta subclasse compreende também: a construção de redes de eletrificação para ferrovias e metropolitano, conforme classificação 4221-9/02 do CNAE 2.0. Compreende ainda: a manutenção de redes de distribuição de energia elétrica, quando executada por empresa não-produtora ou distribuidora de energia elétrica, conforme classificação 4221-9/03 do CNAE 2.0. Enquadram-se também obras de iluminação pública e a construção de barragens e represas para geração de energia elétrica.</t>
  </si>
  <si>
    <t>Portuárias, Marítimas e Fluviais</t>
  </si>
  <si>
    <t xml:space="preserve">As obras marítimas e fluviais, tais como, construção de instalações portuárias; construção de portos e marinas; construção de eclusas e canais de navegação (vias navegáveis); enrocamentos; obras de dragagem; aterro hidráulico; barragens, represas e diques, exceto para energia elétrica; a construção de emissários submarinos; a instalação de cabos submarinos, conforme classificação 4291-0 do CNAE 2.0. Enquadram-se também a construção de piers e outras obras com influência direta de cursos d’água. </t>
  </si>
  <si>
    <t>Fornecimento de Materiais e Equipamentos</t>
  </si>
  <si>
    <t xml:space="preserve">O fornecimento de materiais e equipamentos relevantes de natureza específica, como é o caso de: materiais betuminosos para obras rodoviárias,tubos de ferro fundido ou PVC para obras de abastecimento de água,elevadores e escadas rolantes para obras aeroportuárias.
Os materiais e equipamentos devem compor itens próprios na planilha orçamentária, apartados de sua instalação, assentamento ou produção, p. ex., conjunto motor-bomba, tubulação de ferro fundido e material betuminoso, respectivamente.
A adoção de taxa de BDI reduzida somente se justifica no caso de ficarem satisfeitas cumulativamente as seguintes condições: fornecimento de materiais e equipamentos que possam ser contratados diretamente do fabricante ou de fornecedor com especialidade própria e diversa da contratada principal;que se constitua mera intermediação entre a construtora e o fabricante; que a intermediação para fornecimento de equipamentos seja atividade residual da construtora.
</t>
  </si>
  <si>
    <t>CONFINS</t>
  </si>
  <si>
    <t>BASE DE CÁLCULO</t>
  </si>
  <si>
    <t>LUCRO PRESUMIDO</t>
  </si>
  <si>
    <t>RECEITA BRUTA (VALOR DA NOTA)</t>
  </si>
  <si>
    <t>VALOR DA NOTA - RECUPERAÇÃO DE CRÉDITO (AQUISIÇÃO DE INSUMOS)</t>
  </si>
  <si>
    <t>Código da pesquisa</t>
  </si>
  <si>
    <t>1º Quartil</t>
  </si>
  <si>
    <t>Médio</t>
  </si>
  <si>
    <t>3º Quartil</t>
  </si>
  <si>
    <t>BDI</t>
  </si>
  <si>
    <t>1 Quartil</t>
  </si>
  <si>
    <t>3 Quartil</t>
  </si>
  <si>
    <t>NÃO</t>
  </si>
  <si>
    <r>
      <t xml:space="preserve">OBRA: </t>
    </r>
    <r>
      <rPr>
        <sz val="11"/>
        <rFont val="Calibri"/>
        <family val="2"/>
        <scheme val="minor"/>
      </rPr>
      <t xml:space="preserve">ADEQUAÇÃO ELÉTRICA PREDIAL E IMPLANTAÇÃO DE UM POSTO DE TRANSFORMAÇÃO </t>
    </r>
  </si>
  <si>
    <r>
      <rPr>
        <b/>
        <sz val="11"/>
        <rFont val="Calibri"/>
        <family val="2"/>
        <scheme val="minor"/>
      </rPr>
      <t>LOCAL:</t>
    </r>
    <r>
      <rPr>
        <sz val="11"/>
        <rFont val="Calibri"/>
        <family val="2"/>
        <scheme val="minor"/>
      </rPr>
      <t xml:space="preserve"> EM. PROF. EDUARDO PEREIRA CALADO</t>
    </r>
  </si>
  <si>
    <r>
      <rPr>
        <b/>
        <sz val="11"/>
        <rFont val="Calibri"/>
        <family val="2"/>
        <scheme val="minor"/>
      </rPr>
      <t xml:space="preserve">LOCALIZAÇÃO: </t>
    </r>
    <r>
      <rPr>
        <sz val="11"/>
        <rFont val="Calibri"/>
        <family val="2"/>
        <scheme val="minor"/>
      </rPr>
      <t>MUNICÍPIO DE NOVO HORIZONTE DO SUL - MS</t>
    </r>
  </si>
  <si>
    <t>VERIFICAÇÃO DO BDI - ACÓRDÃO 2.622/2013       Rev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</si>
</sst>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[$-416]General"/>
    <numFmt numFmtId="166" formatCode="#,##0.00&quot; &quot;;&quot; (&quot;#,##0.00&quot;)&quot;;&quot; -&quot;#&quot; &quot;;&quot; &quot;@&quot; &quot;"/>
    <numFmt numFmtId="167" formatCode="#,##0.00_ ;\-#,##0.00\ "/>
    <numFmt numFmtId="168" formatCode="0.000%"/>
    <numFmt numFmtId="169" formatCode="0.0%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1"/>
    </font>
    <font>
      <sz val="11"/>
      <color indexed="8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indexed="62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double">
        <color auto="1"/>
      </right>
      <top style="medium">
        <color indexed="64"/>
      </top>
      <bottom/>
      <diagonal/>
    </border>
    <border>
      <left/>
      <right style="double">
        <color auto="1"/>
      </right>
      <top/>
      <bottom style="medium">
        <color indexed="64"/>
      </bottom>
      <diagonal/>
    </border>
  </borders>
  <cellStyleXfs count="119">
    <xf numFmtId="0" fontId="0" fillId="0" borderId="0"/>
    <xf numFmtId="166" fontId="6" fillId="0" borderId="0" applyBorder="0" applyProtection="0"/>
    <xf numFmtId="165" fontId="6" fillId="0" borderId="0" applyBorder="0" applyProtection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4" fillId="19" borderId="0" applyNumberFormat="0" applyBorder="0" applyAlignment="0" applyProtection="0"/>
    <xf numFmtId="0" fontId="4" fillId="8" borderId="0" applyNumberFormat="0" applyBorder="0" applyAlignment="0" applyProtection="0"/>
    <xf numFmtId="0" fontId="4" fillId="20" borderId="0" applyNumberFormat="0" applyBorder="0" applyAlignment="0" applyProtection="0"/>
    <xf numFmtId="0" fontId="4" fillId="17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21" borderId="0" applyNumberFormat="0" applyBorder="0" applyAlignment="0" applyProtection="0"/>
    <xf numFmtId="0" fontId="4" fillId="17" borderId="0" applyNumberFormat="0" applyBorder="0" applyAlignment="0" applyProtection="0"/>
    <xf numFmtId="0" fontId="4" fillId="2" borderId="0" applyNumberFormat="0" applyBorder="0" applyAlignment="0" applyProtection="0"/>
    <xf numFmtId="0" fontId="4" fillId="10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22" fillId="22" borderId="0" applyNumberFormat="0" applyBorder="0" applyAlignment="0" applyProtection="0"/>
    <xf numFmtId="0" fontId="22" fillId="3" borderId="0" applyNumberFormat="0" applyBorder="0" applyAlignment="0" applyProtection="0"/>
    <xf numFmtId="0" fontId="22" fillId="21" borderId="0" applyNumberFormat="0" applyBorder="0" applyAlignment="0" applyProtection="0"/>
    <xf numFmtId="0" fontId="22" fillId="23" borderId="0" applyNumberFormat="0" applyBorder="0" applyAlignment="0" applyProtection="0"/>
    <xf numFmtId="0" fontId="22" fillId="15" borderId="0" applyNumberFormat="0" applyBorder="0" applyAlignment="0" applyProtection="0"/>
    <xf numFmtId="0" fontId="22" fillId="24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8" borderId="0" applyNumberFormat="0" applyBorder="0" applyAlignment="0" applyProtection="0"/>
    <xf numFmtId="0" fontId="22" fillId="6" borderId="0" applyNumberFormat="0" applyBorder="0" applyAlignment="0" applyProtection="0"/>
    <xf numFmtId="0" fontId="22" fillId="3" borderId="0" applyNumberFormat="0" applyBorder="0" applyAlignment="0" applyProtection="0"/>
    <xf numFmtId="0" fontId="22" fillId="25" borderId="0" applyNumberFormat="0" applyBorder="0" applyAlignment="0" applyProtection="0"/>
    <xf numFmtId="0" fontId="22" fillId="16" borderId="0" applyNumberFormat="0" applyBorder="0" applyAlignment="0" applyProtection="0"/>
    <xf numFmtId="0" fontId="22" fillId="26" borderId="0" applyNumberFormat="0" applyBorder="0" applyAlignment="0" applyProtection="0"/>
    <xf numFmtId="0" fontId="22" fillId="23" borderId="0" applyNumberFormat="0" applyBorder="0" applyAlignment="0" applyProtection="0"/>
    <xf numFmtId="0" fontId="22" fillId="15" borderId="0" applyNumberFormat="0" applyBorder="0" applyAlignment="0" applyProtection="0"/>
    <xf numFmtId="0" fontId="22" fillId="9" borderId="0" applyNumberFormat="0" applyBorder="0" applyAlignment="0" applyProtection="0"/>
    <xf numFmtId="0" fontId="13" fillId="8" borderId="0" applyNumberFormat="0" applyBorder="0" applyAlignment="0" applyProtection="0"/>
    <xf numFmtId="0" fontId="12" fillId="6" borderId="0" applyNumberFormat="0" applyBorder="0" applyAlignment="0" applyProtection="0"/>
    <xf numFmtId="0" fontId="24" fillId="27" borderId="1" applyNumberFormat="0" applyAlignment="0" applyProtection="0"/>
    <xf numFmtId="0" fontId="17" fillId="11" borderId="1" applyNumberFormat="0" applyAlignment="0" applyProtection="0"/>
    <xf numFmtId="0" fontId="19" fillId="12" borderId="2" applyNumberFormat="0" applyAlignment="0" applyProtection="0"/>
    <xf numFmtId="0" fontId="18" fillId="0" borderId="3" applyNumberFormat="0" applyFill="0" applyAlignment="0" applyProtection="0"/>
    <xf numFmtId="0" fontId="19" fillId="12" borderId="2" applyNumberFormat="0" applyAlignment="0" applyProtection="0"/>
    <xf numFmtId="0" fontId="22" fillId="13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15" fillId="7" borderId="1" applyNumberFormat="0" applyAlignment="0" applyProtection="0"/>
    <xf numFmtId="0" fontId="20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13" fillId="17" borderId="0" applyNumberFormat="0" applyBorder="0" applyAlignment="0" applyProtection="0"/>
    <xf numFmtId="0" fontId="15" fillId="5" borderId="1" applyNumberFormat="0" applyAlignment="0" applyProtection="0"/>
    <xf numFmtId="0" fontId="28" fillId="0" borderId="17" applyNumberFormat="0" applyFill="0" applyAlignment="0" applyProtection="0"/>
    <xf numFmtId="0" fontId="14" fillId="7" borderId="0" applyNumberFormat="0" applyBorder="0" applyAlignment="0" applyProtection="0"/>
    <xf numFmtId="0" fontId="29" fillId="7" borderId="0" applyNumberFormat="0" applyBorder="0" applyAlignment="0" applyProtection="0"/>
    <xf numFmtId="0" fontId="5" fillId="4" borderId="4" applyNumberFormat="0" applyFont="0" applyAlignment="0" applyProtection="0"/>
    <xf numFmtId="0" fontId="4" fillId="4" borderId="4" applyNumberFormat="0" applyFont="0" applyAlignment="0" applyProtection="0"/>
    <xf numFmtId="0" fontId="16" fillId="27" borderId="5" applyNumberFormat="0" applyAlignment="0" applyProtection="0"/>
    <xf numFmtId="0" fontId="16" fillId="11" borderId="5" applyNumberFormat="0" applyAlignment="0" applyProtection="0"/>
    <xf numFmtId="0" fontId="1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21" fillId="0" borderId="18" applyNumberFormat="0" applyFill="0" applyAlignment="0" applyProtection="0"/>
    <xf numFmtId="0" fontId="18" fillId="0" borderId="0" applyNumberFormat="0" applyFill="0" applyBorder="0" applyAlignment="0" applyProtection="0"/>
    <xf numFmtId="0" fontId="5" fillId="4" borderId="4" applyNumberFormat="0" applyFont="0" applyAlignment="0" applyProtection="0"/>
    <xf numFmtId="0" fontId="5" fillId="0" borderId="0"/>
    <xf numFmtId="0" fontId="5" fillId="4" borderId="4" applyNumberFormat="0" applyFont="0" applyAlignment="0" applyProtection="0"/>
    <xf numFmtId="0" fontId="5" fillId="0" borderId="0"/>
    <xf numFmtId="0" fontId="5" fillId="4" borderId="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27" borderId="30" applyNumberFormat="0" applyAlignment="0" applyProtection="0"/>
    <xf numFmtId="0" fontId="17" fillId="11" borderId="30" applyNumberFormat="0" applyAlignment="0" applyProtection="0"/>
    <xf numFmtId="0" fontId="15" fillId="7" borderId="30" applyNumberFormat="0" applyAlignment="0" applyProtection="0"/>
    <xf numFmtId="0" fontId="15" fillId="5" borderId="30" applyNumberFormat="0" applyAlignment="0" applyProtection="0"/>
    <xf numFmtId="0" fontId="5" fillId="4" borderId="31" applyNumberFormat="0" applyFont="0" applyAlignment="0" applyProtection="0"/>
    <xf numFmtId="0" fontId="4" fillId="4" borderId="31" applyNumberFormat="0" applyFont="0" applyAlignment="0" applyProtection="0"/>
    <xf numFmtId="0" fontId="16" fillId="27" borderId="32" applyNumberFormat="0" applyAlignment="0" applyProtection="0"/>
    <xf numFmtId="0" fontId="16" fillId="11" borderId="32" applyNumberFormat="0" applyAlignment="0" applyProtection="0"/>
    <xf numFmtId="0" fontId="21" fillId="0" borderId="33" applyNumberFormat="0" applyFill="0" applyAlignment="0" applyProtection="0"/>
    <xf numFmtId="0" fontId="5" fillId="4" borderId="31" applyNumberFormat="0" applyFont="0" applyAlignment="0" applyProtection="0"/>
    <xf numFmtId="0" fontId="5" fillId="4" borderId="31" applyNumberFormat="0" applyFont="0" applyAlignment="0" applyProtection="0"/>
    <xf numFmtId="0" fontId="5" fillId="4" borderId="31" applyNumberFormat="0" applyFont="0" applyAlignment="0" applyProtection="0"/>
  </cellStyleXfs>
  <cellXfs count="132">
    <xf numFmtId="0" fontId="0" fillId="0" borderId="0" xfId="0"/>
    <xf numFmtId="0" fontId="31" fillId="18" borderId="0" xfId="0" applyFont="1" applyFill="1"/>
    <xf numFmtId="0" fontId="31" fillId="18" borderId="0" xfId="0" applyFont="1" applyFill="1" applyAlignment="1">
      <alignment vertical="center" wrapText="1"/>
    </xf>
    <xf numFmtId="0" fontId="32" fillId="0" borderId="0" xfId="0" applyFont="1" applyAlignment="1">
      <alignment vertical="center" wrapText="1"/>
    </xf>
    <xf numFmtId="0" fontId="32" fillId="0" borderId="25" xfId="0" applyFont="1" applyBorder="1" applyAlignment="1">
      <alignment vertical="top" wrapText="1"/>
    </xf>
    <xf numFmtId="10" fontId="32" fillId="0" borderId="24" xfId="0" applyNumberFormat="1" applyFont="1" applyBorder="1" applyAlignment="1">
      <alignment horizontal="center" vertical="top" wrapText="1"/>
    </xf>
    <xf numFmtId="0" fontId="32" fillId="0" borderId="26" xfId="0" applyFont="1" applyBorder="1" applyAlignment="1">
      <alignment vertical="top" wrapText="1"/>
    </xf>
    <xf numFmtId="10" fontId="32" fillId="0" borderId="21" xfId="0" applyNumberFormat="1" applyFont="1" applyBorder="1" applyAlignment="1">
      <alignment horizontal="center" vertical="top" wrapText="1"/>
    </xf>
    <xf numFmtId="10" fontId="32" fillId="0" borderId="10" xfId="0" applyNumberFormat="1" applyFont="1" applyBorder="1" applyAlignment="1">
      <alignment horizontal="center" vertical="top" wrapText="1"/>
    </xf>
    <xf numFmtId="0" fontId="32" fillId="0" borderId="10" xfId="0" applyFont="1" applyBorder="1" applyAlignment="1">
      <alignment vertical="top" wrapText="1"/>
    </xf>
    <xf numFmtId="0" fontId="32" fillId="0" borderId="26" xfId="0" applyFont="1" applyBorder="1" applyAlignment="1">
      <alignment horizontal="center" vertical="top" wrapText="1"/>
    </xf>
    <xf numFmtId="0" fontId="32" fillId="0" borderId="21" xfId="0" applyFont="1" applyBorder="1" applyAlignment="1">
      <alignment horizontal="center" vertical="top" wrapText="1"/>
    </xf>
    <xf numFmtId="4" fontId="31" fillId="18" borderId="35" xfId="4" applyNumberFormat="1" applyFont="1" applyFill="1" applyBorder="1" applyAlignment="1">
      <alignment horizontal="left" vertical="center" wrapText="1"/>
    </xf>
    <xf numFmtId="4" fontId="32" fillId="18" borderId="36" xfId="4" applyNumberFormat="1" applyFont="1" applyFill="1" applyBorder="1" applyAlignment="1">
      <alignment horizontal="left" vertical="center" wrapText="1"/>
    </xf>
    <xf numFmtId="4" fontId="32" fillId="18" borderId="37" xfId="4" applyNumberFormat="1" applyFont="1" applyFill="1" applyBorder="1" applyAlignment="1">
      <alignment horizontal="left" vertical="center" wrapText="1"/>
    </xf>
    <xf numFmtId="0" fontId="32" fillId="0" borderId="37" xfId="0" applyFont="1" applyBorder="1"/>
    <xf numFmtId="0" fontId="32" fillId="0" borderId="0" xfId="0" applyFont="1"/>
    <xf numFmtId="4" fontId="32" fillId="18" borderId="38" xfId="103" applyNumberFormat="1" applyFont="1" applyFill="1" applyBorder="1" applyAlignment="1">
      <alignment horizontal="left" vertical="center"/>
    </xf>
    <xf numFmtId="4" fontId="32" fillId="18" borderId="0" xfId="103" applyNumberFormat="1" applyFont="1" applyFill="1" applyAlignment="1">
      <alignment horizontal="left" vertical="center"/>
    </xf>
    <xf numFmtId="4" fontId="32" fillId="18" borderId="39" xfId="103" applyNumberFormat="1" applyFont="1" applyFill="1" applyBorder="1" applyAlignment="1">
      <alignment horizontal="left" vertical="center"/>
    </xf>
    <xf numFmtId="0" fontId="32" fillId="0" borderId="39" xfId="0" applyFont="1" applyBorder="1"/>
    <xf numFmtId="0" fontId="32" fillId="18" borderId="38" xfId="0" applyFont="1" applyFill="1" applyBorder="1" applyAlignment="1">
      <alignment horizontal="left" vertical="center"/>
    </xf>
    <xf numFmtId="0" fontId="32" fillId="18" borderId="0" xfId="0" applyFont="1" applyFill="1" applyAlignment="1">
      <alignment horizontal="left" vertical="center"/>
    </xf>
    <xf numFmtId="0" fontId="32" fillId="18" borderId="39" xfId="0" applyFont="1" applyFill="1" applyBorder="1" applyAlignment="1">
      <alignment horizontal="left" vertical="center"/>
    </xf>
    <xf numFmtId="0" fontId="32" fillId="18" borderId="40" xfId="0" applyFont="1" applyFill="1" applyBorder="1"/>
    <xf numFmtId="0" fontId="32" fillId="18" borderId="41" xfId="0" applyFont="1" applyFill="1" applyBorder="1"/>
    <xf numFmtId="0" fontId="32" fillId="18" borderId="51" xfId="0" applyFont="1" applyFill="1" applyBorder="1"/>
    <xf numFmtId="0" fontId="32" fillId="18" borderId="42" xfId="0" applyFont="1" applyFill="1" applyBorder="1"/>
    <xf numFmtId="0" fontId="31" fillId="18" borderId="43" xfId="0" applyFont="1" applyFill="1" applyBorder="1" applyAlignment="1">
      <alignment horizontal="center" vertical="center"/>
    </xf>
    <xf numFmtId="0" fontId="32" fillId="18" borderId="50" xfId="0" applyFont="1" applyFill="1" applyBorder="1"/>
    <xf numFmtId="0" fontId="32" fillId="18" borderId="38" xfId="0" applyFont="1" applyFill="1" applyBorder="1"/>
    <xf numFmtId="0" fontId="31" fillId="18" borderId="0" xfId="0" applyFont="1" applyFill="1" applyAlignment="1">
      <alignment horizontal="center" vertical="center"/>
    </xf>
    <xf numFmtId="0" fontId="32" fillId="18" borderId="39" xfId="0" applyFont="1" applyFill="1" applyBorder="1"/>
    <xf numFmtId="0" fontId="32" fillId="18" borderId="44" xfId="0" applyFont="1" applyFill="1" applyBorder="1"/>
    <xf numFmtId="0" fontId="31" fillId="18" borderId="28" xfId="0" applyFont="1" applyFill="1" applyBorder="1" applyAlignment="1">
      <alignment horizontal="center" vertical="center"/>
    </xf>
    <xf numFmtId="0" fontId="32" fillId="18" borderId="54" xfId="0" applyFont="1" applyFill="1" applyBorder="1"/>
    <xf numFmtId="0" fontId="31" fillId="18" borderId="0" xfId="0" applyFont="1" applyFill="1" applyAlignment="1">
      <alignment horizontal="center" vertical="center"/>
    </xf>
    <xf numFmtId="0" fontId="31" fillId="18" borderId="0" xfId="0" applyFont="1" applyFill="1" applyAlignment="1">
      <alignment vertical="center"/>
    </xf>
    <xf numFmtId="167" fontId="33" fillId="29" borderId="11" xfId="7" applyNumberFormat="1" applyFont="1" applyFill="1" applyBorder="1" applyAlignment="1" applyProtection="1">
      <alignment horizontal="left" vertical="center" wrapText="1"/>
      <protection locked="0"/>
    </xf>
    <xf numFmtId="167" fontId="33" fillId="29" borderId="46" xfId="7" applyNumberFormat="1" applyFont="1" applyFill="1" applyBorder="1" applyAlignment="1" applyProtection="1">
      <alignment horizontal="left" vertical="center" wrapText="1"/>
      <protection locked="0"/>
    </xf>
    <xf numFmtId="167" fontId="33" fillId="29" borderId="12" xfId="7" applyNumberFormat="1" applyFont="1" applyFill="1" applyBorder="1" applyAlignment="1" applyProtection="1">
      <alignment horizontal="left" vertical="center" wrapText="1"/>
      <protection locked="0"/>
    </xf>
    <xf numFmtId="0" fontId="32" fillId="18" borderId="0" xfId="0" applyFont="1" applyFill="1"/>
    <xf numFmtId="0" fontId="31" fillId="29" borderId="10" xfId="0" applyFont="1" applyFill="1" applyBorder="1" applyAlignment="1" applyProtection="1">
      <alignment horizontal="center"/>
      <protection locked="0"/>
    </xf>
    <xf numFmtId="0" fontId="34" fillId="0" borderId="0" xfId="0" applyFont="1"/>
    <xf numFmtId="0" fontId="32" fillId="18" borderId="0" xfId="0" applyFont="1" applyFill="1" applyAlignment="1">
      <alignment vertical="center"/>
    </xf>
    <xf numFmtId="0" fontId="32" fillId="18" borderId="29" xfId="0" applyFont="1" applyFill="1" applyBorder="1" applyAlignment="1">
      <alignment horizontal="left" vertical="top" wrapText="1"/>
    </xf>
    <xf numFmtId="0" fontId="32" fillId="18" borderId="47" xfId="0" applyFont="1" applyFill="1" applyBorder="1" applyAlignment="1">
      <alignment horizontal="left" vertical="top" wrapText="1"/>
    </xf>
    <xf numFmtId="0" fontId="32" fillId="18" borderId="48" xfId="0" applyFont="1" applyFill="1" applyBorder="1" applyAlignment="1">
      <alignment horizontal="left" vertical="top" wrapText="1"/>
    </xf>
    <xf numFmtId="10" fontId="33" fillId="18" borderId="10" xfId="5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Alignment="1">
      <alignment horizontal="left" vertical="center" wrapText="1"/>
    </xf>
    <xf numFmtId="0" fontId="32" fillId="18" borderId="0" xfId="0" applyFont="1" applyFill="1" applyAlignment="1">
      <alignment horizontal="center" vertical="center"/>
    </xf>
    <xf numFmtId="0" fontId="31" fillId="18" borderId="0" xfId="0" applyFont="1" applyFill="1" applyAlignment="1">
      <alignment horizontal="center" vertical="center" wrapText="1"/>
    </xf>
    <xf numFmtId="0" fontId="35" fillId="0" borderId="0" xfId="0" applyFont="1"/>
    <xf numFmtId="10" fontId="33" fillId="18" borderId="10" xfId="5" applyNumberFormat="1" applyFont="1" applyFill="1" applyBorder="1" applyAlignment="1" applyProtection="1">
      <alignment horizontal="center" vertical="center" wrapText="1"/>
      <protection locked="0"/>
    </xf>
    <xf numFmtId="0" fontId="31" fillId="18" borderId="0" xfId="0" quotePrefix="1" applyFont="1" applyFill="1" applyAlignment="1">
      <alignment vertical="center"/>
    </xf>
    <xf numFmtId="10" fontId="31" fillId="18" borderId="0" xfId="0" applyNumberFormat="1" applyFont="1" applyFill="1" applyAlignment="1">
      <alignment horizontal="center" vertical="center"/>
    </xf>
    <xf numFmtId="10" fontId="33" fillId="18" borderId="0" xfId="5" applyNumberFormat="1" applyFont="1" applyFill="1" applyBorder="1" applyAlignment="1" applyProtection="1">
      <alignment vertical="center" wrapText="1"/>
    </xf>
    <xf numFmtId="10" fontId="31" fillId="18" borderId="0" xfId="5" applyNumberFormat="1" applyFont="1" applyFill="1" applyBorder="1" applyAlignment="1" applyProtection="1">
      <alignment vertical="center" wrapText="1"/>
    </xf>
    <xf numFmtId="0" fontId="31" fillId="18" borderId="0" xfId="0" applyFont="1" applyFill="1" applyAlignment="1">
      <alignment horizontal="center"/>
    </xf>
    <xf numFmtId="168" fontId="34" fillId="18" borderId="0" xfId="0" applyNumberFormat="1" applyFont="1" applyFill="1"/>
    <xf numFmtId="0" fontId="32" fillId="18" borderId="0" xfId="0" applyFont="1" applyFill="1" applyAlignment="1">
      <alignment horizontal="left" vertical="center" wrapText="1"/>
    </xf>
    <xf numFmtId="10" fontId="32" fillId="0" borderId="0" xfId="5" applyNumberFormat="1" applyFont="1" applyProtection="1"/>
    <xf numFmtId="0" fontId="32" fillId="18" borderId="49" xfId="0" applyFont="1" applyFill="1" applyBorder="1"/>
    <xf numFmtId="0" fontId="31" fillId="18" borderId="23" xfId="0" applyFont="1" applyFill="1" applyBorder="1" applyAlignment="1">
      <alignment horizontal="center" vertical="center"/>
    </xf>
    <xf numFmtId="0" fontId="32" fillId="18" borderId="55" xfId="0" applyFont="1" applyFill="1" applyBorder="1"/>
    <xf numFmtId="0" fontId="32" fillId="18" borderId="28" xfId="0" applyFont="1" applyFill="1" applyBorder="1"/>
    <xf numFmtId="0" fontId="31" fillId="18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2" fillId="18" borderId="0" xfId="0" applyFont="1" applyFill="1" applyAlignment="1">
      <alignment horizontal="left" vertical="center" wrapText="1"/>
    </xf>
    <xf numFmtId="10" fontId="32" fillId="18" borderId="0" xfId="5" applyNumberFormat="1" applyFont="1" applyFill="1" applyBorder="1" applyAlignment="1" applyProtection="1">
      <alignment horizontal="center" vertical="center" wrapText="1"/>
    </xf>
    <xf numFmtId="10" fontId="34" fillId="18" borderId="34" xfId="5" applyNumberFormat="1" applyFont="1" applyFill="1" applyBorder="1" applyAlignment="1" applyProtection="1">
      <alignment horizontal="center" vertical="center" wrapText="1"/>
      <protection locked="0"/>
    </xf>
    <xf numFmtId="10" fontId="32" fillId="18" borderId="39" xfId="0" applyNumberFormat="1" applyFont="1" applyFill="1" applyBorder="1"/>
    <xf numFmtId="10" fontId="32" fillId="0" borderId="39" xfId="0" applyNumberFormat="1" applyFont="1" applyBorder="1"/>
    <xf numFmtId="10" fontId="32" fillId="0" borderId="0" xfId="0" applyNumberFormat="1" applyFont="1"/>
    <xf numFmtId="10" fontId="34" fillId="18" borderId="13" xfId="5" applyNumberFormat="1" applyFont="1" applyFill="1" applyBorder="1" applyAlignment="1" applyProtection="1">
      <alignment horizontal="center" vertical="center" wrapText="1"/>
      <protection locked="0"/>
    </xf>
    <xf numFmtId="10" fontId="34" fillId="18" borderId="9" xfId="5" applyNumberFormat="1" applyFont="1" applyFill="1" applyBorder="1" applyAlignment="1" applyProtection="1">
      <alignment horizontal="center" vertical="center" wrapText="1"/>
      <protection locked="0"/>
    </xf>
    <xf numFmtId="0" fontId="31" fillId="18" borderId="0" xfId="0" applyFont="1" applyFill="1" applyAlignment="1">
      <alignment horizontal="left" vertical="center" wrapText="1"/>
    </xf>
    <xf numFmtId="168" fontId="31" fillId="18" borderId="0" xfId="5" applyNumberFormat="1" applyFont="1" applyFill="1" applyBorder="1" applyAlignment="1" applyProtection="1">
      <alignment horizontal="center" vertical="center" wrapText="1"/>
    </xf>
    <xf numFmtId="168" fontId="32" fillId="0" borderId="0" xfId="0" applyNumberFormat="1" applyFont="1"/>
    <xf numFmtId="10" fontId="34" fillId="18" borderId="0" xfId="5" applyNumberFormat="1" applyFont="1" applyFill="1" applyBorder="1" applyAlignment="1" applyProtection="1">
      <alignment horizontal="center"/>
    </xf>
    <xf numFmtId="0" fontId="31" fillId="0" borderId="0" xfId="0" applyFont="1"/>
    <xf numFmtId="10" fontId="34" fillId="18" borderId="0" xfId="5" applyNumberFormat="1" applyFont="1" applyFill="1" applyBorder="1" applyAlignment="1" applyProtection="1">
      <alignment horizontal="center"/>
    </xf>
    <xf numFmtId="0" fontId="34" fillId="18" borderId="42" xfId="0" applyFont="1" applyFill="1" applyBorder="1" applyAlignment="1">
      <alignment horizontal="center"/>
    </xf>
    <xf numFmtId="0" fontId="34" fillId="18" borderId="43" xfId="0" applyFont="1" applyFill="1" applyBorder="1" applyAlignment="1">
      <alignment horizontal="center"/>
    </xf>
    <xf numFmtId="0" fontId="34" fillId="18" borderId="50" xfId="0" applyFont="1" applyFill="1" applyBorder="1" applyAlignment="1">
      <alignment horizontal="center"/>
    </xf>
    <xf numFmtId="0" fontId="34" fillId="18" borderId="0" xfId="0" applyFont="1" applyFill="1" applyAlignment="1">
      <alignment horizontal="center"/>
    </xf>
    <xf numFmtId="0" fontId="36" fillId="18" borderId="0" xfId="0" applyFont="1" applyFill="1" applyAlignment="1">
      <alignment horizontal="center" vertical="center" wrapText="1"/>
    </xf>
    <xf numFmtId="0" fontId="36" fillId="18" borderId="41" xfId="0" applyFont="1" applyFill="1" applyBorder="1" applyAlignment="1">
      <alignment horizontal="left" vertical="center" wrapText="1"/>
    </xf>
    <xf numFmtId="10" fontId="37" fillId="18" borderId="41" xfId="5" applyNumberFormat="1" applyFont="1" applyFill="1" applyBorder="1" applyAlignment="1" applyProtection="1">
      <alignment horizontal="center" vertical="center" wrapText="1"/>
    </xf>
    <xf numFmtId="0" fontId="32" fillId="0" borderId="51" xfId="0" applyFont="1" applyBorder="1"/>
    <xf numFmtId="0" fontId="32" fillId="18" borderId="19" xfId="0" applyFont="1" applyFill="1" applyBorder="1"/>
    <xf numFmtId="0" fontId="36" fillId="18" borderId="0" xfId="0" applyFont="1" applyFill="1" applyAlignment="1">
      <alignment horizontal="left" vertical="center" wrapText="1"/>
    </xf>
    <xf numFmtId="10" fontId="37" fillId="18" borderId="0" xfId="5" applyNumberFormat="1" applyFont="1" applyFill="1" applyBorder="1" applyAlignment="1" applyProtection="1">
      <alignment horizontal="center" vertical="center" wrapText="1"/>
    </xf>
    <xf numFmtId="0" fontId="32" fillId="18" borderId="20" xfId="0" applyFont="1" applyFill="1" applyBorder="1"/>
    <xf numFmtId="10" fontId="31" fillId="18" borderId="52" xfId="5" applyNumberFormat="1" applyFont="1" applyFill="1" applyBorder="1" applyAlignment="1" applyProtection="1">
      <alignment horizontal="center" vertical="center"/>
    </xf>
    <xf numFmtId="10" fontId="31" fillId="18" borderId="53" xfId="5" applyNumberFormat="1" applyFont="1" applyFill="1" applyBorder="1" applyAlignment="1" applyProtection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0" fontId="31" fillId="18" borderId="0" xfId="0" applyFont="1" applyFill="1" applyAlignment="1">
      <alignment wrapText="1"/>
    </xf>
    <xf numFmtId="0" fontId="32" fillId="18" borderId="22" xfId="0" applyFont="1" applyFill="1" applyBorder="1"/>
    <xf numFmtId="0" fontId="36" fillId="18" borderId="23" xfId="0" applyFont="1" applyFill="1" applyBorder="1" applyAlignment="1">
      <alignment horizontal="left" vertical="center" wrapText="1"/>
    </xf>
    <xf numFmtId="10" fontId="37" fillId="18" borderId="23" xfId="5" applyNumberFormat="1" applyFont="1" applyFill="1" applyBorder="1" applyAlignment="1" applyProtection="1">
      <alignment horizontal="center" vertical="center" wrapText="1"/>
    </xf>
    <xf numFmtId="0" fontId="32" fillId="18" borderId="23" xfId="0" applyFont="1" applyFill="1" applyBorder="1"/>
    <xf numFmtId="0" fontId="32" fillId="18" borderId="24" xfId="0" applyFont="1" applyFill="1" applyBorder="1"/>
    <xf numFmtId="0" fontId="31" fillId="0" borderId="0" xfId="0" applyFont="1" applyAlignment="1">
      <alignment horizontal="center"/>
    </xf>
    <xf numFmtId="10" fontId="32" fillId="0" borderId="0" xfId="0" applyNumberFormat="1" applyFont="1" applyAlignment="1">
      <alignment horizontal="center"/>
    </xf>
    <xf numFmtId="10" fontId="32" fillId="0" borderId="0" xfId="5" applyNumberFormat="1" applyFont="1" applyAlignment="1" applyProtection="1">
      <alignment horizontal="center"/>
    </xf>
    <xf numFmtId="169" fontId="32" fillId="0" borderId="0" xfId="0" applyNumberFormat="1" applyFont="1" applyAlignment="1">
      <alignment horizontal="center"/>
    </xf>
    <xf numFmtId="9" fontId="32" fillId="0" borderId="0" xfId="5" applyFont="1" applyProtection="1"/>
    <xf numFmtId="0" fontId="31" fillId="0" borderId="27" xfId="0" applyFont="1" applyBorder="1" applyAlignment="1">
      <alignment horizontal="center"/>
    </xf>
    <xf numFmtId="0" fontId="31" fillId="0" borderId="28" xfId="0" applyFont="1" applyBorder="1" applyAlignment="1">
      <alignment horizontal="center"/>
    </xf>
    <xf numFmtId="0" fontId="31" fillId="0" borderId="45" xfId="0" applyFont="1" applyBorder="1" applyAlignment="1">
      <alignment horizontal="center"/>
    </xf>
    <xf numFmtId="0" fontId="32" fillId="0" borderId="19" xfId="0" applyFont="1" applyBorder="1"/>
    <xf numFmtId="0" fontId="32" fillId="0" borderId="20" xfId="0" applyFont="1" applyBorder="1"/>
    <xf numFmtId="0" fontId="31" fillId="0" borderId="19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19" xfId="0" applyFont="1" applyBorder="1" applyAlignment="1">
      <alignment vertical="center"/>
    </xf>
    <xf numFmtId="9" fontId="32" fillId="0" borderId="0" xfId="0" applyNumberFormat="1" applyFont="1"/>
    <xf numFmtId="0" fontId="31" fillId="0" borderId="19" xfId="0" applyFont="1" applyBorder="1"/>
    <xf numFmtId="0" fontId="32" fillId="0" borderId="23" xfId="0" applyFont="1" applyBorder="1" applyAlignment="1">
      <alignment horizontal="center"/>
    </xf>
    <xf numFmtId="0" fontId="32" fillId="0" borderId="22" xfId="0" applyFont="1" applyBorder="1"/>
    <xf numFmtId="0" fontId="32" fillId="0" borderId="23" xfId="0" applyFont="1" applyBorder="1"/>
    <xf numFmtId="0" fontId="32" fillId="0" borderId="24" xfId="0" applyFont="1" applyBorder="1"/>
    <xf numFmtId="0" fontId="32" fillId="0" borderId="19" xfId="0" applyFont="1" applyBorder="1" applyAlignment="1">
      <alignment horizontal="left" wrapText="1"/>
    </xf>
    <xf numFmtId="0" fontId="32" fillId="0" borderId="0" xfId="0" applyFont="1" applyAlignment="1">
      <alignment horizontal="left" wrapText="1"/>
    </xf>
    <xf numFmtId="0" fontId="32" fillId="0" borderId="20" xfId="0" applyFont="1" applyBorder="1" applyAlignment="1">
      <alignment horizontal="left" wrapText="1"/>
    </xf>
    <xf numFmtId="0" fontId="32" fillId="0" borderId="19" xfId="0" applyFont="1" applyBorder="1" applyAlignment="1">
      <alignment wrapText="1"/>
    </xf>
    <xf numFmtId="0" fontId="32" fillId="28" borderId="0" xfId="0" applyFont="1" applyFill="1" applyAlignment="1">
      <alignment wrapText="1"/>
    </xf>
    <xf numFmtId="0" fontId="32" fillId="0" borderId="0" xfId="0" applyFont="1" applyAlignment="1">
      <alignment wrapText="1"/>
    </xf>
    <xf numFmtId="0" fontId="32" fillId="0" borderId="20" xfId="0" applyFont="1" applyBorder="1" applyAlignment="1">
      <alignment wrapText="1"/>
    </xf>
    <xf numFmtId="0" fontId="32" fillId="0" borderId="10" xfId="0" applyFont="1" applyBorder="1"/>
    <xf numFmtId="0" fontId="32" fillId="0" borderId="10" xfId="0" applyFont="1" applyBorder="1" applyAlignment="1">
      <alignment horizontal="center"/>
    </xf>
  </cellXfs>
  <cellStyles count="119">
    <cellStyle name="20% - Accent1" xfId="11" xr:uid="{00000000-0005-0000-0000-000000000000}"/>
    <cellStyle name="20% - Accent2" xfId="12" xr:uid="{00000000-0005-0000-0000-000001000000}"/>
    <cellStyle name="20% - Accent3" xfId="13" xr:uid="{00000000-0005-0000-0000-000002000000}"/>
    <cellStyle name="20% - Accent4" xfId="14" xr:uid="{00000000-0005-0000-0000-000003000000}"/>
    <cellStyle name="20% - Accent5" xfId="15" xr:uid="{00000000-0005-0000-0000-000004000000}"/>
    <cellStyle name="20% - Accent6" xfId="16" xr:uid="{00000000-0005-0000-0000-000005000000}"/>
    <cellStyle name="20% - Ênfase1 2" xfId="17" xr:uid="{00000000-0005-0000-0000-000006000000}"/>
    <cellStyle name="20% - Ênfase2 2" xfId="18" xr:uid="{00000000-0005-0000-0000-000007000000}"/>
    <cellStyle name="20% - Ênfase3 2" xfId="19" xr:uid="{00000000-0005-0000-0000-000008000000}"/>
    <cellStyle name="20% - Ênfase4 2" xfId="20" xr:uid="{00000000-0005-0000-0000-000009000000}"/>
    <cellStyle name="20% - Ênfase5 2" xfId="21" xr:uid="{00000000-0005-0000-0000-00000A000000}"/>
    <cellStyle name="20% - Ênfase6 2" xfId="22" xr:uid="{00000000-0005-0000-0000-00000B000000}"/>
    <cellStyle name="40% - Accent1" xfId="23" xr:uid="{00000000-0005-0000-0000-00000C000000}"/>
    <cellStyle name="40% - Accent2" xfId="24" xr:uid="{00000000-0005-0000-0000-00000D000000}"/>
    <cellStyle name="40% - Accent3" xfId="25" xr:uid="{00000000-0005-0000-0000-00000E000000}"/>
    <cellStyle name="40% - Accent4" xfId="26" xr:uid="{00000000-0005-0000-0000-00000F000000}"/>
    <cellStyle name="40% - Accent5" xfId="27" xr:uid="{00000000-0005-0000-0000-000010000000}"/>
    <cellStyle name="40% - Accent6" xfId="28" xr:uid="{00000000-0005-0000-0000-000011000000}"/>
    <cellStyle name="40% - Ênfase1 2" xfId="29" xr:uid="{00000000-0005-0000-0000-000012000000}"/>
    <cellStyle name="40% - Ênfase2 2" xfId="30" xr:uid="{00000000-0005-0000-0000-000013000000}"/>
    <cellStyle name="40% - Ênfase3 2" xfId="31" xr:uid="{00000000-0005-0000-0000-000014000000}"/>
    <cellStyle name="40% - Ênfase4 2" xfId="32" xr:uid="{00000000-0005-0000-0000-000015000000}"/>
    <cellStyle name="40% - Ênfase5 2" xfId="33" xr:uid="{00000000-0005-0000-0000-000016000000}"/>
    <cellStyle name="40% - Ênfase6 2" xfId="34" xr:uid="{00000000-0005-0000-0000-000017000000}"/>
    <cellStyle name="60% - Accent1" xfId="35" xr:uid="{00000000-0005-0000-0000-000018000000}"/>
    <cellStyle name="60% - Accent2" xfId="36" xr:uid="{00000000-0005-0000-0000-000019000000}"/>
    <cellStyle name="60% - Accent3" xfId="37" xr:uid="{00000000-0005-0000-0000-00001A000000}"/>
    <cellStyle name="60% - Accent4" xfId="38" xr:uid="{00000000-0005-0000-0000-00001B000000}"/>
    <cellStyle name="60% - Accent5" xfId="39" xr:uid="{00000000-0005-0000-0000-00001C000000}"/>
    <cellStyle name="60% - Accent6" xfId="40" xr:uid="{00000000-0005-0000-0000-00001D000000}"/>
    <cellStyle name="60% - Ênfase1 2" xfId="41" xr:uid="{00000000-0005-0000-0000-00001E000000}"/>
    <cellStyle name="60% - Ênfase2 2" xfId="42" xr:uid="{00000000-0005-0000-0000-00001F000000}"/>
    <cellStyle name="60% - Ênfase3 2" xfId="43" xr:uid="{00000000-0005-0000-0000-000020000000}"/>
    <cellStyle name="60% - Ênfase4 2" xfId="44" xr:uid="{00000000-0005-0000-0000-000021000000}"/>
    <cellStyle name="60% - Ênfase5 2" xfId="45" xr:uid="{00000000-0005-0000-0000-000022000000}"/>
    <cellStyle name="60% - Ênfase6 2" xfId="46" xr:uid="{00000000-0005-0000-0000-000023000000}"/>
    <cellStyle name="Accent1" xfId="47" xr:uid="{00000000-0005-0000-0000-000024000000}"/>
    <cellStyle name="Accent2" xfId="48" xr:uid="{00000000-0005-0000-0000-000025000000}"/>
    <cellStyle name="Accent3" xfId="49" xr:uid="{00000000-0005-0000-0000-000026000000}"/>
    <cellStyle name="Accent4" xfId="50" xr:uid="{00000000-0005-0000-0000-000027000000}"/>
    <cellStyle name="Accent5" xfId="51" xr:uid="{00000000-0005-0000-0000-000028000000}"/>
    <cellStyle name="Accent6" xfId="52" xr:uid="{00000000-0005-0000-0000-000029000000}"/>
    <cellStyle name="Bad" xfId="53" xr:uid="{00000000-0005-0000-0000-00002A000000}"/>
    <cellStyle name="Bom 2" xfId="54" xr:uid="{00000000-0005-0000-0000-00002B000000}"/>
    <cellStyle name="Calculation" xfId="55" xr:uid="{00000000-0005-0000-0000-00002C000000}"/>
    <cellStyle name="Calculation 2" xfId="107" xr:uid="{00000000-0005-0000-0000-00002D000000}"/>
    <cellStyle name="Cálculo 2" xfId="56" xr:uid="{00000000-0005-0000-0000-00002E000000}"/>
    <cellStyle name="Cálculo 2 2" xfId="108" xr:uid="{00000000-0005-0000-0000-00002F000000}"/>
    <cellStyle name="Célula de Verificação 2" xfId="57" xr:uid="{00000000-0005-0000-0000-000030000000}"/>
    <cellStyle name="Célula Vinculada 2" xfId="58" xr:uid="{00000000-0005-0000-0000-000031000000}"/>
    <cellStyle name="Check Cell" xfId="59" xr:uid="{00000000-0005-0000-0000-000032000000}"/>
    <cellStyle name="Ênfase1 2" xfId="60" xr:uid="{00000000-0005-0000-0000-000033000000}"/>
    <cellStyle name="Ênfase2 2" xfId="61" xr:uid="{00000000-0005-0000-0000-000034000000}"/>
    <cellStyle name="Ênfase3 2" xfId="62" xr:uid="{00000000-0005-0000-0000-000035000000}"/>
    <cellStyle name="Ênfase4 2" xfId="63" xr:uid="{00000000-0005-0000-0000-000036000000}"/>
    <cellStyle name="Ênfase5 2" xfId="64" xr:uid="{00000000-0005-0000-0000-000037000000}"/>
    <cellStyle name="Ênfase6 2" xfId="65" xr:uid="{00000000-0005-0000-0000-000038000000}"/>
    <cellStyle name="Entrada 2" xfId="66" xr:uid="{00000000-0005-0000-0000-000039000000}"/>
    <cellStyle name="Entrada 2 2" xfId="109" xr:uid="{00000000-0005-0000-0000-00003A000000}"/>
    <cellStyle name="Excel Built-in Comma" xfId="1" xr:uid="{00000000-0005-0000-0000-00003B000000}"/>
    <cellStyle name="Excel Built-in Normal" xfId="2" xr:uid="{00000000-0005-0000-0000-00003C000000}"/>
    <cellStyle name="Explanatory Text" xfId="67" xr:uid="{00000000-0005-0000-0000-00003D000000}"/>
    <cellStyle name="Good" xfId="68" xr:uid="{00000000-0005-0000-0000-00003E000000}"/>
    <cellStyle name="Heading 1" xfId="69" xr:uid="{00000000-0005-0000-0000-00003F000000}"/>
    <cellStyle name="Heading 2" xfId="70" xr:uid="{00000000-0005-0000-0000-000040000000}"/>
    <cellStyle name="Heading 3" xfId="71" xr:uid="{00000000-0005-0000-0000-000041000000}"/>
    <cellStyle name="Heading 4" xfId="72" xr:uid="{00000000-0005-0000-0000-000042000000}"/>
    <cellStyle name="Incorreto 2" xfId="73" xr:uid="{00000000-0005-0000-0000-000043000000}"/>
    <cellStyle name="Input" xfId="74" xr:uid="{00000000-0005-0000-0000-000044000000}"/>
    <cellStyle name="Input 2" xfId="110" xr:uid="{00000000-0005-0000-0000-000045000000}"/>
    <cellStyle name="Linked Cell" xfId="75" xr:uid="{00000000-0005-0000-0000-000046000000}"/>
    <cellStyle name="Neutra 2" xfId="76" xr:uid="{00000000-0005-0000-0000-000047000000}"/>
    <cellStyle name="Neutral" xfId="77" xr:uid="{00000000-0005-0000-0000-000048000000}"/>
    <cellStyle name="Normal" xfId="0" builtinId="0"/>
    <cellStyle name="Normal 2" xfId="3" xr:uid="{00000000-0005-0000-0000-00004A000000}"/>
    <cellStyle name="Normal 3" xfId="10" xr:uid="{00000000-0005-0000-0000-00004B000000}"/>
    <cellStyle name="Normal 4" xfId="93" xr:uid="{00000000-0005-0000-0000-00004C000000}"/>
    <cellStyle name="Normal 5" xfId="95" xr:uid="{00000000-0005-0000-0000-00004D000000}"/>
    <cellStyle name="Normal 6" xfId="6" xr:uid="{00000000-0005-0000-0000-00004E000000}"/>
    <cellStyle name="Normal 7" xfId="97" xr:uid="{00000000-0005-0000-0000-00004F000000}"/>
    <cellStyle name="Normal 8" xfId="100" xr:uid="{00000000-0005-0000-0000-000050000000}"/>
    <cellStyle name="Normal 9" xfId="104" xr:uid="{00000000-0005-0000-0000-000051000000}"/>
    <cellStyle name="Normal_Pesquisa no referencial 10 de maio de 2013" xfId="4" xr:uid="{00000000-0005-0000-0000-000052000000}"/>
    <cellStyle name="Normal_Pesquisa no referencial 10 de maio de 2013 2" xfId="103" xr:uid="{00000000-0005-0000-0000-000053000000}"/>
    <cellStyle name="Nota 2" xfId="78" xr:uid="{00000000-0005-0000-0000-000054000000}"/>
    <cellStyle name="Nota 2 2" xfId="111" xr:uid="{00000000-0005-0000-0000-000055000000}"/>
    <cellStyle name="Nota 3" xfId="92" xr:uid="{00000000-0005-0000-0000-000056000000}"/>
    <cellStyle name="Nota 3 2" xfId="116" xr:uid="{00000000-0005-0000-0000-000057000000}"/>
    <cellStyle name="Nota 4" xfId="94" xr:uid="{00000000-0005-0000-0000-000058000000}"/>
    <cellStyle name="Nota 4 2" xfId="117" xr:uid="{00000000-0005-0000-0000-000059000000}"/>
    <cellStyle name="Nota 5" xfId="96" xr:uid="{00000000-0005-0000-0000-00005A000000}"/>
    <cellStyle name="Nota 5 2" xfId="118" xr:uid="{00000000-0005-0000-0000-00005B000000}"/>
    <cellStyle name="Note" xfId="79" xr:uid="{00000000-0005-0000-0000-00005C000000}"/>
    <cellStyle name="Note 2" xfId="112" xr:uid="{00000000-0005-0000-0000-00005D000000}"/>
    <cellStyle name="Output" xfId="80" xr:uid="{00000000-0005-0000-0000-00005E000000}"/>
    <cellStyle name="Output 2" xfId="113" xr:uid="{00000000-0005-0000-0000-00005F000000}"/>
    <cellStyle name="Porcentagem" xfId="5" builtinId="5"/>
    <cellStyle name="Porcentagem 2" xfId="8" xr:uid="{00000000-0005-0000-0000-000061000000}"/>
    <cellStyle name="Porcentagem 3" xfId="99" xr:uid="{00000000-0005-0000-0000-000062000000}"/>
    <cellStyle name="Porcentagem 4" xfId="102" xr:uid="{00000000-0005-0000-0000-000063000000}"/>
    <cellStyle name="Porcentagem 5" xfId="106" xr:uid="{00000000-0005-0000-0000-000064000000}"/>
    <cellStyle name="Saída 2" xfId="81" xr:uid="{00000000-0005-0000-0000-000065000000}"/>
    <cellStyle name="Saída 2 2" xfId="114" xr:uid="{00000000-0005-0000-0000-000066000000}"/>
    <cellStyle name="Separador de milhares 5" xfId="9" xr:uid="{00000000-0005-0000-0000-000067000000}"/>
    <cellStyle name="Texto de Aviso 2" xfId="82" xr:uid="{00000000-0005-0000-0000-000068000000}"/>
    <cellStyle name="Texto Explicativo 2" xfId="83" xr:uid="{00000000-0005-0000-0000-000069000000}"/>
    <cellStyle name="Title" xfId="84" xr:uid="{00000000-0005-0000-0000-00006A000000}"/>
    <cellStyle name="Título 1 2" xfId="86" xr:uid="{00000000-0005-0000-0000-00006B000000}"/>
    <cellStyle name="Título 2 2" xfId="87" xr:uid="{00000000-0005-0000-0000-00006C000000}"/>
    <cellStyle name="Título 3 2" xfId="88" xr:uid="{00000000-0005-0000-0000-00006D000000}"/>
    <cellStyle name="Título 4 2" xfId="89" xr:uid="{00000000-0005-0000-0000-00006E000000}"/>
    <cellStyle name="Título 5" xfId="85" xr:uid="{00000000-0005-0000-0000-00006F000000}"/>
    <cellStyle name="Total 2" xfId="90" xr:uid="{00000000-0005-0000-0000-000070000000}"/>
    <cellStyle name="Total 2 2" xfId="115" xr:uid="{00000000-0005-0000-0000-000071000000}"/>
    <cellStyle name="Vírgula 2" xfId="7" xr:uid="{00000000-0005-0000-0000-000072000000}"/>
    <cellStyle name="Vírgula 3" xfId="98" xr:uid="{00000000-0005-0000-0000-000073000000}"/>
    <cellStyle name="Vírgula 4" xfId="101" xr:uid="{00000000-0005-0000-0000-000074000000}"/>
    <cellStyle name="Vírgula 5" xfId="105" xr:uid="{00000000-0005-0000-0000-000075000000}"/>
    <cellStyle name="Warning Text" xfId="91" xr:uid="{00000000-0005-0000-0000-000076000000}"/>
  </cellStyles>
  <dxfs count="4">
    <dxf>
      <font>
        <b/>
        <i val="0"/>
        <condense val="0"/>
        <extend val="0"/>
        <color indexed="57"/>
      </font>
      <fill>
        <patternFill patternType="solid">
          <bgColor indexed="26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9"/>
      </font>
    </dxf>
    <dxf>
      <font>
        <condense val="0"/>
        <extend val="0"/>
        <color indexed="10"/>
      </font>
      <fill>
        <patternFill>
          <bgColor indexed="5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79</xdr:col>
          <xdr:colOff>0</xdr:colOff>
          <xdr:row>243</xdr:row>
          <xdr:rowOff>0</xdr:rowOff>
        </xdr:from>
        <xdr:to>
          <xdr:col>79</xdr:col>
          <xdr:colOff>0</xdr:colOff>
          <xdr:row>244</xdr:row>
          <xdr:rowOff>76200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182880</xdr:colOff>
          <xdr:row>42</xdr:row>
          <xdr:rowOff>30480</xdr:rowOff>
        </xdr:from>
        <xdr:to>
          <xdr:col>5</xdr:col>
          <xdr:colOff>106680</xdr:colOff>
          <xdr:row>44</xdr:row>
          <xdr:rowOff>121920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316"/>
  <sheetViews>
    <sheetView tabSelected="1" topLeftCell="A7" workbookViewId="0">
      <selection activeCell="K22" sqref="K22"/>
    </sheetView>
  </sheetViews>
  <sheetFormatPr defaultColWidth="9.109375" defaultRowHeight="14.4"/>
  <cols>
    <col min="1" max="1" width="2.33203125" style="16" customWidth="1"/>
    <col min="2" max="2" width="35.88671875" style="16" customWidth="1"/>
    <col min="3" max="6" width="14.6640625" style="16" customWidth="1"/>
    <col min="7" max="7" width="2.33203125" style="16" customWidth="1"/>
    <col min="8" max="8" width="0.109375" style="16" customWidth="1"/>
    <col min="9" max="9" width="17" style="16" bestFit="1" customWidth="1"/>
    <col min="10" max="10" width="5.109375" style="16" customWidth="1"/>
    <col min="11" max="12" width="9.109375" style="16"/>
    <col min="13" max="13" width="18.6640625" style="16" customWidth="1"/>
    <col min="14" max="14" width="0" style="16" hidden="1" customWidth="1"/>
    <col min="15" max="15" width="15.44140625" style="16" hidden="1" customWidth="1"/>
    <col min="16" max="16" width="41.6640625" style="16" hidden="1" customWidth="1"/>
    <col min="17" max="17" width="18.88671875" style="16" hidden="1" customWidth="1"/>
    <col min="18" max="24" width="11.6640625" style="16" hidden="1" customWidth="1"/>
    <col min="25" max="37" width="0" style="16" hidden="1" customWidth="1"/>
    <col min="38" max="38" width="13.88671875" style="16" hidden="1" customWidth="1"/>
    <col min="39" max="39" width="38.6640625" style="16" hidden="1" customWidth="1"/>
    <col min="40" max="40" width="11.88671875" style="16" hidden="1" customWidth="1"/>
    <col min="41" max="41" width="8.6640625" style="16" hidden="1" customWidth="1"/>
    <col min="42" max="42" width="11.88671875" style="16" hidden="1" customWidth="1"/>
    <col min="43" max="43" width="9.33203125" style="16" hidden="1" customWidth="1"/>
    <col min="44" max="44" width="11.88671875" style="16" hidden="1" customWidth="1"/>
    <col min="45" max="45" width="1" style="16" hidden="1" customWidth="1"/>
    <col min="46" max="46" width="9.109375" style="16"/>
    <col min="47" max="47" width="13.33203125" style="16" bestFit="1" customWidth="1"/>
    <col min="48" max="71" width="9.109375" style="16"/>
    <col min="72" max="72" width="22.6640625" style="16" bestFit="1" customWidth="1"/>
    <col min="73" max="73" width="29" style="16" customWidth="1"/>
    <col min="74" max="74" width="9.5546875" style="16" customWidth="1"/>
    <col min="75" max="75" width="11.5546875" style="16" customWidth="1"/>
    <col min="76" max="76" width="10.6640625" style="16" customWidth="1"/>
    <col min="77" max="77" width="9.109375" style="16"/>
    <col min="78" max="81" width="2.44140625" style="16" customWidth="1"/>
    <col min="82" max="82" width="4.88671875" style="16" bestFit="1" customWidth="1"/>
    <col min="83" max="83" width="29.44140625" style="16" bestFit="1" customWidth="1"/>
    <col min="84" max="84" width="17" style="16" bestFit="1" customWidth="1"/>
    <col min="85" max="85" width="14.44140625" style="16" bestFit="1" customWidth="1"/>
    <col min="86" max="86" width="17" style="16" bestFit="1" customWidth="1"/>
    <col min="87" max="87" width="8.88671875" style="16" customWidth="1"/>
    <col min="88" max="97" width="2.44140625" style="16" customWidth="1"/>
    <col min="98" max="16384" width="9.109375" style="16"/>
  </cols>
  <sheetData>
    <row r="1" spans="1:11" ht="15" thickTop="1">
      <c r="A1" s="12" t="s">
        <v>60</v>
      </c>
      <c r="B1" s="13"/>
      <c r="C1" s="13"/>
      <c r="D1" s="13"/>
      <c r="E1" s="13"/>
      <c r="F1" s="13"/>
      <c r="G1" s="14"/>
      <c r="H1" s="15"/>
    </row>
    <row r="2" spans="1:11" ht="18" customHeight="1">
      <c r="A2" s="17" t="s">
        <v>61</v>
      </c>
      <c r="B2" s="18"/>
      <c r="C2" s="18"/>
      <c r="D2" s="18"/>
      <c r="E2" s="18"/>
      <c r="F2" s="18"/>
      <c r="G2" s="19"/>
      <c r="H2" s="20"/>
    </row>
    <row r="3" spans="1:11" ht="16.5" customHeight="1">
      <c r="A3" s="21" t="s">
        <v>62</v>
      </c>
      <c r="B3" s="22"/>
      <c r="C3" s="22"/>
      <c r="D3" s="22"/>
      <c r="E3" s="22"/>
      <c r="F3" s="22"/>
      <c r="G3" s="23"/>
      <c r="H3" s="20"/>
    </row>
    <row r="4" spans="1:11" ht="13.5" customHeight="1" thickBot="1">
      <c r="A4" s="24"/>
      <c r="B4" s="25"/>
      <c r="C4" s="25"/>
      <c r="D4" s="25"/>
      <c r="E4" s="25"/>
      <c r="F4" s="25"/>
      <c r="G4" s="26"/>
      <c r="H4" s="20"/>
    </row>
    <row r="5" spans="1:11" ht="15" customHeight="1" thickTop="1" thickBot="1">
      <c r="A5" s="27"/>
      <c r="B5" s="28" t="s">
        <v>63</v>
      </c>
      <c r="C5" s="28"/>
      <c r="D5" s="28"/>
      <c r="E5" s="28"/>
      <c r="F5" s="28"/>
      <c r="G5" s="29"/>
      <c r="H5" s="20"/>
    </row>
    <row r="6" spans="1:11" ht="7.5" customHeight="1" thickTop="1" thickBot="1">
      <c r="A6" s="30"/>
      <c r="B6" s="31"/>
      <c r="C6" s="31"/>
      <c r="D6" s="31"/>
      <c r="E6" s="31"/>
      <c r="F6" s="31"/>
      <c r="G6" s="32"/>
      <c r="H6" s="20"/>
    </row>
    <row r="7" spans="1:11" ht="4.5" customHeight="1">
      <c r="A7" s="33"/>
      <c r="B7" s="34"/>
      <c r="C7" s="34"/>
      <c r="D7" s="34"/>
      <c r="E7" s="34"/>
      <c r="F7" s="34"/>
      <c r="G7" s="35"/>
      <c r="H7" s="20"/>
    </row>
    <row r="8" spans="1:11" ht="13.2" customHeight="1">
      <c r="A8" s="30"/>
      <c r="B8" s="36" t="s">
        <v>2</v>
      </c>
      <c r="C8" s="36"/>
      <c r="D8" s="36"/>
      <c r="E8" s="36"/>
      <c r="F8" s="36"/>
      <c r="G8" s="32"/>
      <c r="H8" s="20"/>
    </row>
    <row r="9" spans="1:11">
      <c r="A9" s="30"/>
      <c r="B9" s="37"/>
      <c r="C9" s="37"/>
      <c r="D9" s="37"/>
      <c r="E9" s="37"/>
      <c r="F9" s="37"/>
      <c r="G9" s="32"/>
      <c r="H9" s="20"/>
    </row>
    <row r="10" spans="1:11" ht="27" customHeight="1">
      <c r="A10" s="30"/>
      <c r="B10" s="37" t="s">
        <v>3</v>
      </c>
      <c r="C10" s="38" t="s">
        <v>4</v>
      </c>
      <c r="D10" s="39"/>
      <c r="E10" s="39"/>
      <c r="F10" s="40"/>
      <c r="G10" s="32"/>
      <c r="H10" s="20"/>
    </row>
    <row r="11" spans="1:11">
      <c r="A11" s="30"/>
      <c r="B11" s="37"/>
      <c r="C11" s="41"/>
      <c r="D11" s="41"/>
      <c r="E11" s="41"/>
      <c r="F11" s="41"/>
      <c r="G11" s="32"/>
      <c r="H11" s="20"/>
    </row>
    <row r="12" spans="1:11">
      <c r="A12" s="30"/>
      <c r="B12" s="37" t="s">
        <v>5</v>
      </c>
      <c r="C12" s="41"/>
      <c r="D12" s="41"/>
      <c r="E12" s="41"/>
      <c r="F12" s="42" t="s">
        <v>59</v>
      </c>
      <c r="G12" s="32"/>
      <c r="H12" s="20"/>
      <c r="K12" s="43" t="str">
        <f>IF(F12="","PREENCHER SE A OBRA POSSUI FOLHA DE PAGAMENTO DESONERADA","")</f>
        <v/>
      </c>
    </row>
    <row r="13" spans="1:11">
      <c r="A13" s="30"/>
      <c r="B13" s="44" t="s">
        <v>6</v>
      </c>
      <c r="C13" s="41"/>
      <c r="D13" s="41"/>
      <c r="E13" s="41"/>
      <c r="F13" s="41"/>
      <c r="G13" s="32"/>
      <c r="H13" s="20"/>
    </row>
    <row r="14" spans="1:11" ht="6" customHeight="1">
      <c r="A14" s="30"/>
      <c r="B14" s="37"/>
      <c r="C14" s="37"/>
      <c r="D14" s="37"/>
      <c r="E14" s="44"/>
      <c r="F14" s="37"/>
      <c r="G14" s="32"/>
      <c r="H14" s="20"/>
    </row>
    <row r="15" spans="1:11">
      <c r="A15" s="30"/>
      <c r="B15" s="37" t="s">
        <v>7</v>
      </c>
      <c r="C15" s="37"/>
      <c r="D15" s="37"/>
      <c r="E15" s="44"/>
      <c r="F15" s="37"/>
      <c r="G15" s="32"/>
      <c r="H15" s="20"/>
    </row>
    <row r="16" spans="1:11" ht="102.6" customHeight="1">
      <c r="A16" s="30"/>
      <c r="B16" s="45" t="str">
        <f>IF(C10="","",VLOOKUP(BU299,BV261:BW266,2,0))</f>
        <v>A construção de usinas, estações e subestações hidrelétricas, eólicas, nucleares, termoelétricas; a construção de redes de transmissão e distribuição de energia elétrica, inclusive o serviço de eletrificação rural. Esta subclasse compreende também: a construção de redes de eletrificação para ferrovias e metropolitano, conforme classificação 4221-9/02 do CNAE 2.0. Compreende ainda: a manutenção de redes de distribuição de energia elétrica, quando executada por empresa não-produtora ou distribuidora de energia elétrica, conforme classificação 4221-9/03 do CNAE 2.0. Enquadram-se também obras de iluminação pública e a construção de barragens e represas para geração de energia elétrica.</v>
      </c>
      <c r="C16" s="46"/>
      <c r="D16" s="46"/>
      <c r="E16" s="46"/>
      <c r="F16" s="47"/>
      <c r="G16" s="32"/>
      <c r="H16" s="20"/>
    </row>
    <row r="17" spans="1:48" ht="6.75" customHeight="1">
      <c r="A17" s="30"/>
      <c r="B17" s="37"/>
      <c r="C17" s="37"/>
      <c r="D17" s="37"/>
      <c r="E17" s="44"/>
      <c r="F17" s="37"/>
      <c r="G17" s="32"/>
      <c r="H17" s="20"/>
    </row>
    <row r="18" spans="1:48">
      <c r="A18" s="30"/>
      <c r="B18" s="37" t="s">
        <v>8</v>
      </c>
      <c r="C18" s="37"/>
      <c r="D18" s="37"/>
      <c r="E18" s="44"/>
      <c r="F18" s="37"/>
      <c r="G18" s="32"/>
      <c r="H18" s="20"/>
    </row>
    <row r="19" spans="1:48" ht="5.4" customHeight="1">
      <c r="A19" s="30"/>
      <c r="B19" s="37"/>
      <c r="C19" s="37"/>
      <c r="D19" s="37"/>
      <c r="E19" s="44"/>
      <c r="F19" s="37"/>
      <c r="G19" s="32"/>
      <c r="H19" s="20"/>
    </row>
    <row r="20" spans="1:48">
      <c r="A20" s="30"/>
      <c r="B20" s="37" t="s">
        <v>9</v>
      </c>
      <c r="C20" s="37"/>
      <c r="D20" s="48">
        <v>3.6499999999999998E-2</v>
      </c>
      <c r="E20" s="48"/>
      <c r="F20" s="48"/>
      <c r="G20" s="32"/>
      <c r="H20" s="20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</row>
    <row r="21" spans="1:48" ht="6.6" customHeight="1">
      <c r="A21" s="30"/>
      <c r="B21" s="37"/>
      <c r="C21" s="37"/>
      <c r="D21" s="37"/>
      <c r="E21" s="50"/>
      <c r="F21" s="50"/>
      <c r="G21" s="32"/>
      <c r="H21" s="20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</row>
    <row r="22" spans="1:48" ht="24.75" customHeight="1">
      <c r="A22" s="30"/>
      <c r="B22" s="37" t="s">
        <v>10</v>
      </c>
      <c r="C22" s="37"/>
      <c r="D22" s="51" t="s">
        <v>11</v>
      </c>
      <c r="E22" s="51"/>
      <c r="F22" s="51"/>
      <c r="G22" s="32"/>
      <c r="H22" s="20"/>
      <c r="K22" s="52"/>
    </row>
    <row r="23" spans="1:48">
      <c r="A23" s="30"/>
      <c r="B23" s="53">
        <v>0.05</v>
      </c>
      <c r="C23" s="54"/>
      <c r="D23" s="48">
        <v>0.4</v>
      </c>
      <c r="E23" s="48"/>
      <c r="F23" s="48"/>
      <c r="G23" s="32"/>
      <c r="H23" s="20"/>
      <c r="K23" s="52"/>
    </row>
    <row r="24" spans="1:48">
      <c r="A24" s="30"/>
      <c r="B24" s="41"/>
      <c r="C24" s="37"/>
      <c r="D24" s="37"/>
      <c r="E24" s="37"/>
      <c r="F24" s="37"/>
      <c r="G24" s="32"/>
      <c r="H24" s="20"/>
      <c r="K24" s="52"/>
    </row>
    <row r="25" spans="1:48">
      <c r="A25" s="30"/>
      <c r="B25" s="37" t="s">
        <v>12</v>
      </c>
      <c r="C25" s="55">
        <f>+B23*D23</f>
        <v>2.0000000000000004E-2</v>
      </c>
      <c r="D25" s="56"/>
      <c r="E25" s="57"/>
      <c r="F25" s="41"/>
      <c r="G25" s="32"/>
      <c r="H25" s="20"/>
      <c r="K25" s="52"/>
    </row>
    <row r="26" spans="1:48" ht="4.5" customHeight="1">
      <c r="A26" s="30"/>
      <c r="B26" s="41"/>
      <c r="C26" s="55"/>
      <c r="D26" s="41"/>
      <c r="E26" s="41"/>
      <c r="F26" s="41"/>
      <c r="G26" s="32"/>
      <c r="H26" s="20"/>
      <c r="K26" s="52"/>
    </row>
    <row r="27" spans="1:48">
      <c r="A27" s="30"/>
      <c r="B27" s="41"/>
      <c r="C27" s="41"/>
      <c r="D27" s="58" t="s">
        <v>13</v>
      </c>
      <c r="E27" s="58"/>
      <c r="F27" s="59">
        <f>D20+C25</f>
        <v>5.6500000000000002E-2</v>
      </c>
      <c r="G27" s="32"/>
      <c r="H27" s="20"/>
      <c r="K27" s="52"/>
    </row>
    <row r="28" spans="1:48" ht="6" customHeight="1">
      <c r="A28" s="30"/>
      <c r="B28" s="41"/>
      <c r="C28" s="55"/>
      <c r="D28" s="41"/>
      <c r="E28" s="41"/>
      <c r="F28" s="41"/>
      <c r="G28" s="32"/>
      <c r="H28" s="20"/>
      <c r="K28" s="52"/>
    </row>
    <row r="29" spans="1:48">
      <c r="A29" s="30"/>
      <c r="B29" s="60" t="s">
        <v>14</v>
      </c>
      <c r="C29" s="60"/>
      <c r="D29" s="60"/>
      <c r="E29" s="60"/>
      <c r="F29" s="60"/>
      <c r="G29" s="32"/>
      <c r="H29" s="20"/>
      <c r="K29" s="52"/>
      <c r="M29" s="61"/>
    </row>
    <row r="30" spans="1:48" ht="15" thickBot="1">
      <c r="A30" s="62"/>
      <c r="B30" s="63"/>
      <c r="C30" s="63"/>
      <c r="D30" s="63"/>
      <c r="E30" s="63"/>
      <c r="F30" s="63"/>
      <c r="G30" s="64"/>
      <c r="H30" s="20"/>
      <c r="K30" s="52"/>
    </row>
    <row r="31" spans="1:48" ht="15" hidden="1" thickBot="1">
      <c r="A31" s="30"/>
      <c r="B31" s="41"/>
      <c r="C31" s="41"/>
      <c r="D31" s="41"/>
      <c r="E31" s="41"/>
      <c r="F31" s="41"/>
      <c r="G31" s="32"/>
      <c r="H31" s="20"/>
      <c r="K31" s="52"/>
    </row>
    <row r="32" spans="1:48" ht="6.75" customHeight="1">
      <c r="A32" s="33"/>
      <c r="B32" s="65"/>
      <c r="C32" s="65"/>
      <c r="D32" s="65"/>
      <c r="E32" s="65"/>
      <c r="F32" s="65"/>
      <c r="G32" s="35"/>
      <c r="H32" s="20"/>
      <c r="K32" s="52"/>
    </row>
    <row r="33" spans="1:11">
      <c r="A33" s="30"/>
      <c r="B33" s="58" t="s">
        <v>15</v>
      </c>
      <c r="C33" s="58"/>
      <c r="D33" s="58"/>
      <c r="E33" s="58"/>
      <c r="F33" s="58"/>
      <c r="G33" s="32"/>
      <c r="H33" s="20"/>
      <c r="K33" s="52"/>
    </row>
    <row r="34" spans="1:11">
      <c r="A34" s="30"/>
      <c r="B34" s="58"/>
      <c r="C34" s="58"/>
      <c r="D34" s="58"/>
      <c r="E34" s="58"/>
      <c r="F34" s="58"/>
      <c r="G34" s="32"/>
      <c r="H34" s="20"/>
      <c r="K34" s="52"/>
    </row>
    <row r="35" spans="1:11">
      <c r="A35" s="30"/>
      <c r="B35" s="66" t="s">
        <v>16</v>
      </c>
      <c r="C35" s="66" t="s">
        <v>17</v>
      </c>
      <c r="D35" s="66" t="s">
        <v>18</v>
      </c>
      <c r="E35" s="66" t="s">
        <v>19</v>
      </c>
      <c r="F35" s="66" t="s">
        <v>20</v>
      </c>
      <c r="G35" s="32"/>
      <c r="H35" s="20"/>
      <c r="I35" s="67" t="s">
        <v>21</v>
      </c>
      <c r="K35" s="52"/>
    </row>
    <row r="36" spans="1:11">
      <c r="A36" s="30"/>
      <c r="B36" s="68" t="s">
        <v>22</v>
      </c>
      <c r="C36" s="69">
        <f t="shared" ref="C36:E40" si="0">BV300</f>
        <v>5.2900000000000003E-2</v>
      </c>
      <c r="D36" s="69">
        <f>BW300</f>
        <v>5.9200000000000003E-2</v>
      </c>
      <c r="E36" s="69">
        <f>BX300</f>
        <v>7.9299999999999995E-2</v>
      </c>
      <c r="F36" s="70">
        <v>5.9200000000000003E-2</v>
      </c>
      <c r="G36" s="71"/>
      <c r="H36" s="72"/>
      <c r="I36" s="73">
        <f>TRUNC(F36,4)</f>
        <v>5.9200000000000003E-2</v>
      </c>
      <c r="K36" s="43" t="str">
        <f>IF(F36&lt;&gt;"",IF(OR(F36&gt;E36,F36&lt;C36),"CORRIGIR % ADOTADO",""),"")</f>
        <v/>
      </c>
    </row>
    <row r="37" spans="1:11">
      <c r="A37" s="30"/>
      <c r="B37" s="68" t="s">
        <v>23</v>
      </c>
      <c r="C37" s="69">
        <f t="shared" si="0"/>
        <v>2.5000000000000001E-3</v>
      </c>
      <c r="D37" s="69">
        <f t="shared" si="0"/>
        <v>5.1000000000000004E-3</v>
      </c>
      <c r="E37" s="69">
        <f t="shared" si="0"/>
        <v>5.5999999999999999E-3</v>
      </c>
      <c r="F37" s="74">
        <v>5.1000000000000004E-3</v>
      </c>
      <c r="G37" s="71"/>
      <c r="H37" s="72"/>
      <c r="I37" s="73">
        <f>TRUNC(F37,4)</f>
        <v>5.1000000000000004E-3</v>
      </c>
      <c r="K37" s="43" t="str">
        <f>IF(F37&lt;&gt;"",IF(OR(F37&gt;E37,F37&lt;C37),"CORRIGIR % ADOTADO",""),"")</f>
        <v/>
      </c>
    </row>
    <row r="38" spans="1:11">
      <c r="A38" s="30"/>
      <c r="B38" s="68" t="s">
        <v>0</v>
      </c>
      <c r="C38" s="69">
        <f t="shared" si="0"/>
        <v>0.01</v>
      </c>
      <c r="D38" s="69">
        <f t="shared" si="0"/>
        <v>1.4800000000000001E-2</v>
      </c>
      <c r="E38" s="69">
        <f t="shared" si="0"/>
        <v>1.9699999999999999E-2</v>
      </c>
      <c r="F38" s="74">
        <v>1.4800000000000001E-2</v>
      </c>
      <c r="G38" s="71"/>
      <c r="H38" s="72"/>
      <c r="I38" s="73">
        <f>TRUNC(F38,4)</f>
        <v>1.4800000000000001E-2</v>
      </c>
      <c r="K38" s="43" t="str">
        <f>IF(F38&lt;&gt;"",IF(OR(F38&gt;E38,F38&lt;C38),"CORRIGIR % ADOTADO",""),"")</f>
        <v/>
      </c>
    </row>
    <row r="39" spans="1:11">
      <c r="A39" s="30"/>
      <c r="B39" s="68" t="s">
        <v>24</v>
      </c>
      <c r="C39" s="69">
        <f t="shared" si="0"/>
        <v>1.01E-2</v>
      </c>
      <c r="D39" s="69">
        <f t="shared" si="0"/>
        <v>1.0699999999999999E-2</v>
      </c>
      <c r="E39" s="69">
        <f t="shared" si="0"/>
        <v>1.11E-2</v>
      </c>
      <c r="F39" s="74">
        <v>1.0699999999999999E-2</v>
      </c>
      <c r="G39" s="71"/>
      <c r="H39" s="72"/>
      <c r="I39" s="73">
        <f>TRUNC(F39,4)</f>
        <v>1.0699999999999999E-2</v>
      </c>
      <c r="K39" s="43" t="str">
        <f>IF(F39&lt;&gt;"",IF(OR(F39&gt;E39,F39&lt;C39),"CORRIGIR % ADOTADO",""),"")</f>
        <v/>
      </c>
    </row>
    <row r="40" spans="1:11">
      <c r="A40" s="30"/>
      <c r="B40" s="68" t="s">
        <v>25</v>
      </c>
      <c r="C40" s="69">
        <f t="shared" si="0"/>
        <v>0.08</v>
      </c>
      <c r="D40" s="69">
        <f t="shared" si="0"/>
        <v>8.3099999999999993E-2</v>
      </c>
      <c r="E40" s="69">
        <f t="shared" si="0"/>
        <v>9.5100000000000004E-2</v>
      </c>
      <c r="F40" s="75">
        <v>8.14E-2</v>
      </c>
      <c r="G40" s="71"/>
      <c r="H40" s="72"/>
      <c r="I40" s="73">
        <f>TRUNC(F40,4)</f>
        <v>8.14E-2</v>
      </c>
      <c r="K40" s="43" t="str">
        <f>IF(F40&lt;&gt;"",IF(OR(F40&gt;E40,F40&lt;C40),"CORRIGIR % ADOTADO",""),"")</f>
        <v/>
      </c>
    </row>
    <row r="41" spans="1:11">
      <c r="A41" s="30"/>
      <c r="B41" s="68"/>
      <c r="C41" s="69"/>
      <c r="D41" s="69"/>
      <c r="E41" s="69"/>
      <c r="F41" s="41"/>
      <c r="G41" s="71"/>
      <c r="H41" s="72"/>
    </row>
    <row r="42" spans="1:11">
      <c r="A42" s="30"/>
      <c r="B42" s="76" t="s">
        <v>26</v>
      </c>
      <c r="C42" s="69"/>
      <c r="D42" s="69"/>
      <c r="E42" s="69"/>
      <c r="F42" s="77">
        <f>F27</f>
        <v>5.6500000000000002E-2</v>
      </c>
      <c r="G42" s="71"/>
      <c r="H42" s="72"/>
      <c r="I42" s="78">
        <f>TRUNC(F42,5)</f>
        <v>5.6500000000000002E-2</v>
      </c>
    </row>
    <row r="43" spans="1:11">
      <c r="A43" s="30"/>
      <c r="B43" s="76"/>
      <c r="C43" s="69"/>
      <c r="D43" s="69"/>
      <c r="E43" s="69"/>
      <c r="F43" s="77"/>
      <c r="G43" s="71"/>
      <c r="H43" s="72"/>
      <c r="I43" s="78"/>
    </row>
    <row r="44" spans="1:11">
      <c r="A44" s="30"/>
      <c r="B44" s="41"/>
      <c r="C44" s="41"/>
      <c r="D44" s="41"/>
      <c r="E44" s="41"/>
      <c r="F44" s="41"/>
      <c r="G44" s="71"/>
      <c r="H44" s="72"/>
    </row>
    <row r="45" spans="1:11">
      <c r="A45" s="30"/>
      <c r="B45" s="41"/>
      <c r="C45" s="41"/>
      <c r="D45" s="41"/>
      <c r="E45" s="41"/>
      <c r="F45" s="41"/>
      <c r="G45" s="32"/>
      <c r="H45" s="72"/>
    </row>
    <row r="46" spans="1:11">
      <c r="A46" s="30"/>
      <c r="B46" s="41"/>
      <c r="C46" s="41"/>
      <c r="D46" s="41"/>
      <c r="E46" s="41"/>
      <c r="F46" s="41"/>
      <c r="G46" s="32"/>
      <c r="H46" s="20"/>
    </row>
    <row r="47" spans="1:11">
      <c r="A47" s="30"/>
      <c r="B47" s="41"/>
      <c r="C47" s="41"/>
      <c r="D47" s="41"/>
      <c r="E47" s="41"/>
      <c r="F47" s="41"/>
      <c r="G47" s="32"/>
      <c r="H47" s="20"/>
    </row>
    <row r="48" spans="1:11">
      <c r="A48" s="30"/>
      <c r="B48" s="41"/>
      <c r="C48" s="41"/>
      <c r="D48" s="41"/>
      <c r="E48" s="41"/>
      <c r="F48" s="41"/>
      <c r="G48" s="32"/>
      <c r="H48" s="20"/>
    </row>
    <row r="49" spans="1:48">
      <c r="A49" s="30"/>
      <c r="B49" s="1" t="s">
        <v>27</v>
      </c>
      <c r="C49" s="41"/>
      <c r="D49" s="41"/>
      <c r="E49" s="79">
        <f>ROUND((((1+I36+I37+I38)*(1+I39)*(1+I40))/(1-I42))-1,3)</f>
        <v>0.25</v>
      </c>
      <c r="F49" s="79"/>
      <c r="G49" s="32"/>
      <c r="H49" s="20"/>
      <c r="K49" s="80" t="str">
        <f>IF(F12="SIM","PARA SIMPLES CONFERÊNCIA","")</f>
        <v/>
      </c>
    </row>
    <row r="50" spans="1:48" ht="7.5" customHeight="1" thickBot="1">
      <c r="A50" s="30"/>
      <c r="B50" s="1"/>
      <c r="C50" s="41"/>
      <c r="D50" s="41"/>
      <c r="E50" s="81"/>
      <c r="F50" s="81"/>
      <c r="G50" s="32"/>
      <c r="H50" s="20"/>
    </row>
    <row r="51" spans="1:48" ht="15.6" thickTop="1" thickBot="1">
      <c r="A51" s="30"/>
      <c r="B51" s="82" t="str">
        <f>IF(E49&lt;C54,"ERRO - BDI INFERIOR AO 1º QUARTIL",IF(E49&gt;E54,"ERRO - BDI SUPERIOR AO 3º QUARTIL","BDI CONFORME"))</f>
        <v>BDI CONFORME</v>
      </c>
      <c r="C51" s="83"/>
      <c r="D51" s="83"/>
      <c r="E51" s="83"/>
      <c r="F51" s="84"/>
      <c r="G51" s="32"/>
      <c r="H51" s="20"/>
    </row>
    <row r="52" spans="1:48" ht="9.75" customHeight="1" thickTop="1">
      <c r="A52" s="30"/>
      <c r="B52" s="85"/>
      <c r="C52" s="85"/>
      <c r="D52" s="85"/>
      <c r="E52" s="85"/>
      <c r="F52" s="85"/>
      <c r="G52" s="32"/>
      <c r="H52" s="20"/>
    </row>
    <row r="53" spans="1:48">
      <c r="A53" s="30"/>
      <c r="B53" s="41"/>
      <c r="C53" s="86" t="s">
        <v>17</v>
      </c>
      <c r="D53" s="86" t="s">
        <v>18</v>
      </c>
      <c r="E53" s="86" t="s">
        <v>19</v>
      </c>
      <c r="F53" s="41"/>
      <c r="G53" s="32"/>
      <c r="H53" s="20"/>
    </row>
    <row r="54" spans="1:48" ht="15" thickBot="1">
      <c r="A54" s="24"/>
      <c r="B54" s="87" t="s">
        <v>28</v>
      </c>
      <c r="C54" s="88">
        <f>BV299</f>
        <v>0.24</v>
      </c>
      <c r="D54" s="88">
        <f>BW299</f>
        <v>0.25840000000000002</v>
      </c>
      <c r="E54" s="88">
        <f>BX299</f>
        <v>0.27860000000000001</v>
      </c>
      <c r="F54" s="25"/>
      <c r="G54" s="26"/>
      <c r="H54" s="89"/>
    </row>
    <row r="55" spans="1:48" ht="15" thickTop="1">
      <c r="A55" s="90"/>
      <c r="B55" s="91"/>
      <c r="C55" s="92"/>
      <c r="D55" s="92"/>
      <c r="E55" s="92"/>
      <c r="F55" s="41"/>
      <c r="G55" s="93"/>
    </row>
    <row r="56" spans="1:48">
      <c r="A56" s="90"/>
      <c r="B56" s="58" t="s">
        <v>29</v>
      </c>
      <c r="C56" s="58"/>
      <c r="D56" s="58"/>
      <c r="E56" s="58"/>
      <c r="F56" s="58"/>
      <c r="G56" s="93"/>
    </row>
    <row r="57" spans="1:48" ht="15" thickBot="1">
      <c r="A57" s="90"/>
      <c r="B57" s="31"/>
      <c r="C57" s="31"/>
      <c r="D57" s="31"/>
      <c r="E57" s="31"/>
      <c r="F57" s="31"/>
      <c r="G57" s="93"/>
    </row>
    <row r="58" spans="1:48" ht="15.6" thickTop="1" thickBot="1">
      <c r="A58" s="90"/>
      <c r="B58" s="2" t="s">
        <v>30</v>
      </c>
      <c r="C58" s="2"/>
      <c r="D58" s="2"/>
      <c r="E58" s="94">
        <f>ROUND((((1+I36+I37+I38)*(1+I39)*(1+I40))/(1-I60))-1,4)</f>
        <v>0.31269999999999998</v>
      </c>
      <c r="F58" s="95"/>
      <c r="G58" s="93"/>
      <c r="K58" s="96" t="str">
        <f>IF(F12="SIM","UTILIZAR BDI C/ DESONERAÇÃO","")</f>
        <v/>
      </c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</row>
    <row r="59" spans="1:48" ht="15" thickTop="1">
      <c r="A59" s="90"/>
      <c r="B59" s="91"/>
      <c r="C59" s="92"/>
      <c r="D59" s="92"/>
      <c r="E59" s="92"/>
      <c r="F59" s="41"/>
      <c r="G59" s="93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</row>
    <row r="60" spans="1:48" ht="28.8">
      <c r="A60" s="90"/>
      <c r="B60" s="98" t="s">
        <v>31</v>
      </c>
      <c r="C60" s="55">
        <v>4.4999999999999998E-2</v>
      </c>
      <c r="D60" s="58" t="s">
        <v>13</v>
      </c>
      <c r="E60" s="58"/>
      <c r="F60" s="59">
        <f>+F27+C60</f>
        <v>0.10150000000000001</v>
      </c>
      <c r="G60" s="93"/>
      <c r="I60" s="78">
        <f>TRUNC(F60,5)</f>
        <v>0.10150000000000001</v>
      </c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</row>
    <row r="61" spans="1:48" ht="15" thickBot="1">
      <c r="A61" s="99"/>
      <c r="B61" s="100"/>
      <c r="C61" s="101"/>
      <c r="D61" s="101"/>
      <c r="E61" s="101"/>
      <c r="F61" s="102"/>
      <c r="G61" s="103"/>
    </row>
    <row r="65" spans="9:11">
      <c r="I65" s="104"/>
      <c r="J65" s="104"/>
      <c r="K65" s="104"/>
    </row>
    <row r="66" spans="9:11">
      <c r="I66" s="105"/>
    </row>
    <row r="67" spans="9:11">
      <c r="I67" s="106"/>
    </row>
    <row r="68" spans="9:11">
      <c r="I68" s="106"/>
    </row>
    <row r="69" spans="9:11">
      <c r="I69" s="107"/>
    </row>
    <row r="70" spans="9:11">
      <c r="I70" s="106"/>
    </row>
    <row r="71" spans="9:11">
      <c r="I71" s="106"/>
    </row>
    <row r="72" spans="9:11">
      <c r="I72" s="106"/>
    </row>
    <row r="73" spans="9:11">
      <c r="I73" s="106"/>
    </row>
    <row r="74" spans="9:11">
      <c r="I74" s="106"/>
    </row>
    <row r="77" spans="9:11">
      <c r="I77" s="104"/>
    </row>
    <row r="78" spans="9:11">
      <c r="I78" s="61"/>
    </row>
    <row r="79" spans="9:11">
      <c r="I79" s="61"/>
    </row>
    <row r="80" spans="9:11">
      <c r="I80" s="61"/>
    </row>
    <row r="81" spans="9:15">
      <c r="I81" s="61"/>
    </row>
    <row r="82" spans="9:15">
      <c r="I82" s="61"/>
    </row>
    <row r="83" spans="9:15">
      <c r="I83" s="61"/>
    </row>
    <row r="84" spans="9:15">
      <c r="I84" s="61"/>
    </row>
    <row r="85" spans="9:15">
      <c r="I85" s="61"/>
    </row>
    <row r="86" spans="9:15">
      <c r="I86" s="61"/>
    </row>
    <row r="87" spans="9:15">
      <c r="I87" s="108"/>
    </row>
    <row r="88" spans="9:15">
      <c r="I88" s="108"/>
    </row>
    <row r="89" spans="9:15">
      <c r="I89" s="108"/>
    </row>
    <row r="93" spans="9:15">
      <c r="N93" s="61"/>
      <c r="O93" s="73"/>
    </row>
    <row r="94" spans="9:15">
      <c r="N94" s="61"/>
      <c r="O94" s="73"/>
    </row>
    <row r="95" spans="9:15">
      <c r="N95" s="61"/>
      <c r="O95" s="73"/>
    </row>
    <row r="96" spans="9:15">
      <c r="N96" s="61"/>
      <c r="O96" s="73"/>
    </row>
    <row r="97" spans="14:15">
      <c r="N97" s="61"/>
      <c r="O97" s="73"/>
    </row>
    <row r="98" spans="14:15">
      <c r="N98" s="61"/>
      <c r="O98" s="73"/>
    </row>
    <row r="99" spans="14:15">
      <c r="N99" s="61"/>
      <c r="O99" s="73"/>
    </row>
    <row r="100" spans="14:15">
      <c r="N100" s="61"/>
      <c r="O100" s="73"/>
    </row>
    <row r="101" spans="14:15">
      <c r="N101" s="61"/>
      <c r="O101" s="73"/>
    </row>
    <row r="102" spans="14:15">
      <c r="N102" s="61"/>
      <c r="O102" s="73"/>
    </row>
    <row r="103" spans="14:15">
      <c r="N103" s="61"/>
      <c r="O103" s="73"/>
    </row>
    <row r="104" spans="14:15">
      <c r="N104" s="61"/>
    </row>
    <row r="105" spans="14:15">
      <c r="N105" s="61"/>
    </row>
    <row r="106" spans="14:15">
      <c r="N106" s="61"/>
    </row>
    <row r="107" spans="14:15">
      <c r="N107" s="61"/>
    </row>
    <row r="258" spans="72:87" ht="15" thickBot="1"/>
    <row r="259" spans="72:87">
      <c r="BT259" s="109" t="s">
        <v>32</v>
      </c>
      <c r="BU259" s="110"/>
      <c r="BV259" s="110"/>
      <c r="BW259" s="110"/>
      <c r="BX259" s="111"/>
    </row>
    <row r="260" spans="72:87">
      <c r="BT260" s="112"/>
      <c r="BU260" s="16" t="s">
        <v>33</v>
      </c>
      <c r="BV260" s="16" t="s">
        <v>34</v>
      </c>
      <c r="BW260" s="16" t="s">
        <v>35</v>
      </c>
      <c r="BX260" s="113"/>
    </row>
    <row r="261" spans="72:87">
      <c r="BT261" s="114">
        <v>100</v>
      </c>
      <c r="BU261" s="3" t="s">
        <v>36</v>
      </c>
      <c r="BV261" s="96">
        <f t="shared" ref="BV261:BV266" si="1">+BT261</f>
        <v>100</v>
      </c>
      <c r="BW261" s="115" t="s">
        <v>37</v>
      </c>
      <c r="BX261" s="113"/>
    </row>
    <row r="262" spans="72:87" ht="28.8">
      <c r="BT262" s="114">
        <v>200</v>
      </c>
      <c r="BU262" s="3" t="s">
        <v>38</v>
      </c>
      <c r="BV262" s="96">
        <f t="shared" si="1"/>
        <v>200</v>
      </c>
      <c r="BW262" s="115" t="s">
        <v>39</v>
      </c>
      <c r="BX262" s="113"/>
    </row>
    <row r="263" spans="72:87" ht="57.6">
      <c r="BT263" s="114">
        <v>300</v>
      </c>
      <c r="BU263" s="3" t="s">
        <v>40</v>
      </c>
      <c r="BV263" s="96">
        <f t="shared" si="1"/>
        <v>300</v>
      </c>
      <c r="BW263" s="115" t="s">
        <v>41</v>
      </c>
      <c r="BX263" s="113"/>
    </row>
    <row r="264" spans="72:87" ht="43.2">
      <c r="BT264" s="114">
        <v>400</v>
      </c>
      <c r="BU264" s="3" t="s">
        <v>4</v>
      </c>
      <c r="BV264" s="96">
        <f t="shared" si="1"/>
        <v>400</v>
      </c>
      <c r="BW264" s="115" t="s">
        <v>42</v>
      </c>
      <c r="BX264" s="113"/>
    </row>
    <row r="265" spans="72:87">
      <c r="BT265" s="114">
        <v>500</v>
      </c>
      <c r="BU265" s="3" t="s">
        <v>43</v>
      </c>
      <c r="BV265" s="96">
        <f t="shared" si="1"/>
        <v>500</v>
      </c>
      <c r="BW265" s="115" t="s">
        <v>44</v>
      </c>
      <c r="BX265" s="113"/>
    </row>
    <row r="266" spans="72:87" ht="28.8">
      <c r="BT266" s="114">
        <v>600</v>
      </c>
      <c r="BU266" s="3" t="s">
        <v>45</v>
      </c>
      <c r="BV266" s="96">
        <f t="shared" si="1"/>
        <v>600</v>
      </c>
      <c r="BW266" s="115" t="s">
        <v>46</v>
      </c>
      <c r="BX266" s="113"/>
    </row>
    <row r="267" spans="72:87">
      <c r="BT267" s="114"/>
      <c r="BU267" s="96"/>
      <c r="BV267" s="96"/>
      <c r="BW267" s="115"/>
      <c r="BX267" s="113"/>
    </row>
    <row r="268" spans="72:87">
      <c r="BT268" s="116"/>
      <c r="BU268" s="115"/>
      <c r="BV268" s="115"/>
      <c r="BW268" s="115"/>
      <c r="BX268" s="113"/>
    </row>
    <row r="269" spans="72:87">
      <c r="BT269" s="116"/>
      <c r="BU269" s="115"/>
      <c r="BV269" s="115"/>
      <c r="BW269" s="115"/>
      <c r="BX269" s="113"/>
      <c r="CF269" s="16" t="s">
        <v>1</v>
      </c>
      <c r="CG269" s="16" t="s">
        <v>47</v>
      </c>
      <c r="CH269" s="16" t="s">
        <v>48</v>
      </c>
    </row>
    <row r="270" spans="72:87">
      <c r="BT270" s="112"/>
      <c r="BX270" s="113"/>
      <c r="CE270" s="16" t="s">
        <v>49</v>
      </c>
      <c r="CF270" s="73">
        <v>6.4999999999999997E-3</v>
      </c>
      <c r="CG270" s="117">
        <v>0.03</v>
      </c>
      <c r="CH270" s="16" t="s">
        <v>50</v>
      </c>
      <c r="CI270" s="73" t="e">
        <f>(#REF!+#REF!)+C25</f>
        <v>#REF!</v>
      </c>
    </row>
    <row r="271" spans="72:87">
      <c r="BT271" s="112"/>
      <c r="BX271" s="113"/>
      <c r="CF271" s="73">
        <v>1.6500000000000001E-2</v>
      </c>
      <c r="CG271" s="73">
        <v>7.5999999999999998E-2</v>
      </c>
      <c r="CH271" s="16" t="s">
        <v>51</v>
      </c>
      <c r="CI271" s="73" t="e">
        <f>(#REF!+#REF!)*#REF!+C25</f>
        <v>#REF!</v>
      </c>
    </row>
    <row r="272" spans="72:87">
      <c r="BT272" s="112"/>
      <c r="BX272" s="113"/>
    </row>
    <row r="273" spans="72:86">
      <c r="BT273" s="118"/>
      <c r="BU273" s="80"/>
      <c r="BV273" s="80"/>
      <c r="BX273" s="113"/>
    </row>
    <row r="274" spans="72:86">
      <c r="BT274" s="112"/>
      <c r="BX274" s="113"/>
    </row>
    <row r="275" spans="72:86" ht="15" thickBot="1">
      <c r="BT275" s="112"/>
      <c r="BX275" s="113"/>
      <c r="CD275" s="16">
        <f>BT261</f>
        <v>100</v>
      </c>
      <c r="CE275" s="119" t="str">
        <f>BU261</f>
        <v>Construção de edificios</v>
      </c>
      <c r="CF275" s="119"/>
      <c r="CG275" s="119"/>
      <c r="CH275" s="119"/>
    </row>
    <row r="276" spans="72:86" ht="15" thickBot="1">
      <c r="BT276" s="112"/>
      <c r="BX276" s="113"/>
      <c r="CD276" s="16">
        <f>+CD275+1</f>
        <v>101</v>
      </c>
      <c r="CE276" s="4" t="s">
        <v>22</v>
      </c>
      <c r="CF276" s="5">
        <v>0.03</v>
      </c>
      <c r="CG276" s="5">
        <v>0.04</v>
      </c>
      <c r="CH276" s="5">
        <v>5.5E-2</v>
      </c>
    </row>
    <row r="277" spans="72:86" ht="15" thickBot="1">
      <c r="BT277" s="112"/>
      <c r="BX277" s="113"/>
      <c r="CD277" s="16">
        <f>+CD276+1</f>
        <v>102</v>
      </c>
      <c r="CE277" s="4" t="s">
        <v>23</v>
      </c>
      <c r="CF277" s="5">
        <v>8.0000000000000002E-3</v>
      </c>
      <c r="CG277" s="5">
        <v>8.0000000000000002E-3</v>
      </c>
      <c r="CH277" s="5">
        <v>0.01</v>
      </c>
    </row>
    <row r="278" spans="72:86" ht="15" thickBot="1">
      <c r="BT278" s="112"/>
      <c r="BX278" s="113"/>
      <c r="CD278" s="16">
        <f>+CD277+1</f>
        <v>103</v>
      </c>
      <c r="CE278" s="4" t="s">
        <v>0</v>
      </c>
      <c r="CF278" s="5">
        <v>9.7000000000000003E-3</v>
      </c>
      <c r="CG278" s="5">
        <v>1.2699999999999999E-2</v>
      </c>
      <c r="CH278" s="5">
        <v>1.2699999999999999E-2</v>
      </c>
    </row>
    <row r="279" spans="72:86" ht="15" thickBot="1">
      <c r="BT279" s="118"/>
      <c r="BU279" s="80"/>
      <c r="BV279" s="80"/>
      <c r="BX279" s="113"/>
      <c r="CD279" s="16">
        <f>+CD278+1</f>
        <v>104</v>
      </c>
      <c r="CE279" s="4" t="s">
        <v>24</v>
      </c>
      <c r="CF279" s="5">
        <v>5.8999999999999999E-3</v>
      </c>
      <c r="CG279" s="5">
        <v>1.23E-2</v>
      </c>
      <c r="CH279" s="5">
        <v>1.3899999999999999E-2</v>
      </c>
    </row>
    <row r="280" spans="72:86" ht="15" thickBot="1">
      <c r="BT280" s="112"/>
      <c r="BX280" s="113"/>
      <c r="CD280" s="16">
        <f>+CD279+1</f>
        <v>105</v>
      </c>
      <c r="CE280" s="4" t="s">
        <v>25</v>
      </c>
      <c r="CF280" s="5">
        <v>6.1600000000000002E-2</v>
      </c>
      <c r="CG280" s="5">
        <v>7.3999999999999996E-2</v>
      </c>
      <c r="CH280" s="5">
        <v>8.9599999999999999E-2</v>
      </c>
    </row>
    <row r="281" spans="72:86">
      <c r="BT281" s="112"/>
      <c r="BX281" s="113"/>
    </row>
    <row r="282" spans="72:86">
      <c r="BT282" s="112"/>
      <c r="BX282" s="113"/>
    </row>
    <row r="283" spans="72:86" ht="15" thickBot="1">
      <c r="BT283" s="112"/>
      <c r="BX283" s="113"/>
      <c r="CD283" s="16">
        <f>BT262</f>
        <v>200</v>
      </c>
      <c r="CE283" s="119" t="str">
        <f>BU262</f>
        <v>Construção de rodovias e ferrovias</v>
      </c>
      <c r="CF283" s="119"/>
      <c r="CG283" s="119"/>
      <c r="CH283" s="119"/>
    </row>
    <row r="284" spans="72:86" ht="15" thickBot="1">
      <c r="BT284" s="112"/>
      <c r="BX284" s="113"/>
      <c r="CD284" s="16">
        <f>+CD283+1</f>
        <v>201</v>
      </c>
      <c r="CE284" s="4" t="s">
        <v>22</v>
      </c>
      <c r="CF284" s="5">
        <v>3.7999999999999999E-2</v>
      </c>
      <c r="CG284" s="5">
        <v>4.0099999999999997E-2</v>
      </c>
      <c r="CH284" s="5">
        <v>4.6699999999999998E-2</v>
      </c>
    </row>
    <row r="285" spans="72:86" ht="15" thickBot="1">
      <c r="BT285" s="112"/>
      <c r="BX285" s="113"/>
      <c r="CD285" s="16">
        <f>+CD284+1</f>
        <v>202</v>
      </c>
      <c r="CE285" s="4" t="s">
        <v>23</v>
      </c>
      <c r="CF285" s="5">
        <v>3.2000000000000002E-3</v>
      </c>
      <c r="CG285" s="5">
        <v>4.0000000000000001E-3</v>
      </c>
      <c r="CH285" s="5">
        <v>7.4000000000000003E-3</v>
      </c>
    </row>
    <row r="286" spans="72:86" ht="15" thickBot="1">
      <c r="BT286" s="109"/>
      <c r="BU286" s="110"/>
      <c r="BV286" s="110"/>
      <c r="BW286" s="110"/>
      <c r="BX286" s="111"/>
      <c r="CD286" s="16">
        <f>+CD285+1</f>
        <v>203</v>
      </c>
      <c r="CE286" s="4" t="s">
        <v>0</v>
      </c>
      <c r="CF286" s="5">
        <v>5.0000000000000001E-3</v>
      </c>
      <c r="CG286" s="5">
        <v>5.5999999999999999E-3</v>
      </c>
      <c r="CH286" s="5">
        <v>9.7000000000000003E-3</v>
      </c>
    </row>
    <row r="287" spans="72:86" ht="15" thickBot="1">
      <c r="BT287" s="112"/>
      <c r="BX287" s="113"/>
      <c r="CD287" s="16">
        <f>+CD286+1</f>
        <v>204</v>
      </c>
      <c r="CE287" s="4" t="s">
        <v>24</v>
      </c>
      <c r="CF287" s="5">
        <v>1.0200000000000001E-2</v>
      </c>
      <c r="CG287" s="5">
        <v>1.11E-2</v>
      </c>
      <c r="CH287" s="5">
        <v>1.21E-2</v>
      </c>
    </row>
    <row r="288" spans="72:86" ht="15" thickBot="1">
      <c r="BT288" s="112"/>
      <c r="BX288" s="113"/>
      <c r="CD288" s="16">
        <f>+CD287+1</f>
        <v>205</v>
      </c>
      <c r="CE288" s="4" t="s">
        <v>25</v>
      </c>
      <c r="CF288" s="5">
        <v>6.6400000000000001E-2</v>
      </c>
      <c r="CG288" s="5">
        <v>7.2999999999999995E-2</v>
      </c>
      <c r="CH288" s="5">
        <v>8.6900000000000005E-2</v>
      </c>
    </row>
    <row r="289" spans="72:86">
      <c r="BT289" s="112"/>
      <c r="BX289" s="113"/>
    </row>
    <row r="290" spans="72:86" ht="15" thickBot="1">
      <c r="BT290" s="120"/>
      <c r="BU290" s="121"/>
      <c r="BV290" s="121"/>
      <c r="BW290" s="121"/>
      <c r="BX290" s="122"/>
    </row>
    <row r="291" spans="72:86" ht="15" thickBot="1">
      <c r="BT291" s="109"/>
      <c r="BU291" s="110"/>
      <c r="BV291" s="110"/>
      <c r="BW291" s="110"/>
      <c r="BX291" s="111"/>
      <c r="CD291" s="16">
        <f>BT263</f>
        <v>300</v>
      </c>
      <c r="CE291" s="119" t="str">
        <f>BU263</f>
        <v>Construção de Redes de Abastecimento de Água, Coleta de Esgoto e Construções Correlatas</v>
      </c>
      <c r="CF291" s="119"/>
      <c r="CG291" s="119"/>
      <c r="CH291" s="119"/>
    </row>
    <row r="292" spans="72:86" ht="15" thickBot="1">
      <c r="BT292" s="123"/>
      <c r="BU292" s="124"/>
      <c r="BV292" s="124"/>
      <c r="BW292" s="124"/>
      <c r="BX292" s="125"/>
      <c r="CD292" s="16">
        <f>+CD291+1</f>
        <v>301</v>
      </c>
      <c r="CE292" s="6" t="s">
        <v>22</v>
      </c>
      <c r="CF292" s="7">
        <v>3.4299999999999997E-2</v>
      </c>
      <c r="CG292" s="7">
        <v>4.9299999999999997E-2</v>
      </c>
      <c r="CH292" s="7">
        <v>6.7100000000000007E-2</v>
      </c>
    </row>
    <row r="293" spans="72:86" ht="15" thickBot="1">
      <c r="BT293" s="123"/>
      <c r="BU293" s="124"/>
      <c r="BV293" s="124"/>
      <c r="BW293" s="124"/>
      <c r="BX293" s="125"/>
      <c r="CD293" s="16">
        <f>+CD292+1</f>
        <v>302</v>
      </c>
      <c r="CE293" s="4" t="s">
        <v>23</v>
      </c>
      <c r="CF293" s="5">
        <v>2.8E-3</v>
      </c>
      <c r="CG293" s="5">
        <v>4.8999999999999998E-3</v>
      </c>
      <c r="CH293" s="5">
        <v>7.4999999999999997E-3</v>
      </c>
    </row>
    <row r="294" spans="72:86" ht="15" thickBot="1">
      <c r="BT294" s="126"/>
      <c r="BU294" s="127"/>
      <c r="BV294" s="128"/>
      <c r="BW294" s="128"/>
      <c r="BX294" s="129"/>
      <c r="CD294" s="16">
        <f>+CD293+1</f>
        <v>303</v>
      </c>
      <c r="CE294" s="4" t="s">
        <v>0</v>
      </c>
      <c r="CF294" s="5">
        <v>0.01</v>
      </c>
      <c r="CG294" s="5">
        <v>1.3899999999999999E-2</v>
      </c>
      <c r="CH294" s="5">
        <v>1.7399999999999999E-2</v>
      </c>
    </row>
    <row r="295" spans="72:86" ht="15" thickBot="1">
      <c r="BT295" s="112"/>
      <c r="BX295" s="113"/>
      <c r="CD295" s="16">
        <f>+CD294+1</f>
        <v>304</v>
      </c>
      <c r="CE295" s="4" t="s">
        <v>24</v>
      </c>
      <c r="CF295" s="5">
        <v>9.4000000000000004E-3</v>
      </c>
      <c r="CG295" s="5">
        <v>9.9000000000000008E-3</v>
      </c>
      <c r="CH295" s="5">
        <v>1.17E-2</v>
      </c>
    </row>
    <row r="296" spans="72:86" ht="15" thickBot="1">
      <c r="BT296" s="120"/>
      <c r="BU296" s="121"/>
      <c r="BV296" s="121"/>
      <c r="BW296" s="121"/>
      <c r="BX296" s="122"/>
      <c r="CD296" s="16">
        <f>+CD295+1</f>
        <v>305</v>
      </c>
      <c r="CE296" s="4" t="s">
        <v>25</v>
      </c>
      <c r="CF296" s="5">
        <v>6.7400000000000002E-2</v>
      </c>
      <c r="CG296" s="5">
        <v>8.0399999999999999E-2</v>
      </c>
      <c r="CH296" s="5">
        <v>9.4E-2</v>
      </c>
    </row>
    <row r="297" spans="72:86">
      <c r="BT297" s="109"/>
      <c r="BU297" s="110"/>
      <c r="BV297" s="110"/>
      <c r="BW297" s="110"/>
      <c r="BX297" s="111"/>
    </row>
    <row r="298" spans="72:86" ht="15" thickBot="1">
      <c r="BT298" s="130"/>
      <c r="BU298" s="131" t="s">
        <v>52</v>
      </c>
      <c r="BV298" s="131" t="s">
        <v>53</v>
      </c>
      <c r="BW298" s="131" t="s">
        <v>54</v>
      </c>
      <c r="BX298" s="131" t="s">
        <v>55</v>
      </c>
      <c r="CD298" s="16">
        <f>BT264</f>
        <v>400</v>
      </c>
      <c r="CE298" s="119" t="str">
        <f>BU264</f>
        <v>Construção e Manutenção de Estações e Redes de Distribuição de Energia Elétrica</v>
      </c>
      <c r="CF298" s="119"/>
      <c r="CG298" s="119"/>
      <c r="CH298" s="119"/>
    </row>
    <row r="299" spans="72:86" ht="15" thickBot="1">
      <c r="BT299" s="130" t="s">
        <v>56</v>
      </c>
      <c r="BU299" s="131">
        <f>VLOOKUP(C10,BU261:BV266,2,0)</f>
        <v>400</v>
      </c>
      <c r="BV299" s="8">
        <f>VLOOKUP($BU299,$BT$310:$BX$315,3,0)</f>
        <v>0.24</v>
      </c>
      <c r="BW299" s="8">
        <f>VLOOKUP($BU299,$BT$310:$BX$315,4,0)</f>
        <v>0.25840000000000002</v>
      </c>
      <c r="BX299" s="8">
        <f>VLOOKUP($BU299,$BT$310:$BX$315,5,0)</f>
        <v>0.27860000000000001</v>
      </c>
      <c r="CD299" s="16">
        <f>+CD298+1</f>
        <v>401</v>
      </c>
      <c r="CE299" s="6" t="s">
        <v>22</v>
      </c>
      <c r="CF299" s="7">
        <v>5.2900000000000003E-2</v>
      </c>
      <c r="CG299" s="7">
        <v>5.9200000000000003E-2</v>
      </c>
      <c r="CH299" s="7">
        <v>7.9299999999999995E-2</v>
      </c>
    </row>
    <row r="300" spans="72:86" ht="15" thickBot="1">
      <c r="BT300" s="9" t="s">
        <v>22</v>
      </c>
      <c r="BU300" s="131">
        <f>+BU299+1</f>
        <v>401</v>
      </c>
      <c r="BV300" s="8">
        <f>VLOOKUP($BU300,$CD$275:$CH$316,3,0)</f>
        <v>5.2900000000000003E-2</v>
      </c>
      <c r="BW300" s="8">
        <f>VLOOKUP($BU300,$CD$275:$CH$316,4,0)</f>
        <v>5.9200000000000003E-2</v>
      </c>
      <c r="BX300" s="8">
        <f>VLOOKUP($BU300,$CD$275:$CH$316,5,0)</f>
        <v>7.9299999999999995E-2</v>
      </c>
      <c r="CD300" s="16">
        <f>+CD299+1</f>
        <v>402</v>
      </c>
      <c r="CE300" s="4" t="s">
        <v>23</v>
      </c>
      <c r="CF300" s="5">
        <v>2.5000000000000001E-3</v>
      </c>
      <c r="CG300" s="5">
        <v>5.1000000000000004E-3</v>
      </c>
      <c r="CH300" s="5">
        <v>5.5999999999999999E-3</v>
      </c>
    </row>
    <row r="301" spans="72:86" ht="15" thickBot="1">
      <c r="BT301" s="9" t="s">
        <v>23</v>
      </c>
      <c r="BU301" s="131">
        <f>+BU300+1</f>
        <v>402</v>
      </c>
      <c r="BV301" s="8">
        <f>VLOOKUP($BU301,$CD$275:$CH$316,3,0)</f>
        <v>2.5000000000000001E-3</v>
      </c>
      <c r="BW301" s="8">
        <f>VLOOKUP($BU301,$CD$275:$CH$316,4,0)</f>
        <v>5.1000000000000004E-3</v>
      </c>
      <c r="BX301" s="8">
        <f>VLOOKUP($BU301,$CD$275:$CH$316,5,0)</f>
        <v>5.5999999999999999E-3</v>
      </c>
      <c r="CD301" s="16">
        <f>+CD300+1</f>
        <v>403</v>
      </c>
      <c r="CE301" s="4" t="s">
        <v>0</v>
      </c>
      <c r="CF301" s="5">
        <v>0.01</v>
      </c>
      <c r="CG301" s="5">
        <v>1.4800000000000001E-2</v>
      </c>
      <c r="CH301" s="5">
        <v>1.9699999999999999E-2</v>
      </c>
    </row>
    <row r="302" spans="72:86" ht="15" thickBot="1">
      <c r="BT302" s="9" t="s">
        <v>0</v>
      </c>
      <c r="BU302" s="131">
        <f>+BU301+1</f>
        <v>403</v>
      </c>
      <c r="BV302" s="8">
        <f>VLOOKUP($BU302,$CD$275:$CH$316,3,0)</f>
        <v>0.01</v>
      </c>
      <c r="BW302" s="8">
        <f>VLOOKUP($BU302,$CD$275:$CH$316,4,0)</f>
        <v>1.4800000000000001E-2</v>
      </c>
      <c r="BX302" s="8">
        <f>VLOOKUP($BU302,$CD$275:$CH$316,5,0)</f>
        <v>1.9699999999999999E-2</v>
      </c>
      <c r="CD302" s="16">
        <f>+CD301+1</f>
        <v>404</v>
      </c>
      <c r="CE302" s="4" t="s">
        <v>24</v>
      </c>
      <c r="CF302" s="5">
        <v>1.01E-2</v>
      </c>
      <c r="CG302" s="5">
        <v>1.0699999999999999E-2</v>
      </c>
      <c r="CH302" s="5">
        <v>1.11E-2</v>
      </c>
    </row>
    <row r="303" spans="72:86" ht="15" thickBot="1">
      <c r="BT303" s="9" t="s">
        <v>24</v>
      </c>
      <c r="BU303" s="131">
        <f>+BU302+1</f>
        <v>404</v>
      </c>
      <c r="BV303" s="8">
        <f>VLOOKUP($BU303,$CD$275:$CH$316,3,0)</f>
        <v>1.01E-2</v>
      </c>
      <c r="BW303" s="8">
        <f>VLOOKUP($BU303,$CD$275:$CH$316,4,0)</f>
        <v>1.0699999999999999E-2</v>
      </c>
      <c r="BX303" s="8">
        <f>VLOOKUP($BU303,$CD$275:$CH$316,5,0)</f>
        <v>1.11E-2</v>
      </c>
      <c r="CD303" s="16">
        <f>+CD302+1</f>
        <v>405</v>
      </c>
      <c r="CE303" s="4" t="s">
        <v>25</v>
      </c>
      <c r="CF303" s="5">
        <v>0.08</v>
      </c>
      <c r="CG303" s="5">
        <v>8.3099999999999993E-2</v>
      </c>
      <c r="CH303" s="5">
        <v>9.5100000000000004E-2</v>
      </c>
    </row>
    <row r="304" spans="72:86" ht="15" thickBot="1">
      <c r="BT304" s="9" t="s">
        <v>25</v>
      </c>
      <c r="BU304" s="131">
        <f>+BU303+1</f>
        <v>405</v>
      </c>
      <c r="BV304" s="8">
        <f>VLOOKUP($BU304,$CD$275:$CH$316,3,0)</f>
        <v>0.08</v>
      </c>
      <c r="BW304" s="8">
        <f>VLOOKUP($BU304,$CD$275:$CH$316,4,0)</f>
        <v>8.3099999999999993E-2</v>
      </c>
      <c r="BX304" s="8">
        <f>VLOOKUP($BU304,$CD$275:$CH$316,5,0)</f>
        <v>9.5100000000000004E-2</v>
      </c>
      <c r="CD304" s="16">
        <f>BT265</f>
        <v>500</v>
      </c>
      <c r="CE304" s="119" t="str">
        <f>BU265</f>
        <v>Portuárias, Marítimas e Fluviais</v>
      </c>
      <c r="CF304" s="119"/>
      <c r="CG304" s="119"/>
      <c r="CH304" s="119"/>
    </row>
    <row r="305" spans="72:86" ht="15" thickBot="1">
      <c r="BT305" s="112"/>
      <c r="BX305" s="113"/>
      <c r="CD305" s="16">
        <f>+CD304+1</f>
        <v>501</v>
      </c>
      <c r="CE305" s="6" t="s">
        <v>22</v>
      </c>
      <c r="CF305" s="7">
        <v>0.04</v>
      </c>
      <c r="CG305" s="7">
        <v>5.5199999999999999E-2</v>
      </c>
      <c r="CH305" s="7">
        <v>7.85E-2</v>
      </c>
    </row>
    <row r="306" spans="72:86" ht="15" thickBot="1">
      <c r="CD306" s="16">
        <f>+CD305+1</f>
        <v>502</v>
      </c>
      <c r="CE306" s="4" t="s">
        <v>23</v>
      </c>
      <c r="CF306" s="5">
        <v>8.0999999999999996E-3</v>
      </c>
      <c r="CG306" s="5">
        <v>1.2200000000000001E-2</v>
      </c>
      <c r="CH306" s="5">
        <v>1.9900000000000001E-2</v>
      </c>
    </row>
    <row r="307" spans="72:86" ht="15" thickBot="1">
      <c r="CD307" s="16">
        <f>+CD306+1</f>
        <v>503</v>
      </c>
      <c r="CE307" s="4" t="s">
        <v>0</v>
      </c>
      <c r="CF307" s="5">
        <v>1.46E-2</v>
      </c>
      <c r="CG307" s="5">
        <v>2.3199999999999998E-2</v>
      </c>
      <c r="CH307" s="5">
        <v>3.1600000000000003E-2</v>
      </c>
    </row>
    <row r="308" spans="72:86" ht="15" thickBot="1">
      <c r="CD308" s="16">
        <f>+CD307+1</f>
        <v>504</v>
      </c>
      <c r="CE308" s="4" t="s">
        <v>24</v>
      </c>
      <c r="CF308" s="5">
        <v>9.4000000000000004E-3</v>
      </c>
      <c r="CG308" s="5">
        <v>1.0200000000000001E-2</v>
      </c>
      <c r="CH308" s="5">
        <v>1.3299999999999999E-2</v>
      </c>
    </row>
    <row r="309" spans="72:86" ht="15" thickBot="1">
      <c r="BV309" s="10" t="s">
        <v>57</v>
      </c>
      <c r="BW309" s="11" t="s">
        <v>54</v>
      </c>
      <c r="BX309" s="11" t="s">
        <v>58</v>
      </c>
      <c r="CD309" s="16">
        <f>+CD308+1</f>
        <v>505</v>
      </c>
      <c r="CE309" s="4" t="s">
        <v>25</v>
      </c>
      <c r="CF309" s="5">
        <v>7.1400000000000005E-2</v>
      </c>
      <c r="CG309" s="5">
        <v>8.4000000000000005E-2</v>
      </c>
      <c r="CH309" s="5">
        <v>0.1043</v>
      </c>
    </row>
    <row r="310" spans="72:86" ht="15" thickBot="1">
      <c r="BT310" s="16">
        <f>BT261</f>
        <v>100</v>
      </c>
      <c r="BU310" s="6" t="str">
        <f t="shared" ref="BU310:BU315" si="2">VLOOKUP(BT310,BT261:BU266,2,0)</f>
        <v>Construção de edificios</v>
      </c>
      <c r="BV310" s="7">
        <v>0.2034</v>
      </c>
      <c r="BW310" s="7">
        <v>0.22120000000000001</v>
      </c>
      <c r="BX310" s="7">
        <v>0.25</v>
      </c>
    </row>
    <row r="311" spans="72:86" ht="29.4" thickBot="1">
      <c r="BT311" s="16">
        <v>200</v>
      </c>
      <c r="BU311" s="6" t="str">
        <f t="shared" si="2"/>
        <v>Construção de rodovias e ferrovias</v>
      </c>
      <c r="BV311" s="5">
        <v>0.19600000000000001</v>
      </c>
      <c r="BW311" s="5">
        <v>0.2097</v>
      </c>
      <c r="BX311" s="5">
        <v>0.24229999999999999</v>
      </c>
      <c r="CD311" s="16">
        <f>BT266</f>
        <v>600</v>
      </c>
      <c r="CE311" s="119" t="str">
        <f>BU266</f>
        <v>Fornecimento de Materiais e Equipamentos</v>
      </c>
      <c r="CF311" s="119"/>
      <c r="CG311" s="119"/>
      <c r="CH311" s="119"/>
    </row>
    <row r="312" spans="72:86" ht="58.2" thickBot="1">
      <c r="BT312" s="16">
        <f>BT263</f>
        <v>300</v>
      </c>
      <c r="BU312" s="6" t="str">
        <f t="shared" si="2"/>
        <v>Construção de Redes de Abastecimento de Água, Coleta de Esgoto e Construções Correlatas</v>
      </c>
      <c r="BV312" s="5">
        <v>0.20760000000000001</v>
      </c>
      <c r="BW312" s="5">
        <v>0.24179999999999999</v>
      </c>
      <c r="BX312" s="5">
        <v>0.26440000000000002</v>
      </c>
      <c r="CD312" s="16">
        <f>+CD311+1</f>
        <v>601</v>
      </c>
      <c r="CE312" s="6" t="s">
        <v>22</v>
      </c>
      <c r="CF312" s="7">
        <v>1.4999999999999999E-2</v>
      </c>
      <c r="CG312" s="7">
        <v>3.4500000000000003E-2</v>
      </c>
      <c r="CH312" s="7">
        <v>4.4900000000000002E-2</v>
      </c>
    </row>
    <row r="313" spans="72:86" ht="43.8" thickBot="1">
      <c r="BT313" s="16">
        <v>400</v>
      </c>
      <c r="BU313" s="6" t="str">
        <f t="shared" si="2"/>
        <v>Construção e Manutenção de Estações e Redes de Distribuição de Energia Elétrica</v>
      </c>
      <c r="BV313" s="5">
        <v>0.24</v>
      </c>
      <c r="BW313" s="5">
        <v>0.25840000000000002</v>
      </c>
      <c r="BX313" s="5">
        <v>0.27860000000000001</v>
      </c>
      <c r="CD313" s="16">
        <f>+CD312+1</f>
        <v>602</v>
      </c>
      <c r="CE313" s="4" t="s">
        <v>23</v>
      </c>
      <c r="CF313" s="5">
        <v>3.0000000000000001E-3</v>
      </c>
      <c r="CG313" s="5">
        <v>4.7999999999999996E-3</v>
      </c>
      <c r="CH313" s="5">
        <v>8.2000000000000007E-3</v>
      </c>
    </row>
    <row r="314" spans="72:86" ht="15" thickBot="1">
      <c r="BT314" s="16">
        <v>500</v>
      </c>
      <c r="BU314" s="6" t="str">
        <f t="shared" si="2"/>
        <v>Portuárias, Marítimas e Fluviais</v>
      </c>
      <c r="BV314" s="5">
        <v>0.22800000000000001</v>
      </c>
      <c r="BW314" s="5">
        <v>0.27479999999999999</v>
      </c>
      <c r="BX314" s="5">
        <v>0.3095</v>
      </c>
      <c r="CD314" s="16">
        <f>+CD313+1</f>
        <v>603</v>
      </c>
      <c r="CE314" s="4" t="s">
        <v>0</v>
      </c>
      <c r="CF314" s="5">
        <v>5.5999999999999999E-3</v>
      </c>
      <c r="CG314" s="5">
        <v>8.5000000000000006E-3</v>
      </c>
      <c r="CH314" s="5">
        <v>8.8999999999999999E-3</v>
      </c>
    </row>
    <row r="315" spans="72:86" ht="29.4" thickBot="1">
      <c r="BT315" s="16">
        <v>600</v>
      </c>
      <c r="BU315" s="6" t="str">
        <f t="shared" si="2"/>
        <v>Fornecimento de Materiais e Equipamentos</v>
      </c>
      <c r="BV315" s="5">
        <v>0.111</v>
      </c>
      <c r="BW315" s="5">
        <v>0.14019999999999999</v>
      </c>
      <c r="BX315" s="5">
        <v>0.16800000000000001</v>
      </c>
      <c r="CD315" s="16">
        <f>+CD314+1</f>
        <v>604</v>
      </c>
      <c r="CE315" s="4" t="s">
        <v>24</v>
      </c>
      <c r="CF315" s="5">
        <v>8.5000000000000006E-3</v>
      </c>
      <c r="CG315" s="5">
        <v>8.5000000000000006E-3</v>
      </c>
      <c r="CH315" s="5">
        <v>1.11E-2</v>
      </c>
    </row>
    <row r="316" spans="72:86" ht="15" thickBot="1">
      <c r="CD316" s="16">
        <f>+CD315+1</f>
        <v>605</v>
      </c>
      <c r="CE316" s="4" t="s">
        <v>25</v>
      </c>
      <c r="CF316" s="5">
        <v>3.5000000000000003E-2</v>
      </c>
      <c r="CG316" s="5">
        <v>5.11E-2</v>
      </c>
      <c r="CH316" s="5">
        <v>6.2199999999999998E-2</v>
      </c>
    </row>
  </sheetData>
  <mergeCells count="34">
    <mergeCell ref="B58:D58"/>
    <mergeCell ref="E58:F58"/>
    <mergeCell ref="K20:AV21"/>
    <mergeCell ref="D22:F22"/>
    <mergeCell ref="D23:F23"/>
    <mergeCell ref="D27:E27"/>
    <mergeCell ref="B33:F33"/>
    <mergeCell ref="B34:F34"/>
    <mergeCell ref="E49:F49"/>
    <mergeCell ref="B51:F51"/>
    <mergeCell ref="B56:F56"/>
    <mergeCell ref="B29:F29"/>
    <mergeCell ref="B30:F30"/>
    <mergeCell ref="A1:G1"/>
    <mergeCell ref="A2:G2"/>
    <mergeCell ref="A3:G3"/>
    <mergeCell ref="CE304:CH304"/>
    <mergeCell ref="CE311:CH311"/>
    <mergeCell ref="D60:E60"/>
    <mergeCell ref="BT259:BX259"/>
    <mergeCell ref="CE275:CH275"/>
    <mergeCell ref="CE283:CH283"/>
    <mergeCell ref="BT286:BX286"/>
    <mergeCell ref="BT291:BX291"/>
    <mergeCell ref="CE291:CH291"/>
    <mergeCell ref="BT292:BX292"/>
    <mergeCell ref="BT293:BX293"/>
    <mergeCell ref="BT297:BX297"/>
    <mergeCell ref="CE298:CH298"/>
    <mergeCell ref="B5:F5"/>
    <mergeCell ref="B8:F8"/>
    <mergeCell ref="C10:F10"/>
    <mergeCell ref="B16:F16"/>
    <mergeCell ref="D20:F20"/>
  </mergeCells>
  <conditionalFormatting sqref="E49:F49">
    <cfRule type="expression" dxfId="3" priority="3" stopIfTrue="1">
      <formula>$F$12="SIM"</formula>
    </cfRule>
  </conditionalFormatting>
  <conditionalFormatting sqref="E56:F57 B56:D60 E59:F60">
    <cfRule type="expression" dxfId="2" priority="2" stopIfTrue="1">
      <formula>OR($F$12="NÃO",$F$12="")</formula>
    </cfRule>
  </conditionalFormatting>
  <conditionalFormatting sqref="E58:F58">
    <cfRule type="expression" dxfId="1" priority="4" stopIfTrue="1">
      <formula>OR($F$12="NÃO",$F$12="")</formula>
    </cfRule>
  </conditionalFormatting>
  <conditionalFormatting sqref="F36:F40">
    <cfRule type="cellIs" dxfId="0" priority="1" stopIfTrue="1" operator="between">
      <formula>$C36</formula>
      <formula>$E36</formula>
    </cfRule>
  </conditionalFormatting>
  <dataValidations count="5">
    <dataValidation type="list" allowBlank="1" showInputMessage="1" showErrorMessage="1" sqref="E21:F21" xr:uid="{00000000-0002-0000-0000-000000000000}">
      <formula1>$CE$270:$CE$271</formula1>
    </dataValidation>
    <dataValidation type="list" allowBlank="1" showInputMessage="1" showErrorMessage="1" sqref="C10:F10" xr:uid="{00000000-0002-0000-0000-000001000000}">
      <formula1>$BU$261:$BU$266</formula1>
    </dataValidation>
    <dataValidation type="list" allowBlank="1" showInputMessage="1" showErrorMessage="1" sqref="F12" xr:uid="{00000000-0002-0000-0000-000002000000}">
      <formula1>"SIM, NÃO"</formula1>
    </dataValidation>
    <dataValidation type="decimal" allowBlank="1" showInputMessage="1" showErrorMessage="1" errorTitle="FORA DO INTERVALO" error="Deve-se adotar valor entre o 1º e 3º quartil" sqref="F36:F40" xr:uid="{00000000-0002-0000-0000-000003000000}">
      <formula1>C36</formula1>
      <formula2>E36</formula2>
    </dataValidation>
    <dataValidation type="decimal" allowBlank="1" showInputMessage="1" showErrorMessage="1" sqref="F42:F43" xr:uid="{00000000-0002-0000-0000-000004000000}">
      <formula1>C42</formula1>
      <formula2>E42</formula2>
    </dataValidation>
  </dataValidations>
  <printOptions horizontalCentered="1"/>
  <pageMargins left="0.98425196850393704" right="0.78740157480314965" top="1.3779527559055118" bottom="0.78740157480314965" header="0.31496062992125984" footer="0.31496062992125984"/>
  <pageSetup paperSize="9" scale="80" orientation="portrait" r:id="rId1"/>
  <headerFooter>
    <oddFooter>&amp;RP. &amp;P de 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5121" r:id="rId4">
          <objectPr defaultSize="0" autoPict="0" r:id="rId5">
            <anchor moveWithCells="1" sizeWithCells="1">
              <from>
                <xdr:col>79</xdr:col>
                <xdr:colOff>0</xdr:colOff>
                <xdr:row>243</xdr:row>
                <xdr:rowOff>0</xdr:rowOff>
              </from>
              <to>
                <xdr:col>79</xdr:col>
                <xdr:colOff>0</xdr:colOff>
                <xdr:row>244</xdr:row>
                <xdr:rowOff>76200</xdr:rowOff>
              </to>
            </anchor>
          </objectPr>
        </oleObject>
      </mc:Choice>
      <mc:Fallback>
        <oleObject progId="Equation.3" shapeId="5121" r:id="rId4"/>
      </mc:Fallback>
    </mc:AlternateContent>
    <mc:AlternateContent xmlns:mc="http://schemas.openxmlformats.org/markup-compatibility/2006">
      <mc:Choice Requires="x14">
        <oleObject progId="Equation.3" shapeId="5122" r:id="rId6">
          <objectPr defaultSize="0" autoPict="0" r:id="rId5">
            <anchor moveWithCells="1" sizeWithCells="1">
              <from>
                <xdr:col>1</xdr:col>
                <xdr:colOff>182880</xdr:colOff>
                <xdr:row>42</xdr:row>
                <xdr:rowOff>30480</xdr:rowOff>
              </from>
              <to>
                <xdr:col>5</xdr:col>
                <xdr:colOff>106680</xdr:colOff>
                <xdr:row>44</xdr:row>
                <xdr:rowOff>121920</xdr:rowOff>
              </to>
            </anchor>
          </objectPr>
        </oleObject>
      </mc:Choice>
      <mc:Fallback>
        <oleObject progId="Equation.3" shapeId="5122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BDI!Area_de_impressao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Maurício Beltramelo</dc:creator>
  <cp:lastModifiedBy>Maurício Beltramelo</cp:lastModifiedBy>
  <cp:lastPrinted>2024-01-15T22:28:17Z</cp:lastPrinted>
  <dcterms:created xsi:type="dcterms:W3CDTF">2003-03-13T20:31:18Z</dcterms:created>
  <dcterms:modified xsi:type="dcterms:W3CDTF">2024-01-15T22:29:30Z</dcterms:modified>
</cp:coreProperties>
</file>