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9095" windowHeight="8205"/>
  </bookViews>
  <sheets>
    <sheet name="Curso ESG" sheetId="1" r:id="rId1"/>
    <sheet name="Preço de Referência" sheetId="7" r:id="rId2"/>
  </sheets>
  <calcPr calcId="124519"/>
</workbook>
</file>

<file path=xl/calcChain.xml><?xml version="1.0" encoding="utf-8"?>
<calcChain xmlns="http://schemas.openxmlformats.org/spreadsheetml/2006/main">
  <c r="K47" i="1"/>
  <c r="J47"/>
  <c r="K37"/>
  <c r="L35"/>
  <c r="L41"/>
  <c r="K41"/>
  <c r="J41"/>
  <c r="K35"/>
  <c r="J35"/>
  <c r="K29"/>
  <c r="J29"/>
  <c r="E4" i="7"/>
  <c r="Q4" i="1"/>
  <c r="E28" s="1"/>
  <c r="P4"/>
  <c r="O4"/>
  <c r="E32" s="1"/>
  <c r="F32" s="1"/>
  <c r="N4"/>
  <c r="E31" s="1"/>
  <c r="F31" s="1"/>
  <c r="M4"/>
  <c r="E30" s="1"/>
  <c r="F30" s="1"/>
  <c r="K48" l="1"/>
  <c r="K49"/>
  <c r="L47"/>
  <c r="K36"/>
  <c r="K30"/>
  <c r="L29"/>
  <c r="K31"/>
  <c r="K43"/>
  <c r="K42"/>
  <c r="G4" i="7"/>
  <c r="G5" s="1"/>
  <c r="E34" i="1"/>
  <c r="E33"/>
  <c r="F38"/>
  <c r="F37"/>
  <c r="F36"/>
  <c r="R4" l="1"/>
  <c r="E29" s="1"/>
</calcChain>
</file>

<file path=xl/sharedStrings.xml><?xml version="1.0" encoding="utf-8"?>
<sst xmlns="http://schemas.openxmlformats.org/spreadsheetml/2006/main" count="92" uniqueCount="69">
  <si>
    <t>ITEM</t>
  </si>
  <si>
    <t>DESCRIÇÃO DO ITEM/SERVIÇO</t>
  </si>
  <si>
    <t xml:space="preserve">QUANT. </t>
  </si>
  <si>
    <t>MÍNIMO</t>
  </si>
  <si>
    <t>MÉDIA</t>
  </si>
  <si>
    <t>MEDIANA</t>
  </si>
  <si>
    <t>VARIÂNCIA</t>
  </si>
  <si>
    <t>DESVIO PADRÃO</t>
  </si>
  <si>
    <t>COEFICIENTE DE VARIAÇÃO</t>
  </si>
  <si>
    <t>UNIDADE</t>
  </si>
  <si>
    <t xml:space="preserve">FONTE DE CONSULTA </t>
  </si>
  <si>
    <t>Desvio Padrão</t>
  </si>
  <si>
    <t>Total</t>
  </si>
  <si>
    <t xml:space="preserve">Coeficiente de Variação </t>
  </si>
  <si>
    <t>Mínimo</t>
  </si>
  <si>
    <t>Média Simples</t>
  </si>
  <si>
    <t>Mediana</t>
  </si>
  <si>
    <t>Limite Inferior</t>
  </si>
  <si>
    <t>Limite Superior</t>
  </si>
  <si>
    <t>Valor Total Estimado pelo Mínimo</t>
  </si>
  <si>
    <t>Valor Total Estimado pelo Média</t>
  </si>
  <si>
    <t>Valor Total Estimado pelo Mediana</t>
  </si>
  <si>
    <t>Preço de Referência e Orçamento Estimado</t>
  </si>
  <si>
    <t xml:space="preserve">Item </t>
  </si>
  <si>
    <t>Código ID</t>
  </si>
  <si>
    <t xml:space="preserve">Descrição </t>
  </si>
  <si>
    <t>Quantidade</t>
  </si>
  <si>
    <t>Valor Global</t>
  </si>
  <si>
    <t>Orçamento Estimado</t>
  </si>
  <si>
    <t>CÓDIGO ID</t>
  </si>
  <si>
    <t>desvio padrão / limites inferior e superior</t>
  </si>
  <si>
    <t>CV parcial</t>
  </si>
  <si>
    <t>Preço de Referência</t>
  </si>
  <si>
    <t xml:space="preserve"> </t>
  </si>
  <si>
    <t xml:space="preserve">Contratação de empresa especializada para prestação de serviços de treinamento de alto nível, para área de gestão de Supervisão e Liderança no Trabalho </t>
  </si>
  <si>
    <t>Und</t>
  </si>
  <si>
    <t>1ª Média Saneada</t>
  </si>
  <si>
    <t>2ª Média Saneada</t>
  </si>
  <si>
    <t>Contratação de empresa especializada para prestação de serviços de treinamento de alto nível, para área de gestão de Supervisão e Liderança no Trabalho</t>
  </si>
  <si>
    <t>&lt; PLANILHA DE AVALIAÇÃO DOS PREÇOS COLETADOS NA PESQUISA DE MERCADO &gt; SEI-480002/002248/2024</t>
  </si>
  <si>
    <t>NOTA FISCAL ELETRÔNICA RECEBIDA</t>
  </si>
  <si>
    <t>DATA DA PRESTAÇÃO DO SERVIÇO</t>
  </si>
  <si>
    <t>PRESTADOR DO SERVIÇO / CNPJ</t>
  </si>
  <si>
    <t>TOMADOR DO SERVIÇO / CNPJ</t>
  </si>
  <si>
    <t>NEW LAW INSTITUTO JURIDICO LTDA / 41.222.446/0001-48</t>
  </si>
  <si>
    <t>LEXISNEXIS INFORMACOES E SISTEMAS EMPRESARIAIS LTDA / 22.813.952/0001-67</t>
  </si>
  <si>
    <t>BENNER SISTEMAS S.A / 02.288.055/0004-17</t>
  </si>
  <si>
    <t>VALOR HORA/CURSO</t>
  </si>
  <si>
    <t>VALOR NOTA FISCAL</t>
  </si>
  <si>
    <r>
      <t xml:space="preserve">Treinamento em desenvolvimento profissional e gerencial / </t>
    </r>
    <r>
      <rPr>
        <b/>
        <sz val="12"/>
        <color theme="5"/>
        <rFont val="Times New Roman"/>
        <family val="1"/>
      </rPr>
      <t>Eficiência Jurídica</t>
    </r>
    <r>
      <rPr>
        <sz val="12"/>
        <color theme="5"/>
        <rFont val="Times New Roman"/>
        <family val="1"/>
      </rPr>
      <t xml:space="preserve"> / Carga Horária: 16 horas</t>
    </r>
  </si>
  <si>
    <r>
      <t xml:space="preserve">Planejamento de congresso ou congênere / </t>
    </r>
    <r>
      <rPr>
        <b/>
        <sz val="12"/>
        <color theme="5"/>
        <rFont val="Times New Roman"/>
        <family val="1"/>
      </rPr>
      <t>Compliance Day</t>
    </r>
    <r>
      <rPr>
        <sz val="12"/>
        <color theme="5"/>
        <rFont val="Times New Roman"/>
        <family val="1"/>
      </rPr>
      <t xml:space="preserve"> / Carga Horária: 7 horas</t>
    </r>
  </si>
  <si>
    <t>SERVIÇO / TEMA / CARGA HORÁRIA</t>
  </si>
  <si>
    <t>média</t>
  </si>
  <si>
    <t>mediana portais</t>
  </si>
  <si>
    <t>Serviços de instrução, treinamento e avaliação de conhecimentos de qualquer natureza / ESG &amp; Agro Summit / Carga Horária: 4 horas</t>
  </si>
  <si>
    <t>EDICOES GLOBO CONDE NAST S.A / 10.739.386/0001-01</t>
  </si>
  <si>
    <r>
      <t xml:space="preserve">Serviços de instrução, treinamento e avaliação de conhecimentos de qualquer natureza / </t>
    </r>
    <r>
      <rPr>
        <b/>
        <sz val="12"/>
        <rFont val="Times New Roman"/>
        <family val="1"/>
      </rPr>
      <t>Evento Wired Festival</t>
    </r>
    <r>
      <rPr>
        <sz val="12"/>
        <rFont val="Times New Roman"/>
        <family val="1"/>
      </rPr>
      <t xml:space="preserve"> / Carga Horária: 1 hora</t>
    </r>
  </si>
  <si>
    <t xml:space="preserve">PROPOSTA COMERCIAL </t>
  </si>
  <si>
    <t>AGENERSA / 07.694.194/0001-11</t>
  </si>
  <si>
    <t>Treinamento "Inovação e Sustentabilidade: Estratégias ESG para Líderes do Setor Público" / Carga Horária: 22 horas</t>
  </si>
  <si>
    <t>Junho de 2024 (a ser definido)</t>
  </si>
  <si>
    <r>
      <t xml:space="preserve">Apresentação de palestras, conferências, seminários e congêneres / </t>
    </r>
    <r>
      <rPr>
        <b/>
        <sz val="12"/>
        <color theme="5"/>
        <rFont val="Times New Roman"/>
        <family val="1"/>
      </rPr>
      <t>Fórum ESG: Novas Tendências</t>
    </r>
    <r>
      <rPr>
        <sz val="12"/>
        <color theme="5"/>
        <rFont val="Times New Roman"/>
        <family val="1"/>
      </rPr>
      <t xml:space="preserve"> / Carga Horária: 7 horas</t>
    </r>
  </si>
  <si>
    <r>
      <t xml:space="preserve">Apresentação de palestras, conferências, seminários e congêneres / </t>
    </r>
    <r>
      <rPr>
        <b/>
        <sz val="12"/>
        <color theme="5"/>
        <rFont val="Times New Roman"/>
        <family val="1"/>
      </rPr>
      <t>ESG &amp; Compliance Summit</t>
    </r>
    <r>
      <rPr>
        <sz val="12"/>
        <color theme="5"/>
        <rFont val="Times New Roman"/>
        <family val="1"/>
      </rPr>
      <t xml:space="preserve"> / Carga Horária: 7 horas</t>
    </r>
  </si>
  <si>
    <t>3ª Média Saneada</t>
  </si>
  <si>
    <t>PNCP</t>
  </si>
  <si>
    <t>FUNDAÇÃO DOM CABRAL / 19.268.267/0001-92</t>
  </si>
  <si>
    <t>TRIBUNAL DA JUSTICA DO ESTADO DE MINAS GERAIS</t>
  </si>
  <si>
    <t>Contratação de empresa especializada para realização de curso fechado (in company), denominado “Programa de Desenvolvimento ESG” / Carga Horária: 71 horas</t>
  </si>
  <si>
    <t>4ª Média Saneada</t>
  </si>
</sst>
</file>

<file path=xl/styles.xml><?xml version="1.0" encoding="utf-8"?>
<styleSheet xmlns="http://schemas.openxmlformats.org/spreadsheetml/2006/main">
  <numFmts count="2">
    <numFmt numFmtId="44" formatCode="_-&quot;R$&quot;\ * #,##0.00_-;\-&quot;R$&quot;\ * #,##0.00_-;_-&quot;R$&quot;\ * &quot;-&quot;??_-;_-@_-"/>
    <numFmt numFmtId="164" formatCode="_(&quot;R$&quot;* #,##0.00_);_(&quot;R$&quot;* \(#,##0.00\);_(&quot;R$&quot;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9"/>
      <color rgb="FF000000"/>
      <name val="Times New Roman"/>
      <family val="1"/>
    </font>
    <font>
      <sz val="11"/>
      <color rgb="FF006100"/>
      <name val="Calibri"/>
      <family val="2"/>
      <scheme val="minor"/>
    </font>
    <font>
      <sz val="12"/>
      <color theme="5"/>
      <name val="Times New Roman"/>
      <family val="1"/>
    </font>
    <font>
      <b/>
      <sz val="12"/>
      <name val="Times New Roman"/>
      <family val="1"/>
    </font>
    <font>
      <b/>
      <sz val="12"/>
      <color theme="5"/>
      <name val="Times New Roman"/>
      <family val="1"/>
    </font>
    <font>
      <sz val="11"/>
      <color rgb="FF9C65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9" fillId="4" borderId="0" applyNumberFormat="0" applyBorder="0" applyAlignment="0" applyProtection="0"/>
    <xf numFmtId="0" fontId="13" fillId="5" borderId="0" applyNumberFormat="0" applyBorder="0" applyAlignment="0" applyProtection="0"/>
  </cellStyleXfs>
  <cellXfs count="9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4" fontId="4" fillId="0" borderId="5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44" fontId="2" fillId="0" borderId="16" xfId="0" applyNumberFormat="1" applyFont="1" applyBorder="1" applyAlignment="1">
      <alignment horizontal="center" vertical="center"/>
    </xf>
    <xf numFmtId="44" fontId="2" fillId="0" borderId="15" xfId="0" applyNumberFormat="1" applyFont="1" applyBorder="1" applyAlignment="1">
      <alignment horizontal="center" vertical="center"/>
    </xf>
    <xf numFmtId="44" fontId="2" fillId="0" borderId="10" xfId="0" applyNumberFormat="1" applyFont="1" applyBorder="1" applyAlignment="1">
      <alignment horizontal="center" vertical="center"/>
    </xf>
    <xf numFmtId="44" fontId="2" fillId="0" borderId="9" xfId="0" applyNumberFormat="1" applyFont="1" applyBorder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44" fontId="2" fillId="0" borderId="17" xfId="0" applyNumberFormat="1" applyFont="1" applyBorder="1" applyAlignment="1">
      <alignment horizontal="center" vertical="center"/>
    </xf>
    <xf numFmtId="0" fontId="6" fillId="0" borderId="0" xfId="5" applyAlignment="1" applyProtection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44" fontId="2" fillId="0" borderId="25" xfId="0" applyNumberFormat="1" applyFont="1" applyBorder="1" applyAlignment="1">
      <alignment horizontal="center" vertical="center"/>
    </xf>
    <xf numFmtId="44" fontId="2" fillId="0" borderId="25" xfId="1" applyFont="1" applyBorder="1" applyAlignment="1">
      <alignment horizontal="center" vertical="center"/>
    </xf>
    <xf numFmtId="44" fontId="2" fillId="0" borderId="28" xfId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/>
    </xf>
    <xf numFmtId="44" fontId="0" fillId="0" borderId="0" xfId="0" applyNumberFormat="1"/>
    <xf numFmtId="9" fontId="0" fillId="0" borderId="0" xfId="2" applyFont="1"/>
    <xf numFmtId="44" fontId="0" fillId="0" borderId="0" xfId="0" applyNumberFormat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44" fontId="10" fillId="0" borderId="5" xfId="0" applyNumberFormat="1" applyFont="1" applyBorder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44" fontId="2" fillId="0" borderId="0" xfId="0" applyNumberFormat="1" applyFont="1" applyBorder="1" applyAlignment="1">
      <alignment horizontal="center" vertical="center"/>
    </xf>
    <xf numFmtId="44" fontId="10" fillId="0" borderId="4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44" fontId="10" fillId="0" borderId="4" xfId="0" applyNumberFormat="1" applyFont="1" applyBorder="1" applyAlignment="1">
      <alignment horizontal="center" vertical="center" wrapText="1"/>
    </xf>
    <xf numFmtId="44" fontId="10" fillId="0" borderId="5" xfId="0" applyNumberFormat="1" applyFont="1" applyBorder="1" applyAlignment="1">
      <alignment horizontal="center" vertical="center" wrapText="1"/>
    </xf>
    <xf numFmtId="44" fontId="4" fillId="0" borderId="5" xfId="0" applyNumberFormat="1" applyFont="1" applyBorder="1" applyAlignment="1">
      <alignment horizontal="center" vertical="center" wrapText="1"/>
    </xf>
    <xf numFmtId="44" fontId="6" fillId="0" borderId="0" xfId="5" applyNumberFormat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 wrapText="1"/>
      <protection hidden="1"/>
    </xf>
    <xf numFmtId="44" fontId="11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44" fontId="11" fillId="2" borderId="4" xfId="1" applyFont="1" applyFill="1" applyBorder="1" applyAlignment="1" applyProtection="1">
      <alignment horizontal="center" vertical="center" wrapText="1"/>
      <protection hidden="1"/>
    </xf>
    <xf numFmtId="164" fontId="11" fillId="2" borderId="4" xfId="0" applyNumberFormat="1" applyFont="1" applyFill="1" applyBorder="1" applyAlignment="1" applyProtection="1">
      <alignment horizontal="center" vertical="center" wrapText="1"/>
      <protection hidden="1"/>
    </xf>
    <xf numFmtId="9" fontId="11" fillId="2" borderId="4" xfId="2" applyFont="1" applyFill="1" applyBorder="1" applyAlignment="1" applyProtection="1">
      <alignment horizontal="center" vertical="center" wrapText="1"/>
      <protection hidden="1"/>
    </xf>
    <xf numFmtId="44" fontId="2" fillId="0" borderId="4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4" fontId="10" fillId="0" borderId="5" xfId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9" fontId="13" fillId="5" borderId="10" xfId="7" applyNumberFormat="1" applyBorder="1" applyAlignment="1">
      <alignment horizontal="center" vertical="center"/>
    </xf>
    <xf numFmtId="44" fontId="2" fillId="0" borderId="15" xfId="0" applyNumberFormat="1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3" xfId="0" applyFont="1" applyFill="1" applyBorder="1" applyAlignment="1" applyProtection="1">
      <alignment horizontal="center" vertical="center"/>
      <protection hidden="1"/>
    </xf>
    <xf numFmtId="44" fontId="2" fillId="0" borderId="5" xfId="0" applyNumberFormat="1" applyFont="1" applyBorder="1" applyAlignment="1">
      <alignment horizontal="center" vertical="center"/>
    </xf>
    <xf numFmtId="0" fontId="0" fillId="0" borderId="4" xfId="0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9" fontId="7" fillId="4" borderId="5" xfId="6" applyNumberFormat="1" applyFont="1" applyBorder="1" applyAlignment="1">
      <alignment horizontal="center" vertical="center"/>
    </xf>
    <xf numFmtId="9" fontId="7" fillId="4" borderId="4" xfId="6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4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44" fontId="2" fillId="0" borderId="1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3" borderId="21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</cellXfs>
  <cellStyles count="8">
    <cellStyle name="Bom" xfId="6" builtinId="26"/>
    <cellStyle name="Hyperlink" xfId="5" builtinId="8"/>
    <cellStyle name="Moeda" xfId="1" builtinId="4"/>
    <cellStyle name="Moeda 2" xfId="4"/>
    <cellStyle name="Moeda 3" xfId="3"/>
    <cellStyle name="Neutra" xfId="7" builtinId="28"/>
    <cellStyle name="Normal" xfId="0" builtinId="0"/>
    <cellStyle name="Porcentagem" xfId="2" builtinId="5"/>
  </cellStyles>
  <dxfs count="1">
    <dxf>
      <fill>
        <patternFill>
          <bgColor rgb="FFF7E891"/>
        </patternFill>
      </fill>
    </dxf>
  </dxfs>
  <tableStyles count="0" defaultTableStyle="TableStyleMedium2" defaultPivotStyle="PivotStyleLight16"/>
  <colors>
    <mruColors>
      <color rgb="FFF7E891"/>
      <color rgb="FFFFDD71"/>
      <color rgb="FFECF593"/>
      <color rgb="FFDFE264"/>
      <color rgb="FFAEF8C5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2"/>
  <sheetViews>
    <sheetView showGridLines="0" tabSelected="1" topLeftCell="D1" zoomScale="70" zoomScaleNormal="70" workbookViewId="0">
      <selection activeCell="K41" sqref="K41"/>
    </sheetView>
  </sheetViews>
  <sheetFormatPr defaultRowHeight="15.75"/>
  <cols>
    <col min="1" max="1" width="9.140625" style="1"/>
    <col min="2" max="2" width="14.85546875" style="2" customWidth="1"/>
    <col min="3" max="3" width="39.42578125" style="1" customWidth="1"/>
    <col min="4" max="4" width="26" style="1" bestFit="1" customWidth="1"/>
    <col min="5" max="5" width="17.5703125" style="1" bestFit="1" customWidth="1"/>
    <col min="6" max="6" width="20.140625" style="1" bestFit="1" customWidth="1"/>
    <col min="7" max="7" width="42" style="2" customWidth="1"/>
    <col min="8" max="8" width="43" style="1" customWidth="1"/>
    <col min="9" max="9" width="25.42578125" style="13" bestFit="1" customWidth="1"/>
    <col min="10" max="10" width="23.140625" style="1" customWidth="1"/>
    <col min="11" max="11" width="41" style="1" bestFit="1" customWidth="1"/>
    <col min="12" max="12" width="44.140625" style="1" customWidth="1"/>
    <col min="13" max="15" width="16.28515625" style="1" bestFit="1" customWidth="1"/>
    <col min="16" max="16" width="15.28515625" style="1" bestFit="1" customWidth="1"/>
    <col min="17" max="17" width="12.7109375" style="1" customWidth="1"/>
    <col min="18" max="18" width="16.42578125" style="1" customWidth="1"/>
    <col min="19" max="16384" width="9.140625" style="1"/>
  </cols>
  <sheetData>
    <row r="1" spans="1:18" ht="24.75" customHeight="1" thickBot="1">
      <c r="A1" s="66" t="s">
        <v>39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8"/>
    </row>
    <row r="2" spans="1:18" ht="10.5" customHeight="1">
      <c r="A2" s="4"/>
      <c r="B2" s="4"/>
      <c r="C2" s="4"/>
      <c r="D2" s="4"/>
      <c r="E2" s="4"/>
      <c r="F2" s="4"/>
      <c r="G2" s="4"/>
      <c r="H2" s="75"/>
      <c r="I2" s="75"/>
      <c r="J2" s="76"/>
      <c r="K2" s="76"/>
      <c r="L2" s="76"/>
      <c r="M2" s="4"/>
      <c r="N2" s="4"/>
      <c r="O2" s="4"/>
      <c r="P2" s="4"/>
      <c r="Q2" s="4"/>
      <c r="R2" s="4"/>
    </row>
    <row r="3" spans="1:18" ht="58.5" customHeight="1">
      <c r="A3" s="55" t="s">
        <v>0</v>
      </c>
      <c r="B3" s="55" t="s">
        <v>29</v>
      </c>
      <c r="C3" s="55" t="s">
        <v>1</v>
      </c>
      <c r="D3" s="55" t="s">
        <v>9</v>
      </c>
      <c r="E3" s="55" t="s">
        <v>2</v>
      </c>
      <c r="F3" s="53" t="s">
        <v>10</v>
      </c>
      <c r="G3" s="53" t="s">
        <v>42</v>
      </c>
      <c r="H3" s="53" t="s">
        <v>43</v>
      </c>
      <c r="I3" s="54" t="s">
        <v>47</v>
      </c>
      <c r="J3" s="53" t="s">
        <v>48</v>
      </c>
      <c r="K3" s="53" t="s">
        <v>41</v>
      </c>
      <c r="L3" s="53" t="s">
        <v>51</v>
      </c>
      <c r="M3" s="56" t="s">
        <v>3</v>
      </c>
      <c r="N3" s="57" t="s">
        <v>4</v>
      </c>
      <c r="O3" s="57" t="s">
        <v>5</v>
      </c>
      <c r="P3" s="58" t="s">
        <v>6</v>
      </c>
      <c r="Q3" s="53" t="s">
        <v>7</v>
      </c>
      <c r="R3" s="59" t="s">
        <v>8</v>
      </c>
    </row>
    <row r="4" spans="1:18" ht="78" customHeight="1">
      <c r="A4" s="72">
        <v>1</v>
      </c>
      <c r="B4" s="72">
        <v>52044</v>
      </c>
      <c r="C4" s="77" t="s">
        <v>34</v>
      </c>
      <c r="D4" s="78" t="s">
        <v>35</v>
      </c>
      <c r="E4" s="72">
        <v>1</v>
      </c>
      <c r="F4" s="38" t="s">
        <v>40</v>
      </c>
      <c r="G4" s="36" t="s">
        <v>44</v>
      </c>
      <c r="H4" s="61" t="s">
        <v>45</v>
      </c>
      <c r="I4" s="49">
        <v>5000</v>
      </c>
      <c r="J4" s="62">
        <v>35000</v>
      </c>
      <c r="K4" s="37">
        <v>45349</v>
      </c>
      <c r="L4" s="47" t="s">
        <v>62</v>
      </c>
      <c r="M4" s="69">
        <f>MIN(I7,I8,I11)</f>
        <v>1250</v>
      </c>
      <c r="N4" s="69">
        <f>AVERAGE(I7,I8,I11)</f>
        <v>2022.7266666666667</v>
      </c>
      <c r="O4" s="69">
        <f>MEDIAN(I7,I8,I11)</f>
        <v>1818.18</v>
      </c>
      <c r="P4" s="72">
        <f>VAR(I7,I8,I11)</f>
        <v>797004.50413333345</v>
      </c>
      <c r="Q4" s="72">
        <f>STDEVA(I7,I8,I11)</f>
        <v>892.7510874444979</v>
      </c>
      <c r="R4" s="73">
        <f>Q4/N4</f>
        <v>0.44136022041757061</v>
      </c>
    </row>
    <row r="5" spans="1:18" s="2" customFormat="1" ht="57.75" customHeight="1">
      <c r="A5" s="72"/>
      <c r="B5" s="72"/>
      <c r="C5" s="77"/>
      <c r="D5" s="78"/>
      <c r="E5" s="72"/>
      <c r="F5" s="38" t="s">
        <v>40</v>
      </c>
      <c r="G5" s="36" t="s">
        <v>44</v>
      </c>
      <c r="H5" s="36" t="s">
        <v>46</v>
      </c>
      <c r="I5" s="49">
        <v>2500</v>
      </c>
      <c r="J5" s="46">
        <v>40000</v>
      </c>
      <c r="K5" s="37">
        <v>44851</v>
      </c>
      <c r="L5" s="47" t="s">
        <v>49</v>
      </c>
      <c r="M5" s="69"/>
      <c r="N5" s="69"/>
      <c r="O5" s="69"/>
      <c r="P5" s="72"/>
      <c r="Q5" s="72"/>
      <c r="R5" s="73"/>
    </row>
    <row r="6" spans="1:18" s="2" customFormat="1" ht="67.5" customHeight="1">
      <c r="A6" s="72"/>
      <c r="B6" s="72"/>
      <c r="C6" s="77"/>
      <c r="D6" s="78"/>
      <c r="E6" s="72"/>
      <c r="F6" s="38" t="s">
        <v>40</v>
      </c>
      <c r="G6" s="36" t="s">
        <v>44</v>
      </c>
      <c r="H6" s="36" t="s">
        <v>45</v>
      </c>
      <c r="I6" s="50">
        <v>7067.82</v>
      </c>
      <c r="J6" s="39">
        <v>49474.8</v>
      </c>
      <c r="K6" s="40">
        <v>44580</v>
      </c>
      <c r="L6" s="36" t="s">
        <v>50</v>
      </c>
      <c r="M6" s="69"/>
      <c r="N6" s="69"/>
      <c r="O6" s="69"/>
      <c r="P6" s="72"/>
      <c r="Q6" s="72"/>
      <c r="R6" s="73"/>
    </row>
    <row r="7" spans="1:18" ht="72.75" customHeight="1">
      <c r="A7" s="71"/>
      <c r="B7" s="71"/>
      <c r="C7" s="78"/>
      <c r="D7" s="78"/>
      <c r="E7" s="71"/>
      <c r="F7" s="26" t="s">
        <v>40</v>
      </c>
      <c r="G7" s="26" t="s">
        <v>44</v>
      </c>
      <c r="H7" s="7" t="s">
        <v>45</v>
      </c>
      <c r="I7" s="51">
        <v>1250</v>
      </c>
      <c r="J7" s="6">
        <v>5000</v>
      </c>
      <c r="K7" s="32">
        <v>45187</v>
      </c>
      <c r="L7" s="31" t="s">
        <v>54</v>
      </c>
      <c r="M7" s="70"/>
      <c r="N7" s="70"/>
      <c r="O7" s="71"/>
      <c r="P7" s="71"/>
      <c r="Q7" s="71"/>
      <c r="R7" s="74"/>
    </row>
    <row r="8" spans="1:18" s="2" customFormat="1" ht="70.5" customHeight="1">
      <c r="A8" s="71"/>
      <c r="B8" s="71"/>
      <c r="C8" s="78"/>
      <c r="D8" s="78"/>
      <c r="E8" s="71"/>
      <c r="F8" s="26" t="s">
        <v>40</v>
      </c>
      <c r="G8" s="26" t="s">
        <v>44</v>
      </c>
      <c r="H8" s="7" t="s">
        <v>55</v>
      </c>
      <c r="I8" s="51">
        <v>3000</v>
      </c>
      <c r="J8" s="6">
        <v>3000</v>
      </c>
      <c r="K8" s="32">
        <v>45295</v>
      </c>
      <c r="L8" s="7" t="s">
        <v>56</v>
      </c>
      <c r="M8" s="70"/>
      <c r="N8" s="70"/>
      <c r="O8" s="71"/>
      <c r="P8" s="71"/>
      <c r="Q8" s="71"/>
      <c r="R8" s="74"/>
    </row>
    <row r="9" spans="1:18" s="2" customFormat="1" ht="74.25" customHeight="1">
      <c r="A9" s="71"/>
      <c r="B9" s="71"/>
      <c r="C9" s="78"/>
      <c r="D9" s="78"/>
      <c r="E9" s="71"/>
      <c r="F9" s="38" t="s">
        <v>40</v>
      </c>
      <c r="G9" s="38" t="s">
        <v>44</v>
      </c>
      <c r="H9" s="61" t="s">
        <v>45</v>
      </c>
      <c r="I9" s="50">
        <v>7714.28</v>
      </c>
      <c r="J9" s="62">
        <v>54000</v>
      </c>
      <c r="K9" s="37">
        <v>45056</v>
      </c>
      <c r="L9" s="47" t="s">
        <v>61</v>
      </c>
      <c r="M9" s="70"/>
      <c r="N9" s="70"/>
      <c r="O9" s="71"/>
      <c r="P9" s="71"/>
      <c r="Q9" s="71"/>
      <c r="R9" s="74"/>
    </row>
    <row r="10" spans="1:18" s="2" customFormat="1" ht="75" customHeight="1">
      <c r="A10" s="71"/>
      <c r="B10" s="71"/>
      <c r="C10" s="78"/>
      <c r="D10" s="78"/>
      <c r="E10" s="71"/>
      <c r="F10" s="38" t="s">
        <v>64</v>
      </c>
      <c r="G10" s="38" t="s">
        <v>65</v>
      </c>
      <c r="H10" s="36" t="s">
        <v>66</v>
      </c>
      <c r="I10" s="50">
        <v>4577.46</v>
      </c>
      <c r="J10" s="62">
        <v>325000</v>
      </c>
      <c r="K10" s="37">
        <v>45386</v>
      </c>
      <c r="L10" s="36" t="s">
        <v>67</v>
      </c>
      <c r="M10" s="70"/>
      <c r="N10" s="70"/>
      <c r="O10" s="71"/>
      <c r="P10" s="71"/>
      <c r="Q10" s="71"/>
      <c r="R10" s="74"/>
    </row>
    <row r="11" spans="1:18" s="2" customFormat="1" ht="76.5" customHeight="1">
      <c r="A11" s="71"/>
      <c r="B11" s="71"/>
      <c r="C11" s="78"/>
      <c r="D11" s="78"/>
      <c r="E11" s="71"/>
      <c r="F11" s="26" t="s">
        <v>57</v>
      </c>
      <c r="G11" s="26" t="s">
        <v>44</v>
      </c>
      <c r="H11" s="7" t="s">
        <v>58</v>
      </c>
      <c r="I11" s="51">
        <v>1818.18</v>
      </c>
      <c r="J11" s="6">
        <v>40000</v>
      </c>
      <c r="K11" s="32" t="s">
        <v>60</v>
      </c>
      <c r="L11" s="31" t="s">
        <v>59</v>
      </c>
      <c r="M11" s="70"/>
      <c r="N11" s="70"/>
      <c r="O11" s="71"/>
      <c r="P11" s="71"/>
      <c r="Q11" s="71"/>
      <c r="R11" s="74"/>
    </row>
    <row r="12" spans="1:18" s="2" customFormat="1">
      <c r="A12" s="71"/>
      <c r="B12" s="71"/>
      <c r="C12" s="78"/>
      <c r="D12" s="78"/>
      <c r="E12" s="71"/>
      <c r="F12" s="26"/>
      <c r="G12" s="26"/>
      <c r="H12" s="7"/>
      <c r="I12" s="51"/>
      <c r="J12" s="6"/>
      <c r="K12" s="32"/>
      <c r="L12" s="7"/>
      <c r="M12" s="70"/>
      <c r="N12" s="70"/>
      <c r="O12" s="71"/>
      <c r="P12" s="71"/>
      <c r="Q12" s="71"/>
      <c r="R12" s="74"/>
    </row>
    <row r="13" spans="1:18" s="2" customFormat="1">
      <c r="A13" s="71"/>
      <c r="B13" s="71"/>
      <c r="C13" s="78"/>
      <c r="D13" s="78"/>
      <c r="E13" s="71"/>
      <c r="F13" s="26"/>
      <c r="G13" s="26"/>
      <c r="H13" s="7"/>
      <c r="I13" s="51"/>
      <c r="J13" s="6"/>
      <c r="K13" s="32"/>
      <c r="L13" s="7"/>
      <c r="M13" s="70"/>
      <c r="N13" s="70"/>
      <c r="O13" s="71"/>
      <c r="P13" s="71"/>
      <c r="Q13" s="71"/>
      <c r="R13" s="74"/>
    </row>
    <row r="14" spans="1:18" s="2" customFormat="1">
      <c r="A14" s="71"/>
      <c r="B14" s="71"/>
      <c r="C14" s="78"/>
      <c r="D14" s="78"/>
      <c r="E14" s="71"/>
      <c r="F14" s="5"/>
      <c r="G14" s="5"/>
      <c r="H14" s="7"/>
      <c r="I14" s="51"/>
      <c r="J14" s="6"/>
      <c r="K14" s="32"/>
      <c r="L14" s="7"/>
      <c r="M14" s="70"/>
      <c r="N14" s="70"/>
      <c r="O14" s="71"/>
      <c r="P14" s="71"/>
      <c r="Q14" s="71"/>
      <c r="R14" s="74"/>
    </row>
    <row r="15" spans="1:18" s="2" customFormat="1">
      <c r="A15" s="71"/>
      <c r="B15" s="71"/>
      <c r="C15" s="78"/>
      <c r="D15" s="78"/>
      <c r="E15" s="71"/>
      <c r="F15" s="26"/>
      <c r="G15" s="26"/>
      <c r="H15" s="7"/>
      <c r="I15" s="51"/>
      <c r="J15" s="6"/>
      <c r="K15" s="32"/>
      <c r="L15" s="7"/>
      <c r="M15" s="70"/>
      <c r="N15" s="70"/>
      <c r="O15" s="71"/>
      <c r="P15" s="71"/>
      <c r="Q15" s="71"/>
      <c r="R15" s="74"/>
    </row>
    <row r="16" spans="1:18" s="2" customFormat="1">
      <c r="A16" s="71"/>
      <c r="B16" s="71"/>
      <c r="C16" s="78"/>
      <c r="D16" s="78"/>
      <c r="E16" s="71"/>
      <c r="F16" s="26"/>
      <c r="G16" s="26"/>
      <c r="H16" s="7"/>
      <c r="I16" s="51"/>
      <c r="J16" s="6"/>
      <c r="K16" s="32"/>
      <c r="L16" s="7"/>
      <c r="M16" s="70"/>
      <c r="N16" s="70"/>
      <c r="O16" s="71"/>
      <c r="P16" s="71"/>
      <c r="Q16" s="71"/>
      <c r="R16" s="74"/>
    </row>
    <row r="17" spans="1:18" s="2" customFormat="1">
      <c r="A17" s="71"/>
      <c r="B17" s="71"/>
      <c r="C17" s="78"/>
      <c r="D17" s="78"/>
      <c r="E17" s="71"/>
      <c r="F17" s="26"/>
      <c r="G17" s="26"/>
      <c r="H17" s="7"/>
      <c r="I17" s="51"/>
      <c r="J17" s="6"/>
      <c r="K17" s="32"/>
      <c r="L17" s="7"/>
      <c r="M17" s="70"/>
      <c r="N17" s="70"/>
      <c r="O17" s="71"/>
      <c r="P17" s="71"/>
      <c r="Q17" s="71"/>
      <c r="R17" s="74"/>
    </row>
    <row r="18" spans="1:18" s="2" customFormat="1">
      <c r="A18" s="71"/>
      <c r="B18" s="71"/>
      <c r="C18" s="78"/>
      <c r="D18" s="78"/>
      <c r="E18" s="71"/>
      <c r="F18" s="26"/>
      <c r="G18" s="26"/>
      <c r="H18" s="7"/>
      <c r="I18" s="51"/>
      <c r="J18" s="6"/>
      <c r="K18" s="24"/>
      <c r="L18" s="7"/>
      <c r="M18" s="70"/>
      <c r="N18" s="70"/>
      <c r="O18" s="71"/>
      <c r="P18" s="71"/>
      <c r="Q18" s="71"/>
      <c r="R18" s="74"/>
    </row>
    <row r="19" spans="1:18" s="2" customFormat="1">
      <c r="A19" s="71"/>
      <c r="B19" s="71"/>
      <c r="C19" s="78"/>
      <c r="D19" s="78"/>
      <c r="E19" s="71"/>
      <c r="F19" s="26"/>
      <c r="G19" s="26"/>
      <c r="H19" s="7"/>
      <c r="I19" s="51"/>
      <c r="J19" s="6"/>
      <c r="K19" s="24"/>
      <c r="L19" s="7"/>
      <c r="M19" s="70"/>
      <c r="N19" s="70"/>
      <c r="O19" s="71"/>
      <c r="P19" s="71"/>
      <c r="Q19" s="71"/>
      <c r="R19" s="74"/>
    </row>
    <row r="20" spans="1:18" s="2" customFormat="1">
      <c r="A20" s="71"/>
      <c r="B20" s="71"/>
      <c r="C20" s="78"/>
      <c r="D20" s="78"/>
      <c r="E20" s="71"/>
      <c r="F20" s="26"/>
      <c r="G20" s="26"/>
      <c r="H20" s="7"/>
      <c r="I20" s="51"/>
      <c r="J20" s="6"/>
      <c r="K20" s="24"/>
      <c r="L20" s="7"/>
      <c r="M20" s="70"/>
      <c r="N20" s="70"/>
      <c r="O20" s="71"/>
      <c r="P20" s="71"/>
      <c r="Q20" s="71"/>
      <c r="R20" s="74"/>
    </row>
    <row r="21" spans="1:18" s="2" customFormat="1">
      <c r="A21" s="71"/>
      <c r="B21" s="71"/>
      <c r="C21" s="78"/>
      <c r="D21" s="78"/>
      <c r="E21" s="71"/>
      <c r="F21" s="5"/>
      <c r="G21" s="5"/>
      <c r="H21" s="7"/>
      <c r="I21" s="51"/>
      <c r="J21" s="6"/>
      <c r="K21" s="24"/>
      <c r="L21" s="7"/>
      <c r="M21" s="70"/>
      <c r="N21" s="70"/>
      <c r="O21" s="71"/>
      <c r="P21" s="71"/>
      <c r="Q21" s="71"/>
      <c r="R21" s="74"/>
    </row>
    <row r="22" spans="1:18" s="2" customFormat="1">
      <c r="A22" s="71"/>
      <c r="B22" s="71"/>
      <c r="C22" s="78"/>
      <c r="D22" s="78"/>
      <c r="E22" s="71"/>
      <c r="F22" s="26"/>
      <c r="G22" s="26"/>
      <c r="H22" s="7"/>
      <c r="I22" s="51"/>
      <c r="J22" s="6"/>
      <c r="K22" s="24"/>
      <c r="L22" s="7"/>
      <c r="M22" s="70"/>
      <c r="N22" s="70"/>
      <c r="O22" s="71"/>
      <c r="P22" s="71"/>
      <c r="Q22" s="71"/>
      <c r="R22" s="74"/>
    </row>
    <row r="23" spans="1:18" s="2" customFormat="1">
      <c r="A23" s="71"/>
      <c r="B23" s="71"/>
      <c r="C23" s="78"/>
      <c r="D23" s="78"/>
      <c r="E23" s="71"/>
      <c r="F23" s="26"/>
      <c r="G23" s="26"/>
      <c r="H23" s="7"/>
      <c r="I23" s="51"/>
      <c r="J23" s="6"/>
      <c r="K23" s="24"/>
      <c r="L23" s="7"/>
      <c r="M23" s="70"/>
      <c r="N23" s="70"/>
      <c r="O23" s="71"/>
      <c r="P23" s="71"/>
      <c r="Q23" s="71"/>
      <c r="R23" s="74"/>
    </row>
    <row r="24" spans="1:18">
      <c r="A24" s="71"/>
      <c r="B24" s="71"/>
      <c r="C24" s="78"/>
      <c r="D24" s="78"/>
      <c r="E24" s="71"/>
      <c r="F24" s="26"/>
      <c r="G24" s="26"/>
      <c r="H24" s="7"/>
      <c r="I24" s="51"/>
      <c r="J24" s="6"/>
      <c r="K24" s="24"/>
      <c r="L24" s="7"/>
      <c r="M24" s="70"/>
      <c r="N24" s="70"/>
      <c r="O24" s="71"/>
      <c r="P24" s="71"/>
      <c r="Q24" s="71"/>
      <c r="R24" s="74"/>
    </row>
    <row r="25" spans="1:18">
      <c r="J25" s="3"/>
      <c r="Q25" s="2" t="s">
        <v>33</v>
      </c>
    </row>
    <row r="26" spans="1:18">
      <c r="J26"/>
      <c r="K26"/>
      <c r="L26"/>
    </row>
    <row r="27" spans="1:18" ht="16.5" thickBot="1">
      <c r="J27" s="65" t="s">
        <v>36</v>
      </c>
      <c r="K27" s="65"/>
      <c r="L27" s="65"/>
    </row>
    <row r="28" spans="1:18" ht="16.5" thickTop="1">
      <c r="C28" s="79" t="s">
        <v>11</v>
      </c>
      <c r="D28" s="80"/>
      <c r="E28" s="8">
        <f>Q4</f>
        <v>892.7510874444979</v>
      </c>
      <c r="F28" s="89" t="s">
        <v>12</v>
      </c>
      <c r="G28" s="44"/>
      <c r="I28" s="60" t="s">
        <v>53</v>
      </c>
      <c r="J28" s="43" t="s">
        <v>52</v>
      </c>
      <c r="K28" s="42" t="s">
        <v>30</v>
      </c>
      <c r="L28" s="41" t="s">
        <v>31</v>
      </c>
    </row>
    <row r="29" spans="1:18">
      <c r="C29" s="82" t="s">
        <v>13</v>
      </c>
      <c r="D29" s="83"/>
      <c r="E29" s="64">
        <f>R4</f>
        <v>0.44136022041757061</v>
      </c>
      <c r="F29" s="90"/>
      <c r="G29" s="44"/>
      <c r="J29" s="35">
        <f>AVERAGE(I4,I7,I8,I9,I10,I11)</f>
        <v>3893.3199999999997</v>
      </c>
      <c r="K29">
        <f>STDEVA(I4,I7,I8,I9,I10,I11)</f>
        <v>2382.5990324853242</v>
      </c>
      <c r="L29" s="34">
        <f>K29/J29</f>
        <v>0.61197102536789283</v>
      </c>
      <c r="M29" s="29"/>
    </row>
    <row r="30" spans="1:18">
      <c r="C30" s="91" t="s">
        <v>14</v>
      </c>
      <c r="D30" s="92"/>
      <c r="E30" s="9">
        <f>M4</f>
        <v>1250</v>
      </c>
      <c r="F30" s="10">
        <f>E30*E4</f>
        <v>1250</v>
      </c>
      <c r="G30" s="45"/>
      <c r="J30"/>
      <c r="K30" s="33">
        <f>J29-K29</f>
        <v>1510.7209675146755</v>
      </c>
      <c r="L30"/>
    </row>
    <row r="31" spans="1:18">
      <c r="C31" s="82" t="s">
        <v>15</v>
      </c>
      <c r="D31" s="83"/>
      <c r="E31" s="11">
        <f>N4</f>
        <v>2022.7266666666667</v>
      </c>
      <c r="F31" s="12">
        <f>E31*E4</f>
        <v>2022.7266666666667</v>
      </c>
      <c r="G31" s="45"/>
      <c r="J31"/>
      <c r="K31" s="33">
        <f>J29+K29</f>
        <v>6275.9190324853244</v>
      </c>
      <c r="L31"/>
    </row>
    <row r="32" spans="1:18">
      <c r="C32" s="82" t="s">
        <v>16</v>
      </c>
      <c r="D32" s="83"/>
      <c r="E32" s="11">
        <f>O4</f>
        <v>1818.18</v>
      </c>
      <c r="F32" s="12">
        <f>E32*E4</f>
        <v>1818.18</v>
      </c>
      <c r="G32" s="45"/>
      <c r="J32" s="3"/>
      <c r="K32" s="2"/>
    </row>
    <row r="33" spans="3:13">
      <c r="C33" s="82" t="s">
        <v>17</v>
      </c>
      <c r="D33" s="83"/>
      <c r="E33" s="84">
        <f>N4-Q4</f>
        <v>1129.9755792221688</v>
      </c>
      <c r="F33" s="85"/>
      <c r="G33" s="29"/>
      <c r="H33" s="2"/>
      <c r="J33" s="65" t="s">
        <v>37</v>
      </c>
      <c r="K33" s="65"/>
      <c r="L33" s="65"/>
    </row>
    <row r="34" spans="3:13" ht="16.5" thickBot="1">
      <c r="C34" s="81" t="s">
        <v>18</v>
      </c>
      <c r="D34" s="86"/>
      <c r="E34" s="87">
        <f>N4+Q4</f>
        <v>2915.4777541111644</v>
      </c>
      <c r="F34" s="88"/>
      <c r="G34" s="29"/>
      <c r="H34" s="15"/>
      <c r="I34" s="52"/>
      <c r="J34" s="43" t="s">
        <v>52</v>
      </c>
      <c r="K34" s="42" t="s">
        <v>30</v>
      </c>
      <c r="L34" s="41" t="s">
        <v>31</v>
      </c>
    </row>
    <row r="35" spans="3:13">
      <c r="C35" s="2"/>
      <c r="D35" s="2"/>
      <c r="E35" s="2"/>
      <c r="F35" s="2"/>
      <c r="J35" s="35">
        <f>AVERAGE(I4,I7,I8,I10,I11)</f>
        <v>3129.1279999999997</v>
      </c>
      <c r="K35">
        <f>STDEVA(I4,I7,I8,I10,I11)</f>
        <v>1648.0449297637495</v>
      </c>
      <c r="L35" s="34">
        <f>K35/J35</f>
        <v>0.52667865608685538</v>
      </c>
    </row>
    <row r="36" spans="3:13">
      <c r="C36" s="93" t="s">
        <v>19</v>
      </c>
      <c r="D36" s="93"/>
      <c r="E36" s="93"/>
      <c r="F36" s="13">
        <f>F30</f>
        <v>1250</v>
      </c>
      <c r="G36" s="13"/>
      <c r="J36"/>
      <c r="K36" s="33">
        <f>J35-K35</f>
        <v>1481.0830702362503</v>
      </c>
      <c r="L36"/>
    </row>
    <row r="37" spans="3:13">
      <c r="C37" s="93" t="s">
        <v>20</v>
      </c>
      <c r="D37" s="93"/>
      <c r="E37" s="93"/>
      <c r="F37" s="13">
        <f>F31</f>
        <v>2022.7266666666667</v>
      </c>
      <c r="G37" s="13"/>
      <c r="J37"/>
      <c r="K37" s="33">
        <f>J35+K35</f>
        <v>4777.1729297637494</v>
      </c>
      <c r="L37"/>
      <c r="M37"/>
    </row>
    <row r="38" spans="3:13" ht="16.5" thickBot="1">
      <c r="C38" s="81" t="s">
        <v>21</v>
      </c>
      <c r="D38" s="81"/>
      <c r="E38" s="81"/>
      <c r="F38" s="14">
        <f>F32</f>
        <v>1818.18</v>
      </c>
      <c r="G38" s="45"/>
      <c r="J38" s="3"/>
      <c r="K38"/>
      <c r="L38"/>
      <c r="M38"/>
    </row>
    <row r="39" spans="3:13">
      <c r="J39" s="65" t="s">
        <v>63</v>
      </c>
      <c r="K39" s="65"/>
      <c r="L39" s="65"/>
      <c r="M39"/>
    </row>
    <row r="40" spans="3:13">
      <c r="J40" s="43" t="s">
        <v>52</v>
      </c>
      <c r="K40" s="48" t="s">
        <v>30</v>
      </c>
      <c r="L40" s="48" t="s">
        <v>31</v>
      </c>
      <c r="M40"/>
    </row>
    <row r="41" spans="3:13">
      <c r="J41" s="35">
        <f>AVERAGE(I7,I8,I10,I11)</f>
        <v>2661.41</v>
      </c>
      <c r="K41">
        <f>STDEVA(I7,I8,I10,I11)</f>
        <v>1470.7147708512355</v>
      </c>
      <c r="L41" s="34">
        <f>K41/J41</f>
        <v>0.55260736634011132</v>
      </c>
    </row>
    <row r="42" spans="3:13">
      <c r="J42"/>
      <c r="K42" s="33">
        <f>J41-K41</f>
        <v>1190.6952291487644</v>
      </c>
      <c r="L42"/>
    </row>
    <row r="43" spans="3:13">
      <c r="J43"/>
      <c r="K43" s="33">
        <f>J41+K41</f>
        <v>4132.1247708512356</v>
      </c>
      <c r="L43"/>
    </row>
    <row r="45" spans="3:13">
      <c r="J45" s="65" t="s">
        <v>68</v>
      </c>
      <c r="K45" s="65"/>
      <c r="L45" s="65"/>
    </row>
    <row r="46" spans="3:13">
      <c r="J46" s="43" t="s">
        <v>52</v>
      </c>
      <c r="K46" s="63" t="s">
        <v>30</v>
      </c>
      <c r="L46" s="63" t="s">
        <v>31</v>
      </c>
    </row>
    <row r="47" spans="3:13">
      <c r="J47" s="35">
        <f>AVERAGE(I7,I8,I11)</f>
        <v>2022.7266666666667</v>
      </c>
      <c r="K47">
        <f>STDEVA(I7,I8,I11)</f>
        <v>892.7510874444979</v>
      </c>
      <c r="L47" s="34">
        <f>K47/J47</f>
        <v>0.44136022041757061</v>
      </c>
    </row>
    <row r="48" spans="3:13">
      <c r="J48"/>
      <c r="K48" s="33">
        <f>J47-K47</f>
        <v>1129.9755792221688</v>
      </c>
      <c r="L48"/>
    </row>
    <row r="49" spans="10:12">
      <c r="J49"/>
      <c r="K49" s="33">
        <f>J47+K47</f>
        <v>2915.4777541111644</v>
      </c>
      <c r="L49"/>
    </row>
    <row r="52" spans="10:12">
      <c r="J52" s="2"/>
    </row>
  </sheetData>
  <mergeCells count="30">
    <mergeCell ref="E4:E24"/>
    <mergeCell ref="C28:D28"/>
    <mergeCell ref="C38:E38"/>
    <mergeCell ref="C31:D31"/>
    <mergeCell ref="C32:D32"/>
    <mergeCell ref="C33:D33"/>
    <mergeCell ref="E33:F33"/>
    <mergeCell ref="C34:D34"/>
    <mergeCell ref="E34:F34"/>
    <mergeCell ref="F28:F29"/>
    <mergeCell ref="C29:D29"/>
    <mergeCell ref="C30:D30"/>
    <mergeCell ref="C36:E36"/>
    <mergeCell ref="C37:E37"/>
    <mergeCell ref="J45:L45"/>
    <mergeCell ref="J39:L39"/>
    <mergeCell ref="J27:L27"/>
    <mergeCell ref="J33:L33"/>
    <mergeCell ref="A1:R1"/>
    <mergeCell ref="M4:M24"/>
    <mergeCell ref="N4:N24"/>
    <mergeCell ref="O4:O24"/>
    <mergeCell ref="P4:P24"/>
    <mergeCell ref="Q4:Q24"/>
    <mergeCell ref="R4:R24"/>
    <mergeCell ref="H2:L2"/>
    <mergeCell ref="A4:A24"/>
    <mergeCell ref="B4:B24"/>
    <mergeCell ref="C4:C24"/>
    <mergeCell ref="D4:D24"/>
  </mergeCells>
  <conditionalFormatting sqref="R4:R24">
    <cfRule type="cellIs" dxfId="0" priority="1" stopIfTrue="1" operator="between">
      <formula>0.3</formula>
      <formula>0.49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1"/>
  <sheetViews>
    <sheetView showGridLines="0" workbookViewId="0">
      <selection activeCell="B2" sqref="B2:G5"/>
    </sheetView>
  </sheetViews>
  <sheetFormatPr defaultRowHeight="15"/>
  <cols>
    <col min="1" max="1" width="4.28515625" customWidth="1"/>
    <col min="2" max="2" width="5.42578125" bestFit="1" customWidth="1"/>
    <col min="3" max="3" width="10.28515625" bestFit="1" customWidth="1"/>
    <col min="4" max="4" width="47.28515625" customWidth="1"/>
    <col min="5" max="5" width="17.140625" customWidth="1"/>
    <col min="6" max="6" width="11" bestFit="1" customWidth="1"/>
    <col min="7" max="7" width="17.85546875" customWidth="1"/>
    <col min="9" max="9" width="5.42578125" customWidth="1"/>
    <col min="10" max="10" width="10.28515625" bestFit="1" customWidth="1"/>
    <col min="11" max="11" width="47.5703125" customWidth="1"/>
    <col min="12" max="12" width="18.85546875" bestFit="1" customWidth="1"/>
    <col min="13" max="13" width="11.42578125" customWidth="1"/>
    <col min="14" max="14" width="18.42578125" customWidth="1"/>
  </cols>
  <sheetData>
    <row r="2" spans="2:7" ht="16.5" thickBot="1">
      <c r="B2" s="95" t="s">
        <v>22</v>
      </c>
      <c r="C2" s="95"/>
      <c r="D2" s="95"/>
      <c r="E2" s="95"/>
      <c r="F2" s="95"/>
      <c r="G2" s="95"/>
    </row>
    <row r="3" spans="2:7" ht="33" customHeight="1" thickTop="1" thickBot="1">
      <c r="B3" s="16" t="s">
        <v>23</v>
      </c>
      <c r="C3" s="17" t="s">
        <v>24</v>
      </c>
      <c r="D3" s="18" t="s">
        <v>25</v>
      </c>
      <c r="E3" s="19" t="s">
        <v>32</v>
      </c>
      <c r="F3" s="16" t="s">
        <v>26</v>
      </c>
      <c r="G3" s="17" t="s">
        <v>27</v>
      </c>
    </row>
    <row r="4" spans="2:7" ht="101.25" customHeight="1">
      <c r="B4" s="27">
        <v>1</v>
      </c>
      <c r="C4" s="20">
        <v>52044</v>
      </c>
      <c r="D4" s="25" t="s">
        <v>38</v>
      </c>
      <c r="E4" s="21">
        <f>'Curso ESG'!J11</f>
        <v>40000</v>
      </c>
      <c r="F4" s="20">
        <v>1</v>
      </c>
      <c r="G4" s="22">
        <f>F4*E4</f>
        <v>40000</v>
      </c>
    </row>
    <row r="5" spans="2:7" ht="16.5" thickBot="1">
      <c r="B5" s="96" t="s">
        <v>28</v>
      </c>
      <c r="C5" s="96"/>
      <c r="D5" s="96"/>
      <c r="E5" s="96"/>
      <c r="F5" s="96"/>
      <c r="G5" s="23">
        <f>G4</f>
        <v>40000</v>
      </c>
    </row>
    <row r="6" spans="2:7" ht="15.75" thickTop="1"/>
    <row r="9" spans="2:7" ht="59.25" customHeight="1"/>
    <row r="14" spans="2:7" ht="54" customHeight="1"/>
    <row r="18" spans="8:13">
      <c r="J18" s="30"/>
      <c r="K18" s="30"/>
      <c r="L18" s="30"/>
    </row>
    <row r="19" spans="8:13" ht="35.25" customHeight="1">
      <c r="H19" s="28"/>
      <c r="J19" s="94"/>
      <c r="K19" s="30"/>
      <c r="L19" s="30"/>
      <c r="M19" s="94"/>
    </row>
    <row r="20" spans="8:13">
      <c r="J20" s="94"/>
      <c r="K20" s="30"/>
      <c r="L20" s="30"/>
      <c r="M20" s="94"/>
    </row>
    <row r="21" spans="8:13">
      <c r="J21" s="30"/>
    </row>
  </sheetData>
  <mergeCells count="4">
    <mergeCell ref="J19:J20"/>
    <mergeCell ref="M19:M20"/>
    <mergeCell ref="B2:G2"/>
    <mergeCell ref="B5:F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Curso ESG</vt:lpstr>
      <vt:lpstr>Preço de Referência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gfernandes</dc:creator>
  <cp:lastModifiedBy>rmartins</cp:lastModifiedBy>
  <dcterms:created xsi:type="dcterms:W3CDTF">2024-01-25T18:46:59Z</dcterms:created>
  <dcterms:modified xsi:type="dcterms:W3CDTF">2024-05-06T13:41:22Z</dcterms:modified>
</cp:coreProperties>
</file>