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6480" windowWidth="15480" windowHeight="3660" tabRatio="821"/>
  </bookViews>
  <sheets>
    <sheet name="DIMENSIONAMENTO ESTIMADO  " sheetId="42" r:id="rId1"/>
    <sheet name="VALOR ESTIMADO" sheetId="90" r:id="rId2"/>
    <sheet name="Serv Limp Plant Diurno" sheetId="68" r:id="rId3"/>
    <sheet name="Serv Limp Plant Noturno" sheetId="92" r:id="rId4"/>
    <sheet name="Ass Adm. Diarista " sheetId="71" r:id="rId5"/>
    <sheet name="Almoxarife Diarista" sheetId="72" r:id="rId6"/>
    <sheet name="Aux Almoxarife " sheetId="73" r:id="rId7"/>
    <sheet name="Cozinheiro Lider" sheetId="74" r:id="rId8"/>
    <sheet name="Cozinheiro " sheetId="76" r:id="rId9"/>
    <sheet name="Aux Cozinha Noturno" sheetId="89" r:id="rId10"/>
    <sheet name="Aux Cozinha " sheetId="77" r:id="rId11"/>
    <sheet name="Copeiro diarista " sheetId="70" r:id="rId12"/>
    <sheet name="Copeiro Plant Noturno  " sheetId="78" r:id="rId13"/>
    <sheet name="Copeiro Plant diurno " sheetId="79" r:id="rId14"/>
    <sheet name="Tec. Manutenção" sheetId="80" r:id="rId15"/>
    <sheet name="Motorista " sheetId="82" r:id="rId16"/>
    <sheet name=" Nutricionista RT SET FEC PLANT" sheetId="87" r:id="rId17"/>
    <sheet name=" NUT RT CHEFIA DIARISTA" sheetId="67" r:id="rId18"/>
    <sheet name="Nutricionista  Plantonista" sheetId="65" r:id="rId19"/>
    <sheet name="Nutricionista Diarista " sheetId="69" r:id="rId20"/>
    <sheet name="Tec em Nutrição Plant noturno" sheetId="88" r:id="rId21"/>
    <sheet name="Tecnico em Nutrição Plantonista" sheetId="83" r:id="rId22"/>
    <sheet name="Tecnico Nutrição Diarista" sheetId="84" r:id="rId23"/>
    <sheet name="Mecânico de Refrigeração" sheetId="85" r:id="rId24"/>
    <sheet name="Magarefe plantonista " sheetId="86" r:id="rId25"/>
    <sheet name="Uniformes" sheetId="22" r:id="rId26"/>
  </sheets>
  <definedNames>
    <definedName name="_xlnm.Print_Area" localSheetId="0">'DIMENSIONAMENTO ESTIMADO  '!$A$1:$O$30</definedName>
    <definedName name="_xlnm.Print_Area" localSheetId="18">'Nutricionista  Plantonista'!$A$1:$I$155</definedName>
    <definedName name="_xlnm.Print_Area" localSheetId="25">Uniformes!$A$1:$G$106</definedName>
  </definedNames>
  <calcPr calcId="145621"/>
</workbook>
</file>

<file path=xl/calcChain.xml><?xml version="1.0" encoding="utf-8"?>
<calcChain xmlns="http://schemas.openxmlformats.org/spreadsheetml/2006/main">
  <c r="D6" i="90" l="1"/>
  <c r="I24" i="85" l="1"/>
  <c r="I24" i="80"/>
  <c r="I28" i="69" l="1"/>
  <c r="I28" i="65"/>
  <c r="D7" i="90"/>
  <c r="C8" i="90"/>
  <c r="C7" i="90"/>
  <c r="I26" i="92"/>
  <c r="I146" i="92"/>
  <c r="I140" i="92"/>
  <c r="B129" i="92"/>
  <c r="B127" i="92"/>
  <c r="B126" i="92"/>
  <c r="B125" i="92"/>
  <c r="B124" i="92"/>
  <c r="B123" i="92"/>
  <c r="H113" i="92"/>
  <c r="H111" i="92"/>
  <c r="I97" i="92"/>
  <c r="I101" i="92" s="1"/>
  <c r="I127" i="92" s="1"/>
  <c r="H87" i="92"/>
  <c r="H83" i="92"/>
  <c r="H72" i="92"/>
  <c r="H71" i="92"/>
  <c r="H68" i="92"/>
  <c r="H69" i="92" s="1"/>
  <c r="H73" i="92" s="1"/>
  <c r="I55" i="92"/>
  <c r="I54" i="92"/>
  <c r="I56" i="92" s="1"/>
  <c r="I62" i="92" s="1"/>
  <c r="I53" i="92"/>
  <c r="I52" i="92"/>
  <c r="I50" i="92"/>
  <c r="I49" i="92"/>
  <c r="H46" i="92"/>
  <c r="H40" i="92"/>
  <c r="H35" i="92"/>
  <c r="I25" i="92"/>
  <c r="I29" i="92" s="1"/>
  <c r="I79" i="92" l="1"/>
  <c r="I68" i="92"/>
  <c r="I67" i="92"/>
  <c r="I78" i="92"/>
  <c r="I77" i="92"/>
  <c r="I86" i="92"/>
  <c r="I87" i="92" s="1"/>
  <c r="I92" i="92" s="1"/>
  <c r="I72" i="92"/>
  <c r="I33" i="92"/>
  <c r="I71" i="92"/>
  <c r="I82" i="92"/>
  <c r="I70" i="92"/>
  <c r="I34" i="92"/>
  <c r="I123" i="92"/>
  <c r="I69" i="92"/>
  <c r="I80" i="92"/>
  <c r="D30" i="90"/>
  <c r="C30" i="90"/>
  <c r="D26" i="90"/>
  <c r="C26" i="90"/>
  <c r="D25" i="90"/>
  <c r="C25" i="90"/>
  <c r="D24" i="90"/>
  <c r="C24" i="90"/>
  <c r="D21" i="90"/>
  <c r="C21" i="90"/>
  <c r="D20" i="90"/>
  <c r="C20" i="90"/>
  <c r="C19" i="90"/>
  <c r="D19" i="90"/>
  <c r="D17" i="90"/>
  <c r="D16" i="90"/>
  <c r="C17" i="90"/>
  <c r="C16" i="90"/>
  <c r="D15" i="90"/>
  <c r="C15" i="90"/>
  <c r="D14" i="90"/>
  <c r="C14" i="90"/>
  <c r="D13" i="90"/>
  <c r="C13" i="90"/>
  <c r="D12" i="90"/>
  <c r="C12" i="90"/>
  <c r="D11" i="90"/>
  <c r="C11" i="90"/>
  <c r="D10" i="90"/>
  <c r="C10" i="90"/>
  <c r="D9" i="90"/>
  <c r="C9" i="90"/>
  <c r="D8" i="90"/>
  <c r="C6" i="90"/>
  <c r="I35" i="92" l="1"/>
  <c r="K81" i="92"/>
  <c r="I81" i="92" s="1"/>
  <c r="I83" i="92"/>
  <c r="I91" i="92" s="1"/>
  <c r="I93" i="92" s="1"/>
  <c r="I126" i="92" s="1"/>
  <c r="I73" i="92"/>
  <c r="I125" i="92" s="1"/>
  <c r="I50" i="82"/>
  <c r="I49" i="82"/>
  <c r="I23" i="82"/>
  <c r="I55" i="86"/>
  <c r="I54" i="86"/>
  <c r="I53" i="86"/>
  <c r="I52" i="86"/>
  <c r="I50" i="86"/>
  <c r="I54" i="85"/>
  <c r="I53" i="85"/>
  <c r="I53" i="80"/>
  <c r="I50" i="85"/>
  <c r="I49" i="85"/>
  <c r="I53" i="84"/>
  <c r="I52" i="84"/>
  <c r="I50" i="84"/>
  <c r="I49" i="84"/>
  <c r="I53" i="83"/>
  <c r="I52" i="83"/>
  <c r="I50" i="83"/>
  <c r="I53" i="88"/>
  <c r="I52" i="88"/>
  <c r="I50" i="88"/>
  <c r="I49" i="88"/>
  <c r="I55" i="69"/>
  <c r="I54" i="69"/>
  <c r="I53" i="69"/>
  <c r="I52" i="69"/>
  <c r="I51" i="69"/>
  <c r="I50" i="69"/>
  <c r="I49" i="69"/>
  <c r="I54" i="67"/>
  <c r="I53" i="87"/>
  <c r="I53" i="67" s="1"/>
  <c r="I54" i="87"/>
  <c r="I54" i="65" s="1"/>
  <c r="I56" i="87"/>
  <c r="I55" i="65"/>
  <c r="I52" i="65"/>
  <c r="I51" i="65"/>
  <c r="I50" i="65"/>
  <c r="I49" i="65"/>
  <c r="I55" i="67"/>
  <c r="I52" i="67"/>
  <c r="I51" i="67"/>
  <c r="I50" i="67"/>
  <c r="I50" i="87"/>
  <c r="I49" i="67"/>
  <c r="I28" i="67"/>
  <c r="E7" i="22"/>
  <c r="E16" i="22"/>
  <c r="I60" i="92" l="1"/>
  <c r="K36" i="92"/>
  <c r="I53" i="65"/>
  <c r="I56" i="65" s="1"/>
  <c r="I56" i="67"/>
  <c r="I52" i="87"/>
  <c r="I51" i="87"/>
  <c r="I54" i="80"/>
  <c r="I23" i="80"/>
  <c r="I49" i="80"/>
  <c r="I55" i="79"/>
  <c r="I54" i="79"/>
  <c r="I53" i="79"/>
  <c r="I52" i="79"/>
  <c r="I50" i="79"/>
  <c r="I49" i="79"/>
  <c r="I23" i="79"/>
  <c r="I55" i="78"/>
  <c r="I54" i="78"/>
  <c r="I53" i="78"/>
  <c r="I52" i="78"/>
  <c r="I50" i="78"/>
  <c r="I49" i="78"/>
  <c r="I23" i="78"/>
  <c r="I55" i="70"/>
  <c r="I54" i="70"/>
  <c r="I53" i="70"/>
  <c r="I52" i="70"/>
  <c r="I50" i="70"/>
  <c r="I49" i="70"/>
  <c r="I23" i="70"/>
  <c r="I55" i="77"/>
  <c r="I54" i="77"/>
  <c r="I53" i="77"/>
  <c r="I52" i="77"/>
  <c r="I23" i="77"/>
  <c r="I49" i="77" s="1"/>
  <c r="I50" i="77"/>
  <c r="I55" i="89"/>
  <c r="I54" i="89"/>
  <c r="I53" i="89"/>
  <c r="I52" i="89"/>
  <c r="I50" i="89"/>
  <c r="I49" i="89"/>
  <c r="I23" i="89"/>
  <c r="I55" i="76"/>
  <c r="I54" i="76"/>
  <c r="I53" i="76"/>
  <c r="I52" i="76"/>
  <c r="I53" i="74"/>
  <c r="I52" i="73"/>
  <c r="I52" i="72"/>
  <c r="I53" i="71"/>
  <c r="I55" i="71"/>
  <c r="I52" i="68"/>
  <c r="I38" i="92" l="1"/>
  <c r="I44" i="92"/>
  <c r="I43" i="92"/>
  <c r="I42" i="92"/>
  <c r="I41" i="92"/>
  <c r="I40" i="92"/>
  <c r="I45" i="92"/>
  <c r="I39" i="92"/>
  <c r="I23" i="76"/>
  <c r="I50" i="76"/>
  <c r="I49" i="76"/>
  <c r="I55" i="74"/>
  <c r="I54" i="74"/>
  <c r="I52" i="74"/>
  <c r="I51" i="74"/>
  <c r="I50" i="74"/>
  <c r="I50" i="71"/>
  <c r="I49" i="74"/>
  <c r="I28" i="74"/>
  <c r="I23" i="74"/>
  <c r="I54" i="71"/>
  <c r="I55" i="73"/>
  <c r="I54" i="73"/>
  <c r="I53" i="73"/>
  <c r="I50" i="73"/>
  <c r="I49" i="73"/>
  <c r="I23" i="73"/>
  <c r="I55" i="72"/>
  <c r="I54" i="72"/>
  <c r="I53" i="72"/>
  <c r="I23" i="72"/>
  <c r="I49" i="72" s="1"/>
  <c r="I55" i="68"/>
  <c r="I54" i="68"/>
  <c r="I53" i="68"/>
  <c r="I50" i="72"/>
  <c r="I50" i="68"/>
  <c r="I46" i="92" l="1"/>
  <c r="I61" i="92" s="1"/>
  <c r="I63" i="92" s="1"/>
  <c r="I124" i="92" s="1"/>
  <c r="I128" i="92" s="1"/>
  <c r="I49" i="71"/>
  <c r="H17" i="71"/>
  <c r="I23" i="71" s="1"/>
  <c r="I105" i="92" l="1"/>
  <c r="I49" i="68"/>
  <c r="I106" i="92" l="1"/>
  <c r="J106" i="92" s="1"/>
  <c r="E91" i="22"/>
  <c r="E98" i="22"/>
  <c r="E97" i="22"/>
  <c r="E96" i="22"/>
  <c r="E95" i="22"/>
  <c r="E94" i="22"/>
  <c r="E93" i="22"/>
  <c r="E92" i="22"/>
  <c r="E87" i="22"/>
  <c r="E86" i="22"/>
  <c r="E85" i="22"/>
  <c r="E84" i="22"/>
  <c r="E83" i="22"/>
  <c r="E82" i="22"/>
  <c r="E81" i="22"/>
  <c r="E76" i="22"/>
  <c r="E75" i="22"/>
  <c r="E74" i="22"/>
  <c r="E73" i="22"/>
  <c r="E72" i="22"/>
  <c r="E71" i="22"/>
  <c r="E70" i="22"/>
  <c r="E69" i="22"/>
  <c r="E64" i="22"/>
  <c r="E63" i="22"/>
  <c r="E62" i="22"/>
  <c r="E61" i="22"/>
  <c r="E60" i="22"/>
  <c r="E59" i="22"/>
  <c r="E54" i="22"/>
  <c r="E53" i="22"/>
  <c r="E52" i="22"/>
  <c r="E51" i="22"/>
  <c r="E50" i="22"/>
  <c r="E49" i="22"/>
  <c r="E48" i="22"/>
  <c r="E47" i="22"/>
  <c r="E41" i="22"/>
  <c r="E40" i="22"/>
  <c r="E39" i="22"/>
  <c r="E38" i="22"/>
  <c r="E37" i="22"/>
  <c r="E36" i="22"/>
  <c r="E35" i="22"/>
  <c r="E34" i="22"/>
  <c r="E29" i="22"/>
  <c r="E28" i="22"/>
  <c r="E27" i="22"/>
  <c r="E26" i="22"/>
  <c r="E25" i="22"/>
  <c r="E24" i="22"/>
  <c r="E23" i="22"/>
  <c r="E22" i="22"/>
  <c r="E21" i="22"/>
  <c r="E20" i="22"/>
  <c r="E15" i="22"/>
  <c r="E14" i="22"/>
  <c r="E13" i="22"/>
  <c r="E12" i="22"/>
  <c r="E11" i="22"/>
  <c r="E6" i="22"/>
  <c r="E5" i="22"/>
  <c r="E4" i="22"/>
  <c r="E3" i="22"/>
  <c r="I115" i="92" l="1"/>
  <c r="I117" i="92" s="1"/>
  <c r="I110" i="92" s="1"/>
  <c r="E65" i="22"/>
  <c r="E99" i="22"/>
  <c r="E42" i="22"/>
  <c r="E30" i="22"/>
  <c r="E55" i="22"/>
  <c r="E77" i="22"/>
  <c r="E88" i="22"/>
  <c r="I108" i="92" l="1"/>
  <c r="J110" i="92" s="1"/>
  <c r="I119" i="92"/>
  <c r="I109" i="92"/>
  <c r="I25" i="86"/>
  <c r="I25" i="84"/>
  <c r="I25" i="83"/>
  <c r="I25" i="88"/>
  <c r="I25" i="69"/>
  <c r="I25" i="65"/>
  <c r="I25" i="67"/>
  <c r="I25" i="87"/>
  <c r="I25" i="82"/>
  <c r="I25" i="79"/>
  <c r="I25" i="78"/>
  <c r="I25" i="70"/>
  <c r="I25" i="77"/>
  <c r="I25" i="89"/>
  <c r="I25" i="76"/>
  <c r="I25" i="74"/>
  <c r="I25" i="73"/>
  <c r="I25" i="72"/>
  <c r="I25" i="71"/>
  <c r="I25" i="68"/>
  <c r="I97" i="89"/>
  <c r="I101" i="89" s="1"/>
  <c r="I127" i="89" s="1"/>
  <c r="I26" i="89"/>
  <c r="I146" i="89"/>
  <c r="I140" i="89"/>
  <c r="B129" i="89"/>
  <c r="B127" i="89"/>
  <c r="B126" i="89"/>
  <c r="B125" i="89"/>
  <c r="B124" i="89"/>
  <c r="B123" i="89"/>
  <c r="H113" i="89"/>
  <c r="H111" i="89"/>
  <c r="H87" i="89"/>
  <c r="H83" i="89"/>
  <c r="H72" i="89"/>
  <c r="H68" i="89"/>
  <c r="H69" i="89" s="1"/>
  <c r="I56" i="89"/>
  <c r="I62" i="89" s="1"/>
  <c r="H46" i="89"/>
  <c r="H71" i="89" s="1"/>
  <c r="H40" i="89"/>
  <c r="H35" i="89"/>
  <c r="I111" i="92" l="1"/>
  <c r="I147" i="92" s="1"/>
  <c r="I145" i="92"/>
  <c r="I148" i="92" s="1"/>
  <c r="I29" i="89"/>
  <c r="I70" i="89" s="1"/>
  <c r="H73" i="89"/>
  <c r="I97" i="86"/>
  <c r="I97" i="85"/>
  <c r="I97" i="84"/>
  <c r="I97" i="83"/>
  <c r="I97" i="88"/>
  <c r="I97" i="67"/>
  <c r="I97" i="87"/>
  <c r="I101" i="80"/>
  <c r="I97" i="79"/>
  <c r="I97" i="78"/>
  <c r="I101" i="70"/>
  <c r="I97" i="77"/>
  <c r="I97" i="76"/>
  <c r="I97" i="74"/>
  <c r="I97" i="73"/>
  <c r="I97" i="72"/>
  <c r="I97" i="71"/>
  <c r="I97" i="68"/>
  <c r="I129" i="92" l="1"/>
  <c r="I130" i="92" s="1"/>
  <c r="C154" i="92"/>
  <c r="C155" i="92" s="1"/>
  <c r="B152" i="92"/>
  <c r="I82" i="89"/>
  <c r="I71" i="89"/>
  <c r="I34" i="89"/>
  <c r="I33" i="89"/>
  <c r="K81" i="89" s="1"/>
  <c r="I81" i="89" s="1"/>
  <c r="I77" i="89"/>
  <c r="I78" i="89"/>
  <c r="I123" i="89"/>
  <c r="I86" i="89"/>
  <c r="I87" i="89" s="1"/>
  <c r="I92" i="89" s="1"/>
  <c r="I72" i="89"/>
  <c r="I79" i="89"/>
  <c r="I69" i="89"/>
  <c r="I67" i="89"/>
  <c r="I73" i="89" s="1"/>
  <c r="I125" i="89" s="1"/>
  <c r="I80" i="89"/>
  <c r="I68" i="89"/>
  <c r="I83" i="89" l="1"/>
  <c r="I91" i="89" s="1"/>
  <c r="I93" i="89" s="1"/>
  <c r="I126" i="89" s="1"/>
  <c r="I35" i="89"/>
  <c r="I60" i="89"/>
  <c r="K36" i="89" l="1"/>
  <c r="I38" i="89" s="1"/>
  <c r="I23" i="86"/>
  <c r="I23" i="85"/>
  <c r="I23" i="84"/>
  <c r="I23" i="83"/>
  <c r="I49" i="83" s="1"/>
  <c r="I23" i="88"/>
  <c r="I49" i="86" l="1"/>
  <c r="I41" i="89"/>
  <c r="I42" i="89"/>
  <c r="I39" i="89"/>
  <c r="I40" i="89"/>
  <c r="I43" i="89"/>
  <c r="I44" i="89"/>
  <c r="I45" i="89"/>
  <c r="I46" i="89" l="1"/>
  <c r="I61" i="89" s="1"/>
  <c r="I63" i="89" s="1"/>
  <c r="I124" i="89" s="1"/>
  <c r="I128" i="89" s="1"/>
  <c r="I105" i="89" s="1"/>
  <c r="I26" i="88"/>
  <c r="I106" i="89" l="1"/>
  <c r="J106" i="89" s="1"/>
  <c r="O21" i="42"/>
  <c r="I115" i="89" l="1"/>
  <c r="I117" i="89" s="1"/>
  <c r="I108" i="89" s="1"/>
  <c r="I146" i="88"/>
  <c r="I140" i="88"/>
  <c r="B129" i="88"/>
  <c r="B127" i="88"/>
  <c r="B126" i="88"/>
  <c r="B125" i="88"/>
  <c r="B124" i="88"/>
  <c r="B123" i="88"/>
  <c r="H113" i="88"/>
  <c r="H111" i="88"/>
  <c r="I101" i="88"/>
  <c r="I127" i="88" s="1"/>
  <c r="H87" i="88"/>
  <c r="H83" i="88"/>
  <c r="H72" i="88"/>
  <c r="H68" i="88"/>
  <c r="H69" i="88" s="1"/>
  <c r="I56" i="88"/>
  <c r="I62" i="88" s="1"/>
  <c r="H46" i="88"/>
  <c r="H71" i="88" s="1"/>
  <c r="H40" i="88"/>
  <c r="H35" i="88"/>
  <c r="I29" i="88"/>
  <c r="I146" i="87"/>
  <c r="I140" i="87"/>
  <c r="B129" i="87"/>
  <c r="B127" i="87"/>
  <c r="B126" i="87"/>
  <c r="B125" i="87"/>
  <c r="B124" i="87"/>
  <c r="B123" i="87"/>
  <c r="H113" i="87"/>
  <c r="H111" i="87"/>
  <c r="I101" i="87"/>
  <c r="I127" i="87" s="1"/>
  <c r="H87" i="87"/>
  <c r="H83" i="87"/>
  <c r="H72" i="87"/>
  <c r="H68" i="87"/>
  <c r="H69" i="87" s="1"/>
  <c r="H40" i="87"/>
  <c r="H46" i="87" s="1"/>
  <c r="H71" i="87" s="1"/>
  <c r="H35" i="87"/>
  <c r="I23" i="87"/>
  <c r="I55" i="87" s="1"/>
  <c r="H73" i="87" l="1"/>
  <c r="I28" i="87"/>
  <c r="I49" i="87"/>
  <c r="I119" i="89"/>
  <c r="I110" i="89"/>
  <c r="I109" i="89"/>
  <c r="I145" i="89"/>
  <c r="I148" i="89" s="1"/>
  <c r="I29" i="87"/>
  <c r="I80" i="87" s="1"/>
  <c r="I123" i="88"/>
  <c r="I86" i="88"/>
  <c r="I87" i="88" s="1"/>
  <c r="I92" i="88" s="1"/>
  <c r="I80" i="88"/>
  <c r="I78" i="88"/>
  <c r="I72" i="88"/>
  <c r="I71" i="88"/>
  <c r="I70" i="88"/>
  <c r="I33" i="88"/>
  <c r="I82" i="88"/>
  <c r="I79" i="88"/>
  <c r="I77" i="88"/>
  <c r="I69" i="88"/>
  <c r="I67" i="88"/>
  <c r="I34" i="88"/>
  <c r="I68" i="88"/>
  <c r="H73" i="88"/>
  <c r="I101" i="86"/>
  <c r="I127" i="86" s="1"/>
  <c r="I146" i="86"/>
  <c r="I140" i="86"/>
  <c r="B129" i="86"/>
  <c r="B127" i="86"/>
  <c r="B126" i="86"/>
  <c r="B125" i="86"/>
  <c r="B124" i="86"/>
  <c r="B123" i="86"/>
  <c r="H113" i="86"/>
  <c r="H111" i="86"/>
  <c r="H87" i="86"/>
  <c r="H83" i="86"/>
  <c r="H72" i="86"/>
  <c r="H68" i="86"/>
  <c r="I56" i="86"/>
  <c r="I62" i="86" s="1"/>
  <c r="H46" i="86"/>
  <c r="H71" i="86" s="1"/>
  <c r="H40" i="86"/>
  <c r="H35" i="86"/>
  <c r="I26" i="86"/>
  <c r="J110" i="89" l="1"/>
  <c r="I111" i="89"/>
  <c r="I82" i="87"/>
  <c r="I34" i="87"/>
  <c r="I78" i="87"/>
  <c r="I68" i="87"/>
  <c r="I69" i="87"/>
  <c r="I71" i="87"/>
  <c r="I86" i="87"/>
  <c r="I87" i="87" s="1"/>
  <c r="I92" i="87" s="1"/>
  <c r="I79" i="87"/>
  <c r="I77" i="87"/>
  <c r="I72" i="87"/>
  <c r="I123" i="87"/>
  <c r="I33" i="87"/>
  <c r="I67" i="87"/>
  <c r="I70" i="87"/>
  <c r="I73" i="88"/>
  <c r="I125" i="88" s="1"/>
  <c r="K81" i="88"/>
  <c r="I81" i="88" s="1"/>
  <c r="I83" i="88" s="1"/>
  <c r="I91" i="88" s="1"/>
  <c r="I93" i="88" s="1"/>
  <c r="I126" i="88" s="1"/>
  <c r="I35" i="88"/>
  <c r="I29" i="86"/>
  <c r="I33" i="86" s="1"/>
  <c r="H69" i="86"/>
  <c r="H73" i="86" s="1"/>
  <c r="I146" i="85"/>
  <c r="I140" i="85"/>
  <c r="B129" i="85"/>
  <c r="B127" i="85"/>
  <c r="B126" i="85"/>
  <c r="B125" i="85"/>
  <c r="B124" i="85"/>
  <c r="B123" i="85"/>
  <c r="H113" i="85"/>
  <c r="H111" i="85"/>
  <c r="I101" i="85"/>
  <c r="I127" i="85" s="1"/>
  <c r="H87" i="85"/>
  <c r="H83" i="85"/>
  <c r="H72" i="85"/>
  <c r="H68" i="85"/>
  <c r="I56" i="85"/>
  <c r="I62" i="85" s="1"/>
  <c r="H46" i="85"/>
  <c r="H71" i="85" s="1"/>
  <c r="H40" i="85"/>
  <c r="H35" i="85"/>
  <c r="I26" i="85"/>
  <c r="I56" i="84"/>
  <c r="I62" i="84" s="1"/>
  <c r="I26" i="84"/>
  <c r="I29" i="84" s="1"/>
  <c r="I123" i="84" s="1"/>
  <c r="I146" i="84"/>
  <c r="I140" i="84"/>
  <c r="B129" i="84"/>
  <c r="B127" i="84"/>
  <c r="B126" i="84"/>
  <c r="B125" i="84"/>
  <c r="B124" i="84"/>
  <c r="B123" i="84"/>
  <c r="H113" i="84"/>
  <c r="H111" i="84"/>
  <c r="I101" i="84"/>
  <c r="I127" i="84" s="1"/>
  <c r="H87" i="84"/>
  <c r="H83" i="84"/>
  <c r="H72" i="84"/>
  <c r="H68" i="84"/>
  <c r="H69" i="84" s="1"/>
  <c r="H73" i="84" s="1"/>
  <c r="H40" i="84"/>
  <c r="H46" i="84" s="1"/>
  <c r="H71" i="84" s="1"/>
  <c r="H35" i="84"/>
  <c r="I97" i="69"/>
  <c r="K81" i="87" l="1"/>
  <c r="I81" i="87" s="1"/>
  <c r="I147" i="89"/>
  <c r="I129" i="89"/>
  <c r="I130" i="89" s="1"/>
  <c r="I78" i="86"/>
  <c r="I34" i="86"/>
  <c r="I77" i="86"/>
  <c r="I82" i="86"/>
  <c r="I71" i="86"/>
  <c r="I86" i="86"/>
  <c r="I87" i="86" s="1"/>
  <c r="I92" i="86" s="1"/>
  <c r="I83" i="87"/>
  <c r="I91" i="87" s="1"/>
  <c r="I93" i="87" s="1"/>
  <c r="I126" i="87" s="1"/>
  <c r="I35" i="87"/>
  <c r="I60" i="87" s="1"/>
  <c r="I73" i="87"/>
  <c r="I125" i="87" s="1"/>
  <c r="I60" i="88"/>
  <c r="K36" i="88"/>
  <c r="I68" i="86"/>
  <c r="I70" i="86"/>
  <c r="I72" i="86"/>
  <c r="I80" i="86"/>
  <c r="I123" i="86"/>
  <c r="I67" i="86"/>
  <c r="I79" i="86"/>
  <c r="I69" i="86"/>
  <c r="I35" i="86"/>
  <c r="K81" i="86"/>
  <c r="I81" i="86" s="1"/>
  <c r="I83" i="86" s="1"/>
  <c r="I91" i="86" s="1"/>
  <c r="I93" i="86" s="1"/>
  <c r="I126" i="86" s="1"/>
  <c r="I29" i="85"/>
  <c r="I86" i="85" s="1"/>
  <c r="I87" i="85" s="1"/>
  <c r="I92" i="85" s="1"/>
  <c r="H69" i="85"/>
  <c r="H73" i="85" s="1"/>
  <c r="I67" i="84"/>
  <c r="I68" i="84"/>
  <c r="I69" i="84"/>
  <c r="I77" i="84"/>
  <c r="I79" i="84"/>
  <c r="I82" i="84"/>
  <c r="I34" i="84"/>
  <c r="I33" i="84"/>
  <c r="I70" i="84"/>
  <c r="I71" i="84"/>
  <c r="I72" i="84"/>
  <c r="I78" i="84"/>
  <c r="I80" i="84"/>
  <c r="I86" i="84"/>
  <c r="I87" i="84" s="1"/>
  <c r="I92" i="84" s="1"/>
  <c r="I146" i="83"/>
  <c r="I140" i="83"/>
  <c r="B129" i="83"/>
  <c r="B127" i="83"/>
  <c r="B126" i="83"/>
  <c r="B125" i="83"/>
  <c r="B124" i="83"/>
  <c r="B123" i="83"/>
  <c r="H113" i="83"/>
  <c r="H111" i="83"/>
  <c r="I101" i="83"/>
  <c r="I127" i="83" s="1"/>
  <c r="H87" i="83"/>
  <c r="H83" i="83"/>
  <c r="H72" i="83"/>
  <c r="H68" i="83"/>
  <c r="H69" i="83" s="1"/>
  <c r="H40" i="83"/>
  <c r="H46" i="83" s="1"/>
  <c r="H71" i="83" s="1"/>
  <c r="H35" i="83"/>
  <c r="I56" i="83"/>
  <c r="I62" i="83" s="1"/>
  <c r="B152" i="89" l="1"/>
  <c r="C154" i="89"/>
  <c r="C155" i="89" s="1"/>
  <c r="I73" i="86"/>
  <c r="I125" i="86" s="1"/>
  <c r="I72" i="85"/>
  <c r="I82" i="85"/>
  <c r="I34" i="85"/>
  <c r="I35" i="85" s="1"/>
  <c r="I77" i="85"/>
  <c r="K36" i="87"/>
  <c r="I44" i="88"/>
  <c r="I42" i="88"/>
  <c r="I40" i="88"/>
  <c r="I39" i="88"/>
  <c r="I45" i="88"/>
  <c r="I43" i="88"/>
  <c r="I41" i="88"/>
  <c r="I38" i="88"/>
  <c r="I60" i="86"/>
  <c r="K36" i="86"/>
  <c r="I70" i="85"/>
  <c r="I80" i="85"/>
  <c r="I68" i="85"/>
  <c r="I71" i="85"/>
  <c r="I123" i="85"/>
  <c r="I67" i="85"/>
  <c r="I79" i="85"/>
  <c r="I33" i="85"/>
  <c r="I78" i="85"/>
  <c r="I69" i="85"/>
  <c r="I73" i="84"/>
  <c r="I125" i="84" s="1"/>
  <c r="K81" i="84"/>
  <c r="I81" i="84" s="1"/>
  <c r="I83" i="84" s="1"/>
  <c r="I91" i="84" s="1"/>
  <c r="I93" i="84" s="1"/>
  <c r="I126" i="84" s="1"/>
  <c r="I35" i="84"/>
  <c r="H73" i="83"/>
  <c r="I29" i="83"/>
  <c r="I56" i="82"/>
  <c r="I62" i="82" s="1"/>
  <c r="I146" i="82"/>
  <c r="I140" i="82"/>
  <c r="B129" i="82"/>
  <c r="B127" i="82"/>
  <c r="B126" i="82"/>
  <c r="B125" i="82"/>
  <c r="B124" i="82"/>
  <c r="B123" i="82"/>
  <c r="H113" i="82"/>
  <c r="H111" i="82"/>
  <c r="I101" i="82"/>
  <c r="I127" i="82" s="1"/>
  <c r="H87" i="82"/>
  <c r="H83" i="82"/>
  <c r="H72" i="82"/>
  <c r="H68" i="82"/>
  <c r="H69" i="82" s="1"/>
  <c r="H40" i="82"/>
  <c r="H46" i="82" s="1"/>
  <c r="H71" i="82" s="1"/>
  <c r="H35" i="82"/>
  <c r="I26" i="82"/>
  <c r="I29" i="82" s="1"/>
  <c r="I97" i="80"/>
  <c r="I127" i="80" s="1"/>
  <c r="I146" i="80"/>
  <c r="I140" i="80"/>
  <c r="B129" i="80"/>
  <c r="B127" i="80"/>
  <c r="B126" i="80"/>
  <c r="B125" i="80"/>
  <c r="B124" i="80"/>
  <c r="B123" i="80"/>
  <c r="H113" i="80"/>
  <c r="H111" i="80"/>
  <c r="H87" i="80"/>
  <c r="H83" i="80"/>
  <c r="H72" i="80"/>
  <c r="H68" i="80"/>
  <c r="H69" i="80" s="1"/>
  <c r="H73" i="80" s="1"/>
  <c r="I56" i="80"/>
  <c r="I62" i="80" s="1"/>
  <c r="H40" i="80"/>
  <c r="H46" i="80" s="1"/>
  <c r="H71" i="80" s="1"/>
  <c r="H35" i="80"/>
  <c r="I26" i="80"/>
  <c r="I146" i="79"/>
  <c r="I140" i="79"/>
  <c r="B129" i="79"/>
  <c r="B127" i="79"/>
  <c r="B126" i="79"/>
  <c r="B125" i="79"/>
  <c r="B124" i="79"/>
  <c r="B123" i="79"/>
  <c r="H113" i="79"/>
  <c r="H111" i="79"/>
  <c r="I101" i="79"/>
  <c r="I127" i="79" s="1"/>
  <c r="H87" i="79"/>
  <c r="H83" i="79"/>
  <c r="H72" i="79"/>
  <c r="H68" i="79"/>
  <c r="H69" i="79" s="1"/>
  <c r="H73" i="79" s="1"/>
  <c r="I56" i="79"/>
  <c r="I62" i="79" s="1"/>
  <c r="H40" i="79"/>
  <c r="H46" i="79" s="1"/>
  <c r="H71" i="79" s="1"/>
  <c r="H35" i="79"/>
  <c r="I26" i="79"/>
  <c r="I26" i="78"/>
  <c r="I146" i="78"/>
  <c r="I140" i="78"/>
  <c r="B129" i="78"/>
  <c r="B127" i="78"/>
  <c r="B126" i="78"/>
  <c r="B125" i="78"/>
  <c r="B124" i="78"/>
  <c r="B123" i="78"/>
  <c r="H113" i="78"/>
  <c r="H111" i="78"/>
  <c r="I101" i="78"/>
  <c r="I127" i="78" s="1"/>
  <c r="H87" i="78"/>
  <c r="H83" i="78"/>
  <c r="H72" i="78"/>
  <c r="H68" i="78"/>
  <c r="H69" i="78" s="1"/>
  <c r="H73" i="78" s="1"/>
  <c r="I56" i="78"/>
  <c r="I62" i="78" s="1"/>
  <c r="H40" i="78"/>
  <c r="H46" i="78" s="1"/>
  <c r="H71" i="78" s="1"/>
  <c r="H35" i="78"/>
  <c r="I146" i="77"/>
  <c r="I140" i="77"/>
  <c r="B129" i="77"/>
  <c r="B127" i="77"/>
  <c r="B126" i="77"/>
  <c r="B125" i="77"/>
  <c r="B124" i="77"/>
  <c r="B123" i="77"/>
  <c r="H113" i="77"/>
  <c r="H111" i="77"/>
  <c r="I101" i="77"/>
  <c r="I127" i="77" s="1"/>
  <c r="H87" i="77"/>
  <c r="H83" i="77"/>
  <c r="H72" i="77"/>
  <c r="H68" i="77"/>
  <c r="H69" i="77" s="1"/>
  <c r="H73" i="77" s="1"/>
  <c r="I56" i="77"/>
  <c r="I62" i="77" s="1"/>
  <c r="H40" i="77"/>
  <c r="H46" i="77" s="1"/>
  <c r="H71" i="77" s="1"/>
  <c r="H35" i="77"/>
  <c r="I29" i="77"/>
  <c r="I123" i="77" s="1"/>
  <c r="I56" i="76"/>
  <c r="I62" i="76" s="1"/>
  <c r="I146" i="76"/>
  <c r="I140" i="76"/>
  <c r="B129" i="76"/>
  <c r="B127" i="76"/>
  <c r="B126" i="76"/>
  <c r="B125" i="76"/>
  <c r="B124" i="76"/>
  <c r="B123" i="76"/>
  <c r="H113" i="76"/>
  <c r="H111" i="76"/>
  <c r="I101" i="76"/>
  <c r="I127" i="76" s="1"/>
  <c r="H87" i="76"/>
  <c r="H83" i="76"/>
  <c r="H72" i="76"/>
  <c r="H68" i="76"/>
  <c r="H69" i="76" s="1"/>
  <c r="H46" i="76"/>
  <c r="H71" i="76" s="1"/>
  <c r="H40" i="76"/>
  <c r="H35" i="76"/>
  <c r="I29" i="76"/>
  <c r="I146" i="74"/>
  <c r="I140" i="74"/>
  <c r="B129" i="74"/>
  <c r="B127" i="74"/>
  <c r="B126" i="74"/>
  <c r="B125" i="74"/>
  <c r="B124" i="74"/>
  <c r="B123" i="74"/>
  <c r="H113" i="74"/>
  <c r="H111" i="74"/>
  <c r="I101" i="74"/>
  <c r="I127" i="74" s="1"/>
  <c r="H87" i="74"/>
  <c r="H83" i="74"/>
  <c r="H72" i="74"/>
  <c r="H68" i="74"/>
  <c r="H69" i="74" s="1"/>
  <c r="H73" i="74" s="1"/>
  <c r="H46" i="74"/>
  <c r="H71" i="74" s="1"/>
  <c r="H40" i="74"/>
  <c r="H35" i="74"/>
  <c r="I29" i="74"/>
  <c r="I101" i="73"/>
  <c r="I127" i="73" s="1"/>
  <c r="I146" i="73"/>
  <c r="I140" i="73"/>
  <c r="B129" i="73"/>
  <c r="B127" i="73"/>
  <c r="B126" i="73"/>
  <c r="B125" i="73"/>
  <c r="B124" i="73"/>
  <c r="B123" i="73"/>
  <c r="H113" i="73"/>
  <c r="H111" i="73"/>
  <c r="H87" i="73"/>
  <c r="H83" i="73"/>
  <c r="H72" i="73"/>
  <c r="H68" i="73"/>
  <c r="H69" i="73" s="1"/>
  <c r="H73" i="73" s="1"/>
  <c r="H46" i="73"/>
  <c r="H71" i="73" s="1"/>
  <c r="H40" i="73"/>
  <c r="H35" i="73"/>
  <c r="I29" i="73"/>
  <c r="I146" i="72"/>
  <c r="I140" i="72"/>
  <c r="B129" i="72"/>
  <c r="B127" i="72"/>
  <c r="B126" i="72"/>
  <c r="B125" i="72"/>
  <c r="B124" i="72"/>
  <c r="B123" i="72"/>
  <c r="H113" i="72"/>
  <c r="H111" i="72"/>
  <c r="I101" i="72"/>
  <c r="I127" i="72" s="1"/>
  <c r="H87" i="72"/>
  <c r="H83" i="72"/>
  <c r="H72" i="72"/>
  <c r="H68" i="72"/>
  <c r="H69" i="72" s="1"/>
  <c r="H73" i="72" s="1"/>
  <c r="H46" i="72"/>
  <c r="H71" i="72" s="1"/>
  <c r="H40" i="72"/>
  <c r="H35" i="72"/>
  <c r="I29" i="72"/>
  <c r="I146" i="71"/>
  <c r="I140" i="71"/>
  <c r="B129" i="71"/>
  <c r="B127" i="71"/>
  <c r="B126" i="71"/>
  <c r="B125" i="71"/>
  <c r="B124" i="71"/>
  <c r="B123" i="71"/>
  <c r="H113" i="71"/>
  <c r="H111" i="71"/>
  <c r="I101" i="71"/>
  <c r="I127" i="71" s="1"/>
  <c r="H87" i="71"/>
  <c r="H83" i="71"/>
  <c r="H72" i="71"/>
  <c r="H68" i="71"/>
  <c r="H69" i="71" s="1"/>
  <c r="H73" i="71" s="1"/>
  <c r="H46" i="71"/>
  <c r="H71" i="71" s="1"/>
  <c r="H40" i="71"/>
  <c r="H35" i="71"/>
  <c r="I29" i="71"/>
  <c r="I73" i="85" l="1"/>
  <c r="I125" i="85" s="1"/>
  <c r="I43" i="87"/>
  <c r="I39" i="87"/>
  <c r="I38" i="87"/>
  <c r="I45" i="87"/>
  <c r="I40" i="87"/>
  <c r="K81" i="85"/>
  <c r="I81" i="85" s="1"/>
  <c r="I83" i="85" s="1"/>
  <c r="I91" i="85" s="1"/>
  <c r="I93" i="85" s="1"/>
  <c r="I126" i="85" s="1"/>
  <c r="I46" i="88"/>
  <c r="I61" i="88" s="1"/>
  <c r="I63" i="88" s="1"/>
  <c r="I124" i="88" s="1"/>
  <c r="I128" i="88" s="1"/>
  <c r="I105" i="88" s="1"/>
  <c r="I41" i="87"/>
  <c r="I42" i="87"/>
  <c r="I44" i="87"/>
  <c r="I29" i="80"/>
  <c r="I68" i="80" s="1"/>
  <c r="I29" i="79"/>
  <c r="I69" i="79" s="1"/>
  <c r="I29" i="78"/>
  <c r="I79" i="78" s="1"/>
  <c r="H73" i="82"/>
  <c r="I45" i="86"/>
  <c r="I43" i="86"/>
  <c r="I41" i="86"/>
  <c r="I38" i="86"/>
  <c r="I44" i="86"/>
  <c r="I42" i="86"/>
  <c r="I40" i="86"/>
  <c r="I39" i="86"/>
  <c r="I60" i="85"/>
  <c r="I60" i="84"/>
  <c r="K36" i="84"/>
  <c r="I39" i="84" s="1"/>
  <c r="I123" i="83"/>
  <c r="I86" i="83"/>
  <c r="I87" i="83" s="1"/>
  <c r="I92" i="83" s="1"/>
  <c r="I80" i="83"/>
  <c r="I78" i="83"/>
  <c r="I72" i="83"/>
  <c r="I71" i="83"/>
  <c r="I70" i="83"/>
  <c r="I33" i="83"/>
  <c r="I82" i="83"/>
  <c r="I79" i="83"/>
  <c r="I77" i="83"/>
  <c r="I69" i="83"/>
  <c r="I68" i="83"/>
  <c r="I67" i="83"/>
  <c r="I34" i="83"/>
  <c r="I123" i="82"/>
  <c r="I86" i="82"/>
  <c r="I87" i="82" s="1"/>
  <c r="I92" i="82" s="1"/>
  <c r="I80" i="82"/>
  <c r="I78" i="82"/>
  <c r="I72" i="82"/>
  <c r="I71" i="82"/>
  <c r="I70" i="82"/>
  <c r="I33" i="82"/>
  <c r="I82" i="82"/>
  <c r="I79" i="82"/>
  <c r="I77" i="82"/>
  <c r="I69" i="82"/>
  <c r="I68" i="82"/>
  <c r="I67" i="82"/>
  <c r="I34" i="82"/>
  <c r="I34" i="77"/>
  <c r="I67" i="77"/>
  <c r="I68" i="77"/>
  <c r="I69" i="77"/>
  <c r="I77" i="77"/>
  <c r="I79" i="77"/>
  <c r="I82" i="77"/>
  <c r="I33" i="77"/>
  <c r="I70" i="77"/>
  <c r="I71" i="77"/>
  <c r="I72" i="77"/>
  <c r="I78" i="77"/>
  <c r="I80" i="77"/>
  <c r="I86" i="77"/>
  <c r="I87" i="77" s="1"/>
  <c r="I92" i="77" s="1"/>
  <c r="H73" i="76"/>
  <c r="I123" i="76"/>
  <c r="I86" i="76"/>
  <c r="I87" i="76" s="1"/>
  <c r="I92" i="76" s="1"/>
  <c r="I80" i="76"/>
  <c r="I78" i="76"/>
  <c r="I72" i="76"/>
  <c r="I71" i="76"/>
  <c r="I70" i="76"/>
  <c r="I34" i="76"/>
  <c r="I82" i="76"/>
  <c r="I79" i="76"/>
  <c r="I77" i="76"/>
  <c r="I69" i="76"/>
  <c r="I68" i="76"/>
  <c r="I67" i="76"/>
  <c r="I33" i="76"/>
  <c r="I123" i="74"/>
  <c r="I86" i="74"/>
  <c r="I87" i="74" s="1"/>
  <c r="I92" i="74" s="1"/>
  <c r="I80" i="74"/>
  <c r="I78" i="74"/>
  <c r="I72" i="74"/>
  <c r="I71" i="74"/>
  <c r="I70" i="74"/>
  <c r="I34" i="74"/>
  <c r="I82" i="74"/>
  <c r="I79" i="74"/>
  <c r="I77" i="74"/>
  <c r="I69" i="74"/>
  <c r="I68" i="74"/>
  <c r="I67" i="74"/>
  <c r="I33" i="74"/>
  <c r="I123" i="73"/>
  <c r="I86" i="73"/>
  <c r="I87" i="73" s="1"/>
  <c r="I92" i="73" s="1"/>
  <c r="I80" i="73"/>
  <c r="I78" i="73"/>
  <c r="I72" i="73"/>
  <c r="I71" i="73"/>
  <c r="I70" i="73"/>
  <c r="I34" i="73"/>
  <c r="I82" i="73"/>
  <c r="I79" i="73"/>
  <c r="I77" i="73"/>
  <c r="I69" i="73"/>
  <c r="I68" i="73"/>
  <c r="I67" i="73"/>
  <c r="I33" i="73"/>
  <c r="I123" i="72"/>
  <c r="I86" i="72"/>
  <c r="I87" i="72" s="1"/>
  <c r="I92" i="72" s="1"/>
  <c r="I80" i="72"/>
  <c r="I78" i="72"/>
  <c r="I72" i="72"/>
  <c r="I71" i="72"/>
  <c r="I70" i="72"/>
  <c r="I34" i="72"/>
  <c r="I82" i="72"/>
  <c r="I79" i="72"/>
  <c r="I77" i="72"/>
  <c r="I69" i="72"/>
  <c r="I68" i="72"/>
  <c r="I67" i="72"/>
  <c r="I33" i="72"/>
  <c r="I123" i="71"/>
  <c r="I86" i="71"/>
  <c r="I87" i="71" s="1"/>
  <c r="I92" i="71" s="1"/>
  <c r="I80" i="71"/>
  <c r="I78" i="71"/>
  <c r="I72" i="71"/>
  <c r="I71" i="71"/>
  <c r="I70" i="71"/>
  <c r="I34" i="71"/>
  <c r="I82" i="71"/>
  <c r="I79" i="71"/>
  <c r="I77" i="71"/>
  <c r="I69" i="71"/>
  <c r="I68" i="71"/>
  <c r="I67" i="71"/>
  <c r="I33" i="71"/>
  <c r="I73" i="74" l="1"/>
  <c r="I125" i="74" s="1"/>
  <c r="K36" i="85"/>
  <c r="I43" i="85" s="1"/>
  <c r="I46" i="87"/>
  <c r="I61" i="87" s="1"/>
  <c r="I79" i="80"/>
  <c r="I71" i="80"/>
  <c r="I123" i="80"/>
  <c r="I77" i="80"/>
  <c r="I72" i="80"/>
  <c r="I69" i="80"/>
  <c r="I33" i="80"/>
  <c r="I78" i="80"/>
  <c r="I70" i="80"/>
  <c r="I73" i="80" s="1"/>
  <c r="I125" i="80" s="1"/>
  <c r="I34" i="80"/>
  <c r="I80" i="80"/>
  <c r="I82" i="80"/>
  <c r="I67" i="80"/>
  <c r="I86" i="80"/>
  <c r="I87" i="80" s="1"/>
  <c r="I92" i="80" s="1"/>
  <c r="I79" i="79"/>
  <c r="I33" i="79"/>
  <c r="I35" i="79" s="1"/>
  <c r="I70" i="79"/>
  <c r="I78" i="79"/>
  <c r="I67" i="79"/>
  <c r="I86" i="79"/>
  <c r="I87" i="79" s="1"/>
  <c r="I92" i="79" s="1"/>
  <c r="I77" i="79"/>
  <c r="I82" i="79"/>
  <c r="I72" i="79"/>
  <c r="I34" i="79"/>
  <c r="I68" i="79"/>
  <c r="I123" i="79"/>
  <c r="I71" i="79"/>
  <c r="I80" i="79"/>
  <c r="I33" i="78"/>
  <c r="K81" i="78" s="1"/>
  <c r="I81" i="78" s="1"/>
  <c r="I70" i="78"/>
  <c r="I71" i="78"/>
  <c r="I72" i="78"/>
  <c r="I80" i="78"/>
  <c r="I67" i="78"/>
  <c r="I34" i="78"/>
  <c r="I82" i="78"/>
  <c r="I78" i="78"/>
  <c r="I86" i="78"/>
  <c r="I87" i="78" s="1"/>
  <c r="I92" i="78" s="1"/>
  <c r="I68" i="78"/>
  <c r="I123" i="78"/>
  <c r="I69" i="78"/>
  <c r="I77" i="78"/>
  <c r="I73" i="72"/>
  <c r="I125" i="72" s="1"/>
  <c r="I106" i="88"/>
  <c r="I115" i="88" s="1"/>
  <c r="I117" i="88" s="1"/>
  <c r="I46" i="86"/>
  <c r="I61" i="86" s="1"/>
  <c r="I63" i="86" s="1"/>
  <c r="I124" i="86" s="1"/>
  <c r="I128" i="86" s="1"/>
  <c r="I44" i="84"/>
  <c r="I42" i="84"/>
  <c r="I45" i="84"/>
  <c r="I43" i="84"/>
  <c r="I38" i="84"/>
  <c r="I41" i="84"/>
  <c r="I40" i="84"/>
  <c r="I73" i="83"/>
  <c r="I125" i="83" s="1"/>
  <c r="K81" i="83"/>
  <c r="I81" i="83" s="1"/>
  <c r="I83" i="83" s="1"/>
  <c r="I91" i="83" s="1"/>
  <c r="I93" i="83" s="1"/>
  <c r="I126" i="83" s="1"/>
  <c r="I35" i="83"/>
  <c r="I73" i="82"/>
  <c r="I125" i="82" s="1"/>
  <c r="K81" i="82"/>
  <c r="I81" i="82" s="1"/>
  <c r="I83" i="82" s="1"/>
  <c r="I91" i="82" s="1"/>
  <c r="I93" i="82" s="1"/>
  <c r="I126" i="82" s="1"/>
  <c r="I35" i="82"/>
  <c r="I60" i="82" s="1"/>
  <c r="K81" i="77"/>
  <c r="I81" i="77" s="1"/>
  <c r="I83" i="77" s="1"/>
  <c r="I91" i="77" s="1"/>
  <c r="I93" i="77" s="1"/>
  <c r="I126" i="77" s="1"/>
  <c r="I35" i="77"/>
  <c r="I73" i="77"/>
  <c r="I125" i="77" s="1"/>
  <c r="I73" i="76"/>
  <c r="I125" i="76" s="1"/>
  <c r="K81" i="76"/>
  <c r="I81" i="76" s="1"/>
  <c r="I83" i="76" s="1"/>
  <c r="I91" i="76" s="1"/>
  <c r="I93" i="76" s="1"/>
  <c r="I126" i="76" s="1"/>
  <c r="I35" i="76"/>
  <c r="K81" i="74"/>
  <c r="I81" i="74" s="1"/>
  <c r="I83" i="74" s="1"/>
  <c r="I91" i="74" s="1"/>
  <c r="I93" i="74" s="1"/>
  <c r="I126" i="74" s="1"/>
  <c r="I35" i="74"/>
  <c r="I73" i="73"/>
  <c r="I125" i="73" s="1"/>
  <c r="K81" i="73"/>
  <c r="I81" i="73" s="1"/>
  <c r="I83" i="73" s="1"/>
  <c r="I91" i="73" s="1"/>
  <c r="I93" i="73" s="1"/>
  <c r="I126" i="73" s="1"/>
  <c r="I35" i="73"/>
  <c r="K81" i="72"/>
  <c r="I81" i="72" s="1"/>
  <c r="I83" i="72" s="1"/>
  <c r="I91" i="72" s="1"/>
  <c r="I93" i="72" s="1"/>
  <c r="I126" i="72" s="1"/>
  <c r="I35" i="72"/>
  <c r="K81" i="71"/>
  <c r="I81" i="71" s="1"/>
  <c r="I83" i="71" s="1"/>
  <c r="I91" i="71" s="1"/>
  <c r="I93" i="71" s="1"/>
  <c r="I126" i="71" s="1"/>
  <c r="I35" i="71"/>
  <c r="I73" i="71"/>
  <c r="I125" i="71" s="1"/>
  <c r="I26" i="70"/>
  <c r="I146" i="70"/>
  <c r="I140" i="70"/>
  <c r="B129" i="70"/>
  <c r="B127" i="70"/>
  <c r="B126" i="70"/>
  <c r="B125" i="70"/>
  <c r="B124" i="70"/>
  <c r="B123" i="70"/>
  <c r="H113" i="70"/>
  <c r="H111" i="70"/>
  <c r="I97" i="70"/>
  <c r="I127" i="70" s="1"/>
  <c r="H87" i="70"/>
  <c r="H83" i="70"/>
  <c r="H72" i="70"/>
  <c r="H68" i="70"/>
  <c r="H69" i="70" s="1"/>
  <c r="H73" i="70" s="1"/>
  <c r="I56" i="70"/>
  <c r="I62" i="70" s="1"/>
  <c r="H40" i="70"/>
  <c r="H46" i="70" s="1"/>
  <c r="H71" i="70" s="1"/>
  <c r="H35" i="70"/>
  <c r="I146" i="69"/>
  <c r="I140" i="69"/>
  <c r="B129" i="69"/>
  <c r="B127" i="69"/>
  <c r="B126" i="69"/>
  <c r="B125" i="69"/>
  <c r="B124" i="69"/>
  <c r="B123" i="69"/>
  <c r="H113" i="69"/>
  <c r="H111" i="69"/>
  <c r="I101" i="69"/>
  <c r="I127" i="69" s="1"/>
  <c r="H87" i="69"/>
  <c r="H83" i="69"/>
  <c r="H72" i="69"/>
  <c r="H68" i="69"/>
  <c r="H69" i="69" s="1"/>
  <c r="H40" i="69"/>
  <c r="H46" i="69" s="1"/>
  <c r="H71" i="69" s="1"/>
  <c r="H35" i="69"/>
  <c r="I23" i="69"/>
  <c r="I97" i="65"/>
  <c r="I101" i="65" s="1"/>
  <c r="I127" i="65" s="1"/>
  <c r="I146" i="65"/>
  <c r="I140" i="65"/>
  <c r="B129" i="65"/>
  <c r="B127" i="65"/>
  <c r="B126" i="65"/>
  <c r="B125" i="65"/>
  <c r="B124" i="65"/>
  <c r="B123" i="65"/>
  <c r="H113" i="65"/>
  <c r="H111" i="65"/>
  <c r="H87" i="65"/>
  <c r="H83" i="65"/>
  <c r="H72" i="65"/>
  <c r="H68" i="65"/>
  <c r="H69" i="65" s="1"/>
  <c r="H40" i="65"/>
  <c r="H46" i="65" s="1"/>
  <c r="H71" i="65" s="1"/>
  <c r="H35" i="65"/>
  <c r="I23" i="65"/>
  <c r="I146" i="68"/>
  <c r="I140" i="68"/>
  <c r="B129" i="68"/>
  <c r="B127" i="68"/>
  <c r="B126" i="68"/>
  <c r="B125" i="68"/>
  <c r="B124" i="68"/>
  <c r="B123" i="68"/>
  <c r="H113" i="68"/>
  <c r="H111" i="68"/>
  <c r="I101" i="68"/>
  <c r="I127" i="68" s="1"/>
  <c r="H87" i="68"/>
  <c r="H83" i="68"/>
  <c r="H72" i="68"/>
  <c r="H68" i="68"/>
  <c r="H40" i="68"/>
  <c r="H46" i="68" s="1"/>
  <c r="H71" i="68" s="1"/>
  <c r="H35" i="68"/>
  <c r="I29" i="68"/>
  <c r="I35" i="80" l="1"/>
  <c r="K81" i="80"/>
  <c r="I81" i="80" s="1"/>
  <c r="I83" i="80" s="1"/>
  <c r="I91" i="80" s="1"/>
  <c r="I93" i="80" s="1"/>
  <c r="I126" i="80" s="1"/>
  <c r="K81" i="79"/>
  <c r="I81" i="79" s="1"/>
  <c r="I73" i="78"/>
  <c r="I125" i="78" s="1"/>
  <c r="I39" i="85"/>
  <c r="I45" i="85"/>
  <c r="I42" i="85"/>
  <c r="I40" i="85"/>
  <c r="I44" i="85"/>
  <c r="I38" i="85"/>
  <c r="I41" i="85"/>
  <c r="I83" i="79"/>
  <c r="I91" i="79" s="1"/>
  <c r="I93" i="79" s="1"/>
  <c r="I126" i="79" s="1"/>
  <c r="I73" i="79"/>
  <c r="I125" i="79" s="1"/>
  <c r="I35" i="78"/>
  <c r="I83" i="78"/>
  <c r="I91" i="78" s="1"/>
  <c r="I93" i="78" s="1"/>
  <c r="I126" i="78" s="1"/>
  <c r="I29" i="70"/>
  <c r="I77" i="70" s="1"/>
  <c r="K36" i="74"/>
  <c r="J106" i="88"/>
  <c r="I119" i="88"/>
  <c r="I109" i="88"/>
  <c r="I110" i="88"/>
  <c r="I108" i="88"/>
  <c r="I105" i="86"/>
  <c r="I46" i="84"/>
  <c r="I61" i="84" s="1"/>
  <c r="I63" i="84" s="1"/>
  <c r="I124" i="84" s="1"/>
  <c r="I128" i="84" s="1"/>
  <c r="I60" i="83"/>
  <c r="K36" i="83"/>
  <c r="I62" i="65"/>
  <c r="K36" i="82"/>
  <c r="I60" i="80"/>
  <c r="I60" i="79"/>
  <c r="I60" i="77"/>
  <c r="K36" i="77"/>
  <c r="I60" i="76"/>
  <c r="K36" i="76"/>
  <c r="I60" i="74"/>
  <c r="I60" i="73"/>
  <c r="K36" i="73"/>
  <c r="I60" i="72"/>
  <c r="K36" i="72"/>
  <c r="I60" i="71"/>
  <c r="K36" i="71"/>
  <c r="H73" i="69"/>
  <c r="I29" i="69"/>
  <c r="H73" i="65"/>
  <c r="I29" i="65"/>
  <c r="I123" i="68"/>
  <c r="I82" i="68"/>
  <c r="I79" i="68"/>
  <c r="I77" i="68"/>
  <c r="I67" i="68"/>
  <c r="I34" i="68"/>
  <c r="I80" i="68"/>
  <c r="I71" i="68"/>
  <c r="I70" i="68"/>
  <c r="I86" i="68"/>
  <c r="I87" i="68" s="1"/>
  <c r="I92" i="68" s="1"/>
  <c r="I78" i="68"/>
  <c r="I72" i="68"/>
  <c r="I33" i="68"/>
  <c r="K81" i="68" s="1"/>
  <c r="H69" i="68"/>
  <c r="I69" i="68" s="1"/>
  <c r="I68" i="68"/>
  <c r="H73" i="68" l="1"/>
  <c r="K36" i="80"/>
  <c r="I39" i="80" s="1"/>
  <c r="I71" i="70"/>
  <c r="I82" i="70"/>
  <c r="I68" i="70"/>
  <c r="I70" i="70"/>
  <c r="I69" i="70"/>
  <c r="I67" i="70"/>
  <c r="I73" i="70" s="1"/>
  <c r="I125" i="70" s="1"/>
  <c r="I86" i="70"/>
  <c r="I87" i="70" s="1"/>
  <c r="I92" i="70" s="1"/>
  <c r="I78" i="70"/>
  <c r="I33" i="70"/>
  <c r="I34" i="70"/>
  <c r="K81" i="70" s="1"/>
  <c r="I81" i="70" s="1"/>
  <c r="I83" i="70" s="1"/>
  <c r="I91" i="70" s="1"/>
  <c r="I93" i="70" s="1"/>
  <c r="I126" i="70" s="1"/>
  <c r="I123" i="70"/>
  <c r="I80" i="70"/>
  <c r="I72" i="70"/>
  <c r="I46" i="85"/>
  <c r="I61" i="85" s="1"/>
  <c r="I63" i="85" s="1"/>
  <c r="I124" i="85" s="1"/>
  <c r="I128" i="85" s="1"/>
  <c r="I105" i="85" s="1"/>
  <c r="K36" i="79"/>
  <c r="I44" i="79" s="1"/>
  <c r="K36" i="78"/>
  <c r="I41" i="78" s="1"/>
  <c r="I60" i="78"/>
  <c r="I79" i="70"/>
  <c r="I145" i="88"/>
  <c r="I148" i="88" s="1"/>
  <c r="J110" i="88"/>
  <c r="I111" i="88"/>
  <c r="I106" i="86"/>
  <c r="I115" i="86" s="1"/>
  <c r="I117" i="86" s="1"/>
  <c r="I105" i="84"/>
  <c r="I44" i="83"/>
  <c r="I42" i="83"/>
  <c r="I39" i="83"/>
  <c r="I45" i="83"/>
  <c r="I43" i="83"/>
  <c r="I41" i="83"/>
  <c r="I38" i="83"/>
  <c r="I40" i="83"/>
  <c r="I44" i="82"/>
  <c r="I42" i="82"/>
  <c r="I39" i="82"/>
  <c r="I45" i="82"/>
  <c r="I43" i="82"/>
  <c r="I41" i="82"/>
  <c r="I38" i="82"/>
  <c r="I40" i="82"/>
  <c r="I44" i="80"/>
  <c r="I42" i="80"/>
  <c r="I45" i="80"/>
  <c r="I43" i="80"/>
  <c r="I41" i="80"/>
  <c r="I38" i="80"/>
  <c r="I40" i="80"/>
  <c r="I44" i="77"/>
  <c r="I42" i="77"/>
  <c r="I39" i="77"/>
  <c r="I45" i="77"/>
  <c r="I43" i="77"/>
  <c r="I41" i="77"/>
  <c r="I38" i="77"/>
  <c r="I40" i="77"/>
  <c r="I45" i="76"/>
  <c r="I43" i="76"/>
  <c r="I41" i="76"/>
  <c r="I38" i="76"/>
  <c r="I44" i="76"/>
  <c r="I42" i="76"/>
  <c r="I40" i="76"/>
  <c r="I39" i="76"/>
  <c r="I45" i="74"/>
  <c r="I43" i="74"/>
  <c r="I41" i="74"/>
  <c r="I38" i="74"/>
  <c r="I44" i="74"/>
  <c r="I42" i="74"/>
  <c r="I40" i="74"/>
  <c r="I39" i="74"/>
  <c r="I45" i="73"/>
  <c r="I43" i="73"/>
  <c r="I41" i="73"/>
  <c r="I38" i="73"/>
  <c r="I56" i="73"/>
  <c r="I62" i="73" s="1"/>
  <c r="I44" i="73"/>
  <c r="I42" i="73"/>
  <c r="I40" i="73"/>
  <c r="I39" i="73"/>
  <c r="I45" i="72"/>
  <c r="I43" i="72"/>
  <c r="I41" i="72"/>
  <c r="I38" i="72"/>
  <c r="I56" i="72"/>
  <c r="I62" i="72" s="1"/>
  <c r="I44" i="72"/>
  <c r="I42" i="72"/>
  <c r="I40" i="72"/>
  <c r="I39" i="72"/>
  <c r="I45" i="71"/>
  <c r="I43" i="71"/>
  <c r="I41" i="71"/>
  <c r="I38" i="71"/>
  <c r="I44" i="71"/>
  <c r="I42" i="71"/>
  <c r="I40" i="71"/>
  <c r="I39" i="71"/>
  <c r="I123" i="69"/>
  <c r="I86" i="69"/>
  <c r="I87" i="69" s="1"/>
  <c r="I92" i="69" s="1"/>
  <c r="I80" i="69"/>
  <c r="I78" i="69"/>
  <c r="I72" i="69"/>
  <c r="I71" i="69"/>
  <c r="I70" i="69"/>
  <c r="I33" i="69"/>
  <c r="I82" i="69"/>
  <c r="I79" i="69"/>
  <c r="I77" i="69"/>
  <c r="I69" i="69"/>
  <c r="I68" i="69"/>
  <c r="I67" i="69"/>
  <c r="I34" i="69"/>
  <c r="I123" i="65"/>
  <c r="I86" i="65"/>
  <c r="I87" i="65" s="1"/>
  <c r="I92" i="65" s="1"/>
  <c r="I80" i="65"/>
  <c r="I78" i="65"/>
  <c r="I72" i="65"/>
  <c r="I71" i="65"/>
  <c r="I70" i="65"/>
  <c r="I33" i="65"/>
  <c r="I68" i="65"/>
  <c r="I82" i="65"/>
  <c r="I79" i="65"/>
  <c r="I77" i="65"/>
  <c r="I69" i="65"/>
  <c r="I67" i="65"/>
  <c r="I34" i="65"/>
  <c r="I73" i="68"/>
  <c r="I125" i="68" s="1"/>
  <c r="I35" i="68"/>
  <c r="I39" i="78" l="1"/>
  <c r="I45" i="78"/>
  <c r="I43" i="78"/>
  <c r="I35" i="70"/>
  <c r="I41" i="79"/>
  <c r="I43" i="79"/>
  <c r="I39" i="79"/>
  <c r="I38" i="79"/>
  <c r="I45" i="79"/>
  <c r="I40" i="79"/>
  <c r="I42" i="79"/>
  <c r="I42" i="78"/>
  <c r="I44" i="78"/>
  <c r="I40" i="78"/>
  <c r="I38" i="78"/>
  <c r="I147" i="88"/>
  <c r="I129" i="88"/>
  <c r="I130" i="88" s="1"/>
  <c r="I119" i="86"/>
  <c r="I109" i="86"/>
  <c r="I110" i="86"/>
  <c r="I108" i="86"/>
  <c r="J106" i="86"/>
  <c r="I106" i="85"/>
  <c r="I115" i="85" s="1"/>
  <c r="I117" i="85" s="1"/>
  <c r="I106" i="84"/>
  <c r="I115" i="84" s="1"/>
  <c r="I117" i="84" s="1"/>
  <c r="I46" i="83"/>
  <c r="I61" i="83" s="1"/>
  <c r="I63" i="83" s="1"/>
  <c r="I124" i="83" s="1"/>
  <c r="I128" i="83" s="1"/>
  <c r="I46" i="82"/>
  <c r="I46" i="80"/>
  <c r="I61" i="80" s="1"/>
  <c r="I63" i="80" s="1"/>
  <c r="I124" i="80" s="1"/>
  <c r="I128" i="80" s="1"/>
  <c r="I46" i="77"/>
  <c r="I61" i="77" s="1"/>
  <c r="I63" i="77" s="1"/>
  <c r="I124" i="77" s="1"/>
  <c r="I128" i="77" s="1"/>
  <c r="I46" i="76"/>
  <c r="I61" i="76" s="1"/>
  <c r="I63" i="76" s="1"/>
  <c r="I124" i="76" s="1"/>
  <c r="I128" i="76" s="1"/>
  <c r="I46" i="74"/>
  <c r="I61" i="74" s="1"/>
  <c r="I46" i="73"/>
  <c r="I61" i="73" s="1"/>
  <c r="I63" i="73" s="1"/>
  <c r="I124" i="73" s="1"/>
  <c r="I128" i="73" s="1"/>
  <c r="I46" i="72"/>
  <c r="I61" i="72" s="1"/>
  <c r="I63" i="72" s="1"/>
  <c r="I124" i="72" s="1"/>
  <c r="I128" i="72" s="1"/>
  <c r="I46" i="71"/>
  <c r="I61" i="71" s="1"/>
  <c r="I60" i="70"/>
  <c r="K36" i="70"/>
  <c r="I73" i="69"/>
  <c r="I125" i="69" s="1"/>
  <c r="K81" i="69"/>
  <c r="I81" i="69" s="1"/>
  <c r="I83" i="69" s="1"/>
  <c r="I91" i="69" s="1"/>
  <c r="I93" i="69" s="1"/>
  <c r="I126" i="69" s="1"/>
  <c r="I35" i="69"/>
  <c r="I73" i="65"/>
  <c r="I125" i="65" s="1"/>
  <c r="K81" i="65"/>
  <c r="I81" i="65" s="1"/>
  <c r="I83" i="65" s="1"/>
  <c r="I91" i="65" s="1"/>
  <c r="I93" i="65" s="1"/>
  <c r="I126" i="65" s="1"/>
  <c r="I35" i="65"/>
  <c r="I60" i="68"/>
  <c r="I46" i="78" l="1"/>
  <c r="I61" i="78" s="1"/>
  <c r="I63" i="78" s="1"/>
  <c r="I124" i="78" s="1"/>
  <c r="I128" i="78" s="1"/>
  <c r="I105" i="78" s="1"/>
  <c r="I46" i="79"/>
  <c r="I61" i="79" s="1"/>
  <c r="I63" i="79" s="1"/>
  <c r="I124" i="79" s="1"/>
  <c r="I128" i="79" s="1"/>
  <c r="I105" i="79" s="1"/>
  <c r="I111" i="86"/>
  <c r="I147" i="86" s="1"/>
  <c r="B152" i="88"/>
  <c r="C154" i="88"/>
  <c r="C155" i="88" s="1"/>
  <c r="I61" i="82"/>
  <c r="I63" i="82" s="1"/>
  <c r="I124" i="82" s="1"/>
  <c r="I128" i="82" s="1"/>
  <c r="I105" i="82" s="1"/>
  <c r="I145" i="86"/>
  <c r="I148" i="86" s="1"/>
  <c r="J110" i="86"/>
  <c r="J106" i="85"/>
  <c r="I110" i="85"/>
  <c r="I108" i="85"/>
  <c r="I119" i="85"/>
  <c r="I109" i="85"/>
  <c r="I119" i="84"/>
  <c r="I109" i="84"/>
  <c r="I110" i="84"/>
  <c r="I108" i="84"/>
  <c r="J106" i="84"/>
  <c r="I105" i="83"/>
  <c r="I105" i="80"/>
  <c r="I105" i="77"/>
  <c r="I105" i="76"/>
  <c r="I105" i="73"/>
  <c r="I105" i="72"/>
  <c r="I44" i="70"/>
  <c r="I42" i="70"/>
  <c r="I39" i="70"/>
  <c r="I45" i="70"/>
  <c r="I43" i="70"/>
  <c r="I41" i="70"/>
  <c r="I38" i="70"/>
  <c r="I40" i="70"/>
  <c r="I60" i="69"/>
  <c r="K36" i="69"/>
  <c r="I56" i="69" s="1"/>
  <c r="I62" i="69" s="1"/>
  <c r="I60" i="65"/>
  <c r="K36" i="65"/>
  <c r="I129" i="86" l="1"/>
  <c r="I130" i="86" s="1"/>
  <c r="B152" i="86" s="1"/>
  <c r="I111" i="85"/>
  <c r="I147" i="85" s="1"/>
  <c r="I145" i="85"/>
  <c r="I148" i="85" s="1"/>
  <c r="J110" i="85"/>
  <c r="I145" i="84"/>
  <c r="I148" i="84" s="1"/>
  <c r="J110" i="84"/>
  <c r="I111" i="84"/>
  <c r="I106" i="83"/>
  <c r="I115" i="83" s="1"/>
  <c r="I117" i="83" s="1"/>
  <c r="I106" i="82"/>
  <c r="I115" i="82" s="1"/>
  <c r="I117" i="82" s="1"/>
  <c r="I106" i="80"/>
  <c r="I115" i="80" s="1"/>
  <c r="I117" i="80" s="1"/>
  <c r="I106" i="79"/>
  <c r="I115" i="79" s="1"/>
  <c r="I117" i="79" s="1"/>
  <c r="I106" i="78"/>
  <c r="I115" i="78" s="1"/>
  <c r="I117" i="78" s="1"/>
  <c r="I106" i="77"/>
  <c r="I115" i="77" s="1"/>
  <c r="I117" i="77" s="1"/>
  <c r="I106" i="76"/>
  <c r="I115" i="76" s="1"/>
  <c r="I117" i="76" s="1"/>
  <c r="I106" i="73"/>
  <c r="I115" i="73" s="1"/>
  <c r="I117" i="73" s="1"/>
  <c r="I106" i="72"/>
  <c r="I115" i="72" s="1"/>
  <c r="I117" i="72" s="1"/>
  <c r="I46" i="70"/>
  <c r="I61" i="70" s="1"/>
  <c r="I63" i="70" s="1"/>
  <c r="I124" i="70" s="1"/>
  <c r="I128" i="70" s="1"/>
  <c r="I44" i="69"/>
  <c r="I42" i="69"/>
  <c r="I39" i="69"/>
  <c r="I45" i="69"/>
  <c r="I43" i="69"/>
  <c r="I41" i="69"/>
  <c r="I38" i="69"/>
  <c r="I40" i="69"/>
  <c r="I44" i="65"/>
  <c r="I42" i="65"/>
  <c r="I39" i="65"/>
  <c r="I43" i="65"/>
  <c r="I41" i="65"/>
  <c r="I45" i="65"/>
  <c r="I38" i="65"/>
  <c r="I40" i="65"/>
  <c r="I129" i="85" l="1"/>
  <c r="I130" i="85" s="1"/>
  <c r="B152" i="85" s="1"/>
  <c r="C154" i="86"/>
  <c r="C155" i="86" s="1"/>
  <c r="I147" i="84"/>
  <c r="I129" i="84"/>
  <c r="I130" i="84" s="1"/>
  <c r="J106" i="83"/>
  <c r="I119" i="83"/>
  <c r="I109" i="83"/>
  <c r="I110" i="83"/>
  <c r="I108" i="83"/>
  <c r="I119" i="82"/>
  <c r="I109" i="82"/>
  <c r="I110" i="82"/>
  <c r="I108" i="82"/>
  <c r="J106" i="82"/>
  <c r="I119" i="80"/>
  <c r="I109" i="80"/>
  <c r="I110" i="80"/>
  <c r="I108" i="80"/>
  <c r="J106" i="80"/>
  <c r="I119" i="79"/>
  <c r="I109" i="79"/>
  <c r="I110" i="79"/>
  <c r="I108" i="79"/>
  <c r="J106" i="79"/>
  <c r="J106" i="78"/>
  <c r="I119" i="78"/>
  <c r="I109" i="78"/>
  <c r="I110" i="78"/>
  <c r="I108" i="78"/>
  <c r="I119" i="77"/>
  <c r="I109" i="77"/>
  <c r="I110" i="77"/>
  <c r="I108" i="77"/>
  <c r="J106" i="77"/>
  <c r="I119" i="76"/>
  <c r="I109" i="76"/>
  <c r="I110" i="76"/>
  <c r="I108" i="76"/>
  <c r="J106" i="76"/>
  <c r="J106" i="73"/>
  <c r="I119" i="73"/>
  <c r="I109" i="73"/>
  <c r="I110" i="73"/>
  <c r="I108" i="73"/>
  <c r="J106" i="72"/>
  <c r="I119" i="72"/>
  <c r="I109" i="72"/>
  <c r="I110" i="72"/>
  <c r="I108" i="72"/>
  <c r="I105" i="70"/>
  <c r="I46" i="69"/>
  <c r="I61" i="69" s="1"/>
  <c r="I63" i="69" s="1"/>
  <c r="I124" i="69" s="1"/>
  <c r="I128" i="69" s="1"/>
  <c r="I46" i="65"/>
  <c r="I61" i="65" s="1"/>
  <c r="I63" i="65" s="1"/>
  <c r="I124" i="65" s="1"/>
  <c r="I128" i="65" s="1"/>
  <c r="C154" i="85" l="1"/>
  <c r="B152" i="84"/>
  <c r="C154" i="84"/>
  <c r="C155" i="84" s="1"/>
  <c r="I145" i="83"/>
  <c r="I148" i="83" s="1"/>
  <c r="J110" i="83"/>
  <c r="I111" i="83"/>
  <c r="I145" i="82"/>
  <c r="I148" i="82" s="1"/>
  <c r="J110" i="82"/>
  <c r="I111" i="82"/>
  <c r="I145" i="80"/>
  <c r="I148" i="80" s="1"/>
  <c r="J110" i="80"/>
  <c r="I111" i="80"/>
  <c r="I145" i="79"/>
  <c r="I148" i="79" s="1"/>
  <c r="J110" i="79"/>
  <c r="I111" i="79"/>
  <c r="I145" i="78"/>
  <c r="I148" i="78" s="1"/>
  <c r="J110" i="78"/>
  <c r="I111" i="78"/>
  <c r="I145" i="77"/>
  <c r="I148" i="77" s="1"/>
  <c r="J110" i="77"/>
  <c r="I111" i="77"/>
  <c r="I145" i="76"/>
  <c r="I148" i="76" s="1"/>
  <c r="J110" i="76"/>
  <c r="I111" i="76"/>
  <c r="I145" i="73"/>
  <c r="I148" i="73" s="1"/>
  <c r="J110" i="73"/>
  <c r="I111" i="73"/>
  <c r="I145" i="72"/>
  <c r="I148" i="72" s="1"/>
  <c r="J110" i="72"/>
  <c r="I111" i="72"/>
  <c r="I106" i="70"/>
  <c r="I115" i="70" s="1"/>
  <c r="I117" i="70" s="1"/>
  <c r="I105" i="69"/>
  <c r="I105" i="65"/>
  <c r="C155" i="85" l="1"/>
  <c r="D27" i="90" s="1"/>
  <c r="C27" i="90"/>
  <c r="I147" i="83"/>
  <c r="I129" i="83"/>
  <c r="I130" i="83" s="1"/>
  <c r="I147" i="82"/>
  <c r="I129" i="82"/>
  <c r="I130" i="82" s="1"/>
  <c r="I147" i="80"/>
  <c r="I129" i="80"/>
  <c r="I130" i="80" s="1"/>
  <c r="I147" i="79"/>
  <c r="I129" i="79"/>
  <c r="I130" i="79" s="1"/>
  <c r="I147" i="78"/>
  <c r="I129" i="78"/>
  <c r="I130" i="78" s="1"/>
  <c r="I147" i="77"/>
  <c r="I129" i="77"/>
  <c r="I130" i="77" s="1"/>
  <c r="I147" i="76"/>
  <c r="I129" i="76"/>
  <c r="I130" i="76" s="1"/>
  <c r="C154" i="76" s="1"/>
  <c r="C155" i="76" s="1"/>
  <c r="I147" i="73"/>
  <c r="I129" i="73"/>
  <c r="I130" i="73" s="1"/>
  <c r="I147" i="72"/>
  <c r="I129" i="72"/>
  <c r="I130" i="72" s="1"/>
  <c r="I119" i="70"/>
  <c r="I109" i="70"/>
  <c r="I110" i="70"/>
  <c r="I108" i="70"/>
  <c r="J106" i="70"/>
  <c r="I106" i="69"/>
  <c r="I115" i="69" s="1"/>
  <c r="I117" i="69" s="1"/>
  <c r="I106" i="65"/>
  <c r="I115" i="65" s="1"/>
  <c r="I117" i="65" s="1"/>
  <c r="B152" i="83" l="1"/>
  <c r="C154" i="83"/>
  <c r="C155" i="83" s="1"/>
  <c r="B152" i="82"/>
  <c r="C154" i="82"/>
  <c r="C155" i="82" s="1"/>
  <c r="B152" i="80"/>
  <c r="C154" i="80"/>
  <c r="B152" i="79"/>
  <c r="C154" i="79"/>
  <c r="C155" i="79" s="1"/>
  <c r="B152" i="78"/>
  <c r="C154" i="78"/>
  <c r="C155" i="78" s="1"/>
  <c r="B152" i="77"/>
  <c r="C154" i="77"/>
  <c r="C155" i="77" s="1"/>
  <c r="B152" i="76"/>
  <c r="B152" i="73"/>
  <c r="C154" i="73"/>
  <c r="C155" i="73" s="1"/>
  <c r="B152" i="72"/>
  <c r="C154" i="72"/>
  <c r="C155" i="72" s="1"/>
  <c r="I145" i="70"/>
  <c r="I148" i="70" s="1"/>
  <c r="J110" i="70"/>
  <c r="I111" i="70"/>
  <c r="J106" i="69"/>
  <c r="I119" i="69"/>
  <c r="I109" i="69"/>
  <c r="I110" i="69"/>
  <c r="I108" i="69"/>
  <c r="J106" i="65"/>
  <c r="I119" i="65"/>
  <c r="I109" i="65"/>
  <c r="I110" i="65"/>
  <c r="I108" i="65"/>
  <c r="C155" i="80" l="1"/>
  <c r="D18" i="90" s="1"/>
  <c r="C18" i="90"/>
  <c r="I111" i="65"/>
  <c r="I129" i="65" s="1"/>
  <c r="I130" i="65" s="1"/>
  <c r="I111" i="69"/>
  <c r="I147" i="69" s="1"/>
  <c r="I147" i="70"/>
  <c r="I129" i="70"/>
  <c r="I130" i="70" s="1"/>
  <c r="I145" i="69"/>
  <c r="I148" i="69" s="1"/>
  <c r="J110" i="69"/>
  <c r="I145" i="65"/>
  <c r="I148" i="65" s="1"/>
  <c r="J110" i="65"/>
  <c r="I147" i="65" l="1"/>
  <c r="I129" i="69"/>
  <c r="I130" i="69" s="1"/>
  <c r="B152" i="69" s="1"/>
  <c r="B152" i="70"/>
  <c r="C154" i="70"/>
  <c r="C155" i="70" s="1"/>
  <c r="B152" i="65"/>
  <c r="C154" i="65"/>
  <c r="C155" i="65" l="1"/>
  <c r="D22" i="90" s="1"/>
  <c r="C22" i="90"/>
  <c r="C154" i="69"/>
  <c r="C155" i="69" l="1"/>
  <c r="D23" i="90" s="1"/>
  <c r="C23" i="90"/>
  <c r="C31" i="90"/>
  <c r="D31" i="90"/>
  <c r="H113" i="67"/>
  <c r="I146" i="67"/>
  <c r="I101" i="67"/>
  <c r="I127" i="67" s="1"/>
  <c r="I23" i="67"/>
  <c r="I140" i="67"/>
  <c r="B129" i="67"/>
  <c r="B127" i="67"/>
  <c r="B126" i="67"/>
  <c r="B125" i="67"/>
  <c r="B124" i="67"/>
  <c r="B123" i="67"/>
  <c r="H111" i="67"/>
  <c r="H87" i="67"/>
  <c r="H83" i="67"/>
  <c r="H72" i="67"/>
  <c r="H68" i="67"/>
  <c r="H46" i="67"/>
  <c r="H71" i="67" s="1"/>
  <c r="H40" i="67"/>
  <c r="H35" i="67"/>
  <c r="I29" i="67" l="1"/>
  <c r="I33" i="67" s="1"/>
  <c r="H73" i="67"/>
  <c r="H69" i="67"/>
  <c r="O27" i="42"/>
  <c r="N28" i="42"/>
  <c r="M28" i="42"/>
  <c r="L28" i="42"/>
  <c r="K28" i="42"/>
  <c r="J28" i="42"/>
  <c r="I28" i="42"/>
  <c r="H28" i="42"/>
  <c r="G28" i="42"/>
  <c r="F28" i="42"/>
  <c r="E28" i="42"/>
  <c r="D28" i="42"/>
  <c r="C28" i="42"/>
  <c r="O24" i="42"/>
  <c r="O23" i="42"/>
  <c r="O22" i="42"/>
  <c r="O20" i="42"/>
  <c r="O19" i="42"/>
  <c r="O18" i="42"/>
  <c r="O17" i="42"/>
  <c r="O16" i="42"/>
  <c r="O15" i="42"/>
  <c r="O14" i="42"/>
  <c r="O13" i="42"/>
  <c r="O12" i="42"/>
  <c r="O11" i="42"/>
  <c r="O10" i="42"/>
  <c r="O9" i="42"/>
  <c r="O8" i="42"/>
  <c r="O7" i="42"/>
  <c r="O28" i="42" l="1"/>
  <c r="I67" i="67"/>
  <c r="I68" i="67"/>
  <c r="I78" i="67"/>
  <c r="I123" i="67"/>
  <c r="I69" i="67"/>
  <c r="I70" i="67"/>
  <c r="I71" i="67"/>
  <c r="I79" i="67"/>
  <c r="I72" i="67"/>
  <c r="I80" i="67"/>
  <c r="I86" i="67"/>
  <c r="I87" i="67" s="1"/>
  <c r="I92" i="67" s="1"/>
  <c r="I77" i="67"/>
  <c r="I82" i="67"/>
  <c r="I34" i="67"/>
  <c r="K81" i="67" s="1"/>
  <c r="I81" i="67" s="1"/>
  <c r="I73" i="67" l="1"/>
  <c r="I125" i="67" s="1"/>
  <c r="I83" i="67"/>
  <c r="I91" i="67" s="1"/>
  <c r="I93" i="67" s="1"/>
  <c r="I35" i="67"/>
  <c r="I60" i="67" s="1"/>
  <c r="I126" i="67" l="1"/>
  <c r="K36" i="67"/>
  <c r="I43" i="67" s="1"/>
  <c r="I44" i="67"/>
  <c r="I42" i="67"/>
  <c r="I39" i="67"/>
  <c r="I40" i="67"/>
  <c r="I41" i="67" l="1"/>
  <c r="I62" i="67"/>
  <c r="I38" i="67"/>
  <c r="I45" i="67"/>
  <c r="I46" i="67" l="1"/>
  <c r="I61" i="67" s="1"/>
  <c r="I63" i="67" s="1"/>
  <c r="I124" i="67" s="1"/>
  <c r="I128" i="67" s="1"/>
  <c r="I105" i="67" s="1"/>
  <c r="I106" i="67" s="1"/>
  <c r="I115" i="67" s="1"/>
  <c r="I117" i="67" s="1"/>
  <c r="I108" i="67" s="1"/>
  <c r="I145" i="67" s="1"/>
  <c r="I119" i="67" l="1"/>
  <c r="I109" i="67"/>
  <c r="I110" i="67"/>
  <c r="J106" i="67"/>
  <c r="I148" i="67" l="1"/>
  <c r="J110" i="67"/>
  <c r="I111" i="67"/>
  <c r="I147" i="67" l="1"/>
  <c r="I129" i="67"/>
  <c r="I130" i="67" s="1"/>
  <c r="B152" i="67" l="1"/>
  <c r="C154" i="67"/>
  <c r="C155" i="67" s="1"/>
  <c r="I56" i="68"/>
  <c r="I62" i="68" s="1"/>
  <c r="I81" i="68"/>
  <c r="I83" i="68" s="1"/>
  <c r="I91" i="68" l="1"/>
  <c r="I93" i="68" s="1"/>
  <c r="K36" i="68" s="1"/>
  <c r="I126" i="68" l="1"/>
  <c r="I43" i="68"/>
  <c r="I38" i="68"/>
  <c r="I44" i="68"/>
  <c r="I45" i="68"/>
  <c r="I40" i="68"/>
  <c r="I41" i="68"/>
  <c r="I39" i="68"/>
  <c r="I42" i="68"/>
  <c r="I46" i="68" l="1"/>
  <c r="I61" i="68" s="1"/>
  <c r="I63" i="68" s="1"/>
  <c r="I124" i="68" s="1"/>
  <c r="I128" i="68" s="1"/>
  <c r="I105" i="68" l="1"/>
  <c r="I106" i="68" l="1"/>
  <c r="J106" i="68" s="1"/>
  <c r="I115" i="68" l="1"/>
  <c r="I117" i="68" s="1"/>
  <c r="I110" i="68" s="1"/>
  <c r="I109" i="68" l="1"/>
  <c r="I119" i="68"/>
  <c r="I108" i="68"/>
  <c r="J110" i="68" s="1"/>
  <c r="I111" i="68" l="1"/>
  <c r="I147" i="68" s="1"/>
  <c r="I145" i="68"/>
  <c r="I148" i="68" s="1"/>
  <c r="I129" i="68" l="1"/>
  <c r="I130" i="68" s="1"/>
  <c r="C154" i="68" s="1"/>
  <c r="C155" i="68" s="1"/>
  <c r="I56" i="71"/>
  <c r="I62" i="71" s="1"/>
  <c r="I63" i="71" s="1"/>
  <c r="I124" i="71" s="1"/>
  <c r="I128" i="71" s="1"/>
  <c r="B152" i="68" l="1"/>
  <c r="I105" i="71"/>
  <c r="I106" i="71" l="1"/>
  <c r="I115" i="71" s="1"/>
  <c r="I117" i="71" s="1"/>
  <c r="J106" i="71"/>
  <c r="I119" i="71" l="1"/>
  <c r="I110" i="71"/>
  <c r="I108" i="71"/>
  <c r="I109" i="71"/>
  <c r="J110" i="71" l="1"/>
  <c r="I145" i="71"/>
  <c r="I148" i="71" s="1"/>
  <c r="I111" i="71"/>
  <c r="I129" i="71" l="1"/>
  <c r="I130" i="71" s="1"/>
  <c r="I147" i="71"/>
  <c r="C154" i="71" l="1"/>
  <c r="C155" i="71" s="1"/>
  <c r="B152" i="71"/>
  <c r="I56" i="74"/>
  <c r="I62" i="74" s="1"/>
  <c r="I63" i="74" s="1"/>
  <c r="I124" i="74" s="1"/>
  <c r="I128" i="74" s="1"/>
  <c r="I105" i="74" l="1"/>
  <c r="I106" i="74" l="1"/>
  <c r="J106" i="74"/>
  <c r="I115" i="74"/>
  <c r="I117" i="74" s="1"/>
  <c r="I110" i="74" l="1"/>
  <c r="I108" i="74"/>
  <c r="I109" i="74"/>
  <c r="I119" i="74"/>
  <c r="I145" i="74" l="1"/>
  <c r="I148" i="74" s="1"/>
  <c r="J110" i="74"/>
  <c r="I111" i="74"/>
  <c r="I147" i="74" l="1"/>
  <c r="I129" i="74"/>
  <c r="I130" i="74" s="1"/>
  <c r="C154" i="74" l="1"/>
  <c r="C155" i="74" s="1"/>
  <c r="B152" i="74"/>
  <c r="I62" i="87"/>
  <c r="I63" i="87" s="1"/>
  <c r="I124" i="87" s="1"/>
  <c r="I128" i="87" s="1"/>
  <c r="I105" i="87" l="1"/>
  <c r="I106" i="87" l="1"/>
  <c r="I115" i="87" s="1"/>
  <c r="I117" i="87" s="1"/>
  <c r="J106" i="87" l="1"/>
  <c r="I109" i="87"/>
  <c r="I108" i="87"/>
  <c r="I119" i="87"/>
  <c r="I110" i="87"/>
  <c r="I145" i="87" l="1"/>
  <c r="I148" i="87" s="1"/>
  <c r="J110" i="87"/>
  <c r="I111" i="87"/>
  <c r="I147" i="87" l="1"/>
  <c r="I129" i="87"/>
  <c r="I130" i="87" s="1"/>
  <c r="C154" i="87" l="1"/>
  <c r="C155" i="87" s="1"/>
  <c r="B152" i="87"/>
</calcChain>
</file>

<file path=xl/sharedStrings.xml><?xml version="1.0" encoding="utf-8"?>
<sst xmlns="http://schemas.openxmlformats.org/spreadsheetml/2006/main" count="5943" uniqueCount="366">
  <si>
    <t>C.1</t>
  </si>
  <si>
    <t>Data base da categoria (dia/mês/ano)</t>
  </si>
  <si>
    <t>Salário Base</t>
  </si>
  <si>
    <t>E</t>
  </si>
  <si>
    <t>F</t>
  </si>
  <si>
    <t>G</t>
  </si>
  <si>
    <t>H</t>
  </si>
  <si>
    <t>Outros (especificar)</t>
  </si>
  <si>
    <t>Nº de meses de execução contratual</t>
  </si>
  <si>
    <t>A</t>
  </si>
  <si>
    <t>B</t>
  </si>
  <si>
    <t>C</t>
  </si>
  <si>
    <t>D</t>
  </si>
  <si>
    <t>Identificação do Serviço</t>
  </si>
  <si>
    <t>Tipo de Serviço</t>
  </si>
  <si>
    <t>Tipo de serviço (mesmo serviço com características distintas)</t>
  </si>
  <si>
    <t>Categoria profissional (vinculada à execução contratual)</t>
  </si>
  <si>
    <t>ITEM</t>
  </si>
  <si>
    <t>CUSTO UNITÁRIO (R$)</t>
  </si>
  <si>
    <t>VIDA ÚTIL (MESES)</t>
  </si>
  <si>
    <t>QTD</t>
  </si>
  <si>
    <t xml:space="preserve">CUSTO MENSAL (R$) </t>
  </si>
  <si>
    <t>Rede de malha fina</t>
  </si>
  <si>
    <t>Meia social</t>
  </si>
  <si>
    <t>Calçados fechados</t>
  </si>
  <si>
    <t xml:space="preserve">Custo Total Mensal </t>
  </si>
  <si>
    <t>Calça social</t>
  </si>
  <si>
    <t>Almoxarife</t>
  </si>
  <si>
    <t>Magarefe</t>
  </si>
  <si>
    <t>Cozinheiro</t>
  </si>
  <si>
    <t>5143-20</t>
  </si>
  <si>
    <t>5134-25</t>
  </si>
  <si>
    <t>2237-10</t>
  </si>
  <si>
    <t>4110-05</t>
  </si>
  <si>
    <t>4141-05</t>
  </si>
  <si>
    <t>5132-15</t>
  </si>
  <si>
    <t>5135-05</t>
  </si>
  <si>
    <t>8485-20</t>
  </si>
  <si>
    <t>Transporte</t>
  </si>
  <si>
    <t>Uniformes</t>
  </si>
  <si>
    <t>Materiais</t>
  </si>
  <si>
    <t>Equipamentos</t>
  </si>
  <si>
    <t>4.1</t>
  </si>
  <si>
    <t>%</t>
  </si>
  <si>
    <t>TOTAL</t>
  </si>
  <si>
    <t>4.2</t>
  </si>
  <si>
    <t>Subtotal</t>
  </si>
  <si>
    <t>UNIFORMES - Almoxarife e Auxiliar de Almoxarife</t>
  </si>
  <si>
    <t>Calça de brim com cordão e elástico</t>
  </si>
  <si>
    <t>Camisa de brim sem botões e sem bolsos</t>
  </si>
  <si>
    <t xml:space="preserve">Meia </t>
  </si>
  <si>
    <t xml:space="preserve">Avental impermeável com amarras </t>
  </si>
  <si>
    <t>Luvas reforçadas para baixas temperaturas</t>
  </si>
  <si>
    <t>Japona forrada e reforçada com capuz</t>
  </si>
  <si>
    <t>Botas antiderrapantes</t>
  </si>
  <si>
    <t>Luvas de malha de aço</t>
  </si>
  <si>
    <t xml:space="preserve">Avental tecido com amarras </t>
  </si>
  <si>
    <t>Sapatos antiderrapantes</t>
  </si>
  <si>
    <t>UNIFORMES - Copeiros</t>
  </si>
  <si>
    <t>Touca de rede com aba</t>
  </si>
  <si>
    <t>UNIFORMES - Servente de Limpeza</t>
  </si>
  <si>
    <t>Luvas de borracha reforçada</t>
  </si>
  <si>
    <t xml:space="preserve">UNIFORMES - Magarefe </t>
  </si>
  <si>
    <t>UNIFORMES - Cozinheiro e Auxiliar de Cozinheiro</t>
  </si>
  <si>
    <t>Dolmã</t>
  </si>
  <si>
    <t>Touca de Chefe</t>
  </si>
  <si>
    <t>Blusa ou camisa social com manga curta</t>
  </si>
  <si>
    <t>Luva de Kevlar</t>
  </si>
  <si>
    <t>CBO</t>
  </si>
  <si>
    <t>NÚMERO POR PLANTÃO (A e B), 2 EQUIPES EM ESCALA 12X36</t>
  </si>
  <si>
    <t>DIARISTAS</t>
  </si>
  <si>
    <t>06:00 às 18:00h</t>
  </si>
  <si>
    <t>08:30 às 20:30h</t>
  </si>
  <si>
    <t>09:00 às 21:00h</t>
  </si>
  <si>
    <t>19:00 às 07:00h</t>
  </si>
  <si>
    <t>Aux. de Almoxarife</t>
  </si>
  <si>
    <t>5132-14</t>
  </si>
  <si>
    <t>Nutricionista Plantonista Pequenas Refeições, Lanches Padronizados,  Dietas Líquidas e Semilíquidas e Pediatria</t>
  </si>
  <si>
    <t>06:30 às 18:30h</t>
  </si>
  <si>
    <t>3252-10</t>
  </si>
  <si>
    <t>5143-10</t>
  </si>
  <si>
    <t>Jaleco branco</t>
  </si>
  <si>
    <t xml:space="preserve">Outros (especificar) </t>
  </si>
  <si>
    <t>Cinto de Proteção Lombar</t>
  </si>
  <si>
    <t xml:space="preserve">Avental térmico anti-chamas </t>
  </si>
  <si>
    <t>UNIFORMES - Técnico Manutenção Predial e Auxiliar Mecânico de Refrigeração</t>
  </si>
  <si>
    <t>Macacão de brim com manga comprida</t>
  </si>
  <si>
    <t xml:space="preserve">Boné </t>
  </si>
  <si>
    <t>Óculos de segurança</t>
  </si>
  <si>
    <t>Luva raspa fatiada</t>
  </si>
  <si>
    <t>Botas antiderrapantes e anti choque elétrico</t>
  </si>
  <si>
    <t xml:space="preserve">SUGESTÃO DE DIMENSIONAMENTO ESTIMADO DE PESSOAL </t>
  </si>
  <si>
    <t>Categoria Profissional</t>
  </si>
  <si>
    <t>TOTAL DE MO A CONTRATAR</t>
  </si>
  <si>
    <t>Nutricionista RT de Produção</t>
  </si>
  <si>
    <t>Nutricionista Plantonista Grandes Refeições</t>
  </si>
  <si>
    <t>Nutricionista Planejamento</t>
  </si>
  <si>
    <t>Nutricionista do Controle de Qualidade/Auxiliar Chefia</t>
  </si>
  <si>
    <t>Nutricionista RT Lactário/Enteral/Banco de Leite</t>
  </si>
  <si>
    <t>Tecnico em Nutrição*</t>
  </si>
  <si>
    <t>Assistente Administrativo</t>
  </si>
  <si>
    <t>Cozinheiro Lider</t>
  </si>
  <si>
    <t>Copeiro Auxiliar de Cozinha **</t>
  </si>
  <si>
    <t>Copeiro de Distribuição***</t>
  </si>
  <si>
    <t>Servente de Limpeza****</t>
  </si>
  <si>
    <t>Tecnico em Manutenção *****</t>
  </si>
  <si>
    <t xml:space="preserve">                                              </t>
  </si>
  <si>
    <t>UNIFORMES - Cozinheiro Lider</t>
  </si>
  <si>
    <t>Motorista</t>
  </si>
  <si>
    <r>
      <rPr>
        <b/>
        <sz val="11"/>
        <rFont val="Cambria"/>
        <family val="1"/>
      </rPr>
      <t xml:space="preserve">PLANILHA 186 - RELAÇÃO DE UNIFORMES POR CARGO    </t>
    </r>
    <r>
      <rPr>
        <b/>
        <sz val="10"/>
        <rFont val="Cambria"/>
        <family val="1"/>
      </rPr>
      <t xml:space="preserve">                                                                                          UNIFORMES - Nutricionista / Técnico em Nutrição</t>
    </r>
  </si>
  <si>
    <t>Discriminação dos Serviços</t>
  </si>
  <si>
    <t>Data de apresentação da proposta</t>
  </si>
  <si>
    <t>Município</t>
  </si>
  <si>
    <t>Rio de Janeiro</t>
  </si>
  <si>
    <t>Unidade de Medida</t>
  </si>
  <si>
    <t>Quantidade total a contratar (em função da unidade de medida)</t>
  </si>
  <si>
    <t>Dados para composição dos custos referentes à mão-de-obra</t>
  </si>
  <si>
    <t>Classificação Brasileira de Ocupações (CBO)</t>
  </si>
  <si>
    <t>Salário Nominativo da Categoria Profissional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</si>
  <si>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</si>
  <si>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</si>
  <si>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</si>
  <si>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</si>
  <si>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</si>
  <si>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Adicional Noturno</t>
  </si>
  <si>
    <t>Adicional de Hora Noturna Reduzida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</si>
  <si>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</si>
  <si>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</si>
  <si>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</si>
  <si>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</si>
  <si>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base 2.2</t>
  </si>
  <si>
    <t>Submódulo 2.2 - GPS, FGTS e Outras Contribuições</t>
  </si>
  <si>
    <t>Total do mod 1+total submodulo 2.1+total mod 4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</si>
  <si>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</si>
  <si>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</si>
  <si>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</si>
  <si>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</si>
  <si>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</si>
  <si>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</si>
  <si>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</si>
  <si>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</si>
  <si>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</si>
  <si>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</si>
  <si>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>-</t>
  </si>
  <si>
    <t xml:space="preserve">Assistência Médica e Familiar </t>
  </si>
  <si>
    <t>Seguro de Vida</t>
  </si>
  <si>
    <t xml:space="preserve">Outros 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</si>
  <si>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</si>
  <si>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</si>
  <si>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</si>
  <si>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</si>
  <si>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</si>
  <si>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</si>
  <si>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</si>
  <si>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</si>
  <si>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</si>
  <si>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</si>
  <si>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</si>
  <si>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</si>
  <si>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</si>
  <si>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</si>
  <si>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</si>
  <si>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 xml:space="preserve">Aviso Prévio Trabalhado </t>
  </si>
  <si>
    <t>Incidência de GPS, FGTS e outras contribuições sobre o Aviso Prévio Trabalhado (alterado pela IN 07/2018)</t>
  </si>
  <si>
    <t xml:space="preserve">Multa do FGTS e Contribuição Social sobre o Aviso Prévio Trabalhado. </t>
  </si>
  <si>
    <t>TOTAL DO MÓDULO 3</t>
  </si>
  <si>
    <t>MÓDULO 4 – CUSTO DE REPOSIÇÃO DO PROFISSIONAL AUSENTE</t>
  </si>
  <si>
    <t>Submódulo 4.1 -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</si>
  <si>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</si>
  <si>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</si>
  <si>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</si>
  <si>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</si>
  <si>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</si>
  <si>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base de cálculo</t>
  </si>
  <si>
    <t>Substituto na cobertura de Outras ausências (especificar)</t>
  </si>
  <si>
    <t>TOTAL SUBMÓDULO 4.1</t>
  </si>
  <si>
    <t>Submódulo 4.2 - Intrajornada</t>
  </si>
  <si>
    <t>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</si>
  <si>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</si>
  <si>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</si>
  <si>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</si>
  <si>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 xml:space="preserve">Substituto nas Ausências Legais </t>
  </si>
  <si>
    <t>Substituto na intrajornada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</si>
  <si>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</si>
  <si>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</si>
  <si>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</si>
  <si>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</si>
  <si>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</si>
  <si>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</si>
  <si>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</si>
  <si>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</si>
  <si>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</si>
  <si>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PIS</t>
  </si>
  <si>
    <t>C.2</t>
  </si>
  <si>
    <t>COFINS</t>
  </si>
  <si>
    <t>C.3</t>
  </si>
  <si>
    <t>ISS</t>
  </si>
  <si>
    <t>TOTAL DO MÓDULO 6</t>
  </si>
  <si>
    <t>a)</t>
  </si>
  <si>
    <t>b)</t>
  </si>
  <si>
    <t>c)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</si>
  <si>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</si>
  <si>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</si>
  <si>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</si>
  <si>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</si>
  <si>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Quadro Resumo - VALOR MENSAL DOS SERVIÇOS</t>
  </si>
  <si>
    <t>Tipo de Serviço (A)</t>
  </si>
  <si>
    <t>Valor Por Empregado(B)</t>
  </si>
  <si>
    <t>Qde de Empregados por posto ( C )</t>
  </si>
  <si>
    <t>Valor Proposto por Posto (D) = (B x C)</t>
  </si>
  <si>
    <t>Qde Postos (E)</t>
  </si>
  <si>
    <t>Serviço 1 (indicar)</t>
  </si>
  <si>
    <t>R$</t>
  </si>
  <si>
    <t>Serviço 2 (indicar)</t>
  </si>
  <si>
    <t>Serviço 3 (indicar)</t>
  </si>
  <si>
    <t>Serviço ... (indicar)</t>
  </si>
  <si>
    <t>VALOR MENSAL DOS SERVIÇOS (I + II + III + ...)</t>
  </si>
  <si>
    <t>Anexo III-D</t>
  </si>
  <si>
    <t>Quadro Demonstrativo - VALOR GLOBAL DA PROPOSTA</t>
  </si>
  <si>
    <t>VALOR GLOBAL DA PROPOSTA</t>
  </si>
  <si>
    <t>Descrição</t>
  </si>
  <si>
    <t>Valor proposto por unidade de medida*</t>
  </si>
  <si>
    <t>Valor mensal do serviço</t>
  </si>
  <si>
    <t>Valor Global da Proposta (valor mensal do serviço X nº meses do contrato).</t>
  </si>
  <si>
    <t>Nota(1):</t>
  </si>
  <si>
    <t>Informar o valor da unidade de medida por tipo de serviço.</t>
  </si>
  <si>
    <t>FATOR K</t>
  </si>
  <si>
    <t>PREÇO MENSAL</t>
  </si>
  <si>
    <t>PREÇO GLOBAL</t>
  </si>
  <si>
    <t>Alimentação</t>
  </si>
  <si>
    <t>Limpeza</t>
  </si>
  <si>
    <t>Servente</t>
  </si>
  <si>
    <t>Férias e Adicional de Férias</t>
  </si>
  <si>
    <t>Outros ( adicional de liderança)</t>
  </si>
  <si>
    <t xml:space="preserve">13 (Décimo-terceiro) salário </t>
  </si>
  <si>
    <r>
      <t xml:space="preserve">To </t>
    </r>
    <r>
      <rPr>
        <b/>
        <sz val="10"/>
        <rFont val="Arial"/>
        <family val="2"/>
      </rPr>
      <t xml:space="preserve">   =  Tributos % </t>
    </r>
  </si>
  <si>
    <r>
      <t>Po</t>
    </r>
    <r>
      <rPr>
        <b/>
        <sz val="10"/>
        <rFont val="Arial"/>
        <family val="2"/>
      </rPr>
      <t xml:space="preserve">  =  ( Total dos Módulos 1 a 5 )  +  ( Custos indiretos  )  +  ( Lucro )</t>
    </r>
  </si>
  <si>
    <r>
      <t xml:space="preserve"> </t>
    </r>
    <r>
      <rPr>
        <b/>
        <sz val="12"/>
        <rFont val="Arial"/>
        <family val="2"/>
      </rPr>
      <t xml:space="preserve">P1 </t>
    </r>
    <r>
      <rPr>
        <b/>
        <sz val="10"/>
        <rFont val="Arial"/>
        <family val="2"/>
      </rPr>
      <t>= Po / (1 - To)</t>
    </r>
  </si>
  <si>
    <r>
      <t xml:space="preserve">Valor dos Tributos   =   </t>
    </r>
    <r>
      <rPr>
        <b/>
        <sz val="12"/>
        <rFont val="Arial"/>
        <family val="2"/>
      </rPr>
      <t xml:space="preserve"> P1  -  Po</t>
    </r>
  </si>
  <si>
    <t xml:space="preserve">Mecânico de Refrigeração *****  </t>
  </si>
  <si>
    <t>7257-05</t>
  </si>
  <si>
    <t>07:00 às 16:00h</t>
  </si>
  <si>
    <t>08:00 às 17:00h</t>
  </si>
  <si>
    <t>Uniformes (Cláusula 50 da CCT)</t>
  </si>
  <si>
    <t>Sindicato dos Empregados em Empresas de Asseio e Conservação</t>
  </si>
  <si>
    <t xml:space="preserve">Assistente Administrativo </t>
  </si>
  <si>
    <t xml:space="preserve"> Administrativo </t>
  </si>
  <si>
    <t>Controle de Estoque</t>
  </si>
  <si>
    <t>Organização de Estoque</t>
  </si>
  <si>
    <t>Auxiliar de Almoxarife</t>
  </si>
  <si>
    <t xml:space="preserve">Cozinheiro Lider </t>
  </si>
  <si>
    <t>Cozinheiro Plantonista</t>
  </si>
  <si>
    <t xml:space="preserve">Cozinheiro </t>
  </si>
  <si>
    <t>Auxiliar de Cozinha Plantonista</t>
  </si>
  <si>
    <t>Auxiliar de Cozinha</t>
  </si>
  <si>
    <t>Copeiro Diarista</t>
  </si>
  <si>
    <t xml:space="preserve">Copeiro </t>
  </si>
  <si>
    <t xml:space="preserve">Copeiro Plantonista Noturno  </t>
  </si>
  <si>
    <t>Copeiro Plantonista Diurno</t>
  </si>
  <si>
    <t>Copeiro</t>
  </si>
  <si>
    <t xml:space="preserve">Tecnico de Manutenção  Diarista  </t>
  </si>
  <si>
    <t xml:space="preserve">Tecnico de Manutenção  </t>
  </si>
  <si>
    <t xml:space="preserve">Motorista Plantonista </t>
  </si>
  <si>
    <t>7823-10</t>
  </si>
  <si>
    <t>Condutor de Veículos</t>
  </si>
  <si>
    <t xml:space="preserve">Nutricionista </t>
  </si>
  <si>
    <t>Nutricionista Plantonista</t>
  </si>
  <si>
    <t xml:space="preserve">Benefício Social Familiar </t>
  </si>
  <si>
    <t>Nutricionista Diarista</t>
  </si>
  <si>
    <t>Nutricionista RT Plant</t>
  </si>
  <si>
    <t>Nutricionista RT Diarista</t>
  </si>
  <si>
    <t>Tecnico em Nutrição Plantonista Noturno</t>
  </si>
  <si>
    <t>Tecnico em Nutrição</t>
  </si>
  <si>
    <t>Tecnico em Nutrição Plantonista</t>
  </si>
  <si>
    <t>Tecnico em Nutrição Diarista</t>
  </si>
  <si>
    <t xml:space="preserve">Mecânico de Refrigeração Diarista  </t>
  </si>
  <si>
    <t xml:space="preserve">Mecânico de Refrigeração </t>
  </si>
  <si>
    <t>Magarefe Plantonista</t>
  </si>
  <si>
    <t xml:space="preserve">Magarefe </t>
  </si>
  <si>
    <t>Auxílio-Refeição/Alimentação  (Cláusula 23 da CCT)</t>
  </si>
  <si>
    <t>Contribuição Assistencial Patronal (Cláusula 63 da CCT)</t>
  </si>
  <si>
    <t>Profissional</t>
  </si>
  <si>
    <t>Materiais (EPI´s)</t>
  </si>
  <si>
    <t>SINDISTAL</t>
  </si>
  <si>
    <t>2023-2024</t>
  </si>
  <si>
    <t>SINDICATO DOS NUTRICIONISTAS DO ESTADO DO RIO DE JANEIRO</t>
  </si>
  <si>
    <t xml:space="preserve">Uniformes </t>
  </si>
  <si>
    <t>Nº Refeições</t>
  </si>
  <si>
    <t>UNIFORMES - Assistente Administrativo e Motorista</t>
  </si>
  <si>
    <t>PLANILHA 37 - SERVENTE DE LIMPEZA PLANTONISTA DIURNO</t>
  </si>
  <si>
    <t>PLANILHA 38 - ASSISTENTE ADMINISTRATIVO PLENO DIARISTA</t>
  </si>
  <si>
    <t>PLANILHA 39 - ALMOXARIFE DIARISTA</t>
  </si>
  <si>
    <t xml:space="preserve"> PLANILHA 40 - AUXILIAR DE ALMOXARIFE PLANTONISTA</t>
  </si>
  <si>
    <t xml:space="preserve"> PLANILHA 41 - COZINHEIRO LIDER PLANTONISTA                                                                                                     </t>
  </si>
  <si>
    <t xml:space="preserve">PLANILHA 42 - COZINHEIRO PLANTONISTA  </t>
  </si>
  <si>
    <t>PLANILHA 43 - AUXILIAR DE COZINHA PLANTONISTA NOTURNO</t>
  </si>
  <si>
    <t xml:space="preserve"> PLANILHA 44 - AUXILIAR DE COZINHA PLANTONISTA</t>
  </si>
  <si>
    <t>PLANILHA 45 - COPEIRO DIARISTA</t>
  </si>
  <si>
    <t xml:space="preserve"> PLANILHA 46 - COPEIRO PLANTONISTA NOTURNO </t>
  </si>
  <si>
    <t xml:space="preserve"> PLANILHA 47 - COPEIRO PLANTONISTA DIURNO</t>
  </si>
  <si>
    <t xml:space="preserve"> PLANILHA 49- CONDUTOR DE VEÍCULOS PLANTONISTA (MOTORISTA)                                                                                            </t>
  </si>
  <si>
    <t xml:space="preserve"> PLANILHA 50 - NUTRICIONISTA RT PLANTONISTA SETORES FECHADOS</t>
  </si>
  <si>
    <t xml:space="preserve">PLANILHA 51 - NUTRICIONISTA RT (CHEFIA) PRODUÇÃO DIARISTA </t>
  </si>
  <si>
    <t>PLANILHA 52 - NUTRICIONISTA PLANTONISTA PRODUÇÃO</t>
  </si>
  <si>
    <t>PLANILHA 53 - NUTRICIONISTA DIARISTA (CONTROLE DE QUALIDADE E PLANEJAMENTO)</t>
  </si>
  <si>
    <t xml:space="preserve">PLANILHA 54 - TÉCNICO EM NUTRIÇÃO PLANTONISTA NOTURNO                                                                                                          </t>
  </si>
  <si>
    <t xml:space="preserve">PLANILHA 55 - TÉCNICO EM NUTRIÇÃO PLANTONISTA                                                                                                          </t>
  </si>
  <si>
    <t xml:space="preserve">PLANILHA 56 - TÉCNICO EM NUTRIÇÃO DIARISTA                                                                                                   </t>
  </si>
  <si>
    <t xml:space="preserve">PLANILHA 57 -  MECÂNICO DE REFRIGERAÇÃO DIARISTA                                                                                                                                                                                    </t>
  </si>
  <si>
    <t xml:space="preserve">PLANILHA 57 - MAGAREFE PLANTONISTA                </t>
  </si>
  <si>
    <t>Valores retirados do processo E-26/008/3282/2019 corrigidos pelo índice IPCA de 05/2022 a 01/2024 na Calculadora do Cidadão - https://www3.bcb.gov.br/CALCIDADAO/publico/exibirFormCorrecaoValores.do?method=exibirFormCorrecaoValores&amp;aba=1#</t>
  </si>
  <si>
    <t>Sindicato dosTrabalhadores nas Empresas de Refeições Coletivas, Refeições Rápidas (FAST FOOD) e Afins do Estado do Rio de Janeiro - SINDIREFEIÇÕES-RJ</t>
  </si>
  <si>
    <t>Outros - Gratificação Natalina (Cláusula 14 da CCT)</t>
  </si>
  <si>
    <t>Vale Compras  (Cláusula 15 da CCT)</t>
  </si>
  <si>
    <t>Benefício Assistencial (Cláusula 40 da CCT)</t>
  </si>
  <si>
    <t>Contribuição Assistencial dos Empregados (Cláusula 41 da CCT)</t>
  </si>
  <si>
    <t>Transporte (onibus intermunicipal + barcas = $ 8,55) fonte -&gt;www.cartaoriocard.com.br</t>
  </si>
  <si>
    <t>Transporte (Cláusula 24) (onibus intermunicipal + barcas = $ 8,55) fonte -&gt;www.cartaoriocard.com.br</t>
  </si>
  <si>
    <t>Benefício Social Familiar (Cláusula 29)</t>
  </si>
  <si>
    <t>Contribuição Constitucional Confederativa Laboral (Cláusula 65)</t>
  </si>
  <si>
    <t>Adicional de Liderança</t>
  </si>
  <si>
    <t>Taxa Negocial Sindicato Patronal (Cláusula 44 da CCT)</t>
  </si>
  <si>
    <t>Contribuição Assistencial Patronal (Cláusulas 42)</t>
  </si>
  <si>
    <t>Contribuição Negocial Patronal + Mensalidade Sindical Laboral (Cláusulas 61 e 66 da CCT)</t>
  </si>
  <si>
    <t xml:space="preserve"> Contribuição Confederativa Patronal (Cláusula 62 da CCT)</t>
  </si>
  <si>
    <t xml:space="preserve"> PLANILHA 48 - TÉCNICO EM GERAL DE MANUTENÇÃO DIARISTA                                                                                                   </t>
  </si>
  <si>
    <t>Auxílio-Refeição/Alimentação  (Cláusula 10 da CCT)</t>
  </si>
  <si>
    <t xml:space="preserve">Transporte </t>
  </si>
  <si>
    <t>Contribuição Assistencial Profissional (Cláusula 39 da CCT)</t>
  </si>
  <si>
    <t>Contribuição Retributiva Negocial (Cláusula 40 da CCT)</t>
  </si>
  <si>
    <t>2024-2026</t>
  </si>
  <si>
    <t>Desconto da Mensalidade Associativa (Clausula 8 do CCT)</t>
  </si>
  <si>
    <t>Vale Compras ou Cesta Básica  (Cláusula 16)</t>
  </si>
  <si>
    <t>Gratificação Natalina (Cláusula 15)</t>
  </si>
  <si>
    <t>Amparo Sindical Social Familiar (Clausula 19)</t>
  </si>
  <si>
    <t>Benefício e Cidadania e Lifecard Assist (Cláusulas 20 e 21)</t>
  </si>
  <si>
    <t xml:space="preserve">Outros - Gratificação de Liderança -20% sobre salário base </t>
  </si>
  <si>
    <t>Dia do Nutricionista (Clausula 30) + Benefício Assistencial (Cláusulas 42) + Contribuição Assistencial Patronal e Taxa Negocial Patronal (Cláusula 43 e 45)</t>
  </si>
  <si>
    <t xml:space="preserve">Outros - Gratificação de Liderança - 40% sobre salário base </t>
  </si>
  <si>
    <t>SALÁRIO.COM.BR</t>
  </si>
  <si>
    <t>Vale Compras ou Cesta Básica  (Cláusula 16 do Sindicato dos Nutricionistas do RJ)</t>
  </si>
  <si>
    <t>Desconto da Mensalidade Associativa (Clausula 8 do CCT do Sindicato dos Nutricionistas do RJ)</t>
  </si>
  <si>
    <t>Gratificação Natalina (Cláusula 15 do Sindicato dos Nutricionistas do RJ)</t>
  </si>
  <si>
    <t>Benefício e Cidadania e Lifecard Assist (Cláusulas 20 e 21 do Sindicato dos Nutricionistas do RJ)</t>
  </si>
  <si>
    <t>SINTRUCAD-RIO</t>
  </si>
  <si>
    <t>2023/2025</t>
  </si>
  <si>
    <t>Auxílio-Refeição/Alimentação  (Cláusula 13 da CCT)</t>
  </si>
  <si>
    <t>Contribuição Negocial (Cláusula 45 da CCT)</t>
  </si>
  <si>
    <t>VALOR MENSAL</t>
  </si>
  <si>
    <t>VALOR ANUAL</t>
  </si>
  <si>
    <t xml:space="preserve">Auxiliar de Cozinha </t>
  </si>
  <si>
    <t xml:space="preserve"> Auxiliar de Cozinha Noturno</t>
  </si>
  <si>
    <t>Copeiro Plantonista Noturno</t>
  </si>
  <si>
    <t>5134-26</t>
  </si>
  <si>
    <t>5134-27</t>
  </si>
  <si>
    <t>Tecnico em Manutenção</t>
  </si>
  <si>
    <t>Nutricionista RT Chefia</t>
  </si>
  <si>
    <t>Tecnico em Nutrição Plant Noturno</t>
  </si>
  <si>
    <t>Tecnico em Nutrição Plantonista Diurno</t>
  </si>
  <si>
    <t>VALOR ESTIMADO DO POSTO DIA</t>
  </si>
  <si>
    <t>PLANILHA 37 - SERVENTE DE LIMPEZA PLANTONISTA NOTURNO 20:00 às 08:00H</t>
  </si>
  <si>
    <t>SUGESTÃO DE DIMENSIONAMENTO ESTIMADO DE PESSOAL DA DIVISÃO DE NUTRIÇÃO</t>
  </si>
  <si>
    <t xml:space="preserve">Outros - Gratificação - 10% sobre salário base </t>
  </si>
  <si>
    <t xml:space="preserve">Outros - Gratificação - 15% sobre salário base </t>
  </si>
  <si>
    <t>Servente de Limp Plant Noturno</t>
  </si>
  <si>
    <t>Servente de Limp Plant Diurno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</si>
</sst>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R$ &quot;#,##0.00_);\(&quot;R$ &quot;#,##0.00\)"/>
    <numFmt numFmtId="165" formatCode="_(&quot;R$ &quot;* #,##0.00_);_(&quot;R$ &quot;* \(#,##0.00\);_(&quot;R$ &quot;* &quot;-&quot;??_);_(@_)"/>
    <numFmt numFmtId="166" formatCode="&quot;R$ &quot;#,##0.00"/>
    <numFmt numFmtId="167" formatCode="[$-416]d/m/yyyy"/>
    <numFmt numFmtId="168" formatCode="&quot;R$ &quot;#,##0.00_);[Red]&quot;(R$ &quot;#,##0.00\)"/>
    <numFmt numFmtId="169" formatCode="0.000%"/>
    <numFmt numFmtId="170" formatCode="0.0000%"/>
    <numFmt numFmtId="171" formatCode="#,##0.00_ ;[Red]\-#,##0.00\ "/>
    <numFmt numFmtId="172" formatCode="_-* #,##0.00_-;\-* #,##0.00_-;_-* \-??_-;_-@_-"/>
    <numFmt numFmtId="173" formatCode="_-[$R$-416]\ * #,##0.00_-;\-[$R$-416]\ * #,##0.00_-;_-[$R$-416]\ * &quot;-&quot;??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Cambria"/>
      <family val="1"/>
    </font>
    <font>
      <sz val="10"/>
      <name val="Cambria"/>
      <family val="1"/>
    </font>
    <font>
      <b/>
      <sz val="10"/>
      <name val="Trebuchet MS"/>
      <family val="2"/>
    </font>
    <font>
      <sz val="10"/>
      <name val="Trebuchet MS"/>
      <family val="2"/>
    </font>
    <font>
      <b/>
      <sz val="11"/>
      <name val="Cambria"/>
      <family val="1"/>
    </font>
    <font>
      <b/>
      <sz val="8"/>
      <name val="Calibri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8.5"/>
      <name val="Arial"/>
      <family val="2"/>
    </font>
    <font>
      <b/>
      <sz val="12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C0C0"/>
        <bgColor rgb="FFB9CDE5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B9CDE5"/>
      </patternFill>
    </fill>
    <fill>
      <patternFill patternType="solid">
        <fgColor rgb="FFFFFF00"/>
        <bgColor rgb="FFFFFF00"/>
      </patternFill>
    </fill>
    <fill>
      <patternFill patternType="solid">
        <fgColor rgb="FFE6B9B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16" fillId="0" borderId="0" applyFont="0" applyFill="0" applyBorder="0" applyAlignment="0" applyProtection="0"/>
  </cellStyleXfs>
  <cellXfs count="376">
    <xf numFmtId="0" fontId="0" fillId="0" borderId="0" xfId="0"/>
    <xf numFmtId="0" fontId="5" fillId="0" borderId="0" xfId="0" applyFont="1"/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/>
    </xf>
    <xf numFmtId="166" fontId="5" fillId="2" borderId="8" xfId="1" applyNumberFormat="1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164" fontId="5" fillId="0" borderId="9" xfId="1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164" fontId="4" fillId="0" borderId="10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/>
    <xf numFmtId="0" fontId="5" fillId="0" borderId="0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2" fillId="4" borderId="0" xfId="0" applyFont="1" applyFill="1" applyProtection="1">
      <protection locked="0"/>
    </xf>
    <xf numFmtId="0" fontId="13" fillId="5" borderId="3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0" fillId="0" borderId="36" xfId="0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 wrapText="1"/>
    </xf>
    <xf numFmtId="0" fontId="2" fillId="0" borderId="0" xfId="0" applyFont="1"/>
    <xf numFmtId="0" fontId="13" fillId="0" borderId="2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0" fontId="1" fillId="0" borderId="8" xfId="4" applyNumberFormat="1" applyFont="1" applyBorder="1" applyAlignment="1" applyProtection="1">
      <alignment horizontal="center"/>
    </xf>
    <xf numFmtId="10" fontId="1" fillId="0" borderId="8" xfId="4" applyNumberFormat="1" applyFont="1" applyBorder="1" applyAlignment="1" applyProtection="1"/>
    <xf numFmtId="0" fontId="1" fillId="0" borderId="8" xfId="0" applyFont="1" applyBorder="1" applyAlignment="1">
      <alignment horizontal="center"/>
    </xf>
    <xf numFmtId="2" fontId="1" fillId="0" borderId="8" xfId="0" applyNumberFormat="1" applyFont="1" applyBorder="1" applyAlignment="1">
      <alignment horizontal="right"/>
    </xf>
    <xf numFmtId="9" fontId="1" fillId="0" borderId="8" xfId="4" applyFont="1" applyBorder="1" applyAlignment="1">
      <alignment horizontal="center"/>
    </xf>
    <xf numFmtId="2" fontId="1" fillId="0" borderId="8" xfId="0" applyNumberFormat="1" applyFont="1" applyBorder="1"/>
    <xf numFmtId="2" fontId="10" fillId="0" borderId="8" xfId="0" applyNumberFormat="1" applyFont="1" applyBorder="1"/>
    <xf numFmtId="10" fontId="1" fillId="4" borderId="8" xfId="4" applyNumberFormat="1" applyFont="1" applyFill="1" applyBorder="1" applyAlignment="1" applyProtection="1">
      <alignment horizontal="center"/>
    </xf>
    <xf numFmtId="10" fontId="1" fillId="4" borderId="8" xfId="4" applyNumberFormat="1" applyFont="1" applyFill="1" applyBorder="1" applyAlignment="1" applyProtection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8" xfId="0" applyFont="1" applyBorder="1" applyAlignment="1">
      <alignment horizontal="center"/>
    </xf>
    <xf numFmtId="0" fontId="1" fillId="0" borderId="8" xfId="0" applyFont="1" applyBorder="1"/>
    <xf numFmtId="2" fontId="10" fillId="0" borderId="8" xfId="0" applyNumberFormat="1" applyFont="1" applyBorder="1" applyAlignment="1"/>
    <xf numFmtId="0" fontId="10" fillId="0" borderId="0" xfId="0" applyFont="1" applyBorder="1" applyAlignment="1">
      <alignment horizontal="center"/>
    </xf>
    <xf numFmtId="2" fontId="10" fillId="0" borderId="0" xfId="0" applyNumberFormat="1" applyFont="1" applyBorder="1" applyAlignment="1"/>
    <xf numFmtId="0" fontId="1" fillId="0" borderId="0" xfId="0" applyFont="1" applyBorder="1"/>
    <xf numFmtId="10" fontId="1" fillId="0" borderId="8" xfId="0" applyNumberFormat="1" applyFont="1" applyBorder="1" applyAlignment="1">
      <alignment horizontal="center"/>
    </xf>
    <xf numFmtId="10" fontId="1" fillId="9" borderId="8" xfId="0" applyNumberFormat="1" applyFont="1" applyFill="1" applyBorder="1" applyAlignment="1">
      <alignment horizontal="center"/>
    </xf>
    <xf numFmtId="10" fontId="10" fillId="0" borderId="8" xfId="0" applyNumberFormat="1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/>
    <xf numFmtId="169" fontId="1" fillId="0" borderId="8" xfId="0" applyNumberFormat="1" applyFont="1" applyBorder="1" applyAlignment="1">
      <alignment horizontal="center"/>
    </xf>
    <xf numFmtId="170" fontId="1" fillId="0" borderId="8" xfId="0" applyNumberFormat="1" applyFont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10" fontId="1" fillId="0" borderId="8" xfId="0" applyNumberFormat="1" applyFont="1" applyBorder="1" applyAlignment="1"/>
    <xf numFmtId="2" fontId="1" fillId="11" borderId="8" xfId="0" applyNumberFormat="1" applyFont="1" applyFill="1" applyBorder="1"/>
    <xf numFmtId="2" fontId="10" fillId="11" borderId="0" xfId="0" applyNumberFormat="1" applyFont="1" applyFill="1" applyBorder="1"/>
    <xf numFmtId="2" fontId="1" fillId="0" borderId="8" xfId="0" applyNumberFormat="1" applyFont="1" applyBorder="1" applyAlignment="1">
      <alignment horizontal="center"/>
    </xf>
    <xf numFmtId="2" fontId="1" fillId="0" borderId="0" xfId="0" applyNumberFormat="1" applyFont="1" applyBorder="1"/>
    <xf numFmtId="10" fontId="10" fillId="0" borderId="8" xfId="4" applyNumberFormat="1" applyFont="1" applyBorder="1" applyAlignment="1" applyProtection="1"/>
    <xf numFmtId="2" fontId="10" fillId="12" borderId="8" xfId="0" applyNumberFormat="1" applyFont="1" applyFill="1" applyBorder="1"/>
    <xf numFmtId="2" fontId="10" fillId="12" borderId="0" xfId="0" applyNumberFormat="1" applyFont="1" applyFill="1" applyBorder="1"/>
    <xf numFmtId="0" fontId="10" fillId="0" borderId="26" xfId="0" applyFont="1" applyBorder="1" applyAlignment="1">
      <alignment horizontal="center"/>
    </xf>
    <xf numFmtId="10" fontId="10" fillId="0" borderId="27" xfId="4" applyNumberFormat="1" applyFont="1" applyBorder="1" applyAlignment="1" applyProtection="1"/>
    <xf numFmtId="2" fontId="10" fillId="0" borderId="54" xfId="0" applyNumberFormat="1" applyFont="1" applyBorder="1"/>
    <xf numFmtId="0" fontId="10" fillId="0" borderId="55" xfId="0" applyFont="1" applyBorder="1" applyAlignment="1">
      <alignment horizontal="center"/>
    </xf>
    <xf numFmtId="10" fontId="10" fillId="0" borderId="0" xfId="4" applyNumberFormat="1" applyFont="1" applyBorder="1" applyAlignment="1" applyProtection="1"/>
    <xf numFmtId="2" fontId="10" fillId="0" borderId="12" xfId="0" applyNumberFormat="1" applyFont="1" applyBorder="1"/>
    <xf numFmtId="171" fontId="10" fillId="0" borderId="12" xfId="0" applyNumberFormat="1" applyFont="1" applyBorder="1"/>
    <xf numFmtId="0" fontId="10" fillId="0" borderId="0" xfId="0" applyFont="1" applyBorder="1" applyAlignment="1">
      <alignment horizontal="left"/>
    </xf>
    <xf numFmtId="171" fontId="10" fillId="13" borderId="12" xfId="0" applyNumberFormat="1" applyFont="1" applyFill="1" applyBorder="1"/>
    <xf numFmtId="0" fontId="10" fillId="0" borderId="56" xfId="0" applyFont="1" applyBorder="1" applyAlignment="1">
      <alignment horizontal="center"/>
    </xf>
    <xf numFmtId="10" fontId="10" fillId="0" borderId="57" xfId="4" applyNumberFormat="1" applyFont="1" applyBorder="1" applyAlignment="1" applyProtection="1"/>
    <xf numFmtId="171" fontId="10" fillId="0" borderId="58" xfId="0" applyNumberFormat="1" applyFont="1" applyBorder="1"/>
    <xf numFmtId="2" fontId="1" fillId="0" borderId="0" xfId="0" applyNumberFormat="1" applyFont="1"/>
    <xf numFmtId="2" fontId="10" fillId="0" borderId="0" xfId="0" applyNumberFormat="1" applyFont="1" applyBorder="1"/>
    <xf numFmtId="165" fontId="10" fillId="0" borderId="0" xfId="1" applyFont="1" applyBorder="1" applyAlignment="1" applyProtection="1"/>
    <xf numFmtId="2" fontId="10" fillId="13" borderId="8" xfId="0" applyNumberFormat="1" applyFont="1" applyFill="1" applyBorder="1"/>
    <xf numFmtId="0" fontId="10" fillId="0" borderId="73" xfId="0" applyFont="1" applyBorder="1" applyAlignment="1">
      <alignment horizontal="center" wrapText="1"/>
    </xf>
    <xf numFmtId="0" fontId="10" fillId="0" borderId="72" xfId="0" applyFont="1" applyBorder="1" applyAlignment="1">
      <alignment horizontal="center" wrapText="1"/>
    </xf>
    <xf numFmtId="0" fontId="10" fillId="0" borderId="72" xfId="0" applyFont="1" applyBorder="1" applyAlignment="1">
      <alignment horizontal="center"/>
    </xf>
    <xf numFmtId="0" fontId="1" fillId="0" borderId="75" xfId="0" applyFont="1" applyBorder="1" applyAlignment="1"/>
    <xf numFmtId="0" fontId="1" fillId="0" borderId="74" xfId="0" applyFont="1" applyBorder="1" applyAlignment="1"/>
    <xf numFmtId="2" fontId="1" fillId="0" borderId="64" xfId="0" applyNumberFormat="1" applyFont="1" applyBorder="1"/>
    <xf numFmtId="0" fontId="1" fillId="0" borderId="24" xfId="0" applyFont="1" applyBorder="1" applyAlignment="1"/>
    <xf numFmtId="0" fontId="1" fillId="0" borderId="65" xfId="0" applyFont="1" applyBorder="1" applyAlignment="1"/>
    <xf numFmtId="2" fontId="1" fillId="0" borderId="25" xfId="0" applyNumberFormat="1" applyFont="1" applyBorder="1"/>
    <xf numFmtId="0" fontId="10" fillId="0" borderId="24" xfId="0" applyFont="1" applyBorder="1" applyAlignment="1"/>
    <xf numFmtId="0" fontId="10" fillId="0" borderId="65" xfId="0" applyFont="1" applyBorder="1" applyAlignment="1"/>
    <xf numFmtId="0" fontId="1" fillId="0" borderId="30" xfId="0" applyFont="1" applyBorder="1" applyAlignment="1"/>
    <xf numFmtId="0" fontId="1" fillId="0" borderId="10" xfId="0" applyFont="1" applyBorder="1" applyAlignment="1"/>
    <xf numFmtId="2" fontId="1" fillId="0" borderId="66" xfId="0" applyNumberFormat="1" applyFont="1" applyBorder="1"/>
    <xf numFmtId="2" fontId="10" fillId="0" borderId="76" xfId="0" applyNumberFormat="1" applyFont="1" applyBorder="1"/>
    <xf numFmtId="0" fontId="1" fillId="0" borderId="7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1" fillId="0" borderId="6" xfId="0" applyNumberFormat="1" applyFont="1" applyBorder="1"/>
    <xf numFmtId="0" fontId="1" fillId="0" borderId="7" xfId="0" applyFont="1" applyBorder="1" applyAlignment="1">
      <alignment horizontal="center"/>
    </xf>
    <xf numFmtId="2" fontId="1" fillId="0" borderId="9" xfId="0" applyNumberFormat="1" applyFont="1" applyBorder="1"/>
    <xf numFmtId="0" fontId="10" fillId="0" borderId="0" xfId="0" applyFont="1"/>
    <xf numFmtId="172" fontId="1" fillId="0" borderId="0" xfId="0" applyNumberFormat="1" applyFont="1"/>
    <xf numFmtId="0" fontId="10" fillId="0" borderId="60" xfId="0" applyFont="1" applyBorder="1" applyAlignment="1">
      <alignment horizontal="center" wrapText="1"/>
    </xf>
    <xf numFmtId="0" fontId="10" fillId="0" borderId="59" xfId="0" applyFont="1" applyBorder="1" applyAlignment="1">
      <alignment horizontal="center" wrapText="1"/>
    </xf>
    <xf numFmtId="0" fontId="10" fillId="0" borderId="59" xfId="0" applyFont="1" applyBorder="1" applyAlignment="1">
      <alignment horizontal="center"/>
    </xf>
    <xf numFmtId="0" fontId="1" fillId="0" borderId="63" xfId="0" applyFont="1" applyBorder="1" applyAlignment="1"/>
    <xf numFmtId="0" fontId="1" fillId="0" borderId="61" xfId="0" applyFont="1" applyBorder="1" applyAlignment="1"/>
    <xf numFmtId="2" fontId="10" fillId="0" borderId="68" xfId="0" applyNumberFormat="1" applyFont="1" applyBorder="1"/>
    <xf numFmtId="0" fontId="1" fillId="0" borderId="69" xfId="0" applyFont="1" applyBorder="1" applyAlignment="1">
      <alignment horizontal="center"/>
    </xf>
    <xf numFmtId="10" fontId="1" fillId="4" borderId="8" xfId="0" applyNumberFormat="1" applyFont="1" applyFill="1" applyBorder="1" applyAlignment="1"/>
    <xf numFmtId="2" fontId="1" fillId="14" borderId="8" xfId="0" applyNumberFormat="1" applyFont="1" applyFill="1" applyBorder="1"/>
    <xf numFmtId="0" fontId="1" fillId="4" borderId="0" xfId="0" applyFont="1" applyFill="1" applyBorder="1"/>
    <xf numFmtId="2" fontId="10" fillId="14" borderId="0" xfId="0" applyNumberFormat="1" applyFont="1" applyFill="1" applyBorder="1"/>
    <xf numFmtId="2" fontId="1" fillId="4" borderId="8" xfId="0" applyNumberFormat="1" applyFont="1" applyFill="1" applyBorder="1" applyAlignment="1">
      <alignment horizontal="center"/>
    </xf>
    <xf numFmtId="2" fontId="1" fillId="4" borderId="0" xfId="0" applyNumberFormat="1" applyFont="1" applyFill="1" applyBorder="1"/>
    <xf numFmtId="10" fontId="10" fillId="4" borderId="8" xfId="4" applyNumberFormat="1" applyFont="1" applyFill="1" applyBorder="1" applyAlignment="1" applyProtection="1"/>
    <xf numFmtId="2" fontId="10" fillId="15" borderId="8" xfId="0" applyNumberFormat="1" applyFont="1" applyFill="1" applyBorder="1"/>
    <xf numFmtId="2" fontId="10" fillId="15" borderId="0" xfId="0" applyNumberFormat="1" applyFont="1" applyFill="1" applyBorder="1"/>
    <xf numFmtId="2" fontId="10" fillId="4" borderId="8" xfId="0" applyNumberFormat="1" applyFont="1" applyFill="1" applyBorder="1"/>
    <xf numFmtId="0" fontId="1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10" fillId="0" borderId="59" xfId="0" applyFont="1" applyBorder="1" applyAlignment="1">
      <alignment horizontal="center"/>
    </xf>
    <xf numFmtId="0" fontId="10" fillId="0" borderId="59" xfId="0" applyFont="1" applyBorder="1" applyAlignment="1">
      <alignment horizontal="center" wrapText="1"/>
    </xf>
    <xf numFmtId="0" fontId="10" fillId="4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right"/>
    </xf>
    <xf numFmtId="0" fontId="1" fillId="4" borderId="0" xfId="0" applyFont="1" applyFill="1"/>
    <xf numFmtId="0" fontId="1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10" fillId="0" borderId="59" xfId="0" applyFont="1" applyBorder="1" applyAlignment="1">
      <alignment horizontal="center"/>
    </xf>
    <xf numFmtId="0" fontId="10" fillId="0" borderId="59" xfId="0" applyFont="1" applyBorder="1" applyAlignment="1">
      <alignment horizontal="center" wrapText="1"/>
    </xf>
    <xf numFmtId="0" fontId="10" fillId="4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59" xfId="0" applyFont="1" applyBorder="1" applyAlignment="1">
      <alignment horizontal="center" wrapText="1"/>
    </xf>
    <xf numFmtId="0" fontId="1" fillId="0" borderId="69" xfId="0" applyFont="1" applyBorder="1" applyAlignment="1">
      <alignment horizontal="center"/>
    </xf>
    <xf numFmtId="0" fontId="10" fillId="0" borderId="59" xfId="0" applyFont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0" fontId="1" fillId="4" borderId="8" xfId="0" applyNumberFormat="1" applyFont="1" applyFill="1" applyBorder="1" applyAlignment="1">
      <alignment horizontal="center"/>
    </xf>
    <xf numFmtId="10" fontId="10" fillId="4" borderId="8" xfId="4" applyNumberFormat="1" applyFont="1" applyFill="1" applyBorder="1" applyAlignment="1" applyProtection="1">
      <alignment horizontal="center"/>
    </xf>
    <xf numFmtId="10" fontId="19" fillId="0" borderId="8" xfId="4" applyNumberFormat="1" applyFont="1" applyBorder="1" applyAlignment="1" applyProtection="1">
      <alignment horizontal="center"/>
    </xf>
    <xf numFmtId="10" fontId="1" fillId="17" borderId="8" xfId="4" applyNumberFormat="1" applyFont="1" applyFill="1" applyBorder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10" fillId="0" borderId="59" xfId="0" applyFont="1" applyBorder="1" applyAlignment="1">
      <alignment horizontal="center"/>
    </xf>
    <xf numFmtId="0" fontId="10" fillId="0" borderId="59" xfId="0" applyFont="1" applyBorder="1" applyAlignment="1">
      <alignment horizontal="center" wrapText="1"/>
    </xf>
    <xf numFmtId="0" fontId="1" fillId="0" borderId="24" xfId="0" applyFont="1" applyBorder="1" applyAlignment="1"/>
    <xf numFmtId="2" fontId="5" fillId="0" borderId="0" xfId="0" applyNumberFormat="1" applyFont="1"/>
    <xf numFmtId="0" fontId="13" fillId="4" borderId="1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0" fillId="4" borderId="34" xfId="0" applyFill="1" applyBorder="1" applyAlignment="1">
      <alignment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vertical="center" wrapText="1"/>
    </xf>
    <xf numFmtId="0" fontId="13" fillId="4" borderId="38" xfId="0" applyFont="1" applyFill="1" applyBorder="1" applyAlignment="1">
      <alignment vertical="center" wrapText="1"/>
    </xf>
    <xf numFmtId="0" fontId="13" fillId="4" borderId="37" xfId="0" applyFont="1" applyFill="1" applyBorder="1" applyAlignment="1">
      <alignment vertical="center" wrapText="1"/>
    </xf>
    <xf numFmtId="9" fontId="1" fillId="4" borderId="8" xfId="4" applyFont="1" applyFill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0" fillId="0" borderId="72" xfId="0" applyFont="1" applyBorder="1" applyAlignment="1">
      <alignment horizontal="center" wrapText="1"/>
    </xf>
    <xf numFmtId="0" fontId="1" fillId="0" borderId="77" xfId="0" applyFont="1" applyBorder="1" applyAlignment="1">
      <alignment horizontal="center"/>
    </xf>
    <xf numFmtId="0" fontId="10" fillId="0" borderId="72" xfId="0" applyFont="1" applyBorder="1" applyAlignment="1">
      <alignment horizontal="center"/>
    </xf>
    <xf numFmtId="165" fontId="10" fillId="0" borderId="0" xfId="1" applyFont="1" applyBorder="1" applyAlignment="1" applyProtection="1">
      <alignment vertical="center"/>
    </xf>
    <xf numFmtId="173" fontId="10" fillId="0" borderId="7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20" xfId="0" applyFont="1" applyBorder="1" applyAlignment="1">
      <alignment horizontal="center" wrapText="1"/>
    </xf>
    <xf numFmtId="0" fontId="13" fillId="0" borderId="72" xfId="0" applyFont="1" applyBorder="1" applyAlignment="1">
      <alignment horizontal="center" wrapText="1"/>
    </xf>
    <xf numFmtId="0" fontId="13" fillId="4" borderId="72" xfId="0" applyFont="1" applyFill="1" applyBorder="1" applyAlignment="1">
      <alignment horizontal="center" vertical="center" wrapText="1"/>
    </xf>
    <xf numFmtId="173" fontId="10" fillId="0" borderId="72" xfId="0" applyNumberFormat="1" applyFont="1" applyBorder="1"/>
    <xf numFmtId="173" fontId="10" fillId="0" borderId="72" xfId="0" applyNumberFormat="1" applyFont="1" applyBorder="1" applyAlignment="1">
      <alignment vertical="center"/>
    </xf>
    <xf numFmtId="173" fontId="10" fillId="0" borderId="28" xfId="0" applyNumberFormat="1" applyFont="1" applyBorder="1"/>
    <xf numFmtId="173" fontId="10" fillId="0" borderId="28" xfId="0" applyNumberFormat="1" applyFont="1" applyBorder="1" applyAlignment="1">
      <alignment horizontal="center" vertical="center"/>
    </xf>
    <xf numFmtId="173" fontId="10" fillId="0" borderId="72" xfId="1" applyNumberFormat="1" applyFont="1" applyBorder="1" applyAlignment="1">
      <alignment vertical="center"/>
    </xf>
    <xf numFmtId="165" fontId="10" fillId="16" borderId="72" xfId="0" applyNumberFormat="1" applyFont="1" applyFill="1" applyBorder="1" applyAlignment="1">
      <alignment horizontal="center" vertical="center"/>
    </xf>
    <xf numFmtId="173" fontId="10" fillId="16" borderId="72" xfId="0" applyNumberFormat="1" applyFont="1" applyFill="1" applyBorder="1" applyAlignment="1">
      <alignment vertical="center"/>
    </xf>
    <xf numFmtId="165" fontId="10" fillId="0" borderId="72" xfId="1" applyFont="1" applyBorder="1" applyAlignment="1" applyProtection="1">
      <alignment vertical="center"/>
    </xf>
    <xf numFmtId="0" fontId="10" fillId="0" borderId="23" xfId="0" applyFont="1" applyBorder="1" applyAlignment="1"/>
    <xf numFmtId="2" fontId="10" fillId="0" borderId="79" xfId="0" applyNumberFormat="1" applyFont="1" applyBorder="1" applyAlignment="1"/>
    <xf numFmtId="10" fontId="1" fillId="0" borderId="80" xfId="4" applyNumberFormat="1" applyFont="1" applyBorder="1" applyAlignment="1" applyProtection="1">
      <alignment horizontal="center"/>
    </xf>
    <xf numFmtId="0" fontId="10" fillId="0" borderId="72" xfId="0" applyFont="1" applyBorder="1" applyAlignment="1"/>
    <xf numFmtId="0" fontId="11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14" fillId="16" borderId="39" xfId="0" applyFont="1" applyFill="1" applyBorder="1" applyAlignment="1">
      <alignment horizontal="center" vertical="center" wrapText="1"/>
    </xf>
    <xf numFmtId="0" fontId="14" fillId="16" borderId="40" xfId="0" applyFont="1" applyFill="1" applyBorder="1" applyAlignment="1">
      <alignment horizontal="center" vertical="center" wrapText="1"/>
    </xf>
    <xf numFmtId="0" fontId="14" fillId="16" borderId="41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/>
    </xf>
    <xf numFmtId="0" fontId="15" fillId="7" borderId="21" xfId="0" applyFont="1" applyFill="1" applyBorder="1" applyAlignment="1">
      <alignment horizontal="center" vertical="center"/>
    </xf>
    <xf numFmtId="0" fontId="15" fillId="7" borderId="4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43" xfId="0" applyFont="1" applyFill="1" applyBorder="1" applyAlignment="1">
      <alignment horizontal="center" vertical="center" wrapText="1"/>
    </xf>
    <xf numFmtId="0" fontId="13" fillId="5" borderId="4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33" xfId="0" applyFont="1" applyFill="1" applyBorder="1" applyAlignment="1">
      <alignment horizontal="center" vertical="center" wrapText="1"/>
    </xf>
    <xf numFmtId="0" fontId="13" fillId="6" borderId="42" xfId="0" applyFont="1" applyFill="1" applyBorder="1" applyAlignment="1">
      <alignment horizontal="center" vertical="center" wrapText="1"/>
    </xf>
    <xf numFmtId="0" fontId="13" fillId="6" borderId="43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3" fillId="4" borderId="46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47" xfId="0" applyFont="1" applyFill="1" applyBorder="1" applyAlignment="1">
      <alignment horizontal="center" vertical="center" wrapText="1"/>
    </xf>
    <xf numFmtId="0" fontId="13" fillId="4" borderId="48" xfId="0" applyFont="1" applyFill="1" applyBorder="1" applyAlignment="1">
      <alignment horizontal="center" vertical="center" wrapText="1"/>
    </xf>
    <xf numFmtId="0" fontId="13" fillId="4" borderId="49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18" borderId="11" xfId="0" applyFont="1" applyFill="1" applyBorder="1" applyAlignment="1">
      <alignment horizontal="center" vertical="center"/>
    </xf>
    <xf numFmtId="0" fontId="10" fillId="18" borderId="7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20" fillId="19" borderId="28" xfId="0" applyFont="1" applyFill="1" applyBorder="1" applyAlignment="1">
      <alignment horizontal="center" vertical="center" wrapText="1"/>
    </xf>
    <xf numFmtId="0" fontId="20" fillId="19" borderId="22" xfId="0" applyFont="1" applyFill="1" applyBorder="1" applyAlignment="1">
      <alignment horizontal="center" vertical="center" wrapText="1"/>
    </xf>
    <xf numFmtId="0" fontId="20" fillId="19" borderId="20" xfId="0" applyFont="1" applyFill="1" applyBorder="1" applyAlignment="1">
      <alignment horizontal="center" vertical="center" wrapText="1"/>
    </xf>
    <xf numFmtId="0" fontId="10" fillId="19" borderId="28" xfId="0" applyFont="1" applyFill="1" applyBorder="1" applyAlignment="1">
      <alignment horizontal="center" vertical="center" wrapText="1"/>
    </xf>
    <xf numFmtId="0" fontId="10" fillId="19" borderId="22" xfId="0" applyFont="1" applyFill="1" applyBorder="1" applyAlignment="1">
      <alignment horizontal="center" vertical="center" wrapText="1"/>
    </xf>
    <xf numFmtId="0" fontId="10" fillId="19" borderId="20" xfId="0" applyFont="1" applyFill="1" applyBorder="1" applyAlignment="1">
      <alignment horizontal="center" vertical="center" wrapText="1"/>
    </xf>
    <xf numFmtId="173" fontId="10" fillId="0" borderId="28" xfId="0" applyNumberFormat="1" applyFont="1" applyBorder="1" applyAlignment="1">
      <alignment vertical="center"/>
    </xf>
    <xf numFmtId="173" fontId="10" fillId="0" borderId="22" xfId="0" applyNumberFormat="1" applyFont="1" applyBorder="1" applyAlignment="1">
      <alignment vertical="center"/>
    </xf>
    <xf numFmtId="173" fontId="10" fillId="0" borderId="2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0" fillId="16" borderId="0" xfId="0" applyFont="1" applyFill="1" applyBorder="1" applyAlignment="1">
      <alignment horizontal="left"/>
    </xf>
    <xf numFmtId="0" fontId="10" fillId="8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167" fontId="1" fillId="0" borderId="8" xfId="0" applyNumberFormat="1" applyFont="1" applyBorder="1" applyAlignment="1">
      <alignment horizontal="center"/>
    </xf>
    <xf numFmtId="0" fontId="1" fillId="0" borderId="23" xfId="0" applyFont="1" applyBorder="1" applyAlignment="1">
      <alignment horizontal="left" wrapText="1"/>
    </xf>
    <xf numFmtId="0" fontId="1" fillId="0" borderId="24" xfId="0" applyFont="1" applyBorder="1" applyAlignment="1">
      <alignment horizontal="left" wrapText="1"/>
    </xf>
    <xf numFmtId="0" fontId="1" fillId="0" borderId="79" xfId="0" applyFont="1" applyBorder="1" applyAlignment="1">
      <alignment horizontal="left" wrapText="1"/>
    </xf>
    <xf numFmtId="0" fontId="10" fillId="0" borderId="8" xfId="0" applyFont="1" applyBorder="1" applyAlignment="1">
      <alignment horizontal="center"/>
    </xf>
    <xf numFmtId="168" fontId="1" fillId="0" borderId="8" xfId="0" applyNumberFormat="1" applyFont="1" applyBorder="1" applyAlignment="1">
      <alignment horizontal="center"/>
    </xf>
    <xf numFmtId="0" fontId="10" fillId="9" borderId="50" xfId="0" applyFont="1" applyFill="1" applyBorder="1" applyAlignment="1">
      <alignment horizontal="center"/>
    </xf>
    <xf numFmtId="0" fontId="10" fillId="9" borderId="23" xfId="0" applyFont="1" applyFill="1" applyBorder="1" applyAlignment="1">
      <alignment horizontal="center"/>
    </xf>
    <xf numFmtId="0" fontId="1" fillId="16" borderId="8" xfId="0" applyFont="1" applyFill="1" applyBorder="1" applyAlignment="1"/>
    <xf numFmtId="0" fontId="10" fillId="10" borderId="8" xfId="0" applyFont="1" applyFill="1" applyBorder="1" applyAlignment="1">
      <alignment horizontal="center"/>
    </xf>
    <xf numFmtId="0" fontId="1" fillId="16" borderId="8" xfId="0" applyFont="1" applyFill="1" applyBorder="1" applyAlignment="1">
      <alignment horizontal="left"/>
    </xf>
    <xf numFmtId="0" fontId="17" fillId="0" borderId="8" xfId="0" applyFont="1" applyBorder="1" applyAlignment="1">
      <alignment horizontal="left"/>
    </xf>
    <xf numFmtId="0" fontId="10" fillId="9" borderId="51" xfId="0" applyFont="1" applyFill="1" applyBorder="1" applyAlignment="1">
      <alignment horizontal="center"/>
    </xf>
    <xf numFmtId="0" fontId="10" fillId="9" borderId="52" xfId="0" applyFont="1" applyFill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9" borderId="53" xfId="0" applyFont="1" applyFill="1" applyBorder="1" applyAlignment="1">
      <alignment horizontal="center"/>
    </xf>
    <xf numFmtId="0" fontId="10" fillId="0" borderId="8" xfId="0" applyFont="1" applyBorder="1" applyAlignment="1">
      <alignment horizontal="left"/>
    </xf>
    <xf numFmtId="0" fontId="1" fillId="0" borderId="8" xfId="0" applyFont="1" applyBorder="1" applyAlignment="1"/>
    <xf numFmtId="0" fontId="18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57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8" fillId="0" borderId="27" xfId="0" applyFont="1" applyBorder="1" applyAlignment="1">
      <alignment horizontal="left"/>
    </xf>
    <xf numFmtId="0" fontId="10" fillId="0" borderId="72" xfId="0" applyFont="1" applyBorder="1" applyAlignment="1">
      <alignment horizontal="center" wrapText="1"/>
    </xf>
    <xf numFmtId="0" fontId="1" fillId="0" borderId="56" xfId="0" applyFont="1" applyBorder="1" applyAlignment="1">
      <alignment horizontal="center"/>
    </xf>
    <xf numFmtId="0" fontId="1" fillId="0" borderId="74" xfId="0" applyFont="1" applyBorder="1" applyAlignment="1">
      <alignment horizontal="left"/>
    </xf>
    <xf numFmtId="0" fontId="1" fillId="0" borderId="6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62" xfId="0" applyFont="1" applyBorder="1" applyAlignment="1">
      <alignment horizontal="left"/>
    </xf>
    <xf numFmtId="0" fontId="1" fillId="0" borderId="65" xfId="0" applyFont="1" applyBorder="1" applyAlignment="1">
      <alignment horizontal="center"/>
    </xf>
    <xf numFmtId="0" fontId="10" fillId="0" borderId="52" xfId="0" applyFont="1" applyBorder="1" applyAlignment="1">
      <alignment horizontal="center"/>
    </xf>
    <xf numFmtId="0" fontId="10" fillId="0" borderId="76" xfId="0" applyFont="1" applyBorder="1" applyAlignment="1">
      <alignment horizontal="left"/>
    </xf>
    <xf numFmtId="0" fontId="1" fillId="0" borderId="78" xfId="0" applyFont="1" applyBorder="1" applyAlignment="1">
      <alignment horizontal="left"/>
    </xf>
    <xf numFmtId="0" fontId="1" fillId="0" borderId="71" xfId="0" applyFont="1" applyBorder="1" applyAlignment="1">
      <alignment horizontal="left"/>
    </xf>
    <xf numFmtId="0" fontId="1" fillId="0" borderId="77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0" fillId="0" borderId="67" xfId="0" applyFont="1" applyBorder="1" applyAlignment="1">
      <alignment horizontal="center"/>
    </xf>
    <xf numFmtId="0" fontId="10" fillId="0" borderId="72" xfId="0" applyFont="1" applyBorder="1" applyAlignment="1">
      <alignment horizontal="center"/>
    </xf>
    <xf numFmtId="0" fontId="1" fillId="0" borderId="23" xfId="0" applyFont="1" applyBorder="1" applyAlignment="1">
      <alignment horizontal="center" wrapText="1"/>
    </xf>
    <xf numFmtId="0" fontId="1" fillId="0" borderId="79" xfId="0" applyFont="1" applyBorder="1" applyAlignment="1">
      <alignment horizontal="center" wrapText="1"/>
    </xf>
    <xf numFmtId="0" fontId="1" fillId="0" borderId="23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0" fillId="0" borderId="59" xfId="0" applyFont="1" applyBorder="1" applyAlignment="1">
      <alignment horizontal="center" wrapText="1"/>
    </xf>
    <xf numFmtId="0" fontId="1" fillId="0" borderId="61" xfId="0" applyFont="1" applyBorder="1" applyAlignment="1">
      <alignment horizontal="left"/>
    </xf>
    <xf numFmtId="0" fontId="10" fillId="0" borderId="68" xfId="0" applyFont="1" applyBorder="1" applyAlignment="1">
      <alignment horizontal="left"/>
    </xf>
    <xf numFmtId="0" fontId="1" fillId="0" borderId="70" xfId="0" applyFont="1" applyBorder="1" applyAlignment="1">
      <alignment horizontal="left"/>
    </xf>
    <xf numFmtId="0" fontId="1" fillId="0" borderId="69" xfId="0" applyFont="1" applyBorder="1" applyAlignment="1">
      <alignment horizontal="center"/>
    </xf>
    <xf numFmtId="0" fontId="10" fillId="0" borderId="59" xfId="0" applyFont="1" applyBorder="1" applyAlignment="1">
      <alignment horizont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79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79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/>
    </xf>
    <xf numFmtId="0" fontId="1" fillId="4" borderId="8" xfId="0" applyFont="1" applyFill="1" applyBorder="1" applyAlignment="1"/>
    <xf numFmtId="0" fontId="1" fillId="4" borderId="8" xfId="0" applyFont="1" applyFill="1" applyBorder="1" applyAlignment="1">
      <alignment horizontal="left"/>
    </xf>
    <xf numFmtId="0" fontId="1" fillId="16" borderId="23" xfId="0" applyFont="1" applyFill="1" applyBorder="1" applyAlignment="1">
      <alignment wrapText="1"/>
    </xf>
    <xf numFmtId="0" fontId="1" fillId="16" borderId="24" xfId="0" applyFont="1" applyFill="1" applyBorder="1" applyAlignment="1">
      <alignment wrapText="1"/>
    </xf>
    <xf numFmtId="0" fontId="1" fillId="16" borderId="79" xfId="0" applyFont="1" applyFill="1" applyBorder="1" applyAlignment="1">
      <alignment wrapText="1"/>
    </xf>
    <xf numFmtId="0" fontId="1" fillId="16" borderId="23" xfId="0" applyFont="1" applyFill="1" applyBorder="1" applyAlignment="1"/>
    <xf numFmtId="0" fontId="1" fillId="16" borderId="24" xfId="0" applyFont="1" applyFill="1" applyBorder="1" applyAlignment="1"/>
    <xf numFmtId="0" fontId="1" fillId="16" borderId="79" xfId="0" applyFont="1" applyFill="1" applyBorder="1" applyAlignment="1"/>
    <xf numFmtId="0" fontId="1" fillId="16" borderId="23" xfId="0" applyFont="1" applyFill="1" applyBorder="1" applyAlignment="1">
      <alignment horizontal="left"/>
    </xf>
    <xf numFmtId="0" fontId="1" fillId="16" borderId="24" xfId="0" applyFont="1" applyFill="1" applyBorder="1" applyAlignment="1">
      <alignment horizontal="left"/>
    </xf>
    <xf numFmtId="0" fontId="1" fillId="16" borderId="79" xfId="0" applyFont="1" applyFill="1" applyBorder="1" applyAlignment="1">
      <alignment horizontal="left"/>
    </xf>
    <xf numFmtId="0" fontId="10" fillId="4" borderId="8" xfId="0" applyFont="1" applyFill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7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</cellXfs>
  <cellStyles count="5">
    <cellStyle name="Moeda" xfId="1" builtinId="4"/>
    <cellStyle name="Moeda 2" xfId="2"/>
    <cellStyle name="Normal" xfId="0" builtinId="0"/>
    <cellStyle name="Normal 2" xfId="3"/>
    <cellStyle name="Porcentagem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U30"/>
  <sheetViews>
    <sheetView tabSelected="1" view="pageBreakPreview" topLeftCell="A13" zoomScaleNormal="100" zoomScaleSheetLayoutView="100" workbookViewId="0">
      <selection activeCell="O37" sqref="O37"/>
    </sheetView>
  </sheetViews>
  <sheetFormatPr defaultRowHeight="12.75" x14ac:dyDescent="0.2"/>
  <cols>
    <col min="1" max="1" width="20.42578125" customWidth="1"/>
    <col min="3" max="3" width="7.42578125" customWidth="1"/>
    <col min="4" max="12" width="5.42578125" customWidth="1"/>
    <col min="13" max="13" width="7.7109375" customWidth="1"/>
    <col min="14" max="14" width="8.28515625" customWidth="1"/>
    <col min="15" max="15" width="9.140625" customWidth="1"/>
  </cols>
  <sheetData>
    <row r="1" spans="1:21" ht="31.5" customHeight="1" x14ac:dyDescent="0.2">
      <c r="A1" s="230" t="s">
        <v>361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</row>
    <row r="2" spans="1:21" ht="17.25" customHeight="1" thickBot="1" x14ac:dyDescent="0.25">
      <c r="A2" s="19"/>
    </row>
    <row r="3" spans="1:21" ht="27" customHeight="1" thickBot="1" x14ac:dyDescent="0.25">
      <c r="A3" s="252" t="s">
        <v>91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</row>
    <row r="4" spans="1:21" ht="32.25" customHeight="1" thickBot="1" x14ac:dyDescent="0.25">
      <c r="A4" s="255" t="s">
        <v>92</v>
      </c>
      <c r="B4" s="255" t="s">
        <v>68</v>
      </c>
      <c r="C4" s="258" t="s">
        <v>69</v>
      </c>
      <c r="D4" s="259"/>
      <c r="E4" s="259"/>
      <c r="F4" s="259"/>
      <c r="G4" s="259"/>
      <c r="H4" s="259"/>
      <c r="I4" s="259"/>
      <c r="J4" s="259"/>
      <c r="K4" s="259"/>
      <c r="L4" s="260"/>
      <c r="M4" s="261" t="s">
        <v>70</v>
      </c>
      <c r="N4" s="262"/>
      <c r="O4" s="255" t="s">
        <v>93</v>
      </c>
    </row>
    <row r="5" spans="1:21" ht="23.25" customHeight="1" thickBot="1" x14ac:dyDescent="0.25">
      <c r="A5" s="256"/>
      <c r="B5" s="256"/>
      <c r="C5" s="258" t="s">
        <v>71</v>
      </c>
      <c r="D5" s="260"/>
      <c r="E5" s="261" t="s">
        <v>78</v>
      </c>
      <c r="F5" s="260"/>
      <c r="G5" s="261" t="s">
        <v>72</v>
      </c>
      <c r="H5" s="260"/>
      <c r="I5" s="261" t="s">
        <v>73</v>
      </c>
      <c r="J5" s="260"/>
      <c r="K5" s="264" t="s">
        <v>74</v>
      </c>
      <c r="L5" s="265"/>
      <c r="M5" s="266" t="s">
        <v>241</v>
      </c>
      <c r="N5" s="255" t="s">
        <v>242</v>
      </c>
      <c r="O5" s="256"/>
    </row>
    <row r="6" spans="1:21" ht="27" customHeight="1" thickBot="1" x14ac:dyDescent="0.25">
      <c r="A6" s="257"/>
      <c r="B6" s="257"/>
      <c r="C6" s="20" t="s">
        <v>9</v>
      </c>
      <c r="D6" s="20" t="s">
        <v>10</v>
      </c>
      <c r="E6" s="20" t="s">
        <v>9</v>
      </c>
      <c r="F6" s="20" t="s">
        <v>10</v>
      </c>
      <c r="G6" s="20" t="s">
        <v>9</v>
      </c>
      <c r="H6" s="21" t="s">
        <v>10</v>
      </c>
      <c r="I6" s="22" t="s">
        <v>9</v>
      </c>
      <c r="J6" s="20" t="s">
        <v>10</v>
      </c>
      <c r="K6" s="23" t="s">
        <v>9</v>
      </c>
      <c r="L6" s="23" t="s">
        <v>10</v>
      </c>
      <c r="M6" s="267"/>
      <c r="N6" s="263"/>
      <c r="O6" s="257"/>
    </row>
    <row r="7" spans="1:21" ht="33" customHeight="1" thickBot="1" x14ac:dyDescent="0.25">
      <c r="A7" s="24" t="s">
        <v>94</v>
      </c>
      <c r="B7" s="188" t="s">
        <v>32</v>
      </c>
      <c r="C7" s="26"/>
      <c r="D7" s="27"/>
      <c r="E7" s="28"/>
      <c r="F7" s="27"/>
      <c r="G7" s="28"/>
      <c r="H7" s="27"/>
      <c r="I7" s="28"/>
      <c r="J7" s="27"/>
      <c r="K7" s="28"/>
      <c r="L7" s="29"/>
      <c r="M7" s="29">
        <v>1</v>
      </c>
      <c r="N7" s="29"/>
      <c r="O7" s="25">
        <f t="shared" ref="O7:O24" si="0">SUM(C7:N7)</f>
        <v>1</v>
      </c>
      <c r="S7" s="18"/>
    </row>
    <row r="8" spans="1:21" ht="48" customHeight="1" thickBot="1" x14ac:dyDescent="0.25">
      <c r="A8" s="24" t="s">
        <v>95</v>
      </c>
      <c r="B8" s="188" t="s">
        <v>32</v>
      </c>
      <c r="C8" s="26">
        <v>1</v>
      </c>
      <c r="D8" s="26">
        <v>1</v>
      </c>
      <c r="E8" s="28"/>
      <c r="F8" s="27"/>
      <c r="G8" s="28"/>
      <c r="H8" s="27"/>
      <c r="I8" s="28">
        <v>1</v>
      </c>
      <c r="J8" s="27">
        <v>1</v>
      </c>
      <c r="K8" s="28"/>
      <c r="L8" s="29"/>
      <c r="M8" s="29"/>
      <c r="N8" s="29"/>
      <c r="O8" s="25">
        <f t="shared" si="0"/>
        <v>4</v>
      </c>
    </row>
    <row r="9" spans="1:21" ht="103.5" customHeight="1" thickBot="1" x14ac:dyDescent="0.25">
      <c r="A9" s="24" t="s">
        <v>77</v>
      </c>
      <c r="B9" s="188" t="s">
        <v>32</v>
      </c>
      <c r="C9" s="26">
        <v>1</v>
      </c>
      <c r="D9" s="26">
        <v>1</v>
      </c>
      <c r="E9" s="28"/>
      <c r="F9" s="27"/>
      <c r="G9" s="28"/>
      <c r="H9" s="27"/>
      <c r="I9" s="28"/>
      <c r="J9" s="27"/>
      <c r="K9" s="28"/>
      <c r="L9" s="29"/>
      <c r="M9" s="29"/>
      <c r="N9" s="29"/>
      <c r="O9" s="25">
        <f t="shared" si="0"/>
        <v>2</v>
      </c>
    </row>
    <row r="10" spans="1:21" ht="32.25" customHeight="1" thickBot="1" x14ac:dyDescent="0.25">
      <c r="A10" s="24" t="s">
        <v>96</v>
      </c>
      <c r="B10" s="188" t="s">
        <v>32</v>
      </c>
      <c r="C10" s="26"/>
      <c r="D10" s="26"/>
      <c r="E10" s="28"/>
      <c r="F10" s="27"/>
      <c r="G10" s="28"/>
      <c r="H10" s="27"/>
      <c r="I10" s="28"/>
      <c r="J10" s="27"/>
      <c r="K10" s="28"/>
      <c r="L10" s="29"/>
      <c r="M10" s="29">
        <v>1</v>
      </c>
      <c r="N10" s="29"/>
      <c r="O10" s="25">
        <f t="shared" si="0"/>
        <v>1</v>
      </c>
    </row>
    <row r="11" spans="1:21" ht="51" customHeight="1" thickBot="1" x14ac:dyDescent="0.25">
      <c r="A11" s="24" t="s">
        <v>97</v>
      </c>
      <c r="B11" s="188" t="s">
        <v>32</v>
      </c>
      <c r="C11" s="26"/>
      <c r="D11" s="26"/>
      <c r="E11" s="28"/>
      <c r="F11" s="27"/>
      <c r="G11" s="28"/>
      <c r="H11" s="27"/>
      <c r="I11" s="28"/>
      <c r="J11" s="27"/>
      <c r="K11" s="28"/>
      <c r="L11" s="29"/>
      <c r="M11" s="29">
        <v>1</v>
      </c>
      <c r="N11" s="29"/>
      <c r="O11" s="25">
        <f t="shared" si="0"/>
        <v>1</v>
      </c>
      <c r="U11" s="45" t="s">
        <v>106</v>
      </c>
    </row>
    <row r="12" spans="1:21" ht="36" customHeight="1" thickBot="1" x14ac:dyDescent="0.25">
      <c r="A12" s="24" t="s">
        <v>98</v>
      </c>
      <c r="B12" s="188" t="s">
        <v>32</v>
      </c>
      <c r="C12" s="26"/>
      <c r="D12" s="26"/>
      <c r="E12" s="28">
        <v>1</v>
      </c>
      <c r="F12" s="27">
        <v>1</v>
      </c>
      <c r="G12" s="28"/>
      <c r="H12" s="27"/>
      <c r="I12" s="28"/>
      <c r="J12" s="27"/>
      <c r="K12" s="28"/>
      <c r="L12" s="29"/>
      <c r="M12" s="29"/>
      <c r="N12" s="29"/>
      <c r="O12" s="25">
        <f t="shared" si="0"/>
        <v>2</v>
      </c>
    </row>
    <row r="13" spans="1:21" ht="26.25" customHeight="1" thickBot="1" x14ac:dyDescent="0.25">
      <c r="A13" s="24" t="s">
        <v>99</v>
      </c>
      <c r="B13" s="188" t="s">
        <v>79</v>
      </c>
      <c r="C13" s="26"/>
      <c r="D13" s="26"/>
      <c r="E13" s="28">
        <v>5</v>
      </c>
      <c r="F13" s="27">
        <v>5</v>
      </c>
      <c r="G13" s="28"/>
      <c r="H13" s="27"/>
      <c r="I13" s="28"/>
      <c r="J13" s="27"/>
      <c r="K13" s="28">
        <v>1</v>
      </c>
      <c r="L13" s="29">
        <v>1</v>
      </c>
      <c r="M13" s="29">
        <v>2</v>
      </c>
      <c r="N13" s="29"/>
      <c r="O13" s="25">
        <f t="shared" si="0"/>
        <v>14</v>
      </c>
    </row>
    <row r="14" spans="1:21" ht="21.75" customHeight="1" thickBot="1" x14ac:dyDescent="0.25">
      <c r="A14" s="24" t="s">
        <v>100</v>
      </c>
      <c r="B14" s="188" t="s">
        <v>33</v>
      </c>
      <c r="C14" s="26"/>
      <c r="D14" s="26"/>
      <c r="E14" s="28"/>
      <c r="F14" s="27"/>
      <c r="G14" s="28"/>
      <c r="H14" s="27"/>
      <c r="I14" s="28"/>
      <c r="J14" s="27"/>
      <c r="K14" s="28"/>
      <c r="L14" s="29"/>
      <c r="M14" s="29">
        <v>3</v>
      </c>
      <c r="N14" s="30"/>
      <c r="O14" s="25">
        <f t="shared" si="0"/>
        <v>3</v>
      </c>
    </row>
    <row r="15" spans="1:21" ht="15" customHeight="1" thickBot="1" x14ac:dyDescent="0.25">
      <c r="A15" s="24" t="s">
        <v>27</v>
      </c>
      <c r="B15" s="188" t="s">
        <v>34</v>
      </c>
      <c r="C15" s="26"/>
      <c r="D15" s="26"/>
      <c r="E15" s="28"/>
      <c r="F15" s="27"/>
      <c r="G15" s="28"/>
      <c r="H15" s="27"/>
      <c r="I15" s="31"/>
      <c r="J15" s="27"/>
      <c r="K15" s="28"/>
      <c r="L15" s="29"/>
      <c r="M15" s="29">
        <v>1</v>
      </c>
      <c r="N15" s="29"/>
      <c r="O15" s="25">
        <f t="shared" si="0"/>
        <v>1</v>
      </c>
    </row>
    <row r="16" spans="1:21" ht="22.5" customHeight="1" thickBot="1" x14ac:dyDescent="0.25">
      <c r="A16" s="24" t="s">
        <v>75</v>
      </c>
      <c r="B16" s="188" t="s">
        <v>34</v>
      </c>
      <c r="C16" s="26">
        <v>1</v>
      </c>
      <c r="D16" s="26">
        <v>1</v>
      </c>
      <c r="E16" s="28">
        <v>1</v>
      </c>
      <c r="F16" s="27">
        <v>1</v>
      </c>
      <c r="G16" s="28">
        <v>1</v>
      </c>
      <c r="H16" s="27">
        <v>1</v>
      </c>
      <c r="I16" s="32"/>
      <c r="J16" s="17"/>
      <c r="K16" s="28"/>
      <c r="L16" s="29"/>
      <c r="M16" s="29"/>
      <c r="N16" s="29"/>
      <c r="O16" s="25">
        <f t="shared" si="0"/>
        <v>6</v>
      </c>
    </row>
    <row r="17" spans="1:15" ht="21" customHeight="1" thickBot="1" x14ac:dyDescent="0.25">
      <c r="A17" s="24" t="s">
        <v>101</v>
      </c>
      <c r="B17" s="188" t="s">
        <v>76</v>
      </c>
      <c r="C17" s="33">
        <v>1</v>
      </c>
      <c r="D17" s="33">
        <v>1</v>
      </c>
      <c r="E17" s="28"/>
      <c r="F17" s="34"/>
      <c r="G17" s="31"/>
      <c r="H17" s="34"/>
      <c r="I17" s="31"/>
      <c r="J17" s="35"/>
      <c r="K17" s="28"/>
      <c r="L17" s="29"/>
      <c r="M17" s="30"/>
      <c r="N17" s="29"/>
      <c r="O17" s="25">
        <f t="shared" si="0"/>
        <v>2</v>
      </c>
    </row>
    <row r="18" spans="1:15" ht="15" customHeight="1" thickBot="1" x14ac:dyDescent="0.25">
      <c r="A18" s="24" t="s">
        <v>28</v>
      </c>
      <c r="B18" s="188" t="s">
        <v>37</v>
      </c>
      <c r="C18" s="36">
        <v>1</v>
      </c>
      <c r="D18" s="36">
        <v>1</v>
      </c>
      <c r="E18" s="31"/>
      <c r="F18" s="37"/>
      <c r="G18" s="38"/>
      <c r="H18" s="37"/>
      <c r="I18" s="38"/>
      <c r="J18" s="34"/>
      <c r="K18" s="31"/>
      <c r="L18" s="39"/>
      <c r="M18" s="39"/>
      <c r="N18" s="40"/>
      <c r="O18" s="25">
        <f t="shared" si="0"/>
        <v>2</v>
      </c>
    </row>
    <row r="19" spans="1:15" ht="15" customHeight="1" thickBot="1" x14ac:dyDescent="0.25">
      <c r="A19" s="24" t="s">
        <v>29</v>
      </c>
      <c r="B19" s="188" t="s">
        <v>35</v>
      </c>
      <c r="C19" s="25">
        <v>1</v>
      </c>
      <c r="D19" s="25">
        <v>1</v>
      </c>
      <c r="E19" s="38">
        <v>1</v>
      </c>
      <c r="F19" s="41">
        <v>1</v>
      </c>
      <c r="G19" s="42"/>
      <c r="H19" s="41"/>
      <c r="I19" s="42"/>
      <c r="J19" s="37"/>
      <c r="K19" s="38"/>
      <c r="L19" s="36"/>
      <c r="M19" s="36"/>
      <c r="N19" s="36"/>
      <c r="O19" s="25">
        <f t="shared" si="0"/>
        <v>4</v>
      </c>
    </row>
    <row r="20" spans="1:15" ht="33" customHeight="1" thickBot="1" x14ac:dyDescent="0.25">
      <c r="A20" s="24" t="s">
        <v>102</v>
      </c>
      <c r="B20" s="188" t="s">
        <v>36</v>
      </c>
      <c r="C20" s="25">
        <v>10</v>
      </c>
      <c r="D20" s="25">
        <v>10</v>
      </c>
      <c r="E20" s="28">
        <v>4</v>
      </c>
      <c r="F20" s="27">
        <v>4</v>
      </c>
      <c r="G20" s="28">
        <v>1</v>
      </c>
      <c r="H20" s="27">
        <v>1</v>
      </c>
      <c r="I20" s="31"/>
      <c r="J20" s="43"/>
      <c r="K20" s="28">
        <v>1</v>
      </c>
      <c r="L20" s="29">
        <v>1</v>
      </c>
      <c r="M20" s="29"/>
      <c r="N20" s="29"/>
      <c r="O20" s="25">
        <f t="shared" si="0"/>
        <v>32</v>
      </c>
    </row>
    <row r="21" spans="1:15" ht="32.25" customHeight="1" thickBot="1" x14ac:dyDescent="0.25">
      <c r="A21" s="24" t="s">
        <v>103</v>
      </c>
      <c r="B21" s="188" t="s">
        <v>31</v>
      </c>
      <c r="C21" s="26"/>
      <c r="D21" s="26"/>
      <c r="E21" s="28">
        <v>29</v>
      </c>
      <c r="F21" s="27">
        <v>29</v>
      </c>
      <c r="G21" s="28">
        <v>5</v>
      </c>
      <c r="H21" s="41">
        <v>5</v>
      </c>
      <c r="I21" s="32"/>
      <c r="J21" s="44"/>
      <c r="K21" s="28">
        <v>5</v>
      </c>
      <c r="L21" s="29">
        <v>5</v>
      </c>
      <c r="M21" s="29">
        <v>2</v>
      </c>
      <c r="N21" s="29"/>
      <c r="O21" s="25">
        <f>SUM(C21:N21)</f>
        <v>80</v>
      </c>
    </row>
    <row r="22" spans="1:15" ht="39.75" customHeight="1" thickBot="1" x14ac:dyDescent="0.25">
      <c r="A22" s="24" t="s">
        <v>104</v>
      </c>
      <c r="B22" s="188" t="s">
        <v>30</v>
      </c>
      <c r="C22" s="26">
        <v>2</v>
      </c>
      <c r="D22" s="26">
        <v>2</v>
      </c>
      <c r="E22" s="28">
        <v>7</v>
      </c>
      <c r="F22" s="27">
        <v>7</v>
      </c>
      <c r="G22" s="28">
        <v>1</v>
      </c>
      <c r="H22" s="190">
        <v>1</v>
      </c>
      <c r="I22" s="191">
        <v>2</v>
      </c>
      <c r="J22" s="190">
        <v>2</v>
      </c>
      <c r="K22" s="192">
        <v>1</v>
      </c>
      <c r="L22" s="193">
        <v>1</v>
      </c>
      <c r="M22" s="193"/>
      <c r="N22" s="194"/>
      <c r="O22" s="188">
        <f t="shared" si="0"/>
        <v>26</v>
      </c>
    </row>
    <row r="23" spans="1:15" ht="36.75" customHeight="1" thickBot="1" x14ac:dyDescent="0.25">
      <c r="A23" s="48" t="s">
        <v>105</v>
      </c>
      <c r="B23" s="189" t="s">
        <v>80</v>
      </c>
      <c r="C23" s="33"/>
      <c r="D23" s="50"/>
      <c r="E23" s="46"/>
      <c r="F23" s="50"/>
      <c r="G23" s="46"/>
      <c r="H23" s="195"/>
      <c r="I23" s="196"/>
      <c r="J23" s="195"/>
      <c r="K23" s="196"/>
      <c r="L23" s="197"/>
      <c r="M23" s="197"/>
      <c r="N23" s="197">
        <v>1</v>
      </c>
      <c r="O23" s="189">
        <f t="shared" si="0"/>
        <v>1</v>
      </c>
    </row>
    <row r="24" spans="1:15" ht="35.25" customHeight="1" x14ac:dyDescent="0.2">
      <c r="A24" s="231" t="s">
        <v>239</v>
      </c>
      <c r="B24" s="234" t="s">
        <v>240</v>
      </c>
      <c r="C24" s="231"/>
      <c r="D24" s="231"/>
      <c r="E24" s="231"/>
      <c r="F24" s="231"/>
      <c r="G24" s="231"/>
      <c r="H24" s="234"/>
      <c r="I24" s="234"/>
      <c r="J24" s="234"/>
      <c r="K24" s="234"/>
      <c r="L24" s="234"/>
      <c r="M24" s="234"/>
      <c r="N24" s="271">
        <v>1</v>
      </c>
      <c r="O24" s="268">
        <f t="shared" si="0"/>
        <v>1</v>
      </c>
    </row>
    <row r="25" spans="1:15" x14ac:dyDescent="0.2">
      <c r="A25" s="232"/>
      <c r="B25" s="235"/>
      <c r="C25" s="232"/>
      <c r="D25" s="232"/>
      <c r="E25" s="232"/>
      <c r="F25" s="232"/>
      <c r="G25" s="232"/>
      <c r="H25" s="235"/>
      <c r="I25" s="235"/>
      <c r="J25" s="235"/>
      <c r="K25" s="235"/>
      <c r="L25" s="235"/>
      <c r="M25" s="235"/>
      <c r="N25" s="272"/>
      <c r="O25" s="269"/>
    </row>
    <row r="26" spans="1:15" ht="13.5" thickBot="1" x14ac:dyDescent="0.25">
      <c r="A26" s="233"/>
      <c r="B26" s="236"/>
      <c r="C26" s="233"/>
      <c r="D26" s="233"/>
      <c r="E26" s="233"/>
      <c r="F26" s="233"/>
      <c r="G26" s="233"/>
      <c r="H26" s="236"/>
      <c r="I26" s="236"/>
      <c r="J26" s="236"/>
      <c r="K26" s="236"/>
      <c r="L26" s="236"/>
      <c r="M26" s="236"/>
      <c r="N26" s="273"/>
      <c r="O26" s="270"/>
    </row>
    <row r="27" spans="1:15" ht="13.5" thickBot="1" x14ac:dyDescent="0.25">
      <c r="A27" s="47" t="s">
        <v>108</v>
      </c>
      <c r="B27" s="214" t="s">
        <v>263</v>
      </c>
      <c r="C27" s="49"/>
      <c r="D27" s="49"/>
      <c r="E27" s="51">
        <v>1</v>
      </c>
      <c r="F27" s="52">
        <v>1</v>
      </c>
      <c r="G27" s="49"/>
      <c r="H27" s="198"/>
      <c r="I27" s="198"/>
      <c r="J27" s="198"/>
      <c r="K27" s="198"/>
      <c r="L27" s="199"/>
      <c r="M27" s="200"/>
      <c r="N27" s="200"/>
      <c r="O27" s="189">
        <f>SUM(C27:N27)</f>
        <v>2</v>
      </c>
    </row>
    <row r="28" spans="1:15" x14ac:dyDescent="0.2">
      <c r="A28" s="240"/>
      <c r="B28" s="241"/>
      <c r="C28" s="242">
        <f t="shared" ref="C28:N28" si="1">SUM(C7:C27)</f>
        <v>18</v>
      </c>
      <c r="D28" s="242">
        <f t="shared" si="1"/>
        <v>18</v>
      </c>
      <c r="E28" s="242">
        <f t="shared" si="1"/>
        <v>49</v>
      </c>
      <c r="F28" s="242">
        <f t="shared" si="1"/>
        <v>49</v>
      </c>
      <c r="G28" s="242">
        <f t="shared" si="1"/>
        <v>8</v>
      </c>
      <c r="H28" s="237">
        <f t="shared" si="1"/>
        <v>8</v>
      </c>
      <c r="I28" s="237">
        <f t="shared" si="1"/>
        <v>3</v>
      </c>
      <c r="J28" s="237">
        <f t="shared" si="1"/>
        <v>3</v>
      </c>
      <c r="K28" s="237">
        <f t="shared" si="1"/>
        <v>8</v>
      </c>
      <c r="L28" s="237">
        <f t="shared" si="1"/>
        <v>8</v>
      </c>
      <c r="M28" s="237">
        <f t="shared" si="1"/>
        <v>11</v>
      </c>
      <c r="N28" s="237">
        <f t="shared" si="1"/>
        <v>2</v>
      </c>
      <c r="O28" s="249">
        <f>SUM(O7:O27)</f>
        <v>185</v>
      </c>
    </row>
    <row r="29" spans="1:15" x14ac:dyDescent="0.2">
      <c r="A29" s="245" t="s">
        <v>46</v>
      </c>
      <c r="B29" s="246"/>
      <c r="C29" s="243"/>
      <c r="D29" s="243"/>
      <c r="E29" s="243"/>
      <c r="F29" s="243"/>
      <c r="G29" s="243"/>
      <c r="H29" s="238"/>
      <c r="I29" s="238"/>
      <c r="J29" s="238"/>
      <c r="K29" s="238"/>
      <c r="L29" s="238"/>
      <c r="M29" s="238"/>
      <c r="N29" s="238"/>
      <c r="O29" s="250"/>
    </row>
    <row r="30" spans="1:15" ht="13.5" thickBot="1" x14ac:dyDescent="0.25">
      <c r="A30" s="247"/>
      <c r="B30" s="248"/>
      <c r="C30" s="244"/>
      <c r="D30" s="244"/>
      <c r="E30" s="244"/>
      <c r="F30" s="244"/>
      <c r="G30" s="244"/>
      <c r="H30" s="239"/>
      <c r="I30" s="239"/>
      <c r="J30" s="239"/>
      <c r="K30" s="239"/>
      <c r="L30" s="239"/>
      <c r="M30" s="239"/>
      <c r="N30" s="239"/>
      <c r="O30" s="251"/>
    </row>
  </sheetData>
  <mergeCells count="45">
    <mergeCell ref="M5:M6"/>
    <mergeCell ref="O24:O26"/>
    <mergeCell ref="C24:C26"/>
    <mergeCell ref="D24:D26"/>
    <mergeCell ref="E24:E26"/>
    <mergeCell ref="F24:F26"/>
    <mergeCell ref="G24:G26"/>
    <mergeCell ref="N24:N26"/>
    <mergeCell ref="I24:I26"/>
    <mergeCell ref="J24:J26"/>
    <mergeCell ref="K24:K26"/>
    <mergeCell ref="L24:L26"/>
    <mergeCell ref="M24:M26"/>
    <mergeCell ref="I28:I30"/>
    <mergeCell ref="J28:J30"/>
    <mergeCell ref="K28:K30"/>
    <mergeCell ref="L28:L30"/>
    <mergeCell ref="A3:O3"/>
    <mergeCell ref="A4:A6"/>
    <mergeCell ref="B4:B6"/>
    <mergeCell ref="C4:L4"/>
    <mergeCell ref="M4:N4"/>
    <mergeCell ref="O4:O6"/>
    <mergeCell ref="N5:N6"/>
    <mergeCell ref="C5:D5"/>
    <mergeCell ref="E5:F5"/>
    <mergeCell ref="G5:H5"/>
    <mergeCell ref="I5:J5"/>
    <mergeCell ref="K5:L5"/>
    <mergeCell ref="A1:O1"/>
    <mergeCell ref="A24:A26"/>
    <mergeCell ref="H24:H26"/>
    <mergeCell ref="M28:M30"/>
    <mergeCell ref="N28:N30"/>
    <mergeCell ref="A28:B28"/>
    <mergeCell ref="C28:C30"/>
    <mergeCell ref="D28:D30"/>
    <mergeCell ref="E28:E30"/>
    <mergeCell ref="F28:F30"/>
    <mergeCell ref="A29:B29"/>
    <mergeCell ref="A30:B30"/>
    <mergeCell ref="B24:B26"/>
    <mergeCell ref="O28:O30"/>
    <mergeCell ref="G28:G30"/>
    <mergeCell ref="H28:H30"/>
  </mergeCells>
  <pageMargins left="0.51181102362204722" right="0.51181102362204722" top="0.78740157480314965" bottom="0.78740157480314965" header="0.31496062992125984" footer="0.31496062992125984"/>
  <pageSetup paperSize="9" scale="84" firstPageNumber="250" orientation="portrait" useFirstPageNumber="1" r:id="rId1"/>
  <headerFooter>
    <oddHeader xml:space="preserve">&amp;R&amp;P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1"/>
  <sheetViews>
    <sheetView workbookViewId="0">
      <selection activeCell="D6" sqref="D6"/>
    </sheetView>
  </sheetViews>
  <sheetFormatPr defaultRowHeight="12.75" x14ac:dyDescent="0.2"/>
  <cols>
    <col min="1" max="1" width="12.42578125" customWidth="1"/>
    <col min="3" max="3" width="16" customWidth="1"/>
    <col min="4" max="4" width="17" customWidth="1"/>
  </cols>
  <sheetData>
    <row r="1" spans="1:4" ht="13.5" thickBot="1" x14ac:dyDescent="0.25"/>
    <row r="2" spans="1:4" ht="42" customHeight="1" thickBot="1" x14ac:dyDescent="0.25">
      <c r="A2" s="277" t="s">
        <v>359</v>
      </c>
      <c r="B2" s="278"/>
      <c r="C2" s="278"/>
      <c r="D2" s="279"/>
    </row>
    <row r="3" spans="1:4" x14ac:dyDescent="0.2">
      <c r="A3" s="255" t="s">
        <v>92</v>
      </c>
      <c r="B3" s="255" t="s">
        <v>68</v>
      </c>
      <c r="C3" s="280" t="s">
        <v>348</v>
      </c>
      <c r="D3" s="283" t="s">
        <v>349</v>
      </c>
    </row>
    <row r="4" spans="1:4" x14ac:dyDescent="0.2">
      <c r="A4" s="256"/>
      <c r="B4" s="256"/>
      <c r="C4" s="281"/>
      <c r="D4" s="284"/>
    </row>
    <row r="5" spans="1:4" ht="13.5" thickBot="1" x14ac:dyDescent="0.25">
      <c r="A5" s="257"/>
      <c r="B5" s="257"/>
      <c r="C5" s="282"/>
      <c r="D5" s="285"/>
    </row>
    <row r="6" spans="1:4" ht="34.5" thickBot="1" x14ac:dyDescent="0.25">
      <c r="A6" s="203" t="s">
        <v>365</v>
      </c>
      <c r="B6" s="188" t="s">
        <v>30</v>
      </c>
      <c r="C6" s="212">
        <f>'Serv Limp Plant Diurno'!C154</f>
        <v>120728.88</v>
      </c>
      <c r="D6" s="213">
        <f>'Serv Limp Plant Diurno'!C155</f>
        <v>1448746.56</v>
      </c>
    </row>
    <row r="7" spans="1:4" ht="34.5" thickBot="1" x14ac:dyDescent="0.25">
      <c r="A7" s="203" t="s">
        <v>364</v>
      </c>
      <c r="B7" s="188" t="s">
        <v>30</v>
      </c>
      <c r="C7" s="225">
        <f>'Serv Limp Plant Noturno'!C154</f>
        <v>11520.98</v>
      </c>
      <c r="D7" s="213">
        <f>'Serv Limp Plant Noturno'!C155</f>
        <v>138251.76</v>
      </c>
    </row>
    <row r="8" spans="1:4" ht="23.25" thickBot="1" x14ac:dyDescent="0.25">
      <c r="A8" s="202" t="s">
        <v>100</v>
      </c>
      <c r="B8" s="188" t="s">
        <v>33</v>
      </c>
      <c r="C8" s="213">
        <f>C10</f>
        <v>31400.159999999996</v>
      </c>
      <c r="D8" s="213">
        <f>'Ass Adm. Diarista '!C155</f>
        <v>247511.16</v>
      </c>
    </row>
    <row r="9" spans="1:4" ht="13.5" thickBot="1" x14ac:dyDescent="0.25">
      <c r="A9" s="202" t="s">
        <v>27</v>
      </c>
      <c r="B9" s="188" t="s">
        <v>34</v>
      </c>
      <c r="C9" s="213">
        <f>'Almoxarife Diarista'!C154</f>
        <v>5634.52</v>
      </c>
      <c r="D9" s="213">
        <f>'Almoxarife Diarista'!C155</f>
        <v>67614.240000000005</v>
      </c>
    </row>
    <row r="10" spans="1:4" ht="23.25" thickBot="1" x14ac:dyDescent="0.25">
      <c r="A10" s="215" t="s">
        <v>75</v>
      </c>
      <c r="B10" s="188" t="s">
        <v>34</v>
      </c>
      <c r="C10" s="213">
        <f>'Aux Almoxarife '!C154</f>
        <v>31400.159999999996</v>
      </c>
      <c r="D10" s="213">
        <f>'Aux Almoxarife '!C155</f>
        <v>376801.91999999993</v>
      </c>
    </row>
    <row r="11" spans="1:4" ht="13.5" thickBot="1" x14ac:dyDescent="0.25">
      <c r="A11" s="24" t="s">
        <v>101</v>
      </c>
      <c r="B11" s="188" t="s">
        <v>76</v>
      </c>
      <c r="C11" s="213">
        <f>'Cozinheiro Lider'!C154</f>
        <v>14839.68</v>
      </c>
      <c r="D11" s="213">
        <f>'Cozinheiro Lider'!C155</f>
        <v>178076.16</v>
      </c>
    </row>
    <row r="12" spans="1:4" ht="13.5" thickBot="1" x14ac:dyDescent="0.25">
      <c r="A12" s="202" t="s">
        <v>29</v>
      </c>
      <c r="B12" s="188" t="s">
        <v>35</v>
      </c>
      <c r="C12" s="213">
        <f>'Cozinheiro '!C154</f>
        <v>22123.84</v>
      </c>
      <c r="D12" s="213">
        <f>'Cozinheiro '!C155</f>
        <v>265486.08000000002</v>
      </c>
    </row>
    <row r="13" spans="1:4" ht="23.25" thickBot="1" x14ac:dyDescent="0.25">
      <c r="A13" s="202" t="s">
        <v>350</v>
      </c>
      <c r="B13" s="188" t="s">
        <v>36</v>
      </c>
      <c r="C13" s="213">
        <f>'Aux Cozinha '!C154</f>
        <v>157842</v>
      </c>
      <c r="D13" s="213">
        <f>'Aux Cozinha '!C155</f>
        <v>1894104</v>
      </c>
    </row>
    <row r="14" spans="1:4" ht="23.25" thickBot="1" x14ac:dyDescent="0.25">
      <c r="A14" s="202" t="s">
        <v>351</v>
      </c>
      <c r="B14" s="188" t="s">
        <v>36</v>
      </c>
      <c r="C14" s="213">
        <f>'Aux Cozinha Noturno'!C154</f>
        <v>12058.04</v>
      </c>
      <c r="D14" s="213">
        <f>'Aux Cozinha Noturno'!C155</f>
        <v>144696.48000000001</v>
      </c>
    </row>
    <row r="15" spans="1:4" ht="13.5" thickBot="1" x14ac:dyDescent="0.25">
      <c r="A15" s="215" t="s">
        <v>255</v>
      </c>
      <c r="B15" s="188" t="s">
        <v>31</v>
      </c>
      <c r="C15" s="213">
        <f>'Copeiro diarista '!C154</f>
        <v>10687.46</v>
      </c>
      <c r="D15" s="213">
        <f>'Copeiro diarista '!C155</f>
        <v>128249.51999999999</v>
      </c>
    </row>
    <row r="16" spans="1:4" ht="34.5" thickBot="1" x14ac:dyDescent="0.25">
      <c r="A16" s="215" t="s">
        <v>352</v>
      </c>
      <c r="B16" s="188" t="s">
        <v>353</v>
      </c>
      <c r="C16" s="213">
        <f>'Copeiro Plant Noturno  '!C154</f>
        <v>59797.600000000006</v>
      </c>
      <c r="D16" s="213">
        <f>'Copeiro Plant Noturno  '!C155</f>
        <v>717571.20000000007</v>
      </c>
    </row>
    <row r="17" spans="1:10" ht="34.5" thickBot="1" x14ac:dyDescent="0.25">
      <c r="A17" s="215" t="s">
        <v>258</v>
      </c>
      <c r="B17" s="188" t="s">
        <v>354</v>
      </c>
      <c r="C17" s="213">
        <f>'Copeiro Plant diurno '!C154</f>
        <v>354424.84</v>
      </c>
      <c r="D17" s="213">
        <f>'Copeiro Plant diurno '!C155</f>
        <v>4253098.08</v>
      </c>
    </row>
    <row r="18" spans="1:10" ht="23.25" thickBot="1" x14ac:dyDescent="0.25">
      <c r="A18" s="216" t="s">
        <v>355</v>
      </c>
      <c r="B18" s="217" t="s">
        <v>80</v>
      </c>
      <c r="C18" s="218">
        <f>'Tec. Manutenção'!C154</f>
        <v>9888.36</v>
      </c>
      <c r="D18" s="213">
        <f>'Tec. Manutenção'!C155</f>
        <v>118660.32</v>
      </c>
    </row>
    <row r="19" spans="1:10" ht="13.5" thickBot="1" x14ac:dyDescent="0.25">
      <c r="A19" s="215" t="s">
        <v>108</v>
      </c>
      <c r="B19" s="188" t="s">
        <v>263</v>
      </c>
      <c r="C19" s="218">
        <f>'Motorista '!C154</f>
        <v>14485.84</v>
      </c>
      <c r="D19" s="213">
        <f>'Motorista '!C155</f>
        <v>173830.08000000002</v>
      </c>
      <c r="I19" s="274"/>
      <c r="J19" s="274"/>
    </row>
    <row r="20" spans="1:10" ht="34.5" thickBot="1" x14ac:dyDescent="0.25">
      <c r="A20" s="24" t="s">
        <v>98</v>
      </c>
      <c r="B20" s="188" t="s">
        <v>32</v>
      </c>
      <c r="C20" s="219">
        <f>' Nutricionista RT SET FEC PLANT'!C154</f>
        <v>24761.439999999999</v>
      </c>
      <c r="D20" s="213">
        <f>' Nutricionista RT SET FEC PLANT'!C155</f>
        <v>297137.27999999997</v>
      </c>
    </row>
    <row r="21" spans="1:10" ht="23.25" thickBot="1" x14ac:dyDescent="0.25">
      <c r="A21" s="202" t="s">
        <v>356</v>
      </c>
      <c r="B21" s="188" t="s">
        <v>32</v>
      </c>
      <c r="C21" s="219">
        <f>' NUT RT CHEFIA DIARISTA'!C154</f>
        <v>14261.58</v>
      </c>
      <c r="D21" s="219">
        <f>' NUT RT CHEFIA DIARISTA'!C155</f>
        <v>171138.96</v>
      </c>
    </row>
    <row r="22" spans="1:10" ht="23.25" thickBot="1" x14ac:dyDescent="0.25">
      <c r="A22" s="202" t="s">
        <v>266</v>
      </c>
      <c r="B22" s="188" t="s">
        <v>32</v>
      </c>
      <c r="C22" s="218">
        <f>'Nutricionista  Plantonista'!C154</f>
        <v>69036.66</v>
      </c>
      <c r="D22" s="218">
        <f>'Nutricionista  Plantonista'!C155</f>
        <v>828439.92</v>
      </c>
    </row>
    <row r="23" spans="1:10" ht="23.25" thickBot="1" x14ac:dyDescent="0.25">
      <c r="A23" s="202" t="s">
        <v>268</v>
      </c>
      <c r="B23" s="188" t="s">
        <v>32</v>
      </c>
      <c r="C23" s="218">
        <f>'Nutricionista Diarista '!C154</f>
        <v>24150.02</v>
      </c>
      <c r="D23" s="218">
        <f>'Nutricionista Diarista '!C155</f>
        <v>289800.24</v>
      </c>
    </row>
    <row r="24" spans="1:10" ht="34.5" thickBot="1" x14ac:dyDescent="0.25">
      <c r="A24" s="215" t="s">
        <v>357</v>
      </c>
      <c r="B24" s="188" t="s">
        <v>79</v>
      </c>
      <c r="C24" s="220">
        <f>'Tec em Nutrição Plant noturno'!C154</f>
        <v>12852.44</v>
      </c>
      <c r="D24" s="220">
        <f>'Tec em Nutrição Plant noturno'!C155</f>
        <v>154229.28</v>
      </c>
    </row>
    <row r="25" spans="1:10" ht="45.75" thickBot="1" x14ac:dyDescent="0.25">
      <c r="A25" s="215" t="s">
        <v>358</v>
      </c>
      <c r="B25" s="188" t="s">
        <v>79</v>
      </c>
      <c r="C25" s="221">
        <f>'Tecnico em Nutrição Plantonista'!C154</f>
        <v>55722</v>
      </c>
      <c r="D25" s="221">
        <f>'Tecnico em Nutrição Plantonista'!C155</f>
        <v>668664</v>
      </c>
    </row>
    <row r="26" spans="1:10" ht="23.25" thickBot="1" x14ac:dyDescent="0.25">
      <c r="A26" s="215" t="s">
        <v>274</v>
      </c>
      <c r="B26" s="188" t="s">
        <v>79</v>
      </c>
      <c r="C26" s="221">
        <f>'Tecnico Nutrição Diarista'!C154</f>
        <v>11407.6</v>
      </c>
      <c r="D26" s="221">
        <f>'Tecnico Nutrição Diarista'!C155</f>
        <v>136891.20000000001</v>
      </c>
    </row>
    <row r="27" spans="1:10" x14ac:dyDescent="0.2">
      <c r="A27" s="231" t="s">
        <v>276</v>
      </c>
      <c r="B27" s="234" t="s">
        <v>240</v>
      </c>
      <c r="C27" s="286">
        <f>'Mecânico de Refrigeração'!C154</f>
        <v>7115.83</v>
      </c>
      <c r="D27" s="286">
        <f>'Mecânico de Refrigeração'!C155</f>
        <v>85389.959999999992</v>
      </c>
    </row>
    <row r="28" spans="1:10" x14ac:dyDescent="0.2">
      <c r="A28" s="232"/>
      <c r="B28" s="235"/>
      <c r="C28" s="287"/>
      <c r="D28" s="287"/>
    </row>
    <row r="29" spans="1:10" ht="13.5" thickBot="1" x14ac:dyDescent="0.25">
      <c r="A29" s="233"/>
      <c r="B29" s="236"/>
      <c r="C29" s="288"/>
      <c r="D29" s="288"/>
    </row>
    <row r="30" spans="1:10" ht="13.5" thickBot="1" x14ac:dyDescent="0.25">
      <c r="A30" s="215" t="s">
        <v>28</v>
      </c>
      <c r="B30" s="188" t="s">
        <v>37</v>
      </c>
      <c r="C30" s="222">
        <f>'Magarefe plantonista '!C154</f>
        <v>10623.22</v>
      </c>
      <c r="D30" s="219">
        <f>'Magarefe plantonista '!C155</f>
        <v>127478.63999999998</v>
      </c>
    </row>
    <row r="31" spans="1:10" ht="33.75" customHeight="1" thickBot="1" x14ac:dyDescent="0.25">
      <c r="A31" s="275" t="s">
        <v>44</v>
      </c>
      <c r="B31" s="276"/>
      <c r="C31" s="223">
        <f>SUM(C6:C30)</f>
        <v>1086763.1499999999</v>
      </c>
      <c r="D31" s="224">
        <f>SUM(D6:D30)</f>
        <v>12911867.040000001</v>
      </c>
    </row>
  </sheetData>
  <mergeCells count="11">
    <mergeCell ref="I19:J19"/>
    <mergeCell ref="A31:B31"/>
    <mergeCell ref="A2:D2"/>
    <mergeCell ref="A3:A5"/>
    <mergeCell ref="B3:B5"/>
    <mergeCell ref="A27:A29"/>
    <mergeCell ref="B27:B29"/>
    <mergeCell ref="C3:C5"/>
    <mergeCell ref="D3:D5"/>
    <mergeCell ref="C27:C29"/>
    <mergeCell ref="D27:D2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workbookViewId="0">
      <selection activeCell="M31" sqref="M31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360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6.25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274">
        <v>2024</v>
      </c>
      <c r="I7" s="274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230</v>
      </c>
      <c r="B12" s="274"/>
      <c r="C12" s="274" t="s">
        <v>287</v>
      </c>
      <c r="D12" s="274"/>
      <c r="E12" s="274">
        <v>24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274" t="s">
        <v>230</v>
      </c>
      <c r="I15" s="274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30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1711.6</v>
      </c>
      <c r="I17" s="298"/>
    </row>
    <row r="18" spans="1:10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274" t="s">
        <v>231</v>
      </c>
      <c r="I18" s="274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45536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v>1711.6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1994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166.1002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55.433199999999999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221.53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2400.75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480.15000000000003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60.018750000000004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40.476644999999998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36.011249999999997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24.0075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14.404500000000001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4.8014999999999999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192.06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851.93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170.90400000000005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265.2-31.1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55" t="s">
        <v>143</v>
      </c>
      <c r="I52" s="56">
        <f>(I23*2.7%)-(46.21*0.4)</f>
        <v>27.729199999999999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34.9 + (34.9/12)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31+(31/12)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5" t="s">
        <v>143</v>
      </c>
      <c r="I55" s="56">
        <f>(I50/2/12)-(15.55/12)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517.58320000000003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221.53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851.93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517.58320000000003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1591.04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8.3747999999999987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0.66998399999999991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0.33499199999999996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38.683599999999998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13.727262296000003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1.5473440000000001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63.33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166.1002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16.350800000000003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0.39880000000000004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0.59819999999999995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1.7816326933333333</v>
      </c>
      <c r="J81" s="75" t="s">
        <v>173</v>
      </c>
      <c r="K81" s="76">
        <f>I33+I34+I51+I52+I53</f>
        <v>292.0709333333333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185.22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185.22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185.22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Uniformes!E77</f>
        <v>88.079014252499988</v>
      </c>
      <c r="J97" s="71"/>
    </row>
    <row r="98" spans="1:10" x14ac:dyDescent="0.2">
      <c r="A98" s="66" t="s">
        <v>10</v>
      </c>
      <c r="B98" s="310" t="s">
        <v>282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88.07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117.64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274.26</v>
      </c>
      <c r="J106" s="82">
        <f>SUM(I105:I106)</f>
        <v>391.9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83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382.3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251.51</v>
      </c>
      <c r="J110" s="87">
        <f>SUM(I108:I110)</f>
        <v>716.81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1108.71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4313.5600000000004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5030.3900000000003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716.83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1994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1591.04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63.33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185.22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88.07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3921.66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1108.71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5030.37</v>
      </c>
    </row>
    <row r="131" spans="1:9" hidden="1" x14ac:dyDescent="0.2">
      <c r="I131" s="100"/>
    </row>
    <row r="132" spans="1:9" hidden="1" x14ac:dyDescent="0.2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idden="1" x14ac:dyDescent="0.2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83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1108.71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2.9389869128301007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120728.88</v>
      </c>
    </row>
    <row r="155" spans="1:9" x14ac:dyDescent="0.2">
      <c r="A155" s="124" t="s">
        <v>228</v>
      </c>
      <c r="B155" s="124"/>
      <c r="C155" s="102">
        <f>H8*C154</f>
        <v>1448746.56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workbookViewId="0">
      <selection activeCell="Q26" sqref="Q26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289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20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20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6.25" customHeight="1" x14ac:dyDescent="0.2">
      <c r="A7" s="205" t="s">
        <v>11</v>
      </c>
      <c r="B7" s="294" t="s">
        <v>311</v>
      </c>
      <c r="C7" s="295"/>
      <c r="D7" s="295"/>
      <c r="E7" s="295"/>
      <c r="F7" s="295"/>
      <c r="G7" s="296"/>
      <c r="H7" s="274">
        <v>2024</v>
      </c>
      <c r="I7" s="274"/>
    </row>
    <row r="8" spans="1:9" x14ac:dyDescent="0.2">
      <c r="A8" s="20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204"/>
      <c r="B9" s="208"/>
      <c r="C9" s="208"/>
      <c r="D9" s="208"/>
      <c r="E9" s="208"/>
      <c r="F9" s="208"/>
      <c r="G9" s="208"/>
      <c r="H9" s="204"/>
      <c r="I9" s="20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230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204"/>
      <c r="B13" s="208"/>
      <c r="C13" s="208"/>
      <c r="D13" s="208"/>
      <c r="E13" s="208"/>
      <c r="F13" s="208"/>
      <c r="G13" s="208"/>
      <c r="H13" s="204"/>
      <c r="I13" s="20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205">
        <v>1</v>
      </c>
      <c r="B15" s="292" t="s">
        <v>15</v>
      </c>
      <c r="C15" s="292"/>
      <c r="D15" s="292"/>
      <c r="E15" s="292"/>
      <c r="F15" s="292"/>
      <c r="G15" s="292"/>
      <c r="H15" s="274" t="s">
        <v>230</v>
      </c>
      <c r="I15" s="274"/>
    </row>
    <row r="16" spans="1:9" x14ac:dyDescent="0.2">
      <c r="A16" s="205">
        <v>2</v>
      </c>
      <c r="B16" s="292" t="s">
        <v>117</v>
      </c>
      <c r="C16" s="292"/>
      <c r="D16" s="292"/>
      <c r="E16" s="292"/>
      <c r="F16" s="292"/>
      <c r="G16" s="292"/>
      <c r="H16" s="274" t="s">
        <v>30</v>
      </c>
      <c r="I16" s="274"/>
    </row>
    <row r="17" spans="1:10" x14ac:dyDescent="0.2">
      <c r="A17" s="205">
        <v>3</v>
      </c>
      <c r="B17" s="292" t="s">
        <v>118</v>
      </c>
      <c r="C17" s="292"/>
      <c r="D17" s="292"/>
      <c r="E17" s="292"/>
      <c r="F17" s="292"/>
      <c r="G17" s="292"/>
      <c r="H17" s="298">
        <v>1711.6</v>
      </c>
      <c r="I17" s="298"/>
    </row>
    <row r="18" spans="1:10" x14ac:dyDescent="0.2">
      <c r="A18" s="205">
        <v>4</v>
      </c>
      <c r="B18" s="292" t="s">
        <v>16</v>
      </c>
      <c r="C18" s="292"/>
      <c r="D18" s="292"/>
      <c r="E18" s="292"/>
      <c r="F18" s="292"/>
      <c r="G18" s="292"/>
      <c r="H18" s="274" t="s">
        <v>231</v>
      </c>
      <c r="I18" s="274"/>
    </row>
    <row r="19" spans="1:10" x14ac:dyDescent="0.2">
      <c r="A19" s="205">
        <v>5</v>
      </c>
      <c r="B19" s="292" t="s">
        <v>1</v>
      </c>
      <c r="C19" s="292"/>
      <c r="D19" s="292"/>
      <c r="E19" s="292"/>
      <c r="F19" s="292"/>
      <c r="G19" s="292"/>
      <c r="H19" s="293">
        <v>45536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206">
        <v>1</v>
      </c>
      <c r="B22" s="297" t="s">
        <v>120</v>
      </c>
      <c r="C22" s="297"/>
      <c r="D22" s="297"/>
      <c r="E22" s="297"/>
      <c r="F22" s="297"/>
      <c r="G22" s="297"/>
      <c r="H22" s="206" t="s">
        <v>43</v>
      </c>
      <c r="I22" s="206" t="s">
        <v>121</v>
      </c>
    </row>
    <row r="23" spans="1:10" x14ac:dyDescent="0.2">
      <c r="A23" s="20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v>1711.6</v>
      </c>
    </row>
    <row r="24" spans="1:10" x14ac:dyDescent="0.2">
      <c r="A24" s="20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20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206" t="s">
        <v>12</v>
      </c>
      <c r="B26" s="292" t="s">
        <v>124</v>
      </c>
      <c r="C26" s="292"/>
      <c r="D26" s="292"/>
      <c r="E26" s="292"/>
      <c r="F26" s="292"/>
      <c r="G26" s="292"/>
      <c r="H26" s="53">
        <v>0.2</v>
      </c>
      <c r="I26" s="58">
        <f>I23*H26</f>
        <v>342.32</v>
      </c>
    </row>
    <row r="27" spans="1:10" x14ac:dyDescent="0.2">
      <c r="A27" s="20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20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2336.3200000000002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206" t="s">
        <v>43</v>
      </c>
      <c r="I32" s="206" t="s">
        <v>121</v>
      </c>
      <c r="J32" s="71"/>
    </row>
    <row r="33" spans="1:11" x14ac:dyDescent="0.2">
      <c r="A33" s="20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194.61545600000002</v>
      </c>
      <c r="J33" s="71"/>
    </row>
    <row r="34" spans="1:11" x14ac:dyDescent="0.2">
      <c r="A34" s="20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64.949696000000003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259.56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2812.83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206" t="s">
        <v>43</v>
      </c>
      <c r="I37" s="206" t="s">
        <v>121</v>
      </c>
      <c r="J37" s="71" t="s">
        <v>132</v>
      </c>
    </row>
    <row r="38" spans="1:11" x14ac:dyDescent="0.2">
      <c r="A38" s="20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562.56600000000003</v>
      </c>
      <c r="J38" s="71"/>
    </row>
    <row r="39" spans="1:11" x14ac:dyDescent="0.2">
      <c r="A39" s="20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70.320750000000004</v>
      </c>
      <c r="J39" s="71"/>
    </row>
    <row r="40" spans="1:11" x14ac:dyDescent="0.2">
      <c r="A40" s="20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47.4243138</v>
      </c>
      <c r="J40" s="71"/>
    </row>
    <row r="41" spans="1:11" x14ac:dyDescent="0.2">
      <c r="A41" s="20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42.192450000000001</v>
      </c>
      <c r="J41" s="71"/>
    </row>
    <row r="42" spans="1:11" x14ac:dyDescent="0.2">
      <c r="A42" s="20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28.128299999999999</v>
      </c>
      <c r="J42" s="71"/>
    </row>
    <row r="43" spans="1:11" x14ac:dyDescent="0.2">
      <c r="A43" s="20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16.87698</v>
      </c>
      <c r="J43" s="71"/>
    </row>
    <row r="44" spans="1:11" x14ac:dyDescent="0.2">
      <c r="A44" s="20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5.6256599999999999</v>
      </c>
      <c r="J44" s="71"/>
    </row>
    <row r="45" spans="1:11" x14ac:dyDescent="0.2">
      <c r="A45" s="20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225.0264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998.16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206" t="s">
        <v>121</v>
      </c>
      <c r="J48" s="71"/>
    </row>
    <row r="49" spans="1:10" x14ac:dyDescent="0.2">
      <c r="A49" s="206" t="s">
        <v>9</v>
      </c>
      <c r="B49" s="301" t="s">
        <v>316</v>
      </c>
      <c r="C49" s="301"/>
      <c r="D49" s="301"/>
      <c r="E49" s="301"/>
      <c r="F49" s="301"/>
      <c r="G49" s="301"/>
      <c r="H49" s="205" t="s">
        <v>143</v>
      </c>
      <c r="I49" s="56">
        <f>(8.55*2*16)-(I23*0.06)</f>
        <v>170.90400000000005</v>
      </c>
      <c r="J49" s="71"/>
    </row>
    <row r="50" spans="1:10" x14ac:dyDescent="0.2">
      <c r="A50" s="206" t="s">
        <v>10</v>
      </c>
      <c r="B50" s="301" t="s">
        <v>313</v>
      </c>
      <c r="C50" s="301"/>
      <c r="D50" s="301"/>
      <c r="E50" s="301"/>
      <c r="F50" s="301"/>
      <c r="G50" s="301"/>
      <c r="H50" s="205" t="s">
        <v>143</v>
      </c>
      <c r="I50" s="56">
        <f>265.2-31.1</f>
        <v>234.1</v>
      </c>
      <c r="J50" s="71"/>
    </row>
    <row r="51" spans="1:10" x14ac:dyDescent="0.2">
      <c r="A51" s="206" t="s">
        <v>11</v>
      </c>
      <c r="B51" s="301" t="s">
        <v>321</v>
      </c>
      <c r="C51" s="301"/>
      <c r="D51" s="301"/>
      <c r="E51" s="301"/>
      <c r="F51" s="301"/>
      <c r="G51" s="301"/>
      <c r="H51" s="205" t="s">
        <v>143</v>
      </c>
      <c r="I51" s="56">
        <v>5</v>
      </c>
      <c r="J51" s="71"/>
    </row>
    <row r="52" spans="1:10" x14ac:dyDescent="0.2">
      <c r="A52" s="206" t="s">
        <v>12</v>
      </c>
      <c r="B52" s="303" t="s">
        <v>322</v>
      </c>
      <c r="C52" s="303"/>
      <c r="D52" s="303"/>
      <c r="E52" s="303"/>
      <c r="F52" s="303"/>
      <c r="G52" s="303"/>
      <c r="H52" s="205" t="s">
        <v>143</v>
      </c>
      <c r="I52" s="56">
        <f>(I23*2.7%)-(46.21*0.4)</f>
        <v>27.729199999999999</v>
      </c>
      <c r="J52" s="71"/>
    </row>
    <row r="53" spans="1:10" x14ac:dyDescent="0.2">
      <c r="A53" s="206" t="s">
        <v>3</v>
      </c>
      <c r="B53" s="303" t="s">
        <v>315</v>
      </c>
      <c r="C53" s="303"/>
      <c r="D53" s="303"/>
      <c r="E53" s="303"/>
      <c r="F53" s="303"/>
      <c r="G53" s="303"/>
      <c r="H53" s="205" t="s">
        <v>143</v>
      </c>
      <c r="I53" s="56">
        <f>34.9 + (34.9/12)</f>
        <v>37.80833333333333</v>
      </c>
      <c r="J53" s="71"/>
    </row>
    <row r="54" spans="1:10" x14ac:dyDescent="0.2">
      <c r="A54" s="206" t="s">
        <v>4</v>
      </c>
      <c r="B54" s="303" t="s">
        <v>314</v>
      </c>
      <c r="C54" s="303"/>
      <c r="D54" s="303"/>
      <c r="E54" s="303"/>
      <c r="F54" s="303"/>
      <c r="G54" s="303"/>
      <c r="H54" s="205" t="s">
        <v>143</v>
      </c>
      <c r="I54" s="56">
        <f>31+(31/12)</f>
        <v>33.583333333333336</v>
      </c>
      <c r="J54" s="71"/>
    </row>
    <row r="55" spans="1:10" x14ac:dyDescent="0.2">
      <c r="A55" s="206" t="s">
        <v>5</v>
      </c>
      <c r="B55" s="301" t="s">
        <v>312</v>
      </c>
      <c r="C55" s="301"/>
      <c r="D55" s="301"/>
      <c r="E55" s="301"/>
      <c r="F55" s="301"/>
      <c r="G55" s="301"/>
      <c r="H55" s="205" t="s">
        <v>143</v>
      </c>
      <c r="I55" s="56">
        <f>(I50/2/12)-(15.55/12)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517.58320000000003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206" t="s">
        <v>121</v>
      </c>
      <c r="J59" s="71"/>
    </row>
    <row r="60" spans="1:10" x14ac:dyDescent="0.2">
      <c r="A60" s="20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259.56</v>
      </c>
      <c r="J60" s="71"/>
    </row>
    <row r="61" spans="1:10" x14ac:dyDescent="0.2">
      <c r="A61" s="20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998.16</v>
      </c>
      <c r="J61" s="71"/>
    </row>
    <row r="62" spans="1:10" x14ac:dyDescent="0.2">
      <c r="A62" s="20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517.58320000000003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1775.3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206">
        <v>3</v>
      </c>
      <c r="B66" s="297" t="s">
        <v>158</v>
      </c>
      <c r="C66" s="297"/>
      <c r="D66" s="297"/>
      <c r="E66" s="297"/>
      <c r="F66" s="297"/>
      <c r="G66" s="297"/>
      <c r="H66" s="206" t="s">
        <v>43</v>
      </c>
      <c r="I66" s="206" t="s">
        <v>121</v>
      </c>
      <c r="J66" s="71"/>
    </row>
    <row r="67" spans="1:10" x14ac:dyDescent="0.2">
      <c r="A67" s="20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9.8125440000000008</v>
      </c>
      <c r="J67" s="71"/>
    </row>
    <row r="68" spans="1:10" x14ac:dyDescent="0.2">
      <c r="A68" s="20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0.78500352000000007</v>
      </c>
      <c r="J68" s="71"/>
    </row>
    <row r="69" spans="1:10" x14ac:dyDescent="0.2">
      <c r="A69" s="20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0.39250176000000003</v>
      </c>
      <c r="J69" s="71"/>
    </row>
    <row r="70" spans="1:10" x14ac:dyDescent="0.2">
      <c r="A70" s="20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45.324608000000005</v>
      </c>
      <c r="J70" s="71"/>
    </row>
    <row r="71" spans="1:10" x14ac:dyDescent="0.2">
      <c r="A71" s="20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16.083890394880004</v>
      </c>
      <c r="J71" s="71"/>
    </row>
    <row r="72" spans="1:10" x14ac:dyDescent="0.2">
      <c r="A72" s="20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1.8129843200000002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74.209999999999994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206" t="s">
        <v>43</v>
      </c>
      <c r="I76" s="206" t="s">
        <v>121</v>
      </c>
      <c r="J76" s="71"/>
    </row>
    <row r="77" spans="1:10" x14ac:dyDescent="0.2">
      <c r="A77" s="20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194.61545600000002</v>
      </c>
      <c r="J77" s="71"/>
    </row>
    <row r="78" spans="1:10" x14ac:dyDescent="0.2">
      <c r="A78" s="20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19.157824000000002</v>
      </c>
      <c r="J78" s="71"/>
    </row>
    <row r="79" spans="1:10" x14ac:dyDescent="0.2">
      <c r="A79" s="20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0.46726400000000007</v>
      </c>
      <c r="J79" s="71"/>
    </row>
    <row r="80" spans="1:10" x14ac:dyDescent="0.2">
      <c r="A80" s="20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0.70089599999999996</v>
      </c>
      <c r="J80" s="71"/>
    </row>
    <row r="81" spans="1:11" x14ac:dyDescent="0.2">
      <c r="A81" s="20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2.0136263805333336</v>
      </c>
      <c r="J81" s="75" t="s">
        <v>173</v>
      </c>
      <c r="K81" s="76">
        <f>I33+I34+I51+I52+I53</f>
        <v>330.10268533333334</v>
      </c>
    </row>
    <row r="82" spans="1:11" x14ac:dyDescent="0.2">
      <c r="A82" s="20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216.95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206" t="s">
        <v>43</v>
      </c>
      <c r="I85" s="206" t="s">
        <v>121</v>
      </c>
      <c r="J85" s="71"/>
    </row>
    <row r="86" spans="1:11" x14ac:dyDescent="0.2">
      <c r="A86" s="20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206" t="s">
        <v>121</v>
      </c>
      <c r="J90" s="71"/>
    </row>
    <row r="91" spans="1:11" x14ac:dyDescent="0.2">
      <c r="A91" s="20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216.95</v>
      </c>
      <c r="J91" s="71"/>
    </row>
    <row r="92" spans="1:11" x14ac:dyDescent="0.2">
      <c r="A92" s="20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216.95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206">
        <v>5</v>
      </c>
      <c r="B96" s="297" t="s">
        <v>185</v>
      </c>
      <c r="C96" s="297"/>
      <c r="D96" s="297"/>
      <c r="E96" s="297"/>
      <c r="F96" s="297"/>
      <c r="G96" s="297"/>
      <c r="H96" s="206"/>
      <c r="I96" s="206" t="s">
        <v>121</v>
      </c>
      <c r="J96" s="71"/>
    </row>
    <row r="97" spans="1:10" x14ac:dyDescent="0.2">
      <c r="A97" s="206" t="s">
        <v>9</v>
      </c>
      <c r="B97" s="310" t="s">
        <v>286</v>
      </c>
      <c r="C97" s="310"/>
      <c r="D97" s="310"/>
      <c r="E97" s="310"/>
      <c r="F97" s="310"/>
      <c r="G97" s="310"/>
      <c r="H97" s="205" t="s">
        <v>143</v>
      </c>
      <c r="I97" s="58">
        <f>Uniformes!E77</f>
        <v>88.079014252499988</v>
      </c>
      <c r="J97" s="71"/>
    </row>
    <row r="98" spans="1:10" x14ac:dyDescent="0.2">
      <c r="A98" s="206" t="s">
        <v>10</v>
      </c>
      <c r="B98" s="310" t="s">
        <v>282</v>
      </c>
      <c r="C98" s="310"/>
      <c r="D98" s="310"/>
      <c r="E98" s="310"/>
      <c r="F98" s="310"/>
      <c r="G98" s="310"/>
      <c r="H98" s="20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20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20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88.07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206">
        <v>6</v>
      </c>
      <c r="B104" s="297" t="s">
        <v>188</v>
      </c>
      <c r="C104" s="297"/>
      <c r="D104" s="297"/>
      <c r="E104" s="297"/>
      <c r="F104" s="297"/>
      <c r="G104" s="297"/>
      <c r="H104" s="206" t="s">
        <v>43</v>
      </c>
      <c r="I104" s="206" t="s">
        <v>121</v>
      </c>
      <c r="J104" s="71"/>
    </row>
    <row r="105" spans="1:10" x14ac:dyDescent="0.2">
      <c r="A105" s="20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134.72</v>
      </c>
      <c r="J105" s="71"/>
    </row>
    <row r="106" spans="1:10" x14ac:dyDescent="0.2">
      <c r="A106" s="20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314.07</v>
      </c>
      <c r="J106" s="82">
        <f>SUM(I105:I106)</f>
        <v>448.78999999999996</v>
      </c>
    </row>
    <row r="107" spans="1:10" x14ac:dyDescent="0.2">
      <c r="A107" s="20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20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95.04</v>
      </c>
      <c r="J108" s="84"/>
    </row>
    <row r="109" spans="1:10" x14ac:dyDescent="0.2">
      <c r="A109" s="20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437.79</v>
      </c>
      <c r="J109" s="84"/>
    </row>
    <row r="110" spans="1:10" x14ac:dyDescent="0.2">
      <c r="A110" s="20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288.02</v>
      </c>
      <c r="J110" s="87">
        <f>SUM(I108:I110)</f>
        <v>820.85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1269.6400000000001</v>
      </c>
      <c r="J111" s="71"/>
    </row>
    <row r="112" spans="1:10" x14ac:dyDescent="0.2">
      <c r="A112" s="20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4939.6400000000003</v>
      </c>
    </row>
    <row r="116" spans="1:11" x14ac:dyDescent="0.2">
      <c r="A116" s="91"/>
      <c r="B116" s="207"/>
      <c r="C116" s="207"/>
      <c r="D116" s="207"/>
      <c r="E116" s="207"/>
      <c r="F116" s="207"/>
      <c r="G116" s="207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5760.51</v>
      </c>
    </row>
    <row r="118" spans="1:11" x14ac:dyDescent="0.2">
      <c r="A118" s="91"/>
      <c r="B118" s="207"/>
      <c r="C118" s="207"/>
      <c r="D118" s="207"/>
      <c r="E118" s="207"/>
      <c r="F118" s="207"/>
      <c r="G118" s="207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820.87</v>
      </c>
      <c r="K119" s="100"/>
    </row>
    <row r="120" spans="1:11" x14ac:dyDescent="0.2">
      <c r="A120" s="204"/>
      <c r="B120" s="204"/>
      <c r="C120" s="204"/>
      <c r="D120" s="204"/>
      <c r="E120" s="204"/>
      <c r="F120" s="204"/>
      <c r="G120" s="204"/>
      <c r="H120" s="20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206" t="s">
        <v>121</v>
      </c>
    </row>
    <row r="123" spans="1:11" x14ac:dyDescent="0.2">
      <c r="A123" s="20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2336.3200000000002</v>
      </c>
    </row>
    <row r="124" spans="1:11" x14ac:dyDescent="0.2">
      <c r="A124" s="20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1775.3</v>
      </c>
    </row>
    <row r="125" spans="1:11" x14ac:dyDescent="0.2">
      <c r="A125" s="20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74.209999999999994</v>
      </c>
      <c r="K125" s="102"/>
    </row>
    <row r="126" spans="1:11" x14ac:dyDescent="0.2">
      <c r="A126" s="20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216.95</v>
      </c>
      <c r="K126" s="102"/>
    </row>
    <row r="127" spans="1:11" x14ac:dyDescent="0.2">
      <c r="A127" s="20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88.07</v>
      </c>
    </row>
    <row r="128" spans="1:11" x14ac:dyDescent="0.2">
      <c r="A128" s="20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4490.8500000000004</v>
      </c>
      <c r="K128" s="100"/>
    </row>
    <row r="129" spans="1:9" x14ac:dyDescent="0.2">
      <c r="A129" s="20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1269.6400000000001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5760.49</v>
      </c>
    </row>
    <row r="131" spans="1:9" hidden="1" x14ac:dyDescent="0.2">
      <c r="I131" s="100"/>
    </row>
    <row r="132" spans="1:9" hidden="1" x14ac:dyDescent="0.2">
      <c r="A132" s="20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209" t="s">
        <v>210</v>
      </c>
      <c r="I133" s="211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86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86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86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idden="1" x14ac:dyDescent="0.2">
      <c r="A142" s="20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210"/>
      <c r="B144" s="324" t="s">
        <v>220</v>
      </c>
      <c r="C144" s="324"/>
      <c r="D144" s="324"/>
      <c r="E144" s="324"/>
      <c r="F144" s="324"/>
      <c r="G144" s="324"/>
      <c r="H144" s="324"/>
      <c r="I144" s="211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95.04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1269.6400000000001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204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3.365558541715354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11520.98</v>
      </c>
    </row>
    <row r="155" spans="1:9" x14ac:dyDescent="0.2">
      <c r="A155" s="124" t="s">
        <v>228</v>
      </c>
      <c r="B155" s="124"/>
      <c r="C155" s="102">
        <f>H8*C154</f>
        <v>138251.76</v>
      </c>
    </row>
    <row r="156" spans="1:9" x14ac:dyDescent="0.2">
      <c r="A156" s="125"/>
    </row>
    <row r="157" spans="1:9" x14ac:dyDescent="0.2">
      <c r="A157" s="125"/>
    </row>
  </sheetData>
  <mergeCells count="166"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57"/>
  <sheetViews>
    <sheetView topLeftCell="A103" workbookViewId="0">
      <selection activeCell="J163" sqref="J163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290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55" t="s">
        <v>11</v>
      </c>
      <c r="B7" s="292" t="s">
        <v>244</v>
      </c>
      <c r="C7" s="292"/>
      <c r="D7" s="292"/>
      <c r="E7" s="292"/>
      <c r="F7" s="292"/>
      <c r="G7" s="292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3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6.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246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33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f xml:space="preserve"> SUM(2175.53) + 6.2%*2175.53</f>
        <v>2310.4128600000004</v>
      </c>
      <c r="I17" s="298"/>
    </row>
    <row r="18" spans="1:10" ht="24.7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32" t="s">
        <v>245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2310.4128600000004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2592.81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215.98107299999998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72.080117999999999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288.06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3122.15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624.43000000000006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78.053750000000008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52.639448999999999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46.832250000000002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31.221500000000002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18.732900000000001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6.2443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249.77200000000002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1107.92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317</v>
      </c>
      <c r="C49" s="301"/>
      <c r="D49" s="301"/>
      <c r="E49" s="301"/>
      <c r="F49" s="301"/>
      <c r="G49" s="301"/>
      <c r="H49" s="55" t="s">
        <v>143</v>
      </c>
      <c r="I49" s="56">
        <f>(8.55*2*22)-(I23*0.06)</f>
        <v>237.57522840000004</v>
      </c>
      <c r="J49" s="71"/>
    </row>
    <row r="50" spans="1:10" x14ac:dyDescent="0.2">
      <c r="A50" s="66" t="s">
        <v>10</v>
      </c>
      <c r="B50" s="301" t="s">
        <v>279</v>
      </c>
      <c r="C50" s="301"/>
      <c r="D50" s="301"/>
      <c r="E50" s="301"/>
      <c r="F50" s="301"/>
      <c r="G50" s="301"/>
      <c r="H50" s="55" t="s">
        <v>143</v>
      </c>
      <c r="I50" s="56">
        <f>(23.5*22)-(517*0.1)</f>
        <v>465.3</v>
      </c>
      <c r="J50" s="71"/>
    </row>
    <row r="51" spans="1:10" x14ac:dyDescent="0.2">
      <c r="A51" s="66" t="s">
        <v>11</v>
      </c>
      <c r="B51" s="301" t="s">
        <v>319</v>
      </c>
      <c r="C51" s="301"/>
      <c r="D51" s="301"/>
      <c r="E51" s="301"/>
      <c r="F51" s="301"/>
      <c r="G51" s="301"/>
      <c r="H51" s="55" t="s">
        <v>143</v>
      </c>
      <c r="I51" s="56">
        <v>13.8</v>
      </c>
      <c r="J51" s="71"/>
    </row>
    <row r="52" spans="1:10" x14ac:dyDescent="0.2">
      <c r="A52" s="66" t="s">
        <v>12</v>
      </c>
      <c r="B52" s="303" t="s">
        <v>318</v>
      </c>
      <c r="C52" s="303"/>
      <c r="D52" s="303"/>
      <c r="E52" s="303"/>
      <c r="F52" s="303"/>
      <c r="G52" s="303"/>
      <c r="H52" s="182" t="s">
        <v>143</v>
      </c>
      <c r="I52" s="56">
        <v>20.149999999999999</v>
      </c>
      <c r="J52" s="71"/>
    </row>
    <row r="53" spans="1:10" x14ac:dyDescent="0.2">
      <c r="A53" s="66" t="s">
        <v>3</v>
      </c>
      <c r="B53" s="303" t="s">
        <v>324</v>
      </c>
      <c r="C53" s="303"/>
      <c r="D53" s="303"/>
      <c r="E53" s="303"/>
      <c r="F53" s="303"/>
      <c r="G53" s="303"/>
      <c r="H53" s="55" t="s">
        <v>143</v>
      </c>
      <c r="I53" s="56">
        <f>(I23*2/12/3)</f>
        <v>128.35627000000002</v>
      </c>
      <c r="J53" s="71"/>
    </row>
    <row r="54" spans="1:10" x14ac:dyDescent="0.2">
      <c r="A54" s="66" t="s">
        <v>4</v>
      </c>
      <c r="B54" s="303" t="s">
        <v>280</v>
      </c>
      <c r="C54" s="303"/>
      <c r="D54" s="303"/>
      <c r="E54" s="303"/>
      <c r="F54" s="303"/>
      <c r="G54" s="303"/>
      <c r="H54" s="55" t="s">
        <v>143</v>
      </c>
      <c r="I54" s="58">
        <f>I23/12/3</f>
        <v>64.178135000000012</v>
      </c>
      <c r="J54" s="71"/>
    </row>
    <row r="55" spans="1:10" x14ac:dyDescent="0.2">
      <c r="A55" s="66" t="s">
        <v>5</v>
      </c>
      <c r="B55" s="303" t="s">
        <v>323</v>
      </c>
      <c r="C55" s="303"/>
      <c r="D55" s="303"/>
      <c r="E55" s="303"/>
      <c r="F55" s="303"/>
      <c r="G55" s="303"/>
      <c r="H55" s="57"/>
      <c r="I55" s="58">
        <f>44/12+49</f>
        <v>52.666666666666664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982.02630006666664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288.06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1107.92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982.02630006666664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2378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10.889802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0.87118415999999999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0.43559207999999999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50.300514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17.849640398040005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2.0120205599999998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82.35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215.98107299999998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21.261042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0.51856199999999997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0.77784299999999995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2.7472415121000004</v>
      </c>
      <c r="J81" s="75" t="s">
        <v>173</v>
      </c>
      <c r="K81" s="76">
        <f>I33+I34+I51+I52+I53</f>
        <v>450.36746100000005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241.28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241.28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241.28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Uniformes!E16</f>
        <v>65.515314352499999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65.510000000000005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160.79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374.85</v>
      </c>
      <c r="J106" s="82">
        <f>SUM(I105:I106)</f>
        <v>535.64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113.44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522.52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343.76</v>
      </c>
      <c r="J110" s="87">
        <f>SUM(I108:I110)</f>
        <v>979.72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1515.36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5895.59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6875.32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979.73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2592.81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2378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82.35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241.28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65.510000000000005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5359.95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1515.36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6875.31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113.44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1515.36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2.9757928199897568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20625.93</v>
      </c>
    </row>
    <row r="155" spans="1:9" x14ac:dyDescent="0.2">
      <c r="A155" s="124" t="s">
        <v>228</v>
      </c>
      <c r="B155" s="124"/>
      <c r="C155" s="102">
        <f>H8*C154</f>
        <v>247511.16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103" workbookViewId="0">
      <selection activeCell="H17" sqref="H17:I17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291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6.25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1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4.2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247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34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1929.4</v>
      </c>
      <c r="I17" s="298"/>
    </row>
    <row r="18" spans="1:10" ht="12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27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1929.4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2211.8000000000002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184.24294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61.488039999999998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245.73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2662.96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532.59199999999998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66.573999999999998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44.897505600000002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39.944400000000002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26.6296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15.97776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5.32592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213.0368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944.97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(8.55*2*22)-(I23*0.06)</f>
        <v>260.43600000000004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(I23*2.7%)-(52.09*0.4)</f>
        <v>31.257800000000007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/>
      <c r="I55" s="58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610.64380000000006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245.73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944.97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610.64380000000006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1801.34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9.2895599999999998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0.74316480000000007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0.37158240000000003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42.908920000000002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15.226659351200006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1.7163568000000002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70.25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184.24294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18.136760000000002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0.44236000000000003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0.66354000000000002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1.9507623913333336</v>
      </c>
      <c r="J81" s="75" t="s">
        <v>173</v>
      </c>
      <c r="K81" s="76">
        <f>I33+I34+I51+I52+I53</f>
        <v>319.79711333333336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205.43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205.43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205.43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Uniformes!E30</f>
        <v>103.83778878583333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103.83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174">
        <v>0.03</v>
      </c>
      <c r="I105" s="134">
        <f>TRUNC(H105*I128,2)</f>
        <v>131.77000000000001</v>
      </c>
      <c r="J105" s="135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174">
        <v>6.7900000000000002E-2</v>
      </c>
      <c r="I106" s="134">
        <f>TRUNC(H106*(I105+I128),2)</f>
        <v>307.2</v>
      </c>
      <c r="J106" s="136">
        <f>SUM(I105:I106)</f>
        <v>438.97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175">
        <v>1.6500000000000001E-2</v>
      </c>
      <c r="I108" s="140">
        <f>TRUNC(H108*I117,2)</f>
        <v>92.96</v>
      </c>
      <c r="J108" s="138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175">
        <v>7.5999999999999998E-2</v>
      </c>
      <c r="I109" s="140">
        <f>TRUNC(H109*I117,2)</f>
        <v>428.22</v>
      </c>
      <c r="J109" s="138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175">
        <v>0.05</v>
      </c>
      <c r="I110" s="140">
        <f>TRUNC(H110*I117,2)</f>
        <v>281.72000000000003</v>
      </c>
      <c r="J110" s="141">
        <f>SUM(I108:I110)</f>
        <v>802.90000000000009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0">
        <f>SUM(H105:H110)</f>
        <v>0.2404</v>
      </c>
      <c r="I111" s="142">
        <f>TRUNC(SUM(I105:I110),2)</f>
        <v>1241.8699999999999</v>
      </c>
      <c r="J111" s="135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4831.62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5634.54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802.92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2211.8000000000002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1801.34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70.25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205.43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103.83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4392.6499999999996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1241.8699999999999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5634.52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92.96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1241.8699999999999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2.9203482948066757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5634.52</v>
      </c>
    </row>
    <row r="155" spans="1:9" x14ac:dyDescent="0.2">
      <c r="A155" s="124" t="s">
        <v>228</v>
      </c>
      <c r="B155" s="124"/>
      <c r="C155" s="102">
        <f>H8*C154</f>
        <v>67614.240000000005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100" workbookViewId="0">
      <selection activeCell="B49" sqref="B49:G55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292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7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6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4.2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248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34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5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249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2082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173.4306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57.879599999999996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231.31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2506.6999999999998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501.34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62.667499999999997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42.262961999999995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37.600499999999997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25.067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15.040199999999999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5.0133999999999999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200.536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889.52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165.62400000000002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/>
      <c r="I55" s="58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513.72720000000004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231.31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889.52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513.72720000000004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1634.55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8.7443999999999988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0.69955199999999995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0.34977599999999998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40.390799999999999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14.333079288000004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1.615632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66.13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173.4306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17.072400000000002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0.41639999999999999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0.62459999999999993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1.8499575733333338</v>
      </c>
      <c r="J81" s="75" t="s">
        <v>173</v>
      </c>
      <c r="K81" s="76">
        <f>I33+I34+I51+I52+I53</f>
        <v>303.27173333333337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193.39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193.39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193.39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Uniformes!E30</f>
        <v>103.83778878583333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103.83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133">
        <v>0.03</v>
      </c>
      <c r="I105" s="134">
        <f>TRUNC(H105*I128,2)</f>
        <v>122.39</v>
      </c>
      <c r="J105" s="135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133">
        <v>6.7900000000000002E-2</v>
      </c>
      <c r="I106" s="134">
        <f>TRUNC(H106*(I105+I128),2)</f>
        <v>285.33</v>
      </c>
      <c r="J106" s="136">
        <f>SUM(I105:I106)</f>
        <v>407.71999999999997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139">
        <v>1.6500000000000001E-2</v>
      </c>
      <c r="I108" s="140">
        <f>TRUNC(H108*I117,2)</f>
        <v>86.35</v>
      </c>
      <c r="J108" s="138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139">
        <v>7.5999999999999998E-2</v>
      </c>
      <c r="I109" s="140">
        <f>TRUNC(H109*I117,2)</f>
        <v>397.73</v>
      </c>
      <c r="J109" s="138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139">
        <v>0.05</v>
      </c>
      <c r="I110" s="140">
        <f>TRUNC(H110*I117,2)</f>
        <v>261.66000000000003</v>
      </c>
      <c r="J110" s="141">
        <f>SUM(I108:I110)</f>
        <v>745.74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1">
        <f>SUM(H105:H110)</f>
        <v>0.2404</v>
      </c>
      <c r="I111" s="142">
        <f>TRUNC(SUM(I105:I110),2)</f>
        <v>1153.46</v>
      </c>
      <c r="J111" s="135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4487.62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5233.37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745.75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2082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1634.55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66.13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193.39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103.83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4079.9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1153.46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5233.3599999999997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86.35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1153.46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2.9080684596577018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31400.159999999996</v>
      </c>
    </row>
    <row r="155" spans="1:9" x14ac:dyDescent="0.2">
      <c r="A155" s="124" t="s">
        <v>228</v>
      </c>
      <c r="B155" s="124"/>
      <c r="C155" s="102">
        <f>H8*C154</f>
        <v>376801.91999999993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57"/>
  <sheetViews>
    <sheetView topLeftCell="A103" workbookViewId="0">
      <selection activeCell="N57" sqref="N57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293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15" customHeight="1" x14ac:dyDescent="0.2">
      <c r="A7" s="55" t="s">
        <v>11</v>
      </c>
      <c r="B7" s="343" t="s">
        <v>244</v>
      </c>
      <c r="C7" s="344"/>
      <c r="D7" s="344"/>
      <c r="E7" s="344"/>
      <c r="F7" s="344"/>
      <c r="G7" s="345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4.2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29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76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2386.44</v>
      </c>
      <c r="I17" s="298"/>
    </row>
    <row r="18" spans="1:10" ht="12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250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2386.44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320</v>
      </c>
      <c r="C28" s="292"/>
      <c r="D28" s="292"/>
      <c r="E28" s="292"/>
      <c r="F28" s="292"/>
      <c r="G28" s="292"/>
      <c r="H28" s="177">
        <v>0.1</v>
      </c>
      <c r="I28" s="58">
        <f>I23*10%</f>
        <v>238.64400000000001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2907.48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242.193084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80.827944000000002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323.02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3501.37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700.274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87.53425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59.033098199999998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52.520549999999993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35.0137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21.008220000000001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7.0027400000000002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280.1096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1242.49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317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130.41360000000003</v>
      </c>
      <c r="J49" s="71"/>
    </row>
    <row r="50" spans="1:10" x14ac:dyDescent="0.2">
      <c r="A50" s="66" t="s">
        <v>10</v>
      </c>
      <c r="B50" s="301" t="s">
        <v>279</v>
      </c>
      <c r="C50" s="301"/>
      <c r="D50" s="301"/>
      <c r="E50" s="301"/>
      <c r="F50" s="301"/>
      <c r="G50" s="301"/>
      <c r="H50" s="55" t="s">
        <v>143</v>
      </c>
      <c r="I50" s="56">
        <f>(23.5*16)-(376*0.1)</f>
        <v>338.4</v>
      </c>
      <c r="J50" s="71"/>
    </row>
    <row r="51" spans="1:10" x14ac:dyDescent="0.2">
      <c r="A51" s="66" t="s">
        <v>11</v>
      </c>
      <c r="B51" s="301" t="s">
        <v>319</v>
      </c>
      <c r="C51" s="301"/>
      <c r="D51" s="301"/>
      <c r="E51" s="301"/>
      <c r="F51" s="301"/>
      <c r="G51" s="301"/>
      <c r="H51" s="55" t="s">
        <v>143</v>
      </c>
      <c r="I51" s="56">
        <f>'Ass Adm. Diarista '!I51</f>
        <v>13.8</v>
      </c>
      <c r="J51" s="71"/>
    </row>
    <row r="52" spans="1:10" x14ac:dyDescent="0.2">
      <c r="A52" s="66" t="s">
        <v>12</v>
      </c>
      <c r="B52" s="303" t="s">
        <v>318</v>
      </c>
      <c r="C52" s="303"/>
      <c r="D52" s="303"/>
      <c r="E52" s="303"/>
      <c r="F52" s="303"/>
      <c r="G52" s="303"/>
      <c r="H52" s="182" t="s">
        <v>143</v>
      </c>
      <c r="I52" s="56">
        <f>'Ass Adm. Diarista '!I52</f>
        <v>20.149999999999999</v>
      </c>
      <c r="J52" s="71"/>
    </row>
    <row r="53" spans="1:10" x14ac:dyDescent="0.2">
      <c r="A53" s="66" t="s">
        <v>3</v>
      </c>
      <c r="B53" s="303" t="s">
        <v>324</v>
      </c>
      <c r="C53" s="303"/>
      <c r="D53" s="303"/>
      <c r="E53" s="303"/>
      <c r="F53" s="303"/>
      <c r="G53" s="303"/>
      <c r="H53" s="55" t="s">
        <v>143</v>
      </c>
      <c r="I53" s="56">
        <f>(I23*2/12/2)</f>
        <v>198.87</v>
      </c>
      <c r="J53" s="71"/>
    </row>
    <row r="54" spans="1:10" x14ac:dyDescent="0.2">
      <c r="A54" s="66" t="s">
        <v>4</v>
      </c>
      <c r="B54" s="303" t="s">
        <v>280</v>
      </c>
      <c r="C54" s="303"/>
      <c r="D54" s="303"/>
      <c r="E54" s="303"/>
      <c r="F54" s="303"/>
      <c r="G54" s="303"/>
      <c r="H54" s="55" t="s">
        <v>143</v>
      </c>
      <c r="I54" s="56">
        <f>I23/12/2</f>
        <v>99.435000000000002</v>
      </c>
      <c r="J54" s="71"/>
    </row>
    <row r="55" spans="1:10" x14ac:dyDescent="0.2">
      <c r="A55" s="66" t="s">
        <v>5</v>
      </c>
      <c r="B55" s="303" t="s">
        <v>323</v>
      </c>
      <c r="C55" s="303"/>
      <c r="D55" s="303"/>
      <c r="E55" s="303"/>
      <c r="F55" s="303"/>
      <c r="G55" s="303"/>
      <c r="H55" s="57"/>
      <c r="I55" s="58">
        <f>'Ass Adm. Diarista '!I55</f>
        <v>52.666666666666664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853.73526666666669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323.02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1242.49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853.73526666666669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2419.2399999999998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12.211416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0.97691327999999999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0.48845664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56.405112000000003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20.015918044320006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2.2562044800000001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92.35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242.193084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23.841336000000002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0.58149600000000001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0.87224399999999991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3.3906302708000005</v>
      </c>
      <c r="J81" s="75" t="s">
        <v>173</v>
      </c>
      <c r="K81" s="76">
        <f>I33+I34+I51+I52+I53</f>
        <v>555.84102800000005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270.87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270.87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270.87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Uniformes!E99</f>
        <v>94.525785652500005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94.52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133">
        <v>0.03</v>
      </c>
      <c r="I105" s="134">
        <f>TRUNC(H105*I128,2)</f>
        <v>173.53</v>
      </c>
      <c r="J105" s="135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133">
        <v>6.7900000000000002E-2</v>
      </c>
      <c r="I106" s="134">
        <f>TRUNC(H106*(I105+I128),2)</f>
        <v>404.54</v>
      </c>
      <c r="J106" s="136">
        <f>SUM(I105:I106)</f>
        <v>578.07000000000005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139">
        <v>1.6500000000000001E-2</v>
      </c>
      <c r="I108" s="140">
        <f>TRUNC(H108*I117,2)</f>
        <v>122.42</v>
      </c>
      <c r="J108" s="138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139">
        <v>7.5999999999999998E-2</v>
      </c>
      <c r="I109" s="140">
        <f>TRUNC(H109*I117,2)</f>
        <v>563.9</v>
      </c>
      <c r="J109" s="138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139">
        <v>0.05</v>
      </c>
      <c r="I110" s="140">
        <f>TRUNC(H110*I117,2)</f>
        <v>370.99</v>
      </c>
      <c r="J110" s="141">
        <f>SUM(I108:I110)</f>
        <v>1057.31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1">
        <f>SUM(H105:H110)</f>
        <v>0.2404</v>
      </c>
      <c r="I111" s="142">
        <f>TRUNC(SUM(I105:I110),2)</f>
        <v>1635.38</v>
      </c>
      <c r="J111" s="135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6362.53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7419.86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1057.33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2907.48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2419.2399999999998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92.35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270.87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94.52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5784.46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1635.38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7419.84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122.42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1635.38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2" spans="1:9" x14ac:dyDescent="0.2">
      <c r="A152" s="124" t="s">
        <v>226</v>
      </c>
      <c r="B152" s="124">
        <f>I130/I23</f>
        <v>3.1091667923769295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14839.68</v>
      </c>
    </row>
    <row r="155" spans="1:9" x14ac:dyDescent="0.2">
      <c r="A155" s="124" t="s">
        <v>228</v>
      </c>
      <c r="B155" s="124"/>
      <c r="C155" s="102">
        <f>H8*C154</f>
        <v>178076.16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100" workbookViewId="0">
      <selection activeCell="I50" sqref="I50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294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3.25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4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3.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251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76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1929.4</v>
      </c>
      <c r="I17" s="298"/>
    </row>
    <row r="18" spans="1:10" ht="14.25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252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1929.4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2211.8000000000002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184.24294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61.488039999999998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245.73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2662.96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532.59199999999998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66.573999999999998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44.897505600000002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39.944400000000002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26.6296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15.97776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5.32592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213.0368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944.97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157.83600000000001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(I23*2.7%)-(52.09*0.4)</f>
        <v>31.257800000000007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508.04380000000003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245.73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944.97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508.04380000000003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1698.74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9.2895599999999998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0.74316480000000007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0.37158240000000003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42.908920000000002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15.226659351200006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1.7163568000000002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70.25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184.24294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18.136760000000002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0.44236000000000003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0.66354000000000002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1.9507623913333336</v>
      </c>
      <c r="J81" s="75" t="s">
        <v>173</v>
      </c>
      <c r="K81" s="76">
        <f>I33+I34+I51+I52+I53</f>
        <v>319.79711333333336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205.43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205.43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205.43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Uniformes!E55</f>
        <v>125.68518075249999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125.68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133">
        <v>0.03</v>
      </c>
      <c r="I105" s="134">
        <f>TRUNC(H105*I128,2)</f>
        <v>129.35</v>
      </c>
      <c r="J105" s="135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133">
        <v>6.7900000000000002E-2</v>
      </c>
      <c r="I106" s="134">
        <f>TRUNC(H106*(I105+I128),2)</f>
        <v>301.56</v>
      </c>
      <c r="J106" s="136">
        <f>SUM(I105:I106)</f>
        <v>430.90999999999997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139">
        <v>1.6500000000000001E-2</v>
      </c>
      <c r="I108" s="140">
        <f>TRUNC(H108*I117,2)</f>
        <v>91.26</v>
      </c>
      <c r="J108" s="138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139">
        <v>7.5999999999999998E-2</v>
      </c>
      <c r="I109" s="140">
        <f>TRUNC(H109*I117,2)</f>
        <v>420.35</v>
      </c>
      <c r="J109" s="138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139">
        <v>0.05</v>
      </c>
      <c r="I110" s="140">
        <f>TRUNC(H110*I117,2)</f>
        <v>276.54000000000002</v>
      </c>
      <c r="J110" s="141">
        <f>SUM(I108:I110)</f>
        <v>788.15000000000009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1">
        <f>SUM(H105:H110)</f>
        <v>0.2404</v>
      </c>
      <c r="I111" s="142">
        <f>TRUNC(SUM(I105:I110),2)</f>
        <v>1219.06</v>
      </c>
      <c r="J111" s="135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4742.8100000000004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5530.97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788.16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2211.8000000000002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1698.74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70.25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205.43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125.68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4311.8999999999996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1219.06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5530.96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91.26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1219.06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2.8666735772779099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22123.84</v>
      </c>
    </row>
    <row r="155" spans="1:9" x14ac:dyDescent="0.2">
      <c r="A155" s="124" t="s">
        <v>228</v>
      </c>
      <c r="B155" s="124"/>
      <c r="C155" s="102">
        <f>H8*C154</f>
        <v>265486.08000000002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workbookViewId="0">
      <selection activeCell="I26" sqref="I26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295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82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82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4.75" customHeight="1" x14ac:dyDescent="0.2">
      <c r="A7" s="182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182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78"/>
      <c r="B9" s="181"/>
      <c r="C9" s="181"/>
      <c r="D9" s="181"/>
      <c r="E9" s="181"/>
      <c r="F9" s="181"/>
      <c r="G9" s="181"/>
      <c r="H9" s="178"/>
      <c r="I9" s="178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78"/>
      <c r="B13" s="181"/>
      <c r="C13" s="181"/>
      <c r="D13" s="181"/>
      <c r="E13" s="181"/>
      <c r="F13" s="181"/>
      <c r="G13" s="181"/>
      <c r="H13" s="178"/>
      <c r="I13" s="178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5.5" customHeight="1" x14ac:dyDescent="0.2">
      <c r="A15" s="182">
        <v>1</v>
      </c>
      <c r="B15" s="292" t="s">
        <v>15</v>
      </c>
      <c r="C15" s="292"/>
      <c r="D15" s="292"/>
      <c r="E15" s="292"/>
      <c r="F15" s="292"/>
      <c r="G15" s="292"/>
      <c r="H15" s="346" t="s">
        <v>253</v>
      </c>
      <c r="I15" s="347"/>
    </row>
    <row r="16" spans="1:9" x14ac:dyDescent="0.2">
      <c r="A16" s="182">
        <v>2</v>
      </c>
      <c r="B16" s="292" t="s">
        <v>117</v>
      </c>
      <c r="C16" s="292"/>
      <c r="D16" s="292"/>
      <c r="E16" s="292"/>
      <c r="F16" s="292"/>
      <c r="G16" s="292"/>
      <c r="H16" s="274" t="s">
        <v>36</v>
      </c>
      <c r="I16" s="274"/>
    </row>
    <row r="17" spans="1:10" x14ac:dyDescent="0.2">
      <c r="A17" s="182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2" customHeight="1" x14ac:dyDescent="0.2">
      <c r="A18" s="182">
        <v>4</v>
      </c>
      <c r="B18" s="292" t="s">
        <v>16</v>
      </c>
      <c r="C18" s="292"/>
      <c r="D18" s="292"/>
      <c r="E18" s="292"/>
      <c r="F18" s="292"/>
      <c r="G18" s="292"/>
      <c r="H18" s="332" t="s">
        <v>254</v>
      </c>
      <c r="I18" s="333"/>
    </row>
    <row r="19" spans="1:10" x14ac:dyDescent="0.2">
      <c r="A19" s="182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79">
        <v>1</v>
      </c>
      <c r="B22" s="297" t="s">
        <v>120</v>
      </c>
      <c r="C22" s="297"/>
      <c r="D22" s="297"/>
      <c r="E22" s="297"/>
      <c r="F22" s="297"/>
      <c r="G22" s="297"/>
      <c r="H22" s="179" t="s">
        <v>43</v>
      </c>
      <c r="I22" s="179" t="s">
        <v>121</v>
      </c>
    </row>
    <row r="23" spans="1:10" x14ac:dyDescent="0.2">
      <c r="A23" s="179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179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79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179" t="s">
        <v>12</v>
      </c>
      <c r="B26" s="292" t="s">
        <v>124</v>
      </c>
      <c r="C26" s="292"/>
      <c r="D26" s="292"/>
      <c r="E26" s="292"/>
      <c r="F26" s="292"/>
      <c r="G26" s="292"/>
      <c r="H26" s="53">
        <v>0.2</v>
      </c>
      <c r="I26" s="58">
        <f>I23*H26</f>
        <v>359.92</v>
      </c>
    </row>
    <row r="27" spans="1:10" x14ac:dyDescent="0.2">
      <c r="A27" s="179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79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2441.92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79" t="s">
        <v>43</v>
      </c>
      <c r="I32" s="179" t="s">
        <v>121</v>
      </c>
      <c r="J32" s="71"/>
    </row>
    <row r="33" spans="1:11" x14ac:dyDescent="0.2">
      <c r="A33" s="179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203.411936</v>
      </c>
      <c r="J33" s="71"/>
    </row>
    <row r="34" spans="1:11" x14ac:dyDescent="0.2">
      <c r="A34" s="179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67.885375999999994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271.29000000000002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2939.96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79" t="s">
        <v>43</v>
      </c>
      <c r="I37" s="179" t="s">
        <v>121</v>
      </c>
      <c r="J37" s="71" t="s">
        <v>132</v>
      </c>
    </row>
    <row r="38" spans="1:11" x14ac:dyDescent="0.2">
      <c r="A38" s="179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587.99200000000008</v>
      </c>
      <c r="J38" s="71"/>
    </row>
    <row r="39" spans="1:11" x14ac:dyDescent="0.2">
      <c r="A39" s="179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73.499000000000009</v>
      </c>
      <c r="J39" s="71"/>
    </row>
    <row r="40" spans="1:11" x14ac:dyDescent="0.2">
      <c r="A40" s="179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49.567725600000003</v>
      </c>
      <c r="J40" s="71"/>
    </row>
    <row r="41" spans="1:11" x14ac:dyDescent="0.2">
      <c r="A41" s="179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44.099399999999996</v>
      </c>
      <c r="J41" s="71"/>
    </row>
    <row r="42" spans="1:11" x14ac:dyDescent="0.2">
      <c r="A42" s="179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29.3996</v>
      </c>
      <c r="J42" s="71"/>
    </row>
    <row r="43" spans="1:11" x14ac:dyDescent="0.2">
      <c r="A43" s="179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17.639759999999999</v>
      </c>
      <c r="J43" s="71"/>
    </row>
    <row r="44" spans="1:11" x14ac:dyDescent="0.2">
      <c r="A44" s="179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5.8799200000000003</v>
      </c>
      <c r="J44" s="71"/>
    </row>
    <row r="45" spans="1:11" x14ac:dyDescent="0.2">
      <c r="A45" s="179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235.1968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1043.27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79" t="s">
        <v>121</v>
      </c>
      <c r="J48" s="71"/>
    </row>
    <row r="49" spans="1:10" x14ac:dyDescent="0.2">
      <c r="A49" s="179" t="s">
        <v>9</v>
      </c>
      <c r="B49" s="301" t="s">
        <v>316</v>
      </c>
      <c r="C49" s="301"/>
      <c r="D49" s="301"/>
      <c r="E49" s="301"/>
      <c r="F49" s="301"/>
      <c r="G49" s="301"/>
      <c r="H49" s="182" t="s">
        <v>143</v>
      </c>
      <c r="I49" s="56">
        <f>(8.55*2*16)-(I23*0.06)</f>
        <v>165.62400000000002</v>
      </c>
      <c r="J49" s="71"/>
    </row>
    <row r="50" spans="1:10" x14ac:dyDescent="0.2">
      <c r="A50" s="179" t="s">
        <v>10</v>
      </c>
      <c r="B50" s="301" t="s">
        <v>313</v>
      </c>
      <c r="C50" s="301"/>
      <c r="D50" s="301"/>
      <c r="E50" s="301"/>
      <c r="F50" s="301"/>
      <c r="G50" s="301"/>
      <c r="H50" s="182" t="s">
        <v>143</v>
      </c>
      <c r="I50" s="56">
        <f>'Serv Limp Plant Diurno'!I50</f>
        <v>234.1</v>
      </c>
      <c r="J50" s="71"/>
    </row>
    <row r="51" spans="1:10" x14ac:dyDescent="0.2">
      <c r="A51" s="179" t="s">
        <v>11</v>
      </c>
      <c r="B51" s="301" t="s">
        <v>321</v>
      </c>
      <c r="C51" s="301"/>
      <c r="D51" s="301"/>
      <c r="E51" s="301"/>
      <c r="F51" s="301"/>
      <c r="G51" s="301"/>
      <c r="H51" s="182" t="s">
        <v>143</v>
      </c>
      <c r="I51" s="56">
        <v>5</v>
      </c>
      <c r="J51" s="71"/>
    </row>
    <row r="52" spans="1:10" x14ac:dyDescent="0.2">
      <c r="A52" s="179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179" t="s">
        <v>3</v>
      </c>
      <c r="B53" s="303" t="s">
        <v>315</v>
      </c>
      <c r="C53" s="303"/>
      <c r="D53" s="303"/>
      <c r="E53" s="303"/>
      <c r="F53" s="303"/>
      <c r="G53" s="303"/>
      <c r="H53" s="182" t="s">
        <v>143</v>
      </c>
      <c r="I53" s="56">
        <f>'Serv Limp Plant Diurno'!I53</f>
        <v>37.80833333333333</v>
      </c>
      <c r="J53" s="71"/>
    </row>
    <row r="54" spans="1:10" x14ac:dyDescent="0.2">
      <c r="A54" s="179" t="s">
        <v>4</v>
      </c>
      <c r="B54" s="303" t="s">
        <v>314</v>
      </c>
      <c r="C54" s="303"/>
      <c r="D54" s="303"/>
      <c r="E54" s="303"/>
      <c r="F54" s="303"/>
      <c r="G54" s="303"/>
      <c r="H54" s="182" t="s">
        <v>143</v>
      </c>
      <c r="I54" s="56">
        <f>'Serv Limp Plant Diurno'!I54</f>
        <v>33.583333333333336</v>
      </c>
      <c r="J54" s="71"/>
    </row>
    <row r="55" spans="1:10" x14ac:dyDescent="0.2">
      <c r="A55" s="179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513.72720000000004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79" t="s">
        <v>121</v>
      </c>
      <c r="J59" s="71"/>
    </row>
    <row r="60" spans="1:10" x14ac:dyDescent="0.2">
      <c r="A60" s="179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271.29000000000002</v>
      </c>
      <c r="J60" s="71"/>
    </row>
    <row r="61" spans="1:10" x14ac:dyDescent="0.2">
      <c r="A61" s="179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1043.27</v>
      </c>
      <c r="J61" s="71"/>
    </row>
    <row r="62" spans="1:10" x14ac:dyDescent="0.2">
      <c r="A62" s="179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513.72720000000004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1828.28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79">
        <v>3</v>
      </c>
      <c r="B66" s="297" t="s">
        <v>158</v>
      </c>
      <c r="C66" s="297"/>
      <c r="D66" s="297"/>
      <c r="E66" s="297"/>
      <c r="F66" s="297"/>
      <c r="G66" s="297"/>
      <c r="H66" s="179" t="s">
        <v>43</v>
      </c>
      <c r="I66" s="179" t="s">
        <v>121</v>
      </c>
      <c r="J66" s="71"/>
    </row>
    <row r="67" spans="1:10" x14ac:dyDescent="0.2">
      <c r="A67" s="179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10.256064</v>
      </c>
      <c r="J67" s="71"/>
    </row>
    <row r="68" spans="1:10" x14ac:dyDescent="0.2">
      <c r="A68" s="179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0.82048511999999996</v>
      </c>
      <c r="J68" s="71"/>
    </row>
    <row r="69" spans="1:10" x14ac:dyDescent="0.2">
      <c r="A69" s="179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0.41024255999999998</v>
      </c>
      <c r="J69" s="71"/>
    </row>
    <row r="70" spans="1:10" x14ac:dyDescent="0.2">
      <c r="A70" s="179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47.373248000000004</v>
      </c>
      <c r="J70" s="71"/>
    </row>
    <row r="71" spans="1:10" x14ac:dyDescent="0.2">
      <c r="A71" s="179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16.810870785280006</v>
      </c>
      <c r="J71" s="71"/>
    </row>
    <row r="72" spans="1:10" x14ac:dyDescent="0.2">
      <c r="A72" s="179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1.89492992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77.56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79" t="s">
        <v>43</v>
      </c>
      <c r="I76" s="179" t="s">
        <v>121</v>
      </c>
      <c r="J76" s="71"/>
    </row>
    <row r="77" spans="1:10" x14ac:dyDescent="0.2">
      <c r="A77" s="179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203.411936</v>
      </c>
      <c r="J77" s="71"/>
    </row>
    <row r="78" spans="1:10" x14ac:dyDescent="0.2">
      <c r="A78" s="179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20.023744000000001</v>
      </c>
      <c r="J78" s="71"/>
    </row>
    <row r="79" spans="1:10" x14ac:dyDescent="0.2">
      <c r="A79" s="179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0.48838400000000004</v>
      </c>
      <c r="J79" s="71"/>
    </row>
    <row r="80" spans="1:10" x14ac:dyDescent="0.2">
      <c r="A80" s="179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0.732576</v>
      </c>
      <c r="J80" s="71"/>
    </row>
    <row r="81" spans="1:11" x14ac:dyDescent="0.2">
      <c r="A81" s="179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2.0938789565333336</v>
      </c>
      <c r="J81" s="75" t="s">
        <v>173</v>
      </c>
      <c r="K81" s="76">
        <f>I33+I34+I51+I52+I53</f>
        <v>343.25884533333334</v>
      </c>
    </row>
    <row r="82" spans="1:11" x14ac:dyDescent="0.2">
      <c r="A82" s="179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226.75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79" t="s">
        <v>43</v>
      </c>
      <c r="I85" s="179" t="s">
        <v>121</v>
      </c>
      <c r="J85" s="71"/>
    </row>
    <row r="86" spans="1:11" x14ac:dyDescent="0.2">
      <c r="A86" s="179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79" t="s">
        <v>121</v>
      </c>
      <c r="J90" s="71"/>
    </row>
    <row r="91" spans="1:11" x14ac:dyDescent="0.2">
      <c r="A91" s="179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226.75</v>
      </c>
      <c r="J91" s="71"/>
    </row>
    <row r="92" spans="1:11" x14ac:dyDescent="0.2">
      <c r="A92" s="179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226.75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79">
        <v>5</v>
      </c>
      <c r="B96" s="297" t="s">
        <v>185</v>
      </c>
      <c r="C96" s="297"/>
      <c r="D96" s="297"/>
      <c r="E96" s="297"/>
      <c r="F96" s="297"/>
      <c r="G96" s="297"/>
      <c r="H96" s="179"/>
      <c r="I96" s="179" t="s">
        <v>121</v>
      </c>
      <c r="J96" s="71"/>
    </row>
    <row r="97" spans="1:10" x14ac:dyDescent="0.2">
      <c r="A97" s="179" t="s">
        <v>9</v>
      </c>
      <c r="B97" s="310" t="s">
        <v>286</v>
      </c>
      <c r="C97" s="310"/>
      <c r="D97" s="310"/>
      <c r="E97" s="310"/>
      <c r="F97" s="310"/>
      <c r="G97" s="310"/>
      <c r="H97" s="182" t="s">
        <v>143</v>
      </c>
      <c r="I97" s="58">
        <f>Uniformes!E55</f>
        <v>125.68518075249999</v>
      </c>
      <c r="J97" s="71"/>
    </row>
    <row r="98" spans="1:10" x14ac:dyDescent="0.2">
      <c r="A98" s="179" t="s">
        <v>10</v>
      </c>
      <c r="B98" s="310" t="s">
        <v>40</v>
      </c>
      <c r="C98" s="310"/>
      <c r="D98" s="310"/>
      <c r="E98" s="310"/>
      <c r="F98" s="310"/>
      <c r="G98" s="310"/>
      <c r="H98" s="182" t="s">
        <v>143</v>
      </c>
      <c r="I98" s="182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82" t="s">
        <v>143</v>
      </c>
      <c r="I99" s="182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182" t="s">
        <v>143</v>
      </c>
      <c r="I100" s="182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125.68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79">
        <v>6</v>
      </c>
      <c r="B104" s="297" t="s">
        <v>188</v>
      </c>
      <c r="C104" s="297"/>
      <c r="D104" s="297"/>
      <c r="E104" s="297"/>
      <c r="F104" s="297"/>
      <c r="G104" s="297"/>
      <c r="H104" s="179" t="s">
        <v>43</v>
      </c>
      <c r="I104" s="179" t="s">
        <v>121</v>
      </c>
      <c r="J104" s="71"/>
    </row>
    <row r="105" spans="1:10" x14ac:dyDescent="0.2">
      <c r="A105" s="179" t="s">
        <v>9</v>
      </c>
      <c r="B105" s="292" t="s">
        <v>189</v>
      </c>
      <c r="C105" s="292"/>
      <c r="D105" s="292"/>
      <c r="E105" s="292"/>
      <c r="F105" s="292"/>
      <c r="G105" s="292"/>
      <c r="H105" s="133">
        <v>0.03</v>
      </c>
      <c r="I105" s="134">
        <f>TRUNC(H105*I128,2)</f>
        <v>141</v>
      </c>
      <c r="J105" s="135"/>
    </row>
    <row r="106" spans="1:10" x14ac:dyDescent="0.2">
      <c r="A106" s="179" t="s">
        <v>10</v>
      </c>
      <c r="B106" s="292" t="s">
        <v>190</v>
      </c>
      <c r="C106" s="292"/>
      <c r="D106" s="292"/>
      <c r="E106" s="292"/>
      <c r="F106" s="292"/>
      <c r="G106" s="292"/>
      <c r="H106" s="133">
        <v>6.7900000000000002E-2</v>
      </c>
      <c r="I106" s="134">
        <f>TRUNC(H106*(I105+I128),2)</f>
        <v>328.71</v>
      </c>
      <c r="J106" s="136">
        <f>SUM(I105:I106)</f>
        <v>469.71</v>
      </c>
    </row>
    <row r="107" spans="1:10" x14ac:dyDescent="0.2">
      <c r="A107" s="179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179" t="s">
        <v>0</v>
      </c>
      <c r="B108" s="292" t="s">
        <v>192</v>
      </c>
      <c r="C108" s="292"/>
      <c r="D108" s="292"/>
      <c r="E108" s="292"/>
      <c r="F108" s="292"/>
      <c r="G108" s="292"/>
      <c r="H108" s="139">
        <v>1.6500000000000001E-2</v>
      </c>
      <c r="I108" s="140">
        <f>TRUNC(H108*I117,2)</f>
        <v>99.47</v>
      </c>
      <c r="J108" s="138"/>
    </row>
    <row r="109" spans="1:10" x14ac:dyDescent="0.2">
      <c r="A109" s="179" t="s">
        <v>193</v>
      </c>
      <c r="B109" s="292" t="s">
        <v>194</v>
      </c>
      <c r="C109" s="292"/>
      <c r="D109" s="292"/>
      <c r="E109" s="292"/>
      <c r="F109" s="292"/>
      <c r="G109" s="292"/>
      <c r="H109" s="139">
        <v>7.5999999999999998E-2</v>
      </c>
      <c r="I109" s="140">
        <f>TRUNC(H109*I117,2)</f>
        <v>458.2</v>
      </c>
      <c r="J109" s="138"/>
    </row>
    <row r="110" spans="1:10" x14ac:dyDescent="0.2">
      <c r="A110" s="179" t="s">
        <v>195</v>
      </c>
      <c r="B110" s="292" t="s">
        <v>196</v>
      </c>
      <c r="C110" s="292"/>
      <c r="D110" s="292"/>
      <c r="E110" s="292"/>
      <c r="F110" s="292"/>
      <c r="G110" s="292"/>
      <c r="H110" s="139">
        <v>0.05</v>
      </c>
      <c r="I110" s="140">
        <f>TRUNC(H110*I117,2)</f>
        <v>301.45</v>
      </c>
      <c r="J110" s="141">
        <f>SUM(I108:I110)</f>
        <v>859.11999999999989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1">
        <f>SUM(H105:H110)</f>
        <v>0.2404</v>
      </c>
      <c r="I111" s="142">
        <f>TRUNC(SUM(I105:I110),2)</f>
        <v>1328.83</v>
      </c>
      <c r="J111" s="135"/>
    </row>
    <row r="112" spans="1:10" x14ac:dyDescent="0.2">
      <c r="A112" s="178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5169.8999999999996</v>
      </c>
    </row>
    <row r="116" spans="1:11" x14ac:dyDescent="0.2">
      <c r="A116" s="91"/>
      <c r="B116" s="180"/>
      <c r="C116" s="180"/>
      <c r="D116" s="180"/>
      <c r="E116" s="180"/>
      <c r="F116" s="180"/>
      <c r="G116" s="180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6029.03</v>
      </c>
    </row>
    <row r="118" spans="1:11" x14ac:dyDescent="0.2">
      <c r="A118" s="91"/>
      <c r="B118" s="180"/>
      <c r="C118" s="180"/>
      <c r="D118" s="180"/>
      <c r="E118" s="180"/>
      <c r="F118" s="180"/>
      <c r="G118" s="180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859.13</v>
      </c>
      <c r="K119" s="100"/>
    </row>
    <row r="120" spans="1:11" x14ac:dyDescent="0.2">
      <c r="A120" s="178"/>
      <c r="B120" s="178"/>
      <c r="C120" s="178"/>
      <c r="D120" s="178"/>
      <c r="E120" s="178"/>
      <c r="F120" s="178"/>
      <c r="G120" s="178"/>
      <c r="H120" s="178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79" t="s">
        <v>121</v>
      </c>
    </row>
    <row r="123" spans="1:11" x14ac:dyDescent="0.2">
      <c r="A123" s="182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2441.92</v>
      </c>
    </row>
    <row r="124" spans="1:11" x14ac:dyDescent="0.2">
      <c r="A124" s="182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1828.28</v>
      </c>
    </row>
    <row r="125" spans="1:11" x14ac:dyDescent="0.2">
      <c r="A125" s="182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77.56</v>
      </c>
      <c r="K125" s="102"/>
    </row>
    <row r="126" spans="1:11" x14ac:dyDescent="0.2">
      <c r="A126" s="182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226.75</v>
      </c>
      <c r="K126" s="102"/>
    </row>
    <row r="127" spans="1:11" x14ac:dyDescent="0.2">
      <c r="A127" s="182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125.68</v>
      </c>
    </row>
    <row r="128" spans="1:11" x14ac:dyDescent="0.2">
      <c r="A128" s="179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4700.1899999999996</v>
      </c>
      <c r="K128" s="100"/>
    </row>
    <row r="129" spans="1:9" x14ac:dyDescent="0.2">
      <c r="A129" s="182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1328.83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6029.02</v>
      </c>
    </row>
    <row r="131" spans="1:9" x14ac:dyDescent="0.2">
      <c r="I131" s="100"/>
    </row>
    <row r="132" spans="1:9" hidden="1" x14ac:dyDescent="0.2">
      <c r="A132" s="178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85" t="s">
        <v>210</v>
      </c>
      <c r="I133" s="184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86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86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86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idden="1" x14ac:dyDescent="0.2">
      <c r="A142" s="178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83"/>
      <c r="B144" s="339" t="s">
        <v>220</v>
      </c>
      <c r="C144" s="339"/>
      <c r="D144" s="339"/>
      <c r="E144" s="339"/>
      <c r="F144" s="339"/>
      <c r="G144" s="339"/>
      <c r="H144" s="339"/>
      <c r="I144" s="184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99.47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1328.83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78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3.3502000444543234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12058.04</v>
      </c>
    </row>
    <row r="155" spans="1:9" x14ac:dyDescent="0.2">
      <c r="A155" s="124" t="s">
        <v>228</v>
      </c>
      <c r="B155" s="124"/>
      <c r="C155" s="102">
        <f>H8*C154</f>
        <v>144696.48000000001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100" workbookViewId="0">
      <selection activeCell="B7" sqref="B7:G7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296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4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30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5.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46" t="s">
        <v>253</v>
      </c>
      <c r="I15" s="347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36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2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254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2082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173.4306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57.879599999999996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231.31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2506.6999999999998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501.34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62.667499999999997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42.262961999999995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37.600499999999997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25.067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15.040199999999999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5.0133999999999999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200.536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889.52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165.62400000000002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513.72720000000004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231.31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889.52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513.72720000000004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1634.55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8.7443999999999988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0.69955199999999995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0.34977599999999998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40.390799999999999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14.333079288000004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1.615632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66.13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173.4306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17.072400000000002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0.41639999999999999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0.62459999999999993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1.8499575733333338</v>
      </c>
      <c r="J81" s="75" t="s">
        <v>173</v>
      </c>
      <c r="K81" s="76">
        <f>I33+I34+I51+I52+I53</f>
        <v>303.27173333333337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193.39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193.39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193.39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Uniformes!E55</f>
        <v>125.68518075249999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5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5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55" t="s">
        <v>143</v>
      </c>
      <c r="I100" s="55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125.68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133">
        <v>0.03</v>
      </c>
      <c r="I105" s="134">
        <f>TRUNC(H105*I128,2)</f>
        <v>123.05</v>
      </c>
      <c r="J105" s="135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133">
        <v>6.7900000000000002E-2</v>
      </c>
      <c r="I106" s="134">
        <f>TRUNC(H106*(I105+I128),2)</f>
        <v>286.86</v>
      </c>
      <c r="J106" s="136">
        <f>SUM(I105:I106)</f>
        <v>409.91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60"/>
      <c r="I107" s="137"/>
      <c r="J107" s="138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139">
        <v>1.6500000000000001E-2</v>
      </c>
      <c r="I108" s="140">
        <f>TRUNC(H108*I117,2)</f>
        <v>86.81</v>
      </c>
      <c r="J108" s="138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139">
        <v>7.5999999999999998E-2</v>
      </c>
      <c r="I109" s="140">
        <f>TRUNC(H109*I117,2)</f>
        <v>399.86</v>
      </c>
      <c r="J109" s="138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139">
        <v>0.05</v>
      </c>
      <c r="I110" s="140">
        <f>TRUNC(H110*I117,2)</f>
        <v>263.07</v>
      </c>
      <c r="J110" s="141">
        <f>SUM(I108:I110)</f>
        <v>749.74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61">
        <f>SUM(H105:H110)</f>
        <v>0.2404</v>
      </c>
      <c r="I111" s="142">
        <f>TRUNC(SUM(I105:I110),2)</f>
        <v>1159.6500000000001</v>
      </c>
      <c r="J111" s="135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4511.66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5261.41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749.75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2082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1634.55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66.13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193.39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125.68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4101.75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1159.6500000000001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5261.4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27" t="s">
        <v>210</v>
      </c>
      <c r="I133" s="128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32"/>
      <c r="B144" s="339" t="s">
        <v>220</v>
      </c>
      <c r="C144" s="339"/>
      <c r="D144" s="339"/>
      <c r="E144" s="339"/>
      <c r="F144" s="339"/>
      <c r="G144" s="339"/>
      <c r="H144" s="339"/>
      <c r="I144" s="128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86.81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1159.6500000000001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2.9236496999333186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157842</v>
      </c>
    </row>
    <row r="155" spans="1:9" x14ac:dyDescent="0.2">
      <c r="A155" s="124" t="s">
        <v>228</v>
      </c>
      <c r="B155" s="124"/>
      <c r="C155" s="102">
        <f>H8*C154</f>
        <v>1894104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97" workbookViewId="0">
      <selection activeCell="C154" sqref="C154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297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5.5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5.75" customHeight="1" x14ac:dyDescent="0.2">
      <c r="A15" s="55">
        <v>1</v>
      </c>
      <c r="B15" s="292" t="s">
        <v>15</v>
      </c>
      <c r="C15" s="292"/>
      <c r="D15" s="292"/>
      <c r="E15" s="292"/>
      <c r="F15" s="292"/>
      <c r="G15" s="292"/>
      <c r="H15" s="332" t="s">
        <v>255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31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5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256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177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2082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173.4306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57.879599999999996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231.31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2506.6999999999998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501.34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62.667499999999997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42.262961999999995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37.600499999999997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25.067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15.040199999999999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5.0133999999999999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200.536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889.52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(8.55*2*22)-(I23*0.06)</f>
        <v>268.22400000000005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616.32720000000006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231.31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889.52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616.32720000000006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1737.15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8.7443999999999988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0.69955199999999995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0.34977599999999998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40.390799999999999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14.333079288000004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1.615632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66.13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173.4306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17.072400000000002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0.41639999999999999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0.62459999999999993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1.8499575733333338</v>
      </c>
      <c r="J81" s="75" t="s">
        <v>173</v>
      </c>
      <c r="K81" s="76">
        <f>I33+I34+I51+I52+I53</f>
        <v>303.27173333333337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193.39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193.39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193.39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Uniformes!E77</f>
        <v>88.079014252499988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Uniformes!E65</f>
        <v>87.273167827499989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124.97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291.35000000000002</v>
      </c>
      <c r="J106" s="82">
        <f>SUM(I105:I106)</f>
        <v>416.32000000000005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88.17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406.12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267.18</v>
      </c>
      <c r="J110" s="87">
        <f>SUM(I108:I110)</f>
        <v>761.47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1177.79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4582.26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5343.74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761.48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2082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1737.15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66.13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193.39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87.273167827499989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4165.9399999999996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1177.79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5343.73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88.17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1177.79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2.9693987552789509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10687.46</v>
      </c>
    </row>
    <row r="155" spans="1:9" x14ac:dyDescent="0.2">
      <c r="A155" s="124" t="s">
        <v>228</v>
      </c>
      <c r="B155" s="124"/>
      <c r="C155" s="102">
        <f>H8*C154</f>
        <v>128249.51999999999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97" workbookViewId="0">
      <selection activeCell="B49" sqref="B49:G55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298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7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348">
        <v>10</v>
      </c>
      <c r="F12" s="348"/>
      <c r="G12" s="348"/>
      <c r="H12" s="348"/>
      <c r="I12" s="348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7.75" customHeight="1" x14ac:dyDescent="0.2">
      <c r="A15" s="55">
        <v>1</v>
      </c>
      <c r="B15" s="343" t="s">
        <v>15</v>
      </c>
      <c r="C15" s="344"/>
      <c r="D15" s="344"/>
      <c r="E15" s="344"/>
      <c r="F15" s="344"/>
      <c r="G15" s="345"/>
      <c r="H15" s="332" t="s">
        <v>257</v>
      </c>
      <c r="I15" s="333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31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5.75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256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>
        <v>0.2</v>
      </c>
      <c r="I26" s="58">
        <f>H26*I23</f>
        <v>359.92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2441.92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203.411936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67.885375999999994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271.29000000000002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2939.96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587.99200000000008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73.499000000000009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49.567725600000003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44.099399999999996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29.3996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17.639759999999999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5.8799200000000003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235.1968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1043.27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165.62400000000002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513.72720000000004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271.29000000000002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1043.27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513.72720000000004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1828.28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10.256064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0.82048511999999996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0.41024255999999998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47.373248000000004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16.810870785280006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1.89492992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77.56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203.411936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20.023744000000001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0.48838400000000004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0.732576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2.0938789565333336</v>
      </c>
      <c r="J81" s="75" t="s">
        <v>173</v>
      </c>
      <c r="K81" s="76">
        <f>I33+I34+I51+I52+I53</f>
        <v>343.25884533333334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226.75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226.75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226.75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Uniformes!E65</f>
        <v>87.273167827499989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87.27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139.85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326.02999999999997</v>
      </c>
      <c r="J106" s="82">
        <f>SUM(I105:I106)</f>
        <v>465.88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98.66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454.46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298.98</v>
      </c>
      <c r="J110" s="87">
        <f>SUM(I108:I110)</f>
        <v>852.1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1317.98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5127.66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5979.77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852.11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2441.92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1828.28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77.56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226.75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87.27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4661.78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1317.98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5979.76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98.66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1317.98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3.3228272949544344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59797.600000000006</v>
      </c>
    </row>
    <row r="155" spans="1:9" x14ac:dyDescent="0.2">
      <c r="A155" s="124" t="s">
        <v>228</v>
      </c>
      <c r="B155" s="124"/>
      <c r="C155" s="102">
        <f>H8*C154</f>
        <v>717571.20000000007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topLeftCell="A100" workbookViewId="0">
      <selection activeCell="I56" sqref="I56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299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6.25" customHeight="1" x14ac:dyDescent="0.2">
      <c r="A7" s="55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348">
        <v>68</v>
      </c>
      <c r="F12" s="348"/>
      <c r="G12" s="348"/>
      <c r="H12" s="348"/>
      <c r="I12" s="348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7.75" customHeight="1" x14ac:dyDescent="0.2">
      <c r="A15" s="55">
        <v>1</v>
      </c>
      <c r="B15" s="343" t="s">
        <v>15</v>
      </c>
      <c r="C15" s="344"/>
      <c r="D15" s="344"/>
      <c r="E15" s="344"/>
      <c r="F15" s="344"/>
      <c r="G15" s="345"/>
      <c r="H15" s="346" t="s">
        <v>258</v>
      </c>
      <c r="I15" s="347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31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1799.6</v>
      </c>
      <c r="I17" s="298"/>
    </row>
    <row r="18" spans="1:10" ht="15.75" customHeight="1" x14ac:dyDescent="0.2">
      <c r="A18" s="55">
        <v>4</v>
      </c>
      <c r="B18" s="292" t="s">
        <v>16</v>
      </c>
      <c r="C18" s="292"/>
      <c r="D18" s="292"/>
      <c r="E18" s="292"/>
      <c r="F18" s="292"/>
      <c r="G18" s="292"/>
      <c r="H18" s="332" t="s">
        <v>259</v>
      </c>
      <c r="I18" s="333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45352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1799.6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2082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173.4306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57.879599999999996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231.31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2506.6999999999998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501.34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62.667499999999997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42.262961999999995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37.600499999999997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25.067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15.040199999999999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5.0133999999999999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200.536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889.52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316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165.62400000000002</v>
      </c>
      <c r="J49" s="71"/>
    </row>
    <row r="50" spans="1:10" x14ac:dyDescent="0.2">
      <c r="A50" s="66" t="s">
        <v>10</v>
      </c>
      <c r="B50" s="301" t="s">
        <v>313</v>
      </c>
      <c r="C50" s="301"/>
      <c r="D50" s="301"/>
      <c r="E50" s="301"/>
      <c r="F50" s="301"/>
      <c r="G50" s="301"/>
      <c r="H50" s="55" t="s">
        <v>143</v>
      </c>
      <c r="I50" s="56">
        <f>'Serv Limp Plant Diurno'!I50</f>
        <v>234.1</v>
      </c>
      <c r="J50" s="71"/>
    </row>
    <row r="51" spans="1:10" x14ac:dyDescent="0.2">
      <c r="A51" s="66" t="s">
        <v>11</v>
      </c>
      <c r="B51" s="301" t="s">
        <v>321</v>
      </c>
      <c r="C51" s="301"/>
      <c r="D51" s="301"/>
      <c r="E51" s="301"/>
      <c r="F51" s="301"/>
      <c r="G51" s="301"/>
      <c r="H51" s="55" t="s">
        <v>143</v>
      </c>
      <c r="I51" s="56">
        <v>5</v>
      </c>
      <c r="J51" s="71"/>
    </row>
    <row r="52" spans="1:10" x14ac:dyDescent="0.2">
      <c r="A52" s="66" t="s">
        <v>12</v>
      </c>
      <c r="B52" s="303" t="s">
        <v>322</v>
      </c>
      <c r="C52" s="303"/>
      <c r="D52" s="303"/>
      <c r="E52" s="303"/>
      <c r="F52" s="303"/>
      <c r="G52" s="303"/>
      <c r="H52" s="182" t="s">
        <v>143</v>
      </c>
      <c r="I52" s="56">
        <f>(I23*2.7%)-(48.59*0.4)</f>
        <v>29.153200000000002</v>
      </c>
      <c r="J52" s="71"/>
    </row>
    <row r="53" spans="1:10" x14ac:dyDescent="0.2">
      <c r="A53" s="66" t="s">
        <v>3</v>
      </c>
      <c r="B53" s="303" t="s">
        <v>315</v>
      </c>
      <c r="C53" s="303"/>
      <c r="D53" s="303"/>
      <c r="E53" s="303"/>
      <c r="F53" s="303"/>
      <c r="G53" s="303"/>
      <c r="H53" s="55" t="s">
        <v>143</v>
      </c>
      <c r="I53" s="56">
        <f>'Serv Limp Plant Diurno'!I53</f>
        <v>37.80833333333333</v>
      </c>
      <c r="J53" s="71"/>
    </row>
    <row r="54" spans="1:10" x14ac:dyDescent="0.2">
      <c r="A54" s="66" t="s">
        <v>4</v>
      </c>
      <c r="B54" s="303" t="s">
        <v>314</v>
      </c>
      <c r="C54" s="303"/>
      <c r="D54" s="303"/>
      <c r="E54" s="303"/>
      <c r="F54" s="303"/>
      <c r="G54" s="303"/>
      <c r="H54" s="55" t="s">
        <v>143</v>
      </c>
      <c r="I54" s="56">
        <f>'Serv Limp Plant Diurno'!I54</f>
        <v>33.583333333333336</v>
      </c>
      <c r="J54" s="71"/>
    </row>
    <row r="55" spans="1:10" x14ac:dyDescent="0.2">
      <c r="A55" s="66" t="s">
        <v>5</v>
      </c>
      <c r="B55" s="301" t="s">
        <v>312</v>
      </c>
      <c r="C55" s="301"/>
      <c r="D55" s="301"/>
      <c r="E55" s="301"/>
      <c r="F55" s="301"/>
      <c r="G55" s="301"/>
      <c r="H55" s="57" t="s">
        <v>143</v>
      </c>
      <c r="I55" s="56">
        <f>'Serv Limp Plant Diurno'!I55</f>
        <v>8.4583333333333321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513.72720000000004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231.31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889.52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513.72720000000004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1634.55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8.7443999999999988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0.69955199999999995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0.34977599999999998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40.390799999999999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14.333079288000004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1.615632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66.13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173.4306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17.072400000000002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0.41639999999999999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0.62459999999999993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1.8499575733333338</v>
      </c>
      <c r="J81" s="75" t="s">
        <v>173</v>
      </c>
      <c r="K81" s="76">
        <f>I33+I34+I51+I52+I53</f>
        <v>303.27173333333337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193.39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193.39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193.39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Uniformes!E65</f>
        <v>87.273167827499989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87.27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121.9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284.17</v>
      </c>
      <c r="J106" s="82">
        <f>SUM(I105:I106)</f>
        <v>406.07000000000005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86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396.12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260.60000000000002</v>
      </c>
      <c r="J110" s="87">
        <f>SUM(I108:I110)</f>
        <v>742.72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1148.79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4469.41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5212.13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742.72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2082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1634.55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66.13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193.39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87.27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4063.34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1148.79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5212.13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86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1148.79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2.896271393643032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354424.84</v>
      </c>
    </row>
    <row r="155" spans="1:9" x14ac:dyDescent="0.2">
      <c r="A155" s="124" t="s">
        <v>228</v>
      </c>
      <c r="B155" s="124"/>
      <c r="C155" s="102">
        <f>H8*C154</f>
        <v>4253098.08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57"/>
  <sheetViews>
    <sheetView topLeftCell="A10" workbookViewId="0">
      <selection activeCell="I25" sqref="I25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325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55" t="s">
        <v>11</v>
      </c>
      <c r="B7" s="336" t="s">
        <v>283</v>
      </c>
      <c r="C7" s="336"/>
      <c r="D7" s="336"/>
      <c r="E7" s="336"/>
      <c r="F7" s="336"/>
      <c r="G7" s="336"/>
      <c r="H7" s="334" t="s">
        <v>330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1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30" customHeight="1" x14ac:dyDescent="0.2">
      <c r="A15" s="173">
        <v>1</v>
      </c>
      <c r="B15" s="343" t="s">
        <v>15</v>
      </c>
      <c r="C15" s="344"/>
      <c r="D15" s="344"/>
      <c r="E15" s="344"/>
      <c r="F15" s="344"/>
      <c r="G15" s="345"/>
      <c r="H15" s="346" t="s">
        <v>260</v>
      </c>
      <c r="I15" s="347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80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3236.16</v>
      </c>
      <c r="I17" s="298"/>
    </row>
    <row r="18" spans="1:10" ht="17.2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46" t="s">
        <v>261</v>
      </c>
      <c r="I18" s="347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45413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3236.16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>
        <v>0.3</v>
      </c>
      <c r="I24" s="58">
        <f>I23*H24</f>
        <v>970.84799999999996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v>0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4207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350.44310000000002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116.9546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467.39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5064.67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1012.9340000000001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126.61675000000001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85.390336200000007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75.970050000000001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50.646700000000003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30.388020000000001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10.129340000000001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405.17360000000002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1797.24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327</v>
      </c>
      <c r="C49" s="301"/>
      <c r="D49" s="301"/>
      <c r="E49" s="301"/>
      <c r="F49" s="301"/>
      <c r="G49" s="301"/>
      <c r="H49" s="152" t="s">
        <v>143</v>
      </c>
      <c r="I49" s="153">
        <f>(8.55*2*22)-(I23*0.06)</f>
        <v>182.03040000000007</v>
      </c>
      <c r="J49" s="71"/>
    </row>
    <row r="50" spans="1:10" x14ac:dyDescent="0.2">
      <c r="A50" s="66" t="s">
        <v>10</v>
      </c>
      <c r="B50" s="301" t="s">
        <v>326</v>
      </c>
      <c r="C50" s="301"/>
      <c r="D50" s="301"/>
      <c r="E50" s="301"/>
      <c r="F50" s="301"/>
      <c r="G50" s="301"/>
      <c r="H50" s="152" t="s">
        <v>143</v>
      </c>
      <c r="I50" s="153">
        <v>368</v>
      </c>
      <c r="J50" s="71"/>
    </row>
    <row r="51" spans="1:10" x14ac:dyDescent="0.2">
      <c r="A51" s="66" t="s">
        <v>11</v>
      </c>
      <c r="B51" s="349" t="s">
        <v>144</v>
      </c>
      <c r="C51" s="349"/>
      <c r="D51" s="349"/>
      <c r="E51" s="349"/>
      <c r="F51" s="349"/>
      <c r="G51" s="349"/>
      <c r="H51" s="152" t="s">
        <v>143</v>
      </c>
      <c r="I51" s="153">
        <v>0</v>
      </c>
      <c r="J51" s="71"/>
    </row>
    <row r="52" spans="1:10" x14ac:dyDescent="0.2">
      <c r="A52" s="66" t="s">
        <v>12</v>
      </c>
      <c r="B52" s="350" t="s">
        <v>267</v>
      </c>
      <c r="C52" s="350"/>
      <c r="D52" s="350"/>
      <c r="E52" s="350"/>
      <c r="F52" s="350"/>
      <c r="G52" s="350"/>
      <c r="H52" s="152" t="s">
        <v>143</v>
      </c>
      <c r="I52" s="153">
        <v>0</v>
      </c>
      <c r="J52" s="71"/>
    </row>
    <row r="53" spans="1:10" x14ac:dyDescent="0.2">
      <c r="A53" s="66" t="s">
        <v>3</v>
      </c>
      <c r="B53" s="303" t="s">
        <v>328</v>
      </c>
      <c r="C53" s="303"/>
      <c r="D53" s="303"/>
      <c r="E53" s="303"/>
      <c r="F53" s="303"/>
      <c r="G53" s="303"/>
      <c r="H53" s="152" t="s">
        <v>143</v>
      </c>
      <c r="I53" s="153">
        <f>I23*2%</f>
        <v>64.723199999999991</v>
      </c>
      <c r="J53" s="71"/>
    </row>
    <row r="54" spans="1:10" x14ac:dyDescent="0.2">
      <c r="A54" s="66" t="s">
        <v>4</v>
      </c>
      <c r="B54" s="303" t="s">
        <v>329</v>
      </c>
      <c r="C54" s="303"/>
      <c r="D54" s="303"/>
      <c r="E54" s="303"/>
      <c r="F54" s="303"/>
      <c r="G54" s="303"/>
      <c r="H54" s="152" t="s">
        <v>143</v>
      </c>
      <c r="I54" s="153">
        <f>I23*0.06/12</f>
        <v>16.180799999999998</v>
      </c>
      <c r="J54" s="71"/>
    </row>
    <row r="55" spans="1:10" x14ac:dyDescent="0.2">
      <c r="A55" s="66" t="s">
        <v>5</v>
      </c>
      <c r="B55" s="349" t="s">
        <v>233</v>
      </c>
      <c r="C55" s="349"/>
      <c r="D55" s="349"/>
      <c r="E55" s="349"/>
      <c r="F55" s="349"/>
      <c r="G55" s="349"/>
      <c r="H55" s="201" t="s">
        <v>143</v>
      </c>
      <c r="I55" s="153">
        <v>0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630.9344000000001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467.39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1797.24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630.9344000000001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2895.56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17.6694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1.4135519999999999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0.70677599999999996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81.615800000000007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28.962182788000007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3.2646320000000002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133.63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350.44310000000002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34.497400000000006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0.84140000000000004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1.2621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3.2459374900000002</v>
      </c>
      <c r="J81" s="75" t="s">
        <v>173</v>
      </c>
      <c r="K81" s="76">
        <f>I33+I34+I51+I52+I53</f>
        <v>532.12090000000001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390.28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390.28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390.28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286</v>
      </c>
      <c r="C97" s="310"/>
      <c r="D97" s="310"/>
      <c r="E97" s="310"/>
      <c r="F97" s="310"/>
      <c r="G97" s="310"/>
      <c r="H97" s="55" t="s">
        <v>143</v>
      </c>
      <c r="I97" s="58">
        <f>Uniformes!E88</f>
        <v>82.438089277499984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Uniformes!E88</f>
        <v>82.438089277499984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231.26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539.13</v>
      </c>
      <c r="J106" s="82">
        <f>SUM(I105:I106)</f>
        <v>770.39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163.15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751.51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494.41</v>
      </c>
      <c r="J110" s="87">
        <f>SUM(I108:I110)</f>
        <v>1409.07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2179.46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8479.2900000000009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9888.3799999999992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1409.09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4207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2895.56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133.63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390.28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82.438089277499984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7708.9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2179.46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9888.36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163.15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2179.46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3.0555843963215668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9888.36</v>
      </c>
    </row>
    <row r="155" spans="1:9" x14ac:dyDescent="0.2">
      <c r="A155" s="124" t="s">
        <v>228</v>
      </c>
      <c r="B155" s="124"/>
      <c r="C155" s="102">
        <f>H8*C154</f>
        <v>118660.32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57"/>
  <sheetViews>
    <sheetView workbookViewId="0">
      <selection activeCell="H16" sqref="H16:I16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300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55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55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55" t="s">
        <v>11</v>
      </c>
      <c r="B7" s="336" t="s">
        <v>344</v>
      </c>
      <c r="C7" s="336"/>
      <c r="D7" s="336"/>
      <c r="E7" s="336"/>
      <c r="F7" s="336"/>
      <c r="G7" s="336"/>
      <c r="H7" s="334" t="s">
        <v>345</v>
      </c>
      <c r="I7" s="335"/>
    </row>
    <row r="8" spans="1:9" x14ac:dyDescent="0.2">
      <c r="A8" s="55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64"/>
      <c r="B9" s="65"/>
      <c r="C9" s="65"/>
      <c r="D9" s="65"/>
      <c r="E9" s="65"/>
      <c r="F9" s="65"/>
      <c r="G9" s="65"/>
      <c r="H9" s="64"/>
      <c r="I9" s="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64"/>
      <c r="B13" s="65"/>
      <c r="C13" s="65"/>
      <c r="D13" s="65"/>
      <c r="E13" s="65"/>
      <c r="F13" s="65"/>
      <c r="G13" s="65"/>
      <c r="H13" s="64"/>
      <c r="I13" s="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4.25" customHeight="1" x14ac:dyDescent="0.2">
      <c r="A15" s="173">
        <v>1</v>
      </c>
      <c r="B15" s="336" t="s">
        <v>15</v>
      </c>
      <c r="C15" s="336"/>
      <c r="D15" s="336"/>
      <c r="E15" s="336"/>
      <c r="F15" s="336"/>
      <c r="G15" s="336"/>
      <c r="H15" s="346" t="s">
        <v>262</v>
      </c>
      <c r="I15" s="347"/>
    </row>
    <row r="16" spans="1:9" x14ac:dyDescent="0.2">
      <c r="A16" s="55">
        <v>2</v>
      </c>
      <c r="B16" s="292" t="s">
        <v>117</v>
      </c>
      <c r="C16" s="292"/>
      <c r="D16" s="292"/>
      <c r="E16" s="292"/>
      <c r="F16" s="292"/>
      <c r="G16" s="292"/>
      <c r="H16" s="274" t="s">
        <v>263</v>
      </c>
      <c r="I16" s="274"/>
    </row>
    <row r="17" spans="1:10" x14ac:dyDescent="0.2">
      <c r="A17" s="55">
        <v>3</v>
      </c>
      <c r="B17" s="292" t="s">
        <v>118</v>
      </c>
      <c r="C17" s="292"/>
      <c r="D17" s="292"/>
      <c r="E17" s="292"/>
      <c r="F17" s="292"/>
      <c r="G17" s="292"/>
      <c r="H17" s="298">
        <v>2759.87</v>
      </c>
      <c r="I17" s="298"/>
    </row>
    <row r="18" spans="1:10" ht="17.2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46" t="s">
        <v>264</v>
      </c>
      <c r="I18" s="347"/>
    </row>
    <row r="19" spans="1:10" x14ac:dyDescent="0.2">
      <c r="A19" s="55">
        <v>5</v>
      </c>
      <c r="B19" s="292" t="s">
        <v>1</v>
      </c>
      <c r="C19" s="292"/>
      <c r="D19" s="292"/>
      <c r="E19" s="292"/>
      <c r="F19" s="292"/>
      <c r="G19" s="292"/>
      <c r="H19" s="293">
        <v>45777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66">
        <v>1</v>
      </c>
      <c r="B22" s="297" t="s">
        <v>120</v>
      </c>
      <c r="C22" s="297"/>
      <c r="D22" s="297"/>
      <c r="E22" s="297"/>
      <c r="F22" s="297"/>
      <c r="G22" s="297"/>
      <c r="H22" s="66" t="s">
        <v>43</v>
      </c>
      <c r="I22" s="66" t="s">
        <v>121</v>
      </c>
    </row>
    <row r="23" spans="1:10" x14ac:dyDescent="0.2">
      <c r="A23" s="6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2759.87</v>
      </c>
    </row>
    <row r="24" spans="1:10" x14ac:dyDescent="0.2">
      <c r="A24" s="6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6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6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6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6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3042.27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66" t="s">
        <v>43</v>
      </c>
      <c r="I32" s="66" t="s">
        <v>121</v>
      </c>
      <c r="J32" s="71"/>
    </row>
    <row r="33" spans="1:11" x14ac:dyDescent="0.2">
      <c r="A33" s="6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253.42109099999999</v>
      </c>
      <c r="J33" s="71"/>
    </row>
    <row r="34" spans="1:11" x14ac:dyDescent="0.2">
      <c r="A34" s="6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84.575105999999991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337.99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3662.21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66" t="s">
        <v>43</v>
      </c>
      <c r="I37" s="66" t="s">
        <v>121</v>
      </c>
      <c r="J37" s="71" t="s">
        <v>132</v>
      </c>
    </row>
    <row r="38" spans="1:11" x14ac:dyDescent="0.2">
      <c r="A38" s="6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 t="shared" ref="I38:I45" si="0">H38*$K$36</f>
        <v>732.44200000000001</v>
      </c>
      <c r="J38" s="71"/>
    </row>
    <row r="39" spans="1:11" x14ac:dyDescent="0.2">
      <c r="A39" s="6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si="0"/>
        <v>91.555250000000001</v>
      </c>
      <c r="J39" s="71"/>
    </row>
    <row r="40" spans="1:11" x14ac:dyDescent="0.2">
      <c r="A40" s="6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61.744860600000003</v>
      </c>
      <c r="J40" s="71"/>
    </row>
    <row r="41" spans="1:11" x14ac:dyDescent="0.2">
      <c r="A41" s="6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54.933149999999998</v>
      </c>
      <c r="J41" s="71"/>
    </row>
    <row r="42" spans="1:11" x14ac:dyDescent="0.2">
      <c r="A42" s="6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36.622100000000003</v>
      </c>
      <c r="J42" s="71"/>
    </row>
    <row r="43" spans="1:11" x14ac:dyDescent="0.2">
      <c r="A43" s="6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21.97326</v>
      </c>
      <c r="J43" s="71"/>
    </row>
    <row r="44" spans="1:11" x14ac:dyDescent="0.2">
      <c r="A44" s="6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7.3244199999999999</v>
      </c>
      <c r="J44" s="71"/>
    </row>
    <row r="45" spans="1:11" x14ac:dyDescent="0.2">
      <c r="A45" s="6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292.97680000000003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1299.57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66" t="s">
        <v>121</v>
      </c>
      <c r="J48" s="71"/>
    </row>
    <row r="49" spans="1:10" x14ac:dyDescent="0.2">
      <c r="A49" s="66" t="s">
        <v>9</v>
      </c>
      <c r="B49" s="301" t="s">
        <v>327</v>
      </c>
      <c r="C49" s="301"/>
      <c r="D49" s="301"/>
      <c r="E49" s="301"/>
      <c r="F49" s="301"/>
      <c r="G49" s="301"/>
      <c r="H49" s="55" t="s">
        <v>143</v>
      </c>
      <c r="I49" s="56">
        <f>(8.55*2*16)-(I23*0.06)</f>
        <v>108.00780000000003</v>
      </c>
      <c r="J49" s="71"/>
    </row>
    <row r="50" spans="1:10" x14ac:dyDescent="0.2">
      <c r="A50" s="66" t="s">
        <v>10</v>
      </c>
      <c r="B50" s="301" t="s">
        <v>346</v>
      </c>
      <c r="C50" s="301"/>
      <c r="D50" s="301"/>
      <c r="E50" s="301"/>
      <c r="F50" s="301"/>
      <c r="G50" s="301"/>
      <c r="H50" s="55" t="s">
        <v>143</v>
      </c>
      <c r="I50" s="56">
        <f>(29.27*16)-1.2</f>
        <v>467.12</v>
      </c>
      <c r="J50" s="71"/>
    </row>
    <row r="51" spans="1:10" x14ac:dyDescent="0.2">
      <c r="A51" s="66" t="s">
        <v>11</v>
      </c>
      <c r="B51" s="310" t="s">
        <v>144</v>
      </c>
      <c r="C51" s="310"/>
      <c r="D51" s="310"/>
      <c r="E51" s="310"/>
      <c r="F51" s="310"/>
      <c r="G51" s="310"/>
      <c r="H51" s="55" t="s">
        <v>143</v>
      </c>
      <c r="I51" s="56">
        <v>0</v>
      </c>
      <c r="J51" s="71"/>
    </row>
    <row r="52" spans="1:10" x14ac:dyDescent="0.2">
      <c r="A52" s="66" t="s">
        <v>12</v>
      </c>
      <c r="B52" s="292" t="s">
        <v>267</v>
      </c>
      <c r="C52" s="292"/>
      <c r="D52" s="292"/>
      <c r="E52" s="292"/>
      <c r="F52" s="292"/>
      <c r="G52" s="292"/>
      <c r="H52" s="55" t="s">
        <v>143</v>
      </c>
      <c r="I52" s="56">
        <v>0</v>
      </c>
      <c r="J52" s="71"/>
    </row>
    <row r="53" spans="1:10" x14ac:dyDescent="0.2">
      <c r="A53" s="66" t="s">
        <v>3</v>
      </c>
      <c r="B53" s="292" t="s">
        <v>145</v>
      </c>
      <c r="C53" s="292"/>
      <c r="D53" s="292"/>
      <c r="E53" s="292"/>
      <c r="F53" s="292"/>
      <c r="G53" s="292"/>
      <c r="H53" s="55" t="s">
        <v>143</v>
      </c>
      <c r="I53" s="56">
        <v>0</v>
      </c>
      <c r="J53" s="71"/>
    </row>
    <row r="54" spans="1:10" x14ac:dyDescent="0.2">
      <c r="A54" s="66" t="s">
        <v>4</v>
      </c>
      <c r="B54" s="303" t="s">
        <v>347</v>
      </c>
      <c r="C54" s="303"/>
      <c r="D54" s="303"/>
      <c r="E54" s="303"/>
      <c r="F54" s="303"/>
      <c r="G54" s="303"/>
      <c r="H54" s="55" t="s">
        <v>143</v>
      </c>
      <c r="I54" s="56">
        <v>13</v>
      </c>
      <c r="J54" s="71"/>
    </row>
    <row r="55" spans="1:10" x14ac:dyDescent="0.2">
      <c r="A55" s="66" t="s">
        <v>5</v>
      </c>
      <c r="B55" s="310" t="s">
        <v>233</v>
      </c>
      <c r="C55" s="310"/>
      <c r="D55" s="310"/>
      <c r="E55" s="310"/>
      <c r="F55" s="310"/>
      <c r="G55" s="310"/>
      <c r="H55" s="57" t="s">
        <v>143</v>
      </c>
      <c r="I55" s="56">
        <v>0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588.12779999999998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66" t="s">
        <v>121</v>
      </c>
      <c r="J59" s="71"/>
    </row>
    <row r="60" spans="1:10" x14ac:dyDescent="0.2">
      <c r="A60" s="6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337.99</v>
      </c>
      <c r="J60" s="71"/>
    </row>
    <row r="61" spans="1:10" x14ac:dyDescent="0.2">
      <c r="A61" s="6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1299.57</v>
      </c>
      <c r="J61" s="71"/>
    </row>
    <row r="62" spans="1:10" x14ac:dyDescent="0.2">
      <c r="A62" s="6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588.12779999999998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2225.6799999999998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66">
        <v>3</v>
      </c>
      <c r="B66" s="297" t="s">
        <v>158</v>
      </c>
      <c r="C66" s="297"/>
      <c r="D66" s="297"/>
      <c r="E66" s="297"/>
      <c r="F66" s="297"/>
      <c r="G66" s="297"/>
      <c r="H66" s="66" t="s">
        <v>43</v>
      </c>
      <c r="I66" s="66" t="s">
        <v>121</v>
      </c>
      <c r="J66" s="71"/>
    </row>
    <row r="67" spans="1:10" x14ac:dyDescent="0.2">
      <c r="A67" s="6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12.777533999999999</v>
      </c>
      <c r="J67" s="71"/>
    </row>
    <row r="68" spans="1:10" x14ac:dyDescent="0.2">
      <c r="A68" s="6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1.0222027199999999</v>
      </c>
      <c r="J68" s="71"/>
    </row>
    <row r="69" spans="1:10" x14ac:dyDescent="0.2">
      <c r="A69" s="6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0.51110135999999995</v>
      </c>
      <c r="J69" s="71"/>
    </row>
    <row r="70" spans="1:10" x14ac:dyDescent="0.2">
      <c r="A70" s="6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59.020038</v>
      </c>
      <c r="J70" s="71"/>
    </row>
    <row r="71" spans="1:10" x14ac:dyDescent="0.2">
      <c r="A71" s="6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20.943850684680005</v>
      </c>
      <c r="J71" s="71"/>
    </row>
    <row r="72" spans="1:10" x14ac:dyDescent="0.2">
      <c r="A72" s="6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2.3608015199999999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96.63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66" t="s">
        <v>43</v>
      </c>
      <c r="I76" s="66" t="s">
        <v>121</v>
      </c>
      <c r="J76" s="71"/>
    </row>
    <row r="77" spans="1:10" x14ac:dyDescent="0.2">
      <c r="A77" s="6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253.42109099999999</v>
      </c>
      <c r="J77" s="71"/>
    </row>
    <row r="78" spans="1:10" x14ac:dyDescent="0.2">
      <c r="A78" s="6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24.946614</v>
      </c>
      <c r="J78" s="71"/>
    </row>
    <row r="79" spans="1:10" x14ac:dyDescent="0.2">
      <c r="A79" s="6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0.60845400000000005</v>
      </c>
      <c r="J79" s="71"/>
    </row>
    <row r="80" spans="1:10" x14ac:dyDescent="0.2">
      <c r="A80" s="6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0.91268099999999996</v>
      </c>
      <c r="J80" s="71"/>
    </row>
    <row r="81" spans="1:11" x14ac:dyDescent="0.2">
      <c r="A81" s="6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2.0617768017000002</v>
      </c>
      <c r="J81" s="75" t="s">
        <v>173</v>
      </c>
      <c r="K81" s="76">
        <f>I33+I34+I51+I52+I53</f>
        <v>337.996197</v>
      </c>
    </row>
    <row r="82" spans="1:11" x14ac:dyDescent="0.2">
      <c r="A82" s="6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281.95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66" t="s">
        <v>43</v>
      </c>
      <c r="I85" s="66" t="s">
        <v>121</v>
      </c>
      <c r="J85" s="71"/>
    </row>
    <row r="86" spans="1:11" x14ac:dyDescent="0.2">
      <c r="A86" s="6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66" t="s">
        <v>121</v>
      </c>
      <c r="J90" s="71"/>
    </row>
    <row r="91" spans="1:11" x14ac:dyDescent="0.2">
      <c r="A91" s="6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281.95</v>
      </c>
      <c r="J91" s="71"/>
    </row>
    <row r="92" spans="1:11" x14ac:dyDescent="0.2">
      <c r="A92" s="6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281.95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66">
        <v>5</v>
      </c>
      <c r="B96" s="297" t="s">
        <v>185</v>
      </c>
      <c r="C96" s="297"/>
      <c r="D96" s="297"/>
      <c r="E96" s="297"/>
      <c r="F96" s="297"/>
      <c r="G96" s="297"/>
      <c r="H96" s="66"/>
      <c r="I96" s="66" t="s">
        <v>121</v>
      </c>
      <c r="J96" s="71"/>
    </row>
    <row r="97" spans="1:10" x14ac:dyDescent="0.2">
      <c r="A97" s="66" t="s">
        <v>9</v>
      </c>
      <c r="B97" s="310" t="s">
        <v>243</v>
      </c>
      <c r="C97" s="310"/>
      <c r="D97" s="310"/>
      <c r="E97" s="310"/>
      <c r="F97" s="310"/>
      <c r="G97" s="310"/>
      <c r="H97" s="55" t="s">
        <v>143</v>
      </c>
      <c r="I97" s="58">
        <v>0</v>
      </c>
      <c r="J97" s="71"/>
    </row>
    <row r="98" spans="1:10" x14ac:dyDescent="0.2">
      <c r="A98" s="66" t="s">
        <v>10</v>
      </c>
      <c r="B98" s="310" t="s">
        <v>40</v>
      </c>
      <c r="C98" s="310"/>
      <c r="D98" s="310"/>
      <c r="E98" s="310"/>
      <c r="F98" s="310"/>
      <c r="G98" s="310"/>
      <c r="H98" s="55" t="s">
        <v>143</v>
      </c>
      <c r="I98" s="58"/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55" t="s">
        <v>143</v>
      </c>
      <c r="I99" s="58"/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55" t="s">
        <v>143</v>
      </c>
      <c r="I100" s="58"/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0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66">
        <v>6</v>
      </c>
      <c r="B104" s="297" t="s">
        <v>188</v>
      </c>
      <c r="C104" s="297"/>
      <c r="D104" s="297"/>
      <c r="E104" s="297"/>
      <c r="F104" s="297"/>
      <c r="G104" s="297"/>
      <c r="H104" s="66" t="s">
        <v>43</v>
      </c>
      <c r="I104" s="66" t="s">
        <v>121</v>
      </c>
      <c r="J104" s="71"/>
    </row>
    <row r="105" spans="1:10" x14ac:dyDescent="0.2">
      <c r="A105" s="6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169.39</v>
      </c>
      <c r="J105" s="71"/>
    </row>
    <row r="106" spans="1:10" x14ac:dyDescent="0.2">
      <c r="A106" s="6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394.9</v>
      </c>
      <c r="J106" s="82">
        <f>SUM(I105:I106)</f>
        <v>564.29</v>
      </c>
    </row>
    <row r="107" spans="1:10" x14ac:dyDescent="0.2">
      <c r="A107" s="6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6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119.5</v>
      </c>
      <c r="J108" s="84"/>
    </row>
    <row r="109" spans="1:10" x14ac:dyDescent="0.2">
      <c r="A109" s="6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550.46</v>
      </c>
      <c r="J109" s="84"/>
    </row>
    <row r="110" spans="1:10" x14ac:dyDescent="0.2">
      <c r="A110" s="6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362.14</v>
      </c>
      <c r="J110" s="87">
        <f>SUM(I108:I110)</f>
        <v>1032.0999999999999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1596.39</v>
      </c>
      <c r="J111" s="71"/>
    </row>
    <row r="112" spans="1:10" x14ac:dyDescent="0.2">
      <c r="A112" s="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6210.82</v>
      </c>
    </row>
    <row r="116" spans="1:11" x14ac:dyDescent="0.2">
      <c r="A116" s="91"/>
      <c r="B116" s="95"/>
      <c r="C116" s="95"/>
      <c r="D116" s="95"/>
      <c r="E116" s="95"/>
      <c r="F116" s="95"/>
      <c r="G116" s="9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7242.93</v>
      </c>
    </row>
    <row r="118" spans="1:11" x14ac:dyDescent="0.2">
      <c r="A118" s="91"/>
      <c r="B118" s="95"/>
      <c r="C118" s="95"/>
      <c r="D118" s="95"/>
      <c r="E118" s="95"/>
      <c r="F118" s="95"/>
      <c r="G118" s="9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1032.1099999999999</v>
      </c>
      <c r="K119" s="100"/>
    </row>
    <row r="120" spans="1:11" x14ac:dyDescent="0.2">
      <c r="A120" s="64"/>
      <c r="B120" s="64"/>
      <c r="C120" s="64"/>
      <c r="D120" s="64"/>
      <c r="E120" s="64"/>
      <c r="F120" s="64"/>
      <c r="G120" s="64"/>
      <c r="H120" s="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66" t="s">
        <v>121</v>
      </c>
    </row>
    <row r="123" spans="1:11" x14ac:dyDescent="0.2">
      <c r="A123" s="55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3042.27</v>
      </c>
    </row>
    <row r="124" spans="1:11" x14ac:dyDescent="0.2">
      <c r="A124" s="55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2225.6799999999998</v>
      </c>
    </row>
    <row r="125" spans="1:11" x14ac:dyDescent="0.2">
      <c r="A125" s="55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96.63</v>
      </c>
      <c r="K125" s="102"/>
    </row>
    <row r="126" spans="1:11" x14ac:dyDescent="0.2">
      <c r="A126" s="55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281.95</v>
      </c>
      <c r="K126" s="102"/>
    </row>
    <row r="127" spans="1:11" x14ac:dyDescent="0.2">
      <c r="A127" s="55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0</v>
      </c>
    </row>
    <row r="128" spans="1:11" x14ac:dyDescent="0.2">
      <c r="A128" s="6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5646.53</v>
      </c>
      <c r="K128" s="100"/>
    </row>
    <row r="129" spans="1:9" x14ac:dyDescent="0.2">
      <c r="A129" s="55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1596.39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7242.92</v>
      </c>
    </row>
    <row r="131" spans="1:9" x14ac:dyDescent="0.2">
      <c r="I131" s="100"/>
    </row>
    <row r="132" spans="1:9" ht="13.5" hidden="1" thickBot="1" x14ac:dyDescent="0.25">
      <c r="A132" s="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16" t="s">
        <v>206</v>
      </c>
      <c r="B133" s="316"/>
      <c r="C133" s="316" t="s">
        <v>207</v>
      </c>
      <c r="D133" s="316"/>
      <c r="E133" s="316" t="s">
        <v>208</v>
      </c>
      <c r="F133" s="316"/>
      <c r="G133" s="104" t="s">
        <v>209</v>
      </c>
      <c r="H133" s="105" t="s">
        <v>210</v>
      </c>
      <c r="I133" s="106" t="s">
        <v>121</v>
      </c>
    </row>
    <row r="134" spans="1:9" hidden="1" x14ac:dyDescent="0.2">
      <c r="A134" s="317" t="s">
        <v>211</v>
      </c>
      <c r="B134" s="317"/>
      <c r="C134" s="318" t="s">
        <v>212</v>
      </c>
      <c r="D134" s="318"/>
      <c r="E134" s="319"/>
      <c r="F134" s="319"/>
      <c r="G134" s="107" t="s">
        <v>212</v>
      </c>
      <c r="H134" s="108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18">
        <f>SUM(I138:I139)</f>
        <v>0</v>
      </c>
    </row>
    <row r="141" spans="1:9" hidden="1" x14ac:dyDescent="0.2"/>
    <row r="142" spans="1:9" ht="13.5" hidden="1" thickBot="1" x14ac:dyDescent="0.25">
      <c r="A142" s="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31" t="s">
        <v>219</v>
      </c>
      <c r="B143" s="331"/>
      <c r="C143" s="331"/>
      <c r="D143" s="331"/>
      <c r="E143" s="331"/>
      <c r="F143" s="331"/>
      <c r="G143" s="331"/>
      <c r="H143" s="331"/>
      <c r="I143" s="331"/>
    </row>
    <row r="144" spans="1:9" ht="13.5" hidden="1" thickBot="1" x14ac:dyDescent="0.25">
      <c r="A144" s="119"/>
      <c r="B144" s="324" t="s">
        <v>220</v>
      </c>
      <c r="C144" s="324"/>
      <c r="D144" s="324"/>
      <c r="E144" s="324"/>
      <c r="F144" s="324"/>
      <c r="G144" s="324"/>
      <c r="H144" s="324"/>
      <c r="I144" s="106" t="s">
        <v>121</v>
      </c>
    </row>
    <row r="145" spans="1:9" hidden="1" x14ac:dyDescent="0.2">
      <c r="A145" s="120" t="s">
        <v>9</v>
      </c>
      <c r="B145" s="325" t="s">
        <v>221</v>
      </c>
      <c r="C145" s="325"/>
      <c r="D145" s="325"/>
      <c r="E145" s="325"/>
      <c r="F145" s="325"/>
      <c r="G145" s="325"/>
      <c r="H145" s="325"/>
      <c r="I145" s="121">
        <f>I108</f>
        <v>119.5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1596.39</v>
      </c>
    </row>
    <row r="148" spans="1:9" ht="13.5" hidden="1" thickBot="1" x14ac:dyDescent="0.25">
      <c r="A148" s="327" t="s">
        <v>44</v>
      </c>
      <c r="B148" s="327"/>
      <c r="C148" s="327"/>
      <c r="D148" s="327"/>
      <c r="E148" s="327"/>
      <c r="F148" s="327"/>
      <c r="G148" s="327"/>
      <c r="H148" s="327"/>
      <c r="I148" s="118" t="e">
        <f>SUM(I145:I147)</f>
        <v>#REF!</v>
      </c>
    </row>
    <row r="149" spans="1:9" hidden="1" x14ac:dyDescent="0.2">
      <c r="A149" s="64" t="s">
        <v>224</v>
      </c>
      <c r="B149" s="62" t="s">
        <v>225</v>
      </c>
    </row>
    <row r="150" spans="1:9" hidden="1" x14ac:dyDescent="0.2"/>
    <row r="151" spans="1:9" hidden="1" x14ac:dyDescent="0.2"/>
    <row r="152" spans="1:9" hidden="1" x14ac:dyDescent="0.2">
      <c r="A152" s="124" t="s">
        <v>226</v>
      </c>
      <c r="B152" s="124">
        <f>I130/I23</f>
        <v>2.6243699884414848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14485.84</v>
      </c>
    </row>
    <row r="155" spans="1:9" x14ac:dyDescent="0.2">
      <c r="A155" s="124" t="s">
        <v>228</v>
      </c>
      <c r="B155" s="124"/>
      <c r="C155" s="102">
        <f>H8*C154</f>
        <v>173830.08000000002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7"/>
  <sheetViews>
    <sheetView topLeftCell="A13" workbookViewId="0">
      <selection activeCell="B28" sqref="B28:G28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301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66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66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66" t="s">
        <v>11</v>
      </c>
      <c r="B7" s="292" t="s">
        <v>285</v>
      </c>
      <c r="C7" s="292"/>
      <c r="D7" s="292"/>
      <c r="E7" s="292"/>
      <c r="F7" s="292"/>
      <c r="G7" s="292"/>
      <c r="H7" s="274" t="s">
        <v>284</v>
      </c>
      <c r="I7" s="274"/>
    </row>
    <row r="8" spans="1:9" x14ac:dyDescent="0.2">
      <c r="A8" s="166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64"/>
      <c r="B9" s="168"/>
      <c r="C9" s="168"/>
      <c r="D9" s="168"/>
      <c r="E9" s="168"/>
      <c r="F9" s="168"/>
      <c r="G9" s="168"/>
      <c r="H9" s="164"/>
      <c r="I9" s="1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64"/>
      <c r="B13" s="168"/>
      <c r="C13" s="168"/>
      <c r="D13" s="168"/>
      <c r="E13" s="168"/>
      <c r="F13" s="168"/>
      <c r="G13" s="168"/>
      <c r="H13" s="164"/>
      <c r="I13" s="1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166">
        <v>1</v>
      </c>
      <c r="B15" s="292" t="s">
        <v>15</v>
      </c>
      <c r="C15" s="292"/>
      <c r="D15" s="292"/>
      <c r="E15" s="292"/>
      <c r="F15" s="292"/>
      <c r="G15" s="292"/>
      <c r="H15" s="274" t="s">
        <v>269</v>
      </c>
      <c r="I15" s="274"/>
    </row>
    <row r="16" spans="1:9" x14ac:dyDescent="0.2">
      <c r="A16" s="166">
        <v>2</v>
      </c>
      <c r="B16" s="292" t="s">
        <v>117</v>
      </c>
      <c r="C16" s="292"/>
      <c r="D16" s="292"/>
      <c r="E16" s="292"/>
      <c r="F16" s="292"/>
      <c r="G16" s="292"/>
      <c r="H16" s="274" t="s">
        <v>32</v>
      </c>
      <c r="I16" s="274"/>
    </row>
    <row r="17" spans="1:10" x14ac:dyDescent="0.2">
      <c r="A17" s="166">
        <v>3</v>
      </c>
      <c r="B17" s="292" t="s">
        <v>118</v>
      </c>
      <c r="C17" s="292"/>
      <c r="D17" s="292"/>
      <c r="E17" s="292"/>
      <c r="F17" s="292"/>
      <c r="G17" s="292"/>
      <c r="H17" s="298">
        <v>4100.8</v>
      </c>
      <c r="I17" s="298"/>
    </row>
    <row r="18" spans="1:10" ht="12.75" customHeight="1" x14ac:dyDescent="0.2">
      <c r="A18" s="166">
        <v>4</v>
      </c>
      <c r="B18" s="292" t="s">
        <v>16</v>
      </c>
      <c r="C18" s="292"/>
      <c r="D18" s="292"/>
      <c r="E18" s="292"/>
      <c r="F18" s="292"/>
      <c r="G18" s="292"/>
      <c r="H18" s="332" t="s">
        <v>265</v>
      </c>
      <c r="I18" s="333"/>
    </row>
    <row r="19" spans="1:10" x14ac:dyDescent="0.2">
      <c r="A19" s="166">
        <v>5</v>
      </c>
      <c r="B19" s="292" t="s">
        <v>1</v>
      </c>
      <c r="C19" s="292"/>
      <c r="D19" s="292"/>
      <c r="E19" s="292"/>
      <c r="F19" s="292"/>
      <c r="G19" s="292"/>
      <c r="H19" s="293">
        <v>45292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67">
        <v>1</v>
      </c>
      <c r="B22" s="297" t="s">
        <v>120</v>
      </c>
      <c r="C22" s="297"/>
      <c r="D22" s="297"/>
      <c r="E22" s="297"/>
      <c r="F22" s="297"/>
      <c r="G22" s="297"/>
      <c r="H22" s="167" t="s">
        <v>43</v>
      </c>
      <c r="I22" s="167" t="s">
        <v>121</v>
      </c>
    </row>
    <row r="23" spans="1:10" x14ac:dyDescent="0.2">
      <c r="A23" s="167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4100.8</v>
      </c>
    </row>
    <row r="24" spans="1:10" x14ac:dyDescent="0.2">
      <c r="A24" s="167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67" t="s">
        <v>11</v>
      </c>
      <c r="B25" s="292" t="s">
        <v>123</v>
      </c>
      <c r="C25" s="292"/>
      <c r="D25" s="292"/>
      <c r="E25" s="292"/>
      <c r="F25" s="292"/>
      <c r="G25" s="292"/>
      <c r="H25" s="176">
        <v>0.2</v>
      </c>
      <c r="I25" s="58">
        <f>1412*H25</f>
        <v>282.40000000000003</v>
      </c>
    </row>
    <row r="26" spans="1:10" x14ac:dyDescent="0.2">
      <c r="A26" s="167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167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67" t="s">
        <v>4</v>
      </c>
      <c r="B28" s="292" t="s">
        <v>336</v>
      </c>
      <c r="C28" s="292"/>
      <c r="D28" s="292"/>
      <c r="E28" s="292"/>
      <c r="F28" s="292"/>
      <c r="G28" s="292"/>
      <c r="H28" s="53">
        <v>0.2</v>
      </c>
      <c r="I28" s="58">
        <f>I23*20%</f>
        <v>820.16000000000008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5203.3599999999997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67" t="s">
        <v>43</v>
      </c>
      <c r="I32" s="167" t="s">
        <v>121</v>
      </c>
      <c r="J32" s="71"/>
    </row>
    <row r="33" spans="1:11" x14ac:dyDescent="0.2">
      <c r="A33" s="167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433.43988799999994</v>
      </c>
      <c r="J33" s="71"/>
    </row>
    <row r="34" spans="1:11" x14ac:dyDescent="0.2">
      <c r="A34" s="167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144.65340799999998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578.09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6264.71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67" t="s">
        <v>43</v>
      </c>
      <c r="I37" s="167" t="s">
        <v>121</v>
      </c>
      <c r="J37" s="71" t="s">
        <v>132</v>
      </c>
    </row>
    <row r="38" spans="1:11" x14ac:dyDescent="0.2">
      <c r="A38" s="167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1252.942</v>
      </c>
      <c r="J38" s="71"/>
    </row>
    <row r="39" spans="1:11" x14ac:dyDescent="0.2">
      <c r="A39" s="167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156.61775</v>
      </c>
      <c r="J39" s="71"/>
    </row>
    <row r="40" spans="1:11" x14ac:dyDescent="0.2">
      <c r="A40" s="167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105.6230106</v>
      </c>
      <c r="J40" s="71"/>
    </row>
    <row r="41" spans="1:11" x14ac:dyDescent="0.2">
      <c r="A41" s="167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93.970649999999992</v>
      </c>
      <c r="J41" s="71"/>
    </row>
    <row r="42" spans="1:11" x14ac:dyDescent="0.2">
      <c r="A42" s="167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62.647100000000002</v>
      </c>
      <c r="J42" s="71"/>
    </row>
    <row r="43" spans="1:11" x14ac:dyDescent="0.2">
      <c r="A43" s="167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37.588259999999998</v>
      </c>
      <c r="J43" s="71"/>
    </row>
    <row r="44" spans="1:11" x14ac:dyDescent="0.2">
      <c r="A44" s="167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12.52942</v>
      </c>
      <c r="J44" s="71"/>
    </row>
    <row r="45" spans="1:11" x14ac:dyDescent="0.2">
      <c r="A45" s="167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501.17680000000001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2223.09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67" t="s">
        <v>121</v>
      </c>
      <c r="J48" s="71"/>
    </row>
    <row r="49" spans="1:10" x14ac:dyDescent="0.2">
      <c r="A49" s="167" t="s">
        <v>9</v>
      </c>
      <c r="B49" s="354" t="s">
        <v>38</v>
      </c>
      <c r="C49" s="355"/>
      <c r="D49" s="355"/>
      <c r="E49" s="355"/>
      <c r="F49" s="355"/>
      <c r="G49" s="356"/>
      <c r="H49" s="166" t="s">
        <v>143</v>
      </c>
      <c r="I49" s="56">
        <f>(8.55*2*16)-(I23*0.06)</f>
        <v>27.552000000000021</v>
      </c>
      <c r="J49" s="71"/>
    </row>
    <row r="50" spans="1:10" x14ac:dyDescent="0.2">
      <c r="A50" s="167" t="s">
        <v>10</v>
      </c>
      <c r="B50" s="354" t="s">
        <v>332</v>
      </c>
      <c r="C50" s="355"/>
      <c r="D50" s="355"/>
      <c r="E50" s="355"/>
      <c r="F50" s="355"/>
      <c r="G50" s="356"/>
      <c r="H50" s="166" t="s">
        <v>143</v>
      </c>
      <c r="I50" s="56">
        <f>255-29.9</f>
        <v>225.1</v>
      </c>
      <c r="J50" s="71"/>
    </row>
    <row r="51" spans="1:10" x14ac:dyDescent="0.2">
      <c r="A51" s="167" t="s">
        <v>11</v>
      </c>
      <c r="B51" s="354" t="s">
        <v>331</v>
      </c>
      <c r="C51" s="355"/>
      <c r="D51" s="355"/>
      <c r="E51" s="355"/>
      <c r="F51" s="355"/>
      <c r="G51" s="356"/>
      <c r="H51" s="166" t="s">
        <v>143</v>
      </c>
      <c r="I51" s="56">
        <f>20+20/12</f>
        <v>21.666666666666668</v>
      </c>
      <c r="J51" s="71"/>
    </row>
    <row r="52" spans="1:10" x14ac:dyDescent="0.2">
      <c r="A52" s="167" t="s">
        <v>12</v>
      </c>
      <c r="B52" s="357" t="s">
        <v>333</v>
      </c>
      <c r="C52" s="358"/>
      <c r="D52" s="358"/>
      <c r="E52" s="358"/>
      <c r="F52" s="358"/>
      <c r="G52" s="359"/>
      <c r="H52" s="152" t="s">
        <v>143</v>
      </c>
      <c r="I52" s="153">
        <f>I50/2/12</f>
        <v>9.3791666666666664</v>
      </c>
      <c r="J52" s="71"/>
    </row>
    <row r="53" spans="1:10" x14ac:dyDescent="0.2">
      <c r="A53" s="167" t="s">
        <v>3</v>
      </c>
      <c r="B53" s="357" t="s">
        <v>334</v>
      </c>
      <c r="C53" s="358"/>
      <c r="D53" s="358"/>
      <c r="E53" s="358"/>
      <c r="F53" s="358"/>
      <c r="G53" s="359"/>
      <c r="H53" s="166" t="s">
        <v>143</v>
      </c>
      <c r="I53" s="56">
        <f>(24+12)+I23*30%/12</f>
        <v>138.51999999999998</v>
      </c>
      <c r="J53" s="71"/>
    </row>
    <row r="54" spans="1:10" x14ac:dyDescent="0.2">
      <c r="A54" s="167" t="s">
        <v>4</v>
      </c>
      <c r="B54" s="357" t="s">
        <v>335</v>
      </c>
      <c r="C54" s="358"/>
      <c r="D54" s="358"/>
      <c r="E54" s="358"/>
      <c r="F54" s="358"/>
      <c r="G54" s="359"/>
      <c r="H54" s="166" t="s">
        <v>143</v>
      </c>
      <c r="I54" s="56">
        <f>70.9+27</f>
        <v>97.9</v>
      </c>
      <c r="J54" s="71"/>
    </row>
    <row r="55" spans="1:10" ht="27" customHeight="1" x14ac:dyDescent="0.2">
      <c r="A55" s="167" t="s">
        <v>5</v>
      </c>
      <c r="B55" s="351" t="s">
        <v>337</v>
      </c>
      <c r="C55" s="352"/>
      <c r="D55" s="352"/>
      <c r="E55" s="352"/>
      <c r="F55" s="352"/>
      <c r="G55" s="353"/>
      <c r="H55" s="57"/>
      <c r="I55" s="58">
        <f>I23/16+31+(I23*36%/12)+9.6</f>
        <v>419.92400000000004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940.04183333333344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67" t="s">
        <v>121</v>
      </c>
      <c r="J59" s="71"/>
    </row>
    <row r="60" spans="1:10" x14ac:dyDescent="0.2">
      <c r="A60" s="167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578.09</v>
      </c>
      <c r="J60" s="71"/>
    </row>
    <row r="61" spans="1:10" x14ac:dyDescent="0.2">
      <c r="A61" s="167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2223.09</v>
      </c>
      <c r="J61" s="71"/>
    </row>
    <row r="62" spans="1:10" x14ac:dyDescent="0.2">
      <c r="A62" s="167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940.04183333333344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3741.22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67">
        <v>3</v>
      </c>
      <c r="B66" s="297" t="s">
        <v>158</v>
      </c>
      <c r="C66" s="297"/>
      <c r="D66" s="297"/>
      <c r="E66" s="297"/>
      <c r="F66" s="297"/>
      <c r="G66" s="297"/>
      <c r="H66" s="167" t="s">
        <v>43</v>
      </c>
      <c r="I66" s="167" t="s">
        <v>121</v>
      </c>
      <c r="J66" s="71"/>
    </row>
    <row r="67" spans="1:10" x14ac:dyDescent="0.2">
      <c r="A67" s="167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21.854111999999997</v>
      </c>
      <c r="J67" s="71"/>
    </row>
    <row r="68" spans="1:10" x14ac:dyDescent="0.2">
      <c r="A68" s="167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1.7483289599999998</v>
      </c>
      <c r="J68" s="71"/>
    </row>
    <row r="69" spans="1:10" x14ac:dyDescent="0.2">
      <c r="A69" s="167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0.87416447999999991</v>
      </c>
      <c r="J69" s="71"/>
    </row>
    <row r="70" spans="1:10" x14ac:dyDescent="0.2">
      <c r="A70" s="167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100.945184</v>
      </c>
      <c r="J70" s="71"/>
    </row>
    <row r="71" spans="1:10" x14ac:dyDescent="0.2">
      <c r="A71" s="167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35.821407994240005</v>
      </c>
      <c r="J71" s="71"/>
    </row>
    <row r="72" spans="1:10" x14ac:dyDescent="0.2">
      <c r="A72" s="167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4.0378073599999995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165.28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67" t="s">
        <v>43</v>
      </c>
      <c r="I76" s="167" t="s">
        <v>121</v>
      </c>
      <c r="J76" s="71"/>
    </row>
    <row r="77" spans="1:10" x14ac:dyDescent="0.2">
      <c r="A77" s="167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433.43988799999994</v>
      </c>
      <c r="J77" s="71"/>
    </row>
    <row r="78" spans="1:10" x14ac:dyDescent="0.2">
      <c r="A78" s="167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42.667552000000001</v>
      </c>
      <c r="J78" s="71"/>
    </row>
    <row r="79" spans="1:10" x14ac:dyDescent="0.2">
      <c r="A79" s="167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1.040672</v>
      </c>
      <c r="J79" s="71"/>
    </row>
    <row r="80" spans="1:10" x14ac:dyDescent="0.2">
      <c r="A80" s="167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1.5610079999999997</v>
      </c>
      <c r="J80" s="71"/>
    </row>
    <row r="81" spans="1:11" x14ac:dyDescent="0.2">
      <c r="A81" s="167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4.5607206889333334</v>
      </c>
      <c r="J81" s="75" t="s">
        <v>173</v>
      </c>
      <c r="K81" s="76">
        <f>I33+I34+I51+I52+I53</f>
        <v>747.65912933333323</v>
      </c>
    </row>
    <row r="82" spans="1:11" x14ac:dyDescent="0.2">
      <c r="A82" s="167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483.26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67" t="s">
        <v>43</v>
      </c>
      <c r="I85" s="167" t="s">
        <v>121</v>
      </c>
      <c r="J85" s="71"/>
    </row>
    <row r="86" spans="1:11" x14ac:dyDescent="0.2">
      <c r="A86" s="167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67" t="s">
        <v>121</v>
      </c>
      <c r="J90" s="71"/>
    </row>
    <row r="91" spans="1:11" x14ac:dyDescent="0.2">
      <c r="A91" s="167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483.26</v>
      </c>
      <c r="J91" s="71"/>
    </row>
    <row r="92" spans="1:11" x14ac:dyDescent="0.2">
      <c r="A92" s="167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483.26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67">
        <v>5</v>
      </c>
      <c r="B96" s="297" t="s">
        <v>185</v>
      </c>
      <c r="C96" s="297"/>
      <c r="D96" s="297"/>
      <c r="E96" s="297"/>
      <c r="F96" s="297"/>
      <c r="G96" s="297"/>
      <c r="H96" s="167"/>
      <c r="I96" s="167" t="s">
        <v>121</v>
      </c>
      <c r="J96" s="71"/>
    </row>
    <row r="97" spans="1:10" x14ac:dyDescent="0.2">
      <c r="A97" s="167" t="s">
        <v>9</v>
      </c>
      <c r="B97" s="310" t="s">
        <v>39</v>
      </c>
      <c r="C97" s="310"/>
      <c r="D97" s="310"/>
      <c r="E97" s="310"/>
      <c r="F97" s="310"/>
      <c r="G97" s="310"/>
      <c r="H97" s="166" t="s">
        <v>143</v>
      </c>
      <c r="I97" s="58">
        <f>Uniformes!E7</f>
        <v>58.799927477499999</v>
      </c>
      <c r="J97" s="71"/>
    </row>
    <row r="98" spans="1:10" x14ac:dyDescent="0.2">
      <c r="A98" s="167" t="s">
        <v>10</v>
      </c>
      <c r="B98" s="310" t="s">
        <v>40</v>
      </c>
      <c r="C98" s="310"/>
      <c r="D98" s="310"/>
      <c r="E98" s="310"/>
      <c r="F98" s="310"/>
      <c r="G98" s="310"/>
      <c r="H98" s="166" t="s">
        <v>143</v>
      </c>
      <c r="I98" s="166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66" t="s">
        <v>143</v>
      </c>
      <c r="I99" s="166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166" t="s">
        <v>143</v>
      </c>
      <c r="I100" s="166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67">
        <v>6</v>
      </c>
      <c r="B104" s="297" t="s">
        <v>188</v>
      </c>
      <c r="C104" s="297"/>
      <c r="D104" s="297"/>
      <c r="E104" s="297"/>
      <c r="F104" s="297"/>
      <c r="G104" s="297"/>
      <c r="H104" s="167" t="s">
        <v>43</v>
      </c>
      <c r="I104" s="167" t="s">
        <v>121</v>
      </c>
      <c r="J104" s="71"/>
    </row>
    <row r="105" spans="1:10" x14ac:dyDescent="0.2">
      <c r="A105" s="167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289.55</v>
      </c>
      <c r="J105" s="71"/>
    </row>
    <row r="106" spans="1:10" x14ac:dyDescent="0.2">
      <c r="A106" s="167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675.02</v>
      </c>
      <c r="J106" s="82">
        <f>SUM(I105:I106)</f>
        <v>964.56999999999994</v>
      </c>
    </row>
    <row r="107" spans="1:10" x14ac:dyDescent="0.2">
      <c r="A107" s="167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67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204.28</v>
      </c>
      <c r="J108" s="84"/>
    </row>
    <row r="109" spans="1:10" x14ac:dyDescent="0.2">
      <c r="A109" s="167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940.93</v>
      </c>
      <c r="J109" s="84"/>
    </row>
    <row r="110" spans="1:10" x14ac:dyDescent="0.2">
      <c r="A110" s="167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619.03</v>
      </c>
      <c r="J110" s="87">
        <f>SUM(I108:I110)</f>
        <v>1764.24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2728.81</v>
      </c>
      <c r="J111" s="71"/>
    </row>
    <row r="112" spans="1:10" x14ac:dyDescent="0.2">
      <c r="A112" s="1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10616.48</v>
      </c>
    </row>
    <row r="116" spans="1:11" x14ac:dyDescent="0.2">
      <c r="A116" s="91"/>
      <c r="B116" s="165"/>
      <c r="C116" s="165"/>
      <c r="D116" s="165"/>
      <c r="E116" s="165"/>
      <c r="F116" s="165"/>
      <c r="G116" s="16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12380.73</v>
      </c>
    </row>
    <row r="118" spans="1:11" x14ac:dyDescent="0.2">
      <c r="A118" s="91"/>
      <c r="B118" s="165"/>
      <c r="C118" s="165"/>
      <c r="D118" s="165"/>
      <c r="E118" s="165"/>
      <c r="F118" s="165"/>
      <c r="G118" s="16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1764.25</v>
      </c>
      <c r="K119" s="100"/>
    </row>
    <row r="120" spans="1:11" x14ac:dyDescent="0.2">
      <c r="A120" s="164"/>
      <c r="B120" s="164"/>
      <c r="C120" s="164"/>
      <c r="D120" s="164"/>
      <c r="E120" s="164"/>
      <c r="F120" s="164"/>
      <c r="G120" s="164"/>
      <c r="H120" s="1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67" t="s">
        <v>121</v>
      </c>
    </row>
    <row r="123" spans="1:11" x14ac:dyDescent="0.2">
      <c r="A123" s="166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5203.3599999999997</v>
      </c>
    </row>
    <row r="124" spans="1:11" x14ac:dyDescent="0.2">
      <c r="A124" s="166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3741.22</v>
      </c>
    </row>
    <row r="125" spans="1:11" x14ac:dyDescent="0.2">
      <c r="A125" s="166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165.28</v>
      </c>
      <c r="K125" s="102"/>
    </row>
    <row r="126" spans="1:11" x14ac:dyDescent="0.2">
      <c r="A126" s="166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483.26</v>
      </c>
      <c r="K126" s="102"/>
    </row>
    <row r="127" spans="1:11" x14ac:dyDescent="0.2">
      <c r="A127" s="166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67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9651.91</v>
      </c>
      <c r="K128" s="100"/>
    </row>
    <row r="129" spans="1:9" x14ac:dyDescent="0.2">
      <c r="A129" s="166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2728.81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12380.72</v>
      </c>
    </row>
    <row r="131" spans="1:9" x14ac:dyDescent="0.2">
      <c r="I131" s="100"/>
    </row>
    <row r="132" spans="1:9" ht="13.5" hidden="1" thickBot="1" x14ac:dyDescent="0.25">
      <c r="A132" s="1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69" t="s">
        <v>210</v>
      </c>
      <c r="I133" s="171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70"/>
      <c r="B144" s="339" t="s">
        <v>220</v>
      </c>
      <c r="C144" s="339"/>
      <c r="D144" s="339"/>
      <c r="E144" s="339"/>
      <c r="F144" s="339"/>
      <c r="G144" s="339"/>
      <c r="H144" s="339"/>
      <c r="I144" s="171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204.28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2728.81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64" t="s">
        <v>224</v>
      </c>
      <c r="B149" s="62" t="s">
        <v>225</v>
      </c>
    </row>
    <row r="152" spans="1:9" x14ac:dyDescent="0.2">
      <c r="A152" s="124" t="s">
        <v>226</v>
      </c>
      <c r="B152" s="124">
        <f>I130/I23</f>
        <v>3.0190987124463518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24761.439999999999</v>
      </c>
    </row>
    <row r="155" spans="1:9" x14ac:dyDescent="0.2">
      <c r="A155" s="124" t="s">
        <v>228</v>
      </c>
      <c r="B155" s="124"/>
      <c r="C155" s="102">
        <f>H8*C154</f>
        <v>297137.27999999997</v>
      </c>
    </row>
    <row r="156" spans="1:9" x14ac:dyDescent="0.2">
      <c r="A156" s="125"/>
    </row>
    <row r="157" spans="1:9" x14ac:dyDescent="0.2">
      <c r="A157" s="125"/>
    </row>
  </sheetData>
  <mergeCells count="166"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7"/>
  <sheetViews>
    <sheetView topLeftCell="A13" workbookViewId="0">
      <selection activeCell="M59" sqref="M59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302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47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47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47" t="s">
        <v>11</v>
      </c>
      <c r="B7" s="292" t="s">
        <v>285</v>
      </c>
      <c r="C7" s="292"/>
      <c r="D7" s="292"/>
      <c r="E7" s="292"/>
      <c r="F7" s="292"/>
      <c r="G7" s="292"/>
      <c r="H7" s="274" t="s">
        <v>284</v>
      </c>
      <c r="I7" s="274"/>
    </row>
    <row r="8" spans="1:9" x14ac:dyDescent="0.2">
      <c r="A8" s="147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43"/>
      <c r="B9" s="146"/>
      <c r="C9" s="146"/>
      <c r="D9" s="146"/>
      <c r="E9" s="146"/>
      <c r="F9" s="146"/>
      <c r="G9" s="146"/>
      <c r="H9" s="143"/>
      <c r="I9" s="143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1</v>
      </c>
      <c r="F12" s="274"/>
      <c r="G12" s="274"/>
      <c r="H12" s="274"/>
      <c r="I12" s="274"/>
    </row>
    <row r="13" spans="1:9" x14ac:dyDescent="0.2">
      <c r="A13" s="143"/>
      <c r="B13" s="146"/>
      <c r="C13" s="146"/>
      <c r="D13" s="146"/>
      <c r="E13" s="146"/>
      <c r="F13" s="146"/>
      <c r="G13" s="146"/>
      <c r="H13" s="143"/>
      <c r="I13" s="143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147">
        <v>1</v>
      </c>
      <c r="B15" s="292" t="s">
        <v>15</v>
      </c>
      <c r="C15" s="292"/>
      <c r="D15" s="292"/>
      <c r="E15" s="292"/>
      <c r="F15" s="292"/>
      <c r="G15" s="292"/>
      <c r="H15" s="274" t="s">
        <v>270</v>
      </c>
      <c r="I15" s="274"/>
    </row>
    <row r="16" spans="1:9" x14ac:dyDescent="0.2">
      <c r="A16" s="147">
        <v>2</v>
      </c>
      <c r="B16" s="292" t="s">
        <v>117</v>
      </c>
      <c r="C16" s="292"/>
      <c r="D16" s="292"/>
      <c r="E16" s="292"/>
      <c r="F16" s="292"/>
      <c r="G16" s="292"/>
      <c r="H16" s="274" t="s">
        <v>32</v>
      </c>
      <c r="I16" s="274"/>
    </row>
    <row r="17" spans="1:10" x14ac:dyDescent="0.2">
      <c r="A17" s="147">
        <v>3</v>
      </c>
      <c r="B17" s="292" t="s">
        <v>118</v>
      </c>
      <c r="C17" s="292"/>
      <c r="D17" s="292"/>
      <c r="E17" s="292"/>
      <c r="F17" s="292"/>
      <c r="G17" s="292"/>
      <c r="H17" s="298">
        <v>4100.8</v>
      </c>
      <c r="I17" s="298"/>
    </row>
    <row r="18" spans="1:10" ht="14.2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46" t="s">
        <v>265</v>
      </c>
      <c r="I18" s="347"/>
    </row>
    <row r="19" spans="1:10" x14ac:dyDescent="0.2">
      <c r="A19" s="147">
        <v>5</v>
      </c>
      <c r="B19" s="292" t="s">
        <v>1</v>
      </c>
      <c r="C19" s="292"/>
      <c r="D19" s="292"/>
      <c r="E19" s="292"/>
      <c r="F19" s="292"/>
      <c r="G19" s="292"/>
      <c r="H19" s="293">
        <v>44927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44">
        <v>1</v>
      </c>
      <c r="B22" s="297" t="s">
        <v>120</v>
      </c>
      <c r="C22" s="297"/>
      <c r="D22" s="297"/>
      <c r="E22" s="297"/>
      <c r="F22" s="297"/>
      <c r="G22" s="297"/>
      <c r="H22" s="144" t="s">
        <v>43</v>
      </c>
      <c r="I22" s="144" t="s">
        <v>121</v>
      </c>
    </row>
    <row r="23" spans="1:10" x14ac:dyDescent="0.2">
      <c r="A23" s="144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4100.8</v>
      </c>
    </row>
    <row r="24" spans="1:10" x14ac:dyDescent="0.2">
      <c r="A24" s="144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44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44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144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44" t="s">
        <v>4</v>
      </c>
      <c r="B28" s="292" t="s">
        <v>338</v>
      </c>
      <c r="C28" s="292"/>
      <c r="D28" s="292"/>
      <c r="E28" s="292"/>
      <c r="F28" s="292"/>
      <c r="G28" s="292"/>
      <c r="H28" s="53">
        <v>0.4</v>
      </c>
      <c r="I28" s="58">
        <f>I23*40%</f>
        <v>1640.3200000000002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6023.52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44" t="s">
        <v>43</v>
      </c>
      <c r="I32" s="144" t="s">
        <v>121</v>
      </c>
      <c r="J32" s="71"/>
    </row>
    <row r="33" spans="1:11" x14ac:dyDescent="0.2">
      <c r="A33" s="144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501.75921600000004</v>
      </c>
      <c r="J33" s="71"/>
    </row>
    <row r="34" spans="1:11" x14ac:dyDescent="0.2">
      <c r="A34" s="144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167.453856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669.21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7252.01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44" t="s">
        <v>43</v>
      </c>
      <c r="I37" s="144" t="s">
        <v>121</v>
      </c>
      <c r="J37" s="71" t="s">
        <v>132</v>
      </c>
    </row>
    <row r="38" spans="1:11" x14ac:dyDescent="0.2">
      <c r="A38" s="144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1450.402</v>
      </c>
      <c r="J38" s="71"/>
    </row>
    <row r="39" spans="1:11" x14ac:dyDescent="0.2">
      <c r="A39" s="144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181.30025000000001</v>
      </c>
      <c r="J39" s="71"/>
    </row>
    <row r="40" spans="1:11" x14ac:dyDescent="0.2">
      <c r="A40" s="144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122.2688886</v>
      </c>
      <c r="J40" s="71"/>
    </row>
    <row r="41" spans="1:11" x14ac:dyDescent="0.2">
      <c r="A41" s="144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108.78015000000001</v>
      </c>
      <c r="J41" s="71"/>
    </row>
    <row r="42" spans="1:11" x14ac:dyDescent="0.2">
      <c r="A42" s="144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72.520099999999999</v>
      </c>
      <c r="J42" s="71"/>
    </row>
    <row r="43" spans="1:11" x14ac:dyDescent="0.2">
      <c r="A43" s="144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43.512060000000005</v>
      </c>
      <c r="J43" s="71"/>
    </row>
    <row r="44" spans="1:11" x14ac:dyDescent="0.2">
      <c r="A44" s="144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14.504020000000001</v>
      </c>
      <c r="J44" s="71"/>
    </row>
    <row r="45" spans="1:11" x14ac:dyDescent="0.2">
      <c r="A45" s="144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580.16079999999999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2573.44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44" t="s">
        <v>121</v>
      </c>
      <c r="J48" s="71"/>
    </row>
    <row r="49" spans="1:10" x14ac:dyDescent="0.2">
      <c r="A49" s="144" t="s">
        <v>9</v>
      </c>
      <c r="B49" s="354" t="s">
        <v>38</v>
      </c>
      <c r="C49" s="355"/>
      <c r="D49" s="355"/>
      <c r="E49" s="355"/>
      <c r="F49" s="355"/>
      <c r="G49" s="356"/>
      <c r="H49" s="147" t="s">
        <v>143</v>
      </c>
      <c r="I49" s="56">
        <f>(8.55*2*22)-(I23*0.06)</f>
        <v>130.15200000000004</v>
      </c>
      <c r="J49" s="71"/>
    </row>
    <row r="50" spans="1:10" x14ac:dyDescent="0.2">
      <c r="A50" s="144" t="s">
        <v>10</v>
      </c>
      <c r="B50" s="354" t="s">
        <v>332</v>
      </c>
      <c r="C50" s="355"/>
      <c r="D50" s="355"/>
      <c r="E50" s="355"/>
      <c r="F50" s="355"/>
      <c r="G50" s="356"/>
      <c r="H50" s="147" t="s">
        <v>143</v>
      </c>
      <c r="I50" s="56">
        <f>' Nutricionista RT SET FEC PLANT'!I50</f>
        <v>225.1</v>
      </c>
      <c r="J50" s="71"/>
    </row>
    <row r="51" spans="1:10" x14ac:dyDescent="0.2">
      <c r="A51" s="144" t="s">
        <v>11</v>
      </c>
      <c r="B51" s="354" t="s">
        <v>331</v>
      </c>
      <c r="C51" s="355"/>
      <c r="D51" s="355"/>
      <c r="E51" s="355"/>
      <c r="F51" s="355"/>
      <c r="G51" s="356"/>
      <c r="H51" s="147" t="s">
        <v>143</v>
      </c>
      <c r="I51" s="56">
        <f>' Nutricionista RT SET FEC PLANT'!I51</f>
        <v>21.666666666666668</v>
      </c>
      <c r="J51" s="71"/>
    </row>
    <row r="52" spans="1:10" x14ac:dyDescent="0.2">
      <c r="A52" s="144" t="s">
        <v>12</v>
      </c>
      <c r="B52" s="357" t="s">
        <v>333</v>
      </c>
      <c r="C52" s="358"/>
      <c r="D52" s="358"/>
      <c r="E52" s="358"/>
      <c r="F52" s="358"/>
      <c r="G52" s="359"/>
      <c r="H52" s="152" t="s">
        <v>143</v>
      </c>
      <c r="I52" s="153">
        <f>' Nutricionista RT SET FEC PLANT'!I52</f>
        <v>9.3791666666666664</v>
      </c>
      <c r="J52" s="71"/>
    </row>
    <row r="53" spans="1:10" x14ac:dyDescent="0.2">
      <c r="A53" s="144" t="s">
        <v>3</v>
      </c>
      <c r="B53" s="357" t="s">
        <v>334</v>
      </c>
      <c r="C53" s="358"/>
      <c r="D53" s="358"/>
      <c r="E53" s="358"/>
      <c r="F53" s="358"/>
      <c r="G53" s="359"/>
      <c r="H53" s="147" t="s">
        <v>143</v>
      </c>
      <c r="I53" s="56">
        <f>' Nutricionista RT SET FEC PLANT'!I53</f>
        <v>138.51999999999998</v>
      </c>
      <c r="J53" s="71"/>
    </row>
    <row r="54" spans="1:10" x14ac:dyDescent="0.2">
      <c r="A54" s="144" t="s">
        <v>4</v>
      </c>
      <c r="B54" s="357" t="s">
        <v>335</v>
      </c>
      <c r="C54" s="358"/>
      <c r="D54" s="358"/>
      <c r="E54" s="358"/>
      <c r="F54" s="358"/>
      <c r="G54" s="359"/>
      <c r="H54" s="147" t="s">
        <v>143</v>
      </c>
      <c r="I54" s="56">
        <f>' Nutricionista RT SET FEC PLANT'!I54</f>
        <v>97.9</v>
      </c>
      <c r="J54" s="71"/>
    </row>
    <row r="55" spans="1:10" ht="24" customHeight="1" x14ac:dyDescent="0.2">
      <c r="A55" s="144" t="s">
        <v>5</v>
      </c>
      <c r="B55" s="351" t="s">
        <v>337</v>
      </c>
      <c r="C55" s="352"/>
      <c r="D55" s="352"/>
      <c r="E55" s="352"/>
      <c r="F55" s="352"/>
      <c r="G55" s="353"/>
      <c r="H55" s="57"/>
      <c r="I55" s="58">
        <f>' Nutricionista RT SET FEC PLANT'!I55</f>
        <v>419.92400000000004</v>
      </c>
      <c r="J55" s="71"/>
    </row>
    <row r="56" spans="1:10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1042.6418333333334</v>
      </c>
      <c r="J56" s="71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44" t="s">
        <v>121</v>
      </c>
      <c r="J59" s="71"/>
    </row>
    <row r="60" spans="1:10" x14ac:dyDescent="0.2">
      <c r="A60" s="144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669.21</v>
      </c>
      <c r="J60" s="71"/>
    </row>
    <row r="61" spans="1:10" x14ac:dyDescent="0.2">
      <c r="A61" s="144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2573.44</v>
      </c>
      <c r="J61" s="71"/>
    </row>
    <row r="62" spans="1:10" x14ac:dyDescent="0.2">
      <c r="A62" s="144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1042.6418333333334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4285.29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44">
        <v>3</v>
      </c>
      <c r="B66" s="297" t="s">
        <v>158</v>
      </c>
      <c r="C66" s="297"/>
      <c r="D66" s="297"/>
      <c r="E66" s="297"/>
      <c r="F66" s="297"/>
      <c r="G66" s="297"/>
      <c r="H66" s="144" t="s">
        <v>43</v>
      </c>
      <c r="I66" s="144" t="s">
        <v>121</v>
      </c>
      <c r="J66" s="71"/>
    </row>
    <row r="67" spans="1:10" x14ac:dyDescent="0.2">
      <c r="A67" s="144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25.298784000000001</v>
      </c>
      <c r="J67" s="71"/>
    </row>
    <row r="68" spans="1:10" x14ac:dyDescent="0.2">
      <c r="A68" s="144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2.0239027200000002</v>
      </c>
      <c r="J68" s="71"/>
    </row>
    <row r="69" spans="1:10" x14ac:dyDescent="0.2">
      <c r="A69" s="144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1.0119513600000001</v>
      </c>
      <c r="J69" s="71"/>
    </row>
    <row r="70" spans="1:10" x14ac:dyDescent="0.2">
      <c r="A70" s="144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116.85628800000001</v>
      </c>
      <c r="J70" s="71"/>
    </row>
    <row r="71" spans="1:10" x14ac:dyDescent="0.2">
      <c r="A71" s="144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41.467622359680014</v>
      </c>
      <c r="J71" s="71"/>
    </row>
    <row r="72" spans="1:10" x14ac:dyDescent="0.2">
      <c r="A72" s="144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4.6742515200000003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191.33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44" t="s">
        <v>43</v>
      </c>
      <c r="I76" s="144" t="s">
        <v>121</v>
      </c>
      <c r="J76" s="71"/>
    </row>
    <row r="77" spans="1:10" x14ac:dyDescent="0.2">
      <c r="A77" s="144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501.75921600000004</v>
      </c>
      <c r="J77" s="71"/>
    </row>
    <row r="78" spans="1:10" x14ac:dyDescent="0.2">
      <c r="A78" s="144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49.39286400000001</v>
      </c>
      <c r="J78" s="71"/>
    </row>
    <row r="79" spans="1:10" x14ac:dyDescent="0.2">
      <c r="A79" s="144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1.2047040000000002</v>
      </c>
      <c r="J79" s="71"/>
    </row>
    <row r="80" spans="1:10" x14ac:dyDescent="0.2">
      <c r="A80" s="144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1.807056</v>
      </c>
      <c r="J80" s="71"/>
    </row>
    <row r="81" spans="1:11" x14ac:dyDescent="0.2">
      <c r="A81" s="144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5.1165513225333337</v>
      </c>
      <c r="J81" s="75" t="s">
        <v>173</v>
      </c>
      <c r="K81" s="76">
        <f>I33+I34+I51+I52+I53</f>
        <v>838.77890533333334</v>
      </c>
    </row>
    <row r="82" spans="1:11" x14ac:dyDescent="0.2">
      <c r="A82" s="144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559.28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44" t="s">
        <v>43</v>
      </c>
      <c r="I85" s="144" t="s">
        <v>121</v>
      </c>
      <c r="J85" s="71"/>
    </row>
    <row r="86" spans="1:11" x14ac:dyDescent="0.2">
      <c r="A86" s="144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44" t="s">
        <v>121</v>
      </c>
      <c r="J90" s="71"/>
    </row>
    <row r="91" spans="1:11" x14ac:dyDescent="0.2">
      <c r="A91" s="144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559.28</v>
      </c>
      <c r="J91" s="71"/>
    </row>
    <row r="92" spans="1:11" x14ac:dyDescent="0.2">
      <c r="A92" s="144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559.28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44">
        <v>5</v>
      </c>
      <c r="B96" s="297" t="s">
        <v>185</v>
      </c>
      <c r="C96" s="297"/>
      <c r="D96" s="297"/>
      <c r="E96" s="297"/>
      <c r="F96" s="297"/>
      <c r="G96" s="297"/>
      <c r="H96" s="144"/>
      <c r="I96" s="144" t="s">
        <v>121</v>
      </c>
      <c r="J96" s="71"/>
    </row>
    <row r="97" spans="1:10" x14ac:dyDescent="0.2">
      <c r="A97" s="144" t="s">
        <v>9</v>
      </c>
      <c r="B97" s="310" t="s">
        <v>39</v>
      </c>
      <c r="C97" s="310"/>
      <c r="D97" s="310"/>
      <c r="E97" s="310"/>
      <c r="F97" s="310"/>
      <c r="G97" s="310"/>
      <c r="H97" s="147" t="s">
        <v>143</v>
      </c>
      <c r="I97" s="58">
        <f>Uniformes!E7</f>
        <v>58.799927477499999</v>
      </c>
      <c r="J97" s="71"/>
    </row>
    <row r="98" spans="1:10" x14ac:dyDescent="0.2">
      <c r="A98" s="144" t="s">
        <v>10</v>
      </c>
      <c r="B98" s="310" t="s">
        <v>40</v>
      </c>
      <c r="C98" s="310"/>
      <c r="D98" s="310"/>
      <c r="E98" s="310"/>
      <c r="F98" s="310"/>
      <c r="G98" s="310"/>
      <c r="H98" s="147" t="s">
        <v>143</v>
      </c>
      <c r="I98" s="147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47" t="s">
        <v>143</v>
      </c>
      <c r="I99" s="147" t="s">
        <v>143</v>
      </c>
      <c r="J99" s="71"/>
    </row>
    <row r="100" spans="1:10" x14ac:dyDescent="0.2">
      <c r="A100" s="79" t="s">
        <v>12</v>
      </c>
      <c r="B100" s="310" t="s">
        <v>82</v>
      </c>
      <c r="C100" s="310"/>
      <c r="D100" s="310"/>
      <c r="E100" s="310"/>
      <c r="F100" s="310"/>
      <c r="G100" s="310"/>
      <c r="H100" s="147" t="s">
        <v>143</v>
      </c>
      <c r="I100" s="147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44">
        <v>6</v>
      </c>
      <c r="B104" s="297" t="s">
        <v>188</v>
      </c>
      <c r="C104" s="297"/>
      <c r="D104" s="297"/>
      <c r="E104" s="297"/>
      <c r="F104" s="297"/>
      <c r="G104" s="297"/>
      <c r="H104" s="144" t="s">
        <v>43</v>
      </c>
      <c r="I104" s="144" t="s">
        <v>121</v>
      </c>
      <c r="J104" s="71"/>
    </row>
    <row r="105" spans="1:10" x14ac:dyDescent="0.2">
      <c r="A105" s="144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333.54</v>
      </c>
      <c r="J105" s="71"/>
    </row>
    <row r="106" spans="1:10" x14ac:dyDescent="0.2">
      <c r="A106" s="144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777.57</v>
      </c>
      <c r="J106" s="82">
        <f>SUM(I105:I106)</f>
        <v>1111.1100000000001</v>
      </c>
    </row>
    <row r="107" spans="1:10" x14ac:dyDescent="0.2">
      <c r="A107" s="144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44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235.31</v>
      </c>
      <c r="J108" s="84"/>
    </row>
    <row r="109" spans="1:10" x14ac:dyDescent="0.2">
      <c r="A109" s="144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1083.8800000000001</v>
      </c>
      <c r="J109" s="84"/>
    </row>
    <row r="110" spans="1:10" x14ac:dyDescent="0.2">
      <c r="A110" s="144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713.07</v>
      </c>
      <c r="J110" s="87">
        <f>SUM(I108:I110)</f>
        <v>2032.2600000000002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3143.37</v>
      </c>
      <c r="J111" s="71"/>
    </row>
    <row r="112" spans="1:10" x14ac:dyDescent="0.2">
      <c r="A112" s="143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12229.32</v>
      </c>
    </row>
    <row r="116" spans="1:11" x14ac:dyDescent="0.2">
      <c r="A116" s="91"/>
      <c r="B116" s="145"/>
      <c r="C116" s="145"/>
      <c r="D116" s="145"/>
      <c r="E116" s="145"/>
      <c r="F116" s="145"/>
      <c r="G116" s="14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14261.59</v>
      </c>
    </row>
    <row r="118" spans="1:11" x14ac:dyDescent="0.2">
      <c r="A118" s="91"/>
      <c r="B118" s="145"/>
      <c r="C118" s="145"/>
      <c r="D118" s="145"/>
      <c r="E118" s="145"/>
      <c r="F118" s="145"/>
      <c r="G118" s="14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2032.27</v>
      </c>
      <c r="K119" s="100"/>
    </row>
    <row r="120" spans="1:11" x14ac:dyDescent="0.2">
      <c r="A120" s="143"/>
      <c r="B120" s="143"/>
      <c r="C120" s="143"/>
      <c r="D120" s="143"/>
      <c r="E120" s="143"/>
      <c r="F120" s="143"/>
      <c r="G120" s="143"/>
      <c r="H120" s="143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44" t="s">
        <v>121</v>
      </c>
    </row>
    <row r="123" spans="1:11" x14ac:dyDescent="0.2">
      <c r="A123" s="147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6023.52</v>
      </c>
    </row>
    <row r="124" spans="1:11" x14ac:dyDescent="0.2">
      <c r="A124" s="147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4285.29</v>
      </c>
    </row>
    <row r="125" spans="1:11" x14ac:dyDescent="0.2">
      <c r="A125" s="147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191.33</v>
      </c>
      <c r="K125" s="102"/>
    </row>
    <row r="126" spans="1:11" x14ac:dyDescent="0.2">
      <c r="A126" s="147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559.28</v>
      </c>
      <c r="K126" s="102"/>
    </row>
    <row r="127" spans="1:11" x14ac:dyDescent="0.2">
      <c r="A127" s="147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44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11118.21</v>
      </c>
      <c r="K128" s="100"/>
    </row>
    <row r="129" spans="1:9" x14ac:dyDescent="0.2">
      <c r="A129" s="147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3143.37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14261.58</v>
      </c>
    </row>
    <row r="131" spans="1:9" hidden="1" x14ac:dyDescent="0.2">
      <c r="I131" s="100"/>
    </row>
    <row r="132" spans="1:9" ht="13.5" hidden="1" thickBot="1" x14ac:dyDescent="0.25">
      <c r="A132" s="143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50" t="s">
        <v>210</v>
      </c>
      <c r="I133" s="149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43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48"/>
      <c r="B144" s="339" t="s">
        <v>220</v>
      </c>
      <c r="C144" s="339"/>
      <c r="D144" s="339"/>
      <c r="E144" s="339"/>
      <c r="F144" s="339"/>
      <c r="G144" s="339"/>
      <c r="H144" s="339"/>
      <c r="I144" s="149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235.31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3143.37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43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3.477755559890753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14261.58</v>
      </c>
    </row>
    <row r="155" spans="1:9" x14ac:dyDescent="0.2">
      <c r="A155" s="124" t="s">
        <v>228</v>
      </c>
      <c r="B155" s="124"/>
      <c r="C155" s="102">
        <f>H8*C154</f>
        <v>171138.96</v>
      </c>
    </row>
    <row r="156" spans="1:9" x14ac:dyDescent="0.2">
      <c r="A156" s="125"/>
    </row>
    <row r="157" spans="1:9" x14ac:dyDescent="0.2">
      <c r="A157" s="125"/>
    </row>
  </sheetData>
  <mergeCells count="166"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7"/>
  <sheetViews>
    <sheetView view="pageBreakPreview" topLeftCell="A4" zoomScaleNormal="100" zoomScaleSheetLayoutView="100" workbookViewId="0">
      <selection activeCell="B28" sqref="B28:G28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3.28515625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ht="12.75" customHeight="1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303</v>
      </c>
      <c r="B2" s="290"/>
      <c r="C2" s="290"/>
      <c r="D2" s="290"/>
      <c r="E2" s="290"/>
      <c r="F2" s="290"/>
      <c r="G2" s="290"/>
      <c r="H2" s="290"/>
      <c r="I2" s="290"/>
    </row>
    <row r="3" spans="1:9" ht="12" customHeight="1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ht="12" customHeight="1" x14ac:dyDescent="0.2">
      <c r="A5" s="147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47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47" t="s">
        <v>11</v>
      </c>
      <c r="B7" s="292" t="s">
        <v>285</v>
      </c>
      <c r="C7" s="292"/>
      <c r="D7" s="292"/>
      <c r="E7" s="292"/>
      <c r="F7" s="292"/>
      <c r="G7" s="292"/>
      <c r="H7" s="274" t="s">
        <v>284</v>
      </c>
      <c r="I7" s="274"/>
    </row>
    <row r="8" spans="1:9" x14ac:dyDescent="0.2">
      <c r="A8" s="147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43"/>
      <c r="B9" s="146"/>
      <c r="C9" s="146"/>
      <c r="D9" s="146"/>
      <c r="E9" s="146"/>
      <c r="F9" s="146"/>
      <c r="G9" s="146"/>
      <c r="H9" s="143"/>
      <c r="I9" s="143"/>
    </row>
    <row r="10" spans="1:9" ht="12" customHeight="1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ht="12" customHeight="1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6</v>
      </c>
      <c r="F12" s="274"/>
      <c r="G12" s="274"/>
      <c r="H12" s="274"/>
      <c r="I12" s="274"/>
    </row>
    <row r="13" spans="1:9" x14ac:dyDescent="0.2">
      <c r="A13" s="143"/>
      <c r="B13" s="146"/>
      <c r="C13" s="146"/>
      <c r="D13" s="146"/>
      <c r="E13" s="146"/>
      <c r="F13" s="146"/>
      <c r="G13" s="146"/>
      <c r="H13" s="143"/>
      <c r="I13" s="143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147">
        <v>1</v>
      </c>
      <c r="B15" s="292" t="s">
        <v>15</v>
      </c>
      <c r="C15" s="292"/>
      <c r="D15" s="292"/>
      <c r="E15" s="292"/>
      <c r="F15" s="292"/>
      <c r="G15" s="292"/>
      <c r="H15" s="274" t="s">
        <v>266</v>
      </c>
      <c r="I15" s="274"/>
    </row>
    <row r="16" spans="1:9" x14ac:dyDescent="0.2">
      <c r="A16" s="147">
        <v>2</v>
      </c>
      <c r="B16" s="292" t="s">
        <v>117</v>
      </c>
      <c r="C16" s="292"/>
      <c r="D16" s="292"/>
      <c r="E16" s="292"/>
      <c r="F16" s="292"/>
      <c r="G16" s="292"/>
      <c r="H16" s="274" t="s">
        <v>32</v>
      </c>
      <c r="I16" s="274"/>
    </row>
    <row r="17" spans="1:10" x14ac:dyDescent="0.2">
      <c r="A17" s="147">
        <v>3</v>
      </c>
      <c r="B17" s="292" t="s">
        <v>118</v>
      </c>
      <c r="C17" s="292"/>
      <c r="D17" s="292"/>
      <c r="E17" s="292"/>
      <c r="F17" s="292"/>
      <c r="G17" s="292"/>
      <c r="H17" s="298">
        <v>4100.8</v>
      </c>
      <c r="I17" s="298"/>
    </row>
    <row r="18" spans="1:10" ht="16.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46" t="s">
        <v>265</v>
      </c>
      <c r="I18" s="347"/>
    </row>
    <row r="19" spans="1:10" x14ac:dyDescent="0.2">
      <c r="A19" s="147">
        <v>5</v>
      </c>
      <c r="B19" s="292" t="s">
        <v>1</v>
      </c>
      <c r="C19" s="292"/>
      <c r="D19" s="292"/>
      <c r="E19" s="292"/>
      <c r="F19" s="292"/>
      <c r="G19" s="292"/>
      <c r="H19" s="293">
        <v>44927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44">
        <v>1</v>
      </c>
      <c r="B22" s="297" t="s">
        <v>120</v>
      </c>
      <c r="C22" s="297"/>
      <c r="D22" s="297"/>
      <c r="E22" s="297"/>
      <c r="F22" s="297"/>
      <c r="G22" s="297"/>
      <c r="H22" s="144" t="s">
        <v>43</v>
      </c>
      <c r="I22" s="144" t="s">
        <v>121</v>
      </c>
    </row>
    <row r="23" spans="1:10" x14ac:dyDescent="0.2">
      <c r="A23" s="144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4100.8</v>
      </c>
    </row>
    <row r="24" spans="1:10" x14ac:dyDescent="0.2">
      <c r="A24" s="144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ht="12" customHeight="1" x14ac:dyDescent="0.2">
      <c r="A25" s="144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44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144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44" t="s">
        <v>4</v>
      </c>
      <c r="B28" s="292" t="s">
        <v>362</v>
      </c>
      <c r="C28" s="292"/>
      <c r="D28" s="292"/>
      <c r="E28" s="292"/>
      <c r="F28" s="292"/>
      <c r="G28" s="292"/>
      <c r="H28" s="53">
        <v>0.1</v>
      </c>
      <c r="I28" s="58">
        <f>I23*H28</f>
        <v>410.08000000000004</v>
      </c>
    </row>
    <row r="29" spans="1:10" ht="12" customHeight="1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4793.28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ht="12" customHeight="1" x14ac:dyDescent="0.2">
      <c r="A32" s="297" t="s">
        <v>128</v>
      </c>
      <c r="B32" s="297"/>
      <c r="C32" s="297"/>
      <c r="D32" s="297"/>
      <c r="E32" s="297"/>
      <c r="F32" s="297"/>
      <c r="G32" s="297"/>
      <c r="H32" s="144" t="s">
        <v>43</v>
      </c>
      <c r="I32" s="144" t="s">
        <v>121</v>
      </c>
      <c r="J32" s="71"/>
    </row>
    <row r="33" spans="1:11" x14ac:dyDescent="0.2">
      <c r="A33" s="144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399.28022399999998</v>
      </c>
      <c r="J33" s="71"/>
    </row>
    <row r="34" spans="1:11" ht="12" customHeight="1" x14ac:dyDescent="0.2">
      <c r="A34" s="144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133.25318399999998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532.53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5771.07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44" t="s">
        <v>43</v>
      </c>
      <c r="I37" s="144" t="s">
        <v>121</v>
      </c>
      <c r="J37" s="71" t="s">
        <v>132</v>
      </c>
    </row>
    <row r="38" spans="1:11" x14ac:dyDescent="0.2">
      <c r="A38" s="144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1154.2139999999999</v>
      </c>
      <c r="J38" s="71"/>
    </row>
    <row r="39" spans="1:11" ht="12" customHeight="1" x14ac:dyDescent="0.2">
      <c r="A39" s="144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144.27674999999999</v>
      </c>
      <c r="J39" s="71"/>
    </row>
    <row r="40" spans="1:11" ht="13.5" customHeight="1" x14ac:dyDescent="0.2">
      <c r="A40" s="144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97.30024019999999</v>
      </c>
      <c r="J40" s="71"/>
    </row>
    <row r="41" spans="1:11" ht="12" customHeight="1" x14ac:dyDescent="0.2">
      <c r="A41" s="144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86.56604999999999</v>
      </c>
      <c r="J41" s="71"/>
    </row>
    <row r="42" spans="1:11" ht="13.5" customHeight="1" x14ac:dyDescent="0.2">
      <c r="A42" s="144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57.710699999999996</v>
      </c>
      <c r="J42" s="71"/>
    </row>
    <row r="43" spans="1:11" ht="13.5" customHeight="1" x14ac:dyDescent="0.2">
      <c r="A43" s="144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34.626419999999996</v>
      </c>
      <c r="J43" s="71"/>
    </row>
    <row r="44" spans="1:11" ht="13.5" customHeight="1" x14ac:dyDescent="0.2">
      <c r="A44" s="144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11.54214</v>
      </c>
      <c r="J44" s="71"/>
    </row>
    <row r="45" spans="1:11" ht="13.5" customHeight="1" x14ac:dyDescent="0.2">
      <c r="A45" s="144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461.68559999999997</v>
      </c>
      <c r="J45" s="71"/>
    </row>
    <row r="46" spans="1:11" ht="13.5" customHeight="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2047.92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44" t="s">
        <v>121</v>
      </c>
      <c r="J48" s="71"/>
    </row>
    <row r="49" spans="1:10" x14ac:dyDescent="0.2">
      <c r="A49" s="144" t="s">
        <v>9</v>
      </c>
      <c r="B49" s="354" t="s">
        <v>38</v>
      </c>
      <c r="C49" s="355"/>
      <c r="D49" s="355"/>
      <c r="E49" s="355"/>
      <c r="F49" s="355"/>
      <c r="G49" s="356"/>
      <c r="H49" s="147" t="s">
        <v>143</v>
      </c>
      <c r="I49" s="56">
        <f>(8.55*2*16)-(I23*0.06)</f>
        <v>27.552000000000021</v>
      </c>
      <c r="J49" s="71"/>
    </row>
    <row r="50" spans="1:10" x14ac:dyDescent="0.2">
      <c r="A50" s="144" t="s">
        <v>10</v>
      </c>
      <c r="B50" s="354" t="s">
        <v>332</v>
      </c>
      <c r="C50" s="355"/>
      <c r="D50" s="355"/>
      <c r="E50" s="355"/>
      <c r="F50" s="355"/>
      <c r="G50" s="356"/>
      <c r="H50" s="147" t="s">
        <v>143</v>
      </c>
      <c r="I50" s="56">
        <f>' NUT RT CHEFIA DIARISTA'!I50</f>
        <v>225.1</v>
      </c>
      <c r="J50" s="71"/>
    </row>
    <row r="51" spans="1:10" x14ac:dyDescent="0.2">
      <c r="A51" s="144" t="s">
        <v>11</v>
      </c>
      <c r="B51" s="354" t="s">
        <v>331</v>
      </c>
      <c r="C51" s="355"/>
      <c r="D51" s="355"/>
      <c r="E51" s="355"/>
      <c r="F51" s="355"/>
      <c r="G51" s="356"/>
      <c r="H51" s="147" t="s">
        <v>143</v>
      </c>
      <c r="I51" s="56">
        <f>' NUT RT CHEFIA DIARISTA'!I51</f>
        <v>21.666666666666668</v>
      </c>
      <c r="J51" s="71"/>
    </row>
    <row r="52" spans="1:10" ht="12" customHeight="1" x14ac:dyDescent="0.2">
      <c r="A52" s="144" t="s">
        <v>12</v>
      </c>
      <c r="B52" s="357" t="s">
        <v>333</v>
      </c>
      <c r="C52" s="358"/>
      <c r="D52" s="358"/>
      <c r="E52" s="358"/>
      <c r="F52" s="358"/>
      <c r="G52" s="359"/>
      <c r="H52" s="152" t="s">
        <v>143</v>
      </c>
      <c r="I52" s="153">
        <f>' NUT RT CHEFIA DIARISTA'!I52</f>
        <v>9.3791666666666664</v>
      </c>
      <c r="J52" s="71"/>
    </row>
    <row r="53" spans="1:10" ht="12" customHeight="1" x14ac:dyDescent="0.2">
      <c r="A53" s="144" t="s">
        <v>3</v>
      </c>
      <c r="B53" s="357" t="s">
        <v>334</v>
      </c>
      <c r="C53" s="358"/>
      <c r="D53" s="358"/>
      <c r="E53" s="358"/>
      <c r="F53" s="358"/>
      <c r="G53" s="359"/>
      <c r="H53" s="147" t="s">
        <v>143</v>
      </c>
      <c r="I53" s="56">
        <f>' NUT RT CHEFIA DIARISTA'!I53</f>
        <v>138.51999999999998</v>
      </c>
      <c r="J53" s="71"/>
    </row>
    <row r="54" spans="1:10" ht="12" customHeight="1" x14ac:dyDescent="0.2">
      <c r="A54" s="144" t="s">
        <v>4</v>
      </c>
      <c r="B54" s="357" t="s">
        <v>335</v>
      </c>
      <c r="C54" s="358"/>
      <c r="D54" s="358"/>
      <c r="E54" s="358"/>
      <c r="F54" s="358"/>
      <c r="G54" s="359"/>
      <c r="H54" s="147" t="s">
        <v>143</v>
      </c>
      <c r="I54" s="56">
        <f>' Nutricionista RT SET FEC PLANT'!I54</f>
        <v>97.9</v>
      </c>
      <c r="J54" s="71"/>
    </row>
    <row r="55" spans="1:10" ht="27" customHeight="1" x14ac:dyDescent="0.2">
      <c r="A55" s="144" t="s">
        <v>5</v>
      </c>
      <c r="B55" s="351" t="s">
        <v>337</v>
      </c>
      <c r="C55" s="352"/>
      <c r="D55" s="352"/>
      <c r="E55" s="352"/>
      <c r="F55" s="352"/>
      <c r="G55" s="353"/>
      <c r="H55" s="147" t="s">
        <v>143</v>
      </c>
      <c r="I55" s="56">
        <f>' NUT RT CHEFIA DIARISTA'!I55</f>
        <v>419.92400000000004</v>
      </c>
      <c r="J55" s="71"/>
    </row>
    <row r="56" spans="1:10" ht="12" customHeight="1" x14ac:dyDescent="0.2">
      <c r="A56" s="297" t="s">
        <v>147</v>
      </c>
      <c r="B56" s="297"/>
      <c r="C56" s="297"/>
      <c r="D56" s="297"/>
      <c r="E56" s="297"/>
      <c r="F56" s="297"/>
      <c r="G56" s="297"/>
      <c r="H56" s="297"/>
      <c r="I56" s="59">
        <f>SUM(I49:I55)</f>
        <v>940.04183333333344</v>
      </c>
      <c r="J56" s="71"/>
    </row>
    <row r="57" spans="1:10" ht="12" customHeight="1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ht="12" customHeight="1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ht="12" customHeight="1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44" t="s">
        <v>121</v>
      </c>
      <c r="J59" s="71"/>
    </row>
    <row r="60" spans="1:10" x14ac:dyDescent="0.2">
      <c r="A60" s="144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532.53</v>
      </c>
      <c r="J60" s="71"/>
    </row>
    <row r="61" spans="1:10" x14ac:dyDescent="0.2">
      <c r="A61" s="144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2047.92</v>
      </c>
      <c r="J61" s="71"/>
    </row>
    <row r="62" spans="1:10" x14ac:dyDescent="0.2">
      <c r="A62" s="144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940.04183333333344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3520.49</v>
      </c>
      <c r="J63" s="71"/>
    </row>
    <row r="64" spans="1:10" ht="12" customHeight="1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ht="12" customHeight="1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ht="12" customHeight="1" x14ac:dyDescent="0.2">
      <c r="A66" s="144">
        <v>3</v>
      </c>
      <c r="B66" s="297" t="s">
        <v>158</v>
      </c>
      <c r="C66" s="297"/>
      <c r="D66" s="297"/>
      <c r="E66" s="297"/>
      <c r="F66" s="297"/>
      <c r="G66" s="297"/>
      <c r="H66" s="144" t="s">
        <v>43</v>
      </c>
      <c r="I66" s="144" t="s">
        <v>121</v>
      </c>
      <c r="J66" s="71"/>
    </row>
    <row r="67" spans="1:10" ht="12" customHeight="1" x14ac:dyDescent="0.2">
      <c r="A67" s="144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20.131775999999999</v>
      </c>
      <c r="J67" s="71"/>
    </row>
    <row r="68" spans="1:10" x14ac:dyDescent="0.2">
      <c r="A68" s="144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1.6105420799999999</v>
      </c>
      <c r="J68" s="71"/>
    </row>
    <row r="69" spans="1:10" x14ac:dyDescent="0.2">
      <c r="A69" s="144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0.80527103999999994</v>
      </c>
      <c r="J69" s="71"/>
    </row>
    <row r="70" spans="1:10" x14ac:dyDescent="0.2">
      <c r="A70" s="144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92.989632</v>
      </c>
      <c r="J70" s="71"/>
    </row>
    <row r="71" spans="1:10" x14ac:dyDescent="0.2">
      <c r="A71" s="144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32.998300811520004</v>
      </c>
      <c r="J71" s="71"/>
    </row>
    <row r="72" spans="1:10" ht="12" customHeight="1" x14ac:dyDescent="0.2">
      <c r="A72" s="144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3.71958528</v>
      </c>
      <c r="J72" s="71"/>
    </row>
    <row r="73" spans="1:10" ht="12" customHeight="1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152.25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44" t="s">
        <v>43</v>
      </c>
      <c r="I76" s="144" t="s">
        <v>121</v>
      </c>
      <c r="J76" s="71"/>
    </row>
    <row r="77" spans="1:10" x14ac:dyDescent="0.2">
      <c r="A77" s="144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399.28022399999998</v>
      </c>
      <c r="J77" s="71"/>
    </row>
    <row r="78" spans="1:10" ht="12" customHeight="1" x14ac:dyDescent="0.2">
      <c r="A78" s="144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39.304895999999999</v>
      </c>
      <c r="J78" s="71"/>
    </row>
    <row r="79" spans="1:10" ht="12" customHeight="1" x14ac:dyDescent="0.2">
      <c r="A79" s="144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0.95865599999999995</v>
      </c>
      <c r="J79" s="71"/>
    </row>
    <row r="80" spans="1:10" ht="12" customHeight="1" x14ac:dyDescent="0.2">
      <c r="A80" s="144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1.4379839999999997</v>
      </c>
      <c r="J80" s="71"/>
    </row>
    <row r="81" spans="1:11" ht="12" customHeight="1" x14ac:dyDescent="0.2">
      <c r="A81" s="144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4.2828053721333337</v>
      </c>
      <c r="J81" s="75" t="s">
        <v>173</v>
      </c>
      <c r="K81" s="76">
        <f>I33+I34+I51+I52+I53</f>
        <v>702.09924133333334</v>
      </c>
    </row>
    <row r="82" spans="1:11" ht="12" customHeight="1" x14ac:dyDescent="0.2">
      <c r="A82" s="144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ht="12" customHeight="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445.26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44" t="s">
        <v>43</v>
      </c>
      <c r="I85" s="144" t="s">
        <v>121</v>
      </c>
      <c r="J85" s="71"/>
    </row>
    <row r="86" spans="1:11" x14ac:dyDescent="0.2">
      <c r="A86" s="144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ht="12" customHeight="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ht="12" customHeight="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ht="12" customHeight="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44" t="s">
        <v>121</v>
      </c>
      <c r="J90" s="71"/>
    </row>
    <row r="91" spans="1:11" ht="12" customHeight="1" x14ac:dyDescent="0.2">
      <c r="A91" s="144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445.26</v>
      </c>
      <c r="J91" s="71"/>
    </row>
    <row r="92" spans="1:11" ht="12" customHeight="1" x14ac:dyDescent="0.2">
      <c r="A92" s="144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ht="12" customHeight="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445.26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44">
        <v>5</v>
      </c>
      <c r="B96" s="297" t="s">
        <v>185</v>
      </c>
      <c r="C96" s="297"/>
      <c r="D96" s="297"/>
      <c r="E96" s="297"/>
      <c r="F96" s="297"/>
      <c r="G96" s="297"/>
      <c r="H96" s="144"/>
      <c r="I96" s="144" t="s">
        <v>121</v>
      </c>
      <c r="J96" s="71"/>
    </row>
    <row r="97" spans="1:10" x14ac:dyDescent="0.2">
      <c r="A97" s="144" t="s">
        <v>9</v>
      </c>
      <c r="B97" s="310" t="s">
        <v>39</v>
      </c>
      <c r="C97" s="310"/>
      <c r="D97" s="310"/>
      <c r="E97" s="310"/>
      <c r="F97" s="310"/>
      <c r="G97" s="310"/>
      <c r="H97" s="147" t="s">
        <v>143</v>
      </c>
      <c r="I97" s="58">
        <f>Uniformes!E7</f>
        <v>58.799927477499999</v>
      </c>
      <c r="J97" s="71"/>
    </row>
    <row r="98" spans="1:10" x14ac:dyDescent="0.2">
      <c r="A98" s="144" t="s">
        <v>10</v>
      </c>
      <c r="B98" s="310" t="s">
        <v>40</v>
      </c>
      <c r="C98" s="310"/>
      <c r="D98" s="310"/>
      <c r="E98" s="310"/>
      <c r="F98" s="310"/>
      <c r="G98" s="310"/>
      <c r="H98" s="147" t="s">
        <v>143</v>
      </c>
      <c r="I98" s="147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47" t="s">
        <v>143</v>
      </c>
      <c r="I99" s="147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47" t="s">
        <v>143</v>
      </c>
      <c r="I100" s="147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44">
        <v>6</v>
      </c>
      <c r="B104" s="297" t="s">
        <v>188</v>
      </c>
      <c r="C104" s="297"/>
      <c r="D104" s="297"/>
      <c r="E104" s="297"/>
      <c r="F104" s="297"/>
      <c r="G104" s="297"/>
      <c r="H104" s="144" t="s">
        <v>43</v>
      </c>
      <c r="I104" s="144" t="s">
        <v>121</v>
      </c>
      <c r="J104" s="71"/>
    </row>
    <row r="105" spans="1:10" x14ac:dyDescent="0.2">
      <c r="A105" s="144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269.10000000000002</v>
      </c>
      <c r="J105" s="71"/>
    </row>
    <row r="106" spans="1:10" x14ac:dyDescent="0.2">
      <c r="A106" s="144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627.33000000000004</v>
      </c>
      <c r="J106" s="82">
        <f>SUM(I105:I106)</f>
        <v>896.43000000000006</v>
      </c>
    </row>
    <row r="107" spans="1:10" x14ac:dyDescent="0.2">
      <c r="A107" s="144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ht="12" customHeight="1" x14ac:dyDescent="0.2">
      <c r="A108" s="144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189.85</v>
      </c>
      <c r="J108" s="84"/>
    </row>
    <row r="109" spans="1:10" x14ac:dyDescent="0.2">
      <c r="A109" s="144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874.46</v>
      </c>
      <c r="J109" s="84"/>
    </row>
    <row r="110" spans="1:10" x14ac:dyDescent="0.2">
      <c r="A110" s="144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575.29999999999995</v>
      </c>
      <c r="J110" s="87">
        <f>SUM(I108:I110)</f>
        <v>1639.61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2536.04</v>
      </c>
      <c r="J111" s="71"/>
    </row>
    <row r="112" spans="1:10" x14ac:dyDescent="0.2">
      <c r="A112" s="143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2" customHeight="1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9866.5</v>
      </c>
    </row>
    <row r="116" spans="1:11" x14ac:dyDescent="0.2">
      <c r="A116" s="91"/>
      <c r="B116" s="145"/>
      <c r="C116" s="145"/>
      <c r="D116" s="145"/>
      <c r="E116" s="145"/>
      <c r="F116" s="145"/>
      <c r="G116" s="14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11506.12</v>
      </c>
    </row>
    <row r="118" spans="1:11" x14ac:dyDescent="0.2">
      <c r="A118" s="91"/>
      <c r="B118" s="145"/>
      <c r="C118" s="145"/>
      <c r="D118" s="145"/>
      <c r="E118" s="145"/>
      <c r="F118" s="145"/>
      <c r="G118" s="14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1639.62</v>
      </c>
      <c r="K119" s="100"/>
    </row>
    <row r="120" spans="1:11" x14ac:dyDescent="0.2">
      <c r="A120" s="143"/>
      <c r="B120" s="143"/>
      <c r="C120" s="143"/>
      <c r="D120" s="143"/>
      <c r="E120" s="143"/>
      <c r="F120" s="143"/>
      <c r="G120" s="143"/>
      <c r="H120" s="143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44" t="s">
        <v>121</v>
      </c>
    </row>
    <row r="123" spans="1:11" x14ac:dyDescent="0.2">
      <c r="A123" s="147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4793.28</v>
      </c>
    </row>
    <row r="124" spans="1:11" x14ac:dyDescent="0.2">
      <c r="A124" s="147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3520.49</v>
      </c>
    </row>
    <row r="125" spans="1:11" x14ac:dyDescent="0.2">
      <c r="A125" s="147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152.25</v>
      </c>
      <c r="K125" s="102"/>
    </row>
    <row r="126" spans="1:11" x14ac:dyDescent="0.2">
      <c r="A126" s="147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445.26</v>
      </c>
      <c r="K126" s="102"/>
    </row>
    <row r="127" spans="1:11" x14ac:dyDescent="0.2">
      <c r="A127" s="147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44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8970.07</v>
      </c>
      <c r="K128" s="100"/>
    </row>
    <row r="129" spans="1:9" x14ac:dyDescent="0.2">
      <c r="A129" s="147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2536.04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11506.11</v>
      </c>
    </row>
    <row r="131" spans="1:9" hidden="1" x14ac:dyDescent="0.2">
      <c r="I131" s="100"/>
    </row>
    <row r="132" spans="1:9" ht="13.5" hidden="1" thickBot="1" x14ac:dyDescent="0.25">
      <c r="A132" s="143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50" t="s">
        <v>210</v>
      </c>
      <c r="I133" s="149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43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48"/>
      <c r="B144" s="339" t="s">
        <v>220</v>
      </c>
      <c r="C144" s="339"/>
      <c r="D144" s="339"/>
      <c r="E144" s="339"/>
      <c r="F144" s="339"/>
      <c r="G144" s="339"/>
      <c r="H144" s="339"/>
      <c r="I144" s="149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189.85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2536.04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43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2.8058208154506437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69036.66</v>
      </c>
    </row>
    <row r="155" spans="1:9" x14ac:dyDescent="0.2">
      <c r="A155" s="124" t="s">
        <v>228</v>
      </c>
      <c r="B155" s="124"/>
      <c r="C155" s="102">
        <f>H8*C154</f>
        <v>828439.92</v>
      </c>
    </row>
    <row r="156" spans="1:9" x14ac:dyDescent="0.2">
      <c r="A156" s="125"/>
    </row>
    <row r="157" spans="1:9" x14ac:dyDescent="0.2">
      <c r="A157" s="125"/>
    </row>
  </sheetData>
  <mergeCells count="166">
    <mergeCell ref="B146:H146"/>
    <mergeCell ref="B147:H147"/>
    <mergeCell ref="A148:H148"/>
    <mergeCell ref="A140:H140"/>
    <mergeCell ref="B142:G142"/>
    <mergeCell ref="A143:I143"/>
    <mergeCell ref="B144:H144"/>
    <mergeCell ref="B145:H145"/>
    <mergeCell ref="A138:B138"/>
    <mergeCell ref="C138:D138"/>
    <mergeCell ref="E138:F138"/>
    <mergeCell ref="A139:B139"/>
    <mergeCell ref="C139:D139"/>
    <mergeCell ref="E139:F139"/>
    <mergeCell ref="A137:B137"/>
    <mergeCell ref="C137:D137"/>
    <mergeCell ref="E137:F137"/>
    <mergeCell ref="A134:B134"/>
    <mergeCell ref="C134:D134"/>
    <mergeCell ref="E134:F134"/>
    <mergeCell ref="A135:B135"/>
    <mergeCell ref="C135:D135"/>
    <mergeCell ref="E135:F135"/>
    <mergeCell ref="A133:B133"/>
    <mergeCell ref="C133:D133"/>
    <mergeCell ref="E133:F133"/>
    <mergeCell ref="B124:H124"/>
    <mergeCell ref="B125:H125"/>
    <mergeCell ref="B126:H126"/>
    <mergeCell ref="B127:H127"/>
    <mergeCell ref="B128:H128"/>
    <mergeCell ref="A136:B136"/>
    <mergeCell ref="C136:D136"/>
    <mergeCell ref="E136:F136"/>
    <mergeCell ref="B105:G105"/>
    <mergeCell ref="B106:G106"/>
    <mergeCell ref="B107:G107"/>
    <mergeCell ref="B108:G108"/>
    <mergeCell ref="B109:G109"/>
    <mergeCell ref="B110:G110"/>
    <mergeCell ref="B129:H129"/>
    <mergeCell ref="A130:H130"/>
    <mergeCell ref="B132:G132"/>
    <mergeCell ref="B117:G117"/>
    <mergeCell ref="B119:G119"/>
    <mergeCell ref="A121:I121"/>
    <mergeCell ref="A122:H122"/>
    <mergeCell ref="B123:H123"/>
    <mergeCell ref="A111:G111"/>
    <mergeCell ref="B112:I112"/>
    <mergeCell ref="B113:G113"/>
    <mergeCell ref="B114:G114"/>
    <mergeCell ref="B115:G115"/>
    <mergeCell ref="B81:G81"/>
    <mergeCell ref="B82:G82"/>
    <mergeCell ref="A83:G83"/>
    <mergeCell ref="A84:I84"/>
    <mergeCell ref="A85:G85"/>
    <mergeCell ref="A76:G76"/>
    <mergeCell ref="B77:G77"/>
    <mergeCell ref="B78:G78"/>
    <mergeCell ref="B79:G79"/>
    <mergeCell ref="B80:G80"/>
    <mergeCell ref="B71:G71"/>
    <mergeCell ref="B72:G72"/>
    <mergeCell ref="A73:G73"/>
    <mergeCell ref="A74:I74"/>
    <mergeCell ref="A75:I75"/>
    <mergeCell ref="B62:H62"/>
    <mergeCell ref="A63:H63"/>
    <mergeCell ref="A64:I64"/>
    <mergeCell ref="A65:I65"/>
    <mergeCell ref="B66:G66"/>
    <mergeCell ref="B69:G69"/>
    <mergeCell ref="B70:G70"/>
    <mergeCell ref="A57:I57"/>
    <mergeCell ref="A58:I58"/>
    <mergeCell ref="A59:H59"/>
    <mergeCell ref="B60:H60"/>
    <mergeCell ref="B61:H61"/>
    <mergeCell ref="B49:G49"/>
    <mergeCell ref="B50:G50"/>
    <mergeCell ref="B51:G51"/>
    <mergeCell ref="B52:G52"/>
    <mergeCell ref="B53:G53"/>
    <mergeCell ref="B44:G44"/>
    <mergeCell ref="B45:G45"/>
    <mergeCell ref="A46:G46"/>
    <mergeCell ref="A47:I47"/>
    <mergeCell ref="A48:G48"/>
    <mergeCell ref="B39:G39"/>
    <mergeCell ref="B40:G40"/>
    <mergeCell ref="B41:G41"/>
    <mergeCell ref="B42:G42"/>
    <mergeCell ref="B43:G43"/>
    <mergeCell ref="B34:G34"/>
    <mergeCell ref="A35:G35"/>
    <mergeCell ref="A36:I36"/>
    <mergeCell ref="A37:G37"/>
    <mergeCell ref="B38:G38"/>
    <mergeCell ref="B28:G28"/>
    <mergeCell ref="A29:H29"/>
    <mergeCell ref="A31:I31"/>
    <mergeCell ref="A32:G32"/>
    <mergeCell ref="B33:G33"/>
    <mergeCell ref="B24:G24"/>
    <mergeCell ref="B25:G25"/>
    <mergeCell ref="B26:G26"/>
    <mergeCell ref="B27:G27"/>
    <mergeCell ref="B19:G19"/>
    <mergeCell ref="H19:I19"/>
    <mergeCell ref="A20:I20"/>
    <mergeCell ref="A21:I21"/>
    <mergeCell ref="B22:G22"/>
    <mergeCell ref="B18:G18"/>
    <mergeCell ref="H18:I18"/>
    <mergeCell ref="A12:B12"/>
    <mergeCell ref="C12:D12"/>
    <mergeCell ref="E12:I12"/>
    <mergeCell ref="A14:I14"/>
    <mergeCell ref="B15:G15"/>
    <mergeCell ref="H15:I15"/>
    <mergeCell ref="B23:G23"/>
    <mergeCell ref="A1:I1"/>
    <mergeCell ref="A2:I2"/>
    <mergeCell ref="A4:I4"/>
    <mergeCell ref="B5:G5"/>
    <mergeCell ref="B54:G54"/>
    <mergeCell ref="B55:G55"/>
    <mergeCell ref="A56:H56"/>
    <mergeCell ref="B67:G67"/>
    <mergeCell ref="B68:G68"/>
    <mergeCell ref="B8:G8"/>
    <mergeCell ref="H8:I8"/>
    <mergeCell ref="A10:I10"/>
    <mergeCell ref="A11:B11"/>
    <mergeCell ref="C11:D11"/>
    <mergeCell ref="E11:I11"/>
    <mergeCell ref="H5:I5"/>
    <mergeCell ref="B6:G6"/>
    <mergeCell ref="H6:I6"/>
    <mergeCell ref="B7:G7"/>
    <mergeCell ref="H7:I7"/>
    <mergeCell ref="B16:G16"/>
    <mergeCell ref="H16:I16"/>
    <mergeCell ref="B17:G17"/>
    <mergeCell ref="H17:I17"/>
    <mergeCell ref="B86:G86"/>
    <mergeCell ref="A87:G87"/>
    <mergeCell ref="A88:I88"/>
    <mergeCell ref="A89:I89"/>
    <mergeCell ref="B100:G100"/>
    <mergeCell ref="A101:G101"/>
    <mergeCell ref="A102:I102"/>
    <mergeCell ref="A103:I103"/>
    <mergeCell ref="B104:G104"/>
    <mergeCell ref="A95:I95"/>
    <mergeCell ref="B96:G96"/>
    <mergeCell ref="B97:G97"/>
    <mergeCell ref="B98:G98"/>
    <mergeCell ref="B99:G99"/>
    <mergeCell ref="A90:H90"/>
    <mergeCell ref="B91:H91"/>
    <mergeCell ref="B92:H92"/>
    <mergeCell ref="A93:H93"/>
    <mergeCell ref="A94:I94"/>
  </mergeCells>
  <pageMargins left="0.70866141732283472" right="0.70866141732283472" top="0.74803149606299213" bottom="0.74803149606299213" header="0.31496062992125984" footer="0.31496062992125984"/>
  <pageSetup paperSize="9" scale="77" firstPageNumber="253" orientation="portrait" useFirstPageNumber="1" r:id="rId1"/>
  <headerFooter>
    <oddHeader xml:space="preserve">&amp;R&amp;P
</oddHeader>
  </headerFooter>
  <rowBreaks count="1" manualBreakCount="1">
    <brk id="72" max="8" man="1"/>
  </rowBreaks>
  <colBreaks count="1" manualBreakCount="1">
    <brk id="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7"/>
  <sheetViews>
    <sheetView topLeftCell="A4" workbookViewId="0">
      <selection activeCell="I29" sqref="I29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304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47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47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47" t="s">
        <v>11</v>
      </c>
      <c r="B7" s="292" t="s">
        <v>285</v>
      </c>
      <c r="C7" s="292"/>
      <c r="D7" s="292"/>
      <c r="E7" s="292"/>
      <c r="F7" s="292"/>
      <c r="G7" s="292"/>
      <c r="H7" s="274" t="s">
        <v>284</v>
      </c>
      <c r="I7" s="274"/>
    </row>
    <row r="8" spans="1:9" x14ac:dyDescent="0.2">
      <c r="A8" s="147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43"/>
      <c r="B9" s="146"/>
      <c r="C9" s="146"/>
      <c r="D9" s="146"/>
      <c r="E9" s="146"/>
      <c r="F9" s="146"/>
      <c r="G9" s="146"/>
      <c r="H9" s="143"/>
      <c r="I9" s="143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43"/>
      <c r="B13" s="146"/>
      <c r="C13" s="146"/>
      <c r="D13" s="146"/>
      <c r="E13" s="146"/>
      <c r="F13" s="146"/>
      <c r="G13" s="146"/>
      <c r="H13" s="143"/>
      <c r="I13" s="143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x14ac:dyDescent="0.2">
      <c r="A15" s="147">
        <v>1</v>
      </c>
      <c r="B15" s="292" t="s">
        <v>15</v>
      </c>
      <c r="C15" s="292"/>
      <c r="D15" s="292"/>
      <c r="E15" s="292"/>
      <c r="F15" s="292"/>
      <c r="G15" s="292"/>
      <c r="H15" s="274" t="s">
        <v>268</v>
      </c>
      <c r="I15" s="274"/>
    </row>
    <row r="16" spans="1:9" x14ac:dyDescent="0.2">
      <c r="A16" s="147">
        <v>2</v>
      </c>
      <c r="B16" s="292" t="s">
        <v>117</v>
      </c>
      <c r="C16" s="292"/>
      <c r="D16" s="292"/>
      <c r="E16" s="292"/>
      <c r="F16" s="292"/>
      <c r="G16" s="292"/>
      <c r="H16" s="274" t="s">
        <v>32</v>
      </c>
      <c r="I16" s="274"/>
    </row>
    <row r="17" spans="1:10" x14ac:dyDescent="0.2">
      <c r="A17" s="147">
        <v>3</v>
      </c>
      <c r="B17" s="292" t="s">
        <v>118</v>
      </c>
      <c r="C17" s="292"/>
      <c r="D17" s="292"/>
      <c r="E17" s="292"/>
      <c r="F17" s="292"/>
      <c r="G17" s="292"/>
      <c r="H17" s="298">
        <v>4100.8</v>
      </c>
      <c r="I17" s="298"/>
    </row>
    <row r="18" spans="1:10" ht="14.25" customHeight="1" x14ac:dyDescent="0.2">
      <c r="A18" s="173">
        <v>4</v>
      </c>
      <c r="B18" s="336" t="s">
        <v>16</v>
      </c>
      <c r="C18" s="336"/>
      <c r="D18" s="336"/>
      <c r="E18" s="336"/>
      <c r="F18" s="336"/>
      <c r="G18" s="336"/>
      <c r="H18" s="332" t="s">
        <v>265</v>
      </c>
      <c r="I18" s="333"/>
    </row>
    <row r="19" spans="1:10" x14ac:dyDescent="0.2">
      <c r="A19" s="147">
        <v>5</v>
      </c>
      <c r="B19" s="292" t="s">
        <v>1</v>
      </c>
      <c r="C19" s="292"/>
      <c r="D19" s="292"/>
      <c r="E19" s="292"/>
      <c r="F19" s="292"/>
      <c r="G19" s="292"/>
      <c r="H19" s="293">
        <v>44927</v>
      </c>
      <c r="I19" s="293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44">
        <v>1</v>
      </c>
      <c r="B22" s="297" t="s">
        <v>120</v>
      </c>
      <c r="C22" s="297"/>
      <c r="D22" s="297"/>
      <c r="E22" s="297"/>
      <c r="F22" s="297"/>
      <c r="G22" s="297"/>
      <c r="H22" s="144" t="s">
        <v>43</v>
      </c>
      <c r="I22" s="144" t="s">
        <v>121</v>
      </c>
    </row>
    <row r="23" spans="1:10" x14ac:dyDescent="0.2">
      <c r="A23" s="144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4100.8</v>
      </c>
    </row>
    <row r="24" spans="1:10" x14ac:dyDescent="0.2">
      <c r="A24" s="144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44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44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144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ht="13.5" thickBot="1" x14ac:dyDescent="0.25">
      <c r="A28" s="144" t="s">
        <v>4</v>
      </c>
      <c r="B28" s="292" t="s">
        <v>363</v>
      </c>
      <c r="C28" s="292"/>
      <c r="D28" s="292"/>
      <c r="E28" s="292"/>
      <c r="F28" s="292"/>
      <c r="G28" s="292"/>
      <c r="H28" s="228">
        <v>0.15</v>
      </c>
      <c r="I28" s="58">
        <f>I23*H28</f>
        <v>615.12</v>
      </c>
    </row>
    <row r="29" spans="1:10" ht="13.5" thickBot="1" x14ac:dyDescent="0.25">
      <c r="A29" s="226" t="s">
        <v>126</v>
      </c>
      <c r="B29" s="113"/>
      <c r="C29" s="113"/>
      <c r="D29" s="113"/>
      <c r="E29" s="113"/>
      <c r="F29" s="113"/>
      <c r="G29" s="113"/>
      <c r="H29" s="229"/>
      <c r="I29" s="227">
        <f>TRUNC(SUM(I23:I28),2)</f>
        <v>4998.32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44" t="s">
        <v>43</v>
      </c>
      <c r="I32" s="144" t="s">
        <v>121</v>
      </c>
      <c r="J32" s="71"/>
    </row>
    <row r="33" spans="1:11" x14ac:dyDescent="0.2">
      <c r="A33" s="144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416.36005599999999</v>
      </c>
      <c r="J33" s="71"/>
    </row>
    <row r="34" spans="1:11" x14ac:dyDescent="0.2">
      <c r="A34" s="144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138.95329599999999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555.30999999999995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6017.8899999999994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44" t="s">
        <v>43</v>
      </c>
      <c r="I37" s="144" t="s">
        <v>121</v>
      </c>
      <c r="J37" s="71" t="s">
        <v>132</v>
      </c>
    </row>
    <row r="38" spans="1:11" x14ac:dyDescent="0.2">
      <c r="A38" s="144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1203.578</v>
      </c>
      <c r="J38" s="71"/>
    </row>
    <row r="39" spans="1:11" x14ac:dyDescent="0.2">
      <c r="A39" s="144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150.44725</v>
      </c>
      <c r="J39" s="71"/>
    </row>
    <row r="40" spans="1:11" x14ac:dyDescent="0.2">
      <c r="A40" s="144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101.46162539999999</v>
      </c>
      <c r="J40" s="71"/>
    </row>
    <row r="41" spans="1:11" x14ac:dyDescent="0.2">
      <c r="A41" s="144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90.268349999999984</v>
      </c>
      <c r="J41" s="71"/>
    </row>
    <row r="42" spans="1:11" x14ac:dyDescent="0.2">
      <c r="A42" s="144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60.178899999999999</v>
      </c>
      <c r="J42" s="71"/>
    </row>
    <row r="43" spans="1:11" x14ac:dyDescent="0.2">
      <c r="A43" s="144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36.107340000000001</v>
      </c>
      <c r="J43" s="71"/>
    </row>
    <row r="44" spans="1:11" x14ac:dyDescent="0.2">
      <c r="A44" s="144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12.035779999999999</v>
      </c>
      <c r="J44" s="71"/>
    </row>
    <row r="45" spans="1:11" x14ac:dyDescent="0.2">
      <c r="A45" s="144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481.43119999999999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2135.5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44" t="s">
        <v>121</v>
      </c>
      <c r="J48" s="71"/>
    </row>
    <row r="49" spans="1:10" s="154" customFormat="1" x14ac:dyDescent="0.2">
      <c r="A49" s="151" t="s">
        <v>9</v>
      </c>
      <c r="B49" s="354" t="s">
        <v>38</v>
      </c>
      <c r="C49" s="355"/>
      <c r="D49" s="355"/>
      <c r="E49" s="355"/>
      <c r="F49" s="355"/>
      <c r="G49" s="356"/>
      <c r="H49" s="152" t="s">
        <v>143</v>
      </c>
      <c r="I49" s="153">
        <f>(8.55*2*22)-(0.06*I23)</f>
        <v>130.15200000000004</v>
      </c>
      <c r="J49" s="135"/>
    </row>
    <row r="50" spans="1:10" s="154" customFormat="1" x14ac:dyDescent="0.2">
      <c r="A50" s="151" t="s">
        <v>10</v>
      </c>
      <c r="B50" s="354" t="s">
        <v>332</v>
      </c>
      <c r="C50" s="355"/>
      <c r="D50" s="355"/>
      <c r="E50" s="355"/>
      <c r="F50" s="355"/>
      <c r="G50" s="356"/>
      <c r="H50" s="152" t="s">
        <v>143</v>
      </c>
      <c r="I50" s="153">
        <f>' Nutricionista RT SET FEC PLANT'!I50</f>
        <v>225.1</v>
      </c>
      <c r="J50" s="135"/>
    </row>
    <row r="51" spans="1:10" s="154" customFormat="1" x14ac:dyDescent="0.2">
      <c r="A51" s="151" t="s">
        <v>11</v>
      </c>
      <c r="B51" s="354" t="s">
        <v>331</v>
      </c>
      <c r="C51" s="355"/>
      <c r="D51" s="355"/>
      <c r="E51" s="355"/>
      <c r="F51" s="355"/>
      <c r="G51" s="356"/>
      <c r="H51" s="152" t="s">
        <v>143</v>
      </c>
      <c r="I51" s="56">
        <f>' Nutricionista RT SET FEC PLANT'!I51</f>
        <v>21.666666666666668</v>
      </c>
      <c r="J51" s="135"/>
    </row>
    <row r="52" spans="1:10" s="154" customFormat="1" x14ac:dyDescent="0.2">
      <c r="A52" s="151" t="s">
        <v>12</v>
      </c>
      <c r="B52" s="357" t="s">
        <v>333</v>
      </c>
      <c r="C52" s="358"/>
      <c r="D52" s="358"/>
      <c r="E52" s="358"/>
      <c r="F52" s="358"/>
      <c r="G52" s="359"/>
      <c r="H52" s="152" t="s">
        <v>143</v>
      </c>
      <c r="I52" s="153">
        <f>' Nutricionista RT SET FEC PLANT'!I52</f>
        <v>9.3791666666666664</v>
      </c>
      <c r="J52" s="135"/>
    </row>
    <row r="53" spans="1:10" s="154" customFormat="1" x14ac:dyDescent="0.2">
      <c r="A53" s="151" t="s">
        <v>3</v>
      </c>
      <c r="B53" s="357" t="s">
        <v>334</v>
      </c>
      <c r="C53" s="358"/>
      <c r="D53" s="358"/>
      <c r="E53" s="358"/>
      <c r="F53" s="358"/>
      <c r="G53" s="359"/>
      <c r="H53" s="152" t="s">
        <v>143</v>
      </c>
      <c r="I53" s="56">
        <f>' Nutricionista RT SET FEC PLANT'!I53</f>
        <v>138.51999999999998</v>
      </c>
      <c r="J53" s="135"/>
    </row>
    <row r="54" spans="1:10" s="154" customFormat="1" x14ac:dyDescent="0.2">
      <c r="A54" s="151" t="s">
        <v>4</v>
      </c>
      <c r="B54" s="357" t="s">
        <v>335</v>
      </c>
      <c r="C54" s="358"/>
      <c r="D54" s="358"/>
      <c r="E54" s="358"/>
      <c r="F54" s="358"/>
      <c r="G54" s="359"/>
      <c r="H54" s="152" t="s">
        <v>143</v>
      </c>
      <c r="I54" s="56">
        <f>' Nutricionista RT SET FEC PLANT'!I54</f>
        <v>97.9</v>
      </c>
      <c r="J54" s="135"/>
    </row>
    <row r="55" spans="1:10" s="154" customFormat="1" ht="27" customHeight="1" x14ac:dyDescent="0.2">
      <c r="A55" s="151" t="s">
        <v>5</v>
      </c>
      <c r="B55" s="351" t="s">
        <v>337</v>
      </c>
      <c r="C55" s="352"/>
      <c r="D55" s="352"/>
      <c r="E55" s="352"/>
      <c r="F55" s="352"/>
      <c r="G55" s="353"/>
      <c r="H55" s="57"/>
      <c r="I55" s="58">
        <f>' Nutricionista RT SET FEC PLANT'!I55</f>
        <v>419.92400000000004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1042.6418333333334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44" t="s">
        <v>121</v>
      </c>
      <c r="J59" s="71"/>
    </row>
    <row r="60" spans="1:10" x14ac:dyDescent="0.2">
      <c r="A60" s="144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555.30999999999995</v>
      </c>
      <c r="J60" s="71"/>
    </row>
    <row r="61" spans="1:10" x14ac:dyDescent="0.2">
      <c r="A61" s="144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2135.5</v>
      </c>
      <c r="J61" s="71"/>
    </row>
    <row r="62" spans="1:10" x14ac:dyDescent="0.2">
      <c r="A62" s="144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1042.6418333333334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3733.45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44">
        <v>3</v>
      </c>
      <c r="B66" s="297" t="s">
        <v>158</v>
      </c>
      <c r="C66" s="297"/>
      <c r="D66" s="297"/>
      <c r="E66" s="297"/>
      <c r="F66" s="297"/>
      <c r="G66" s="297"/>
      <c r="H66" s="144" t="s">
        <v>43</v>
      </c>
      <c r="I66" s="144" t="s">
        <v>121</v>
      </c>
      <c r="J66" s="71"/>
    </row>
    <row r="67" spans="1:10" x14ac:dyDescent="0.2">
      <c r="A67" s="144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20.992943999999998</v>
      </c>
      <c r="J67" s="71"/>
    </row>
    <row r="68" spans="1:10" x14ac:dyDescent="0.2">
      <c r="A68" s="144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1.6794355199999997</v>
      </c>
      <c r="J68" s="71"/>
    </row>
    <row r="69" spans="1:10" x14ac:dyDescent="0.2">
      <c r="A69" s="144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0.83971775999999987</v>
      </c>
      <c r="J69" s="71"/>
    </row>
    <row r="70" spans="1:10" x14ac:dyDescent="0.2">
      <c r="A70" s="144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96.967407999999992</v>
      </c>
      <c r="J70" s="71"/>
    </row>
    <row r="71" spans="1:10" x14ac:dyDescent="0.2">
      <c r="A71" s="144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34.409854402880008</v>
      </c>
      <c r="J71" s="71"/>
    </row>
    <row r="72" spans="1:10" x14ac:dyDescent="0.2">
      <c r="A72" s="144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3.87869632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158.76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44" t="s">
        <v>43</v>
      </c>
      <c r="I76" s="144" t="s">
        <v>121</v>
      </c>
      <c r="J76" s="71"/>
    </row>
    <row r="77" spans="1:10" x14ac:dyDescent="0.2">
      <c r="A77" s="144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416.36005599999999</v>
      </c>
      <c r="J77" s="71"/>
    </row>
    <row r="78" spans="1:10" x14ac:dyDescent="0.2">
      <c r="A78" s="144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40.986224</v>
      </c>
      <c r="J78" s="71"/>
    </row>
    <row r="79" spans="1:10" x14ac:dyDescent="0.2">
      <c r="A79" s="144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0.999664</v>
      </c>
      <c r="J79" s="71"/>
    </row>
    <row r="80" spans="1:10" x14ac:dyDescent="0.2">
      <c r="A80" s="144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1.4994959999999997</v>
      </c>
      <c r="J80" s="71"/>
    </row>
    <row r="81" spans="1:11" x14ac:dyDescent="0.2">
      <c r="A81" s="144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4.4217630305333335</v>
      </c>
      <c r="J81" s="75" t="s">
        <v>173</v>
      </c>
      <c r="K81" s="76">
        <f>I33+I34+I51+I52+I53</f>
        <v>724.87918533333334</v>
      </c>
    </row>
    <row r="82" spans="1:11" x14ac:dyDescent="0.2">
      <c r="A82" s="144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464.26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44" t="s">
        <v>43</v>
      </c>
      <c r="I85" s="144" t="s">
        <v>121</v>
      </c>
      <c r="J85" s="71"/>
    </row>
    <row r="86" spans="1:11" x14ac:dyDescent="0.2">
      <c r="A86" s="144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44" t="s">
        <v>121</v>
      </c>
      <c r="J90" s="71"/>
    </row>
    <row r="91" spans="1:11" x14ac:dyDescent="0.2">
      <c r="A91" s="144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464.26</v>
      </c>
      <c r="J91" s="71"/>
    </row>
    <row r="92" spans="1:11" x14ac:dyDescent="0.2">
      <c r="A92" s="144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464.26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44">
        <v>5</v>
      </c>
      <c r="B96" s="297" t="s">
        <v>185</v>
      </c>
      <c r="C96" s="297"/>
      <c r="D96" s="297"/>
      <c r="E96" s="297"/>
      <c r="F96" s="297"/>
      <c r="G96" s="297"/>
      <c r="H96" s="144"/>
      <c r="I96" s="144" t="s">
        <v>121</v>
      </c>
      <c r="J96" s="71"/>
    </row>
    <row r="97" spans="1:10" x14ac:dyDescent="0.2">
      <c r="A97" s="144" t="s">
        <v>9</v>
      </c>
      <c r="B97" s="310" t="s">
        <v>39</v>
      </c>
      <c r="C97" s="310"/>
      <c r="D97" s="310"/>
      <c r="E97" s="310"/>
      <c r="F97" s="310"/>
      <c r="G97" s="310"/>
      <c r="H97" s="147" t="s">
        <v>143</v>
      </c>
      <c r="I97" s="58">
        <f>Uniformes!E7</f>
        <v>58.799927477499999</v>
      </c>
      <c r="J97" s="71"/>
    </row>
    <row r="98" spans="1:10" x14ac:dyDescent="0.2">
      <c r="A98" s="144" t="s">
        <v>10</v>
      </c>
      <c r="B98" s="310" t="s">
        <v>40</v>
      </c>
      <c r="C98" s="310"/>
      <c r="D98" s="310"/>
      <c r="E98" s="310"/>
      <c r="F98" s="310"/>
      <c r="G98" s="310"/>
      <c r="H98" s="147" t="s">
        <v>143</v>
      </c>
      <c r="I98" s="147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47" t="s">
        <v>143</v>
      </c>
      <c r="I99" s="147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47" t="s">
        <v>143</v>
      </c>
      <c r="I100" s="147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44">
        <v>6</v>
      </c>
      <c r="B104" s="297" t="s">
        <v>188</v>
      </c>
      <c r="C104" s="297"/>
      <c r="D104" s="297"/>
      <c r="E104" s="297"/>
      <c r="F104" s="297"/>
      <c r="G104" s="297"/>
      <c r="H104" s="144" t="s">
        <v>43</v>
      </c>
      <c r="I104" s="144" t="s">
        <v>121</v>
      </c>
      <c r="J104" s="71"/>
    </row>
    <row r="105" spans="1:10" x14ac:dyDescent="0.2">
      <c r="A105" s="144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282.39999999999998</v>
      </c>
      <c r="J105" s="71"/>
    </row>
    <row r="106" spans="1:10" x14ac:dyDescent="0.2">
      <c r="A106" s="144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658.35</v>
      </c>
      <c r="J106" s="82">
        <f>SUM(I105:I106)</f>
        <v>940.75</v>
      </c>
    </row>
    <row r="107" spans="1:10" x14ac:dyDescent="0.2">
      <c r="A107" s="144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44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199.23</v>
      </c>
      <c r="J108" s="84"/>
    </row>
    <row r="109" spans="1:10" x14ac:dyDescent="0.2">
      <c r="A109" s="144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917.7</v>
      </c>
      <c r="J109" s="84"/>
    </row>
    <row r="110" spans="1:10" x14ac:dyDescent="0.2">
      <c r="A110" s="144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603.75</v>
      </c>
      <c r="J110" s="87">
        <f>SUM(I108:I110)</f>
        <v>1720.68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2661.43</v>
      </c>
      <c r="J111" s="71"/>
    </row>
    <row r="112" spans="1:10" x14ac:dyDescent="0.2">
      <c r="A112" s="143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10354.33</v>
      </c>
    </row>
    <row r="116" spans="1:11" x14ac:dyDescent="0.2">
      <c r="A116" s="91"/>
      <c r="B116" s="145"/>
      <c r="C116" s="145"/>
      <c r="D116" s="145"/>
      <c r="E116" s="145"/>
      <c r="F116" s="145"/>
      <c r="G116" s="14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12075.02</v>
      </c>
    </row>
    <row r="118" spans="1:11" x14ac:dyDescent="0.2">
      <c r="A118" s="91"/>
      <c r="B118" s="145"/>
      <c r="C118" s="145"/>
      <c r="D118" s="145"/>
      <c r="E118" s="145"/>
      <c r="F118" s="145"/>
      <c r="G118" s="14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1720.69</v>
      </c>
      <c r="K119" s="100"/>
    </row>
    <row r="120" spans="1:11" x14ac:dyDescent="0.2">
      <c r="A120" s="143"/>
      <c r="B120" s="143"/>
      <c r="C120" s="143"/>
      <c r="D120" s="143"/>
      <c r="E120" s="143"/>
      <c r="F120" s="143"/>
      <c r="G120" s="143"/>
      <c r="H120" s="143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44" t="s">
        <v>121</v>
      </c>
    </row>
    <row r="123" spans="1:11" x14ac:dyDescent="0.2">
      <c r="A123" s="147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4998.32</v>
      </c>
    </row>
    <row r="124" spans="1:11" x14ac:dyDescent="0.2">
      <c r="A124" s="147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3733.45</v>
      </c>
    </row>
    <row r="125" spans="1:11" x14ac:dyDescent="0.2">
      <c r="A125" s="147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158.76</v>
      </c>
      <c r="K125" s="102"/>
    </row>
    <row r="126" spans="1:11" x14ac:dyDescent="0.2">
      <c r="A126" s="147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464.26</v>
      </c>
      <c r="K126" s="102"/>
    </row>
    <row r="127" spans="1:11" x14ac:dyDescent="0.2">
      <c r="A127" s="147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44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9413.58</v>
      </c>
      <c r="K128" s="100"/>
    </row>
    <row r="129" spans="1:9" x14ac:dyDescent="0.2">
      <c r="A129" s="147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2661.43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12075.01</v>
      </c>
    </row>
    <row r="131" spans="1:9" ht="13.5" customHeight="1" x14ac:dyDescent="0.2">
      <c r="I131" s="100"/>
    </row>
    <row r="132" spans="1:9" ht="13.5" hidden="1" thickBot="1" x14ac:dyDescent="0.25">
      <c r="A132" s="143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50" t="s">
        <v>210</v>
      </c>
      <c r="I133" s="149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43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48"/>
      <c r="B144" s="339" t="s">
        <v>220</v>
      </c>
      <c r="C144" s="339"/>
      <c r="D144" s="339"/>
      <c r="E144" s="339"/>
      <c r="F144" s="339"/>
      <c r="G144" s="339"/>
      <c r="H144" s="339"/>
      <c r="I144" s="149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199.23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2661.43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43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2.944549843932891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24150.02</v>
      </c>
    </row>
    <row r="155" spans="1:9" x14ac:dyDescent="0.2">
      <c r="A155" s="124" t="s">
        <v>228</v>
      </c>
      <c r="B155" s="124"/>
      <c r="C155" s="102">
        <f>H8*C154</f>
        <v>289800.24</v>
      </c>
    </row>
    <row r="156" spans="1:9" x14ac:dyDescent="0.2">
      <c r="A156" s="125"/>
    </row>
    <row r="157" spans="1:9" x14ac:dyDescent="0.2">
      <c r="A157" s="125"/>
    </row>
  </sheetData>
  <mergeCells count="165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K157"/>
  <sheetViews>
    <sheetView topLeftCell="A106" workbookViewId="0">
      <selection activeCell="B7" sqref="B7:G7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305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66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66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66" t="s">
        <v>11</v>
      </c>
      <c r="B7" s="292" t="s">
        <v>339</v>
      </c>
      <c r="C7" s="292"/>
      <c r="D7" s="292"/>
      <c r="E7" s="292"/>
      <c r="F7" s="292"/>
      <c r="G7" s="292"/>
      <c r="H7" s="274">
        <v>2024</v>
      </c>
      <c r="I7" s="274"/>
    </row>
    <row r="8" spans="1:9" x14ac:dyDescent="0.2">
      <c r="A8" s="166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64"/>
      <c r="B9" s="168"/>
      <c r="C9" s="168"/>
      <c r="D9" s="168"/>
      <c r="E9" s="168"/>
      <c r="F9" s="168"/>
      <c r="G9" s="168"/>
      <c r="H9" s="164"/>
      <c r="I9" s="164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64"/>
      <c r="B13" s="168"/>
      <c r="C13" s="168"/>
      <c r="D13" s="168"/>
      <c r="E13" s="168"/>
      <c r="F13" s="168"/>
      <c r="G13" s="168"/>
      <c r="H13" s="164"/>
      <c r="I13" s="164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5.5" customHeight="1" x14ac:dyDescent="0.2">
      <c r="A15" s="173">
        <v>1</v>
      </c>
      <c r="B15" s="336" t="s">
        <v>15</v>
      </c>
      <c r="C15" s="336"/>
      <c r="D15" s="336"/>
      <c r="E15" s="336"/>
      <c r="F15" s="336"/>
      <c r="G15" s="336"/>
      <c r="H15" s="332" t="s">
        <v>271</v>
      </c>
      <c r="I15" s="333"/>
    </row>
    <row r="16" spans="1:9" x14ac:dyDescent="0.2">
      <c r="A16" s="166">
        <v>2</v>
      </c>
      <c r="B16" s="292" t="s">
        <v>117</v>
      </c>
      <c r="C16" s="292"/>
      <c r="D16" s="292"/>
      <c r="E16" s="292"/>
      <c r="F16" s="292"/>
      <c r="G16" s="292"/>
      <c r="H16" s="274" t="s">
        <v>79</v>
      </c>
      <c r="I16" s="274"/>
    </row>
    <row r="17" spans="1:10" x14ac:dyDescent="0.2">
      <c r="A17" s="166">
        <v>3</v>
      </c>
      <c r="B17" s="292" t="s">
        <v>118</v>
      </c>
      <c r="C17" s="292"/>
      <c r="D17" s="292"/>
      <c r="E17" s="292"/>
      <c r="F17" s="292"/>
      <c r="G17" s="292"/>
      <c r="H17" s="298">
        <v>2002.14</v>
      </c>
      <c r="I17" s="298"/>
    </row>
    <row r="18" spans="1:10" ht="12.75" customHeight="1" x14ac:dyDescent="0.2">
      <c r="A18" s="166">
        <v>4</v>
      </c>
      <c r="B18" s="292" t="s">
        <v>16</v>
      </c>
      <c r="C18" s="292"/>
      <c r="D18" s="292"/>
      <c r="E18" s="292"/>
      <c r="F18" s="292"/>
      <c r="G18" s="292"/>
      <c r="H18" s="320" t="s">
        <v>272</v>
      </c>
      <c r="I18" s="362"/>
    </row>
    <row r="19" spans="1:10" x14ac:dyDescent="0.2">
      <c r="A19" s="166">
        <v>5</v>
      </c>
      <c r="B19" s="292" t="s">
        <v>1</v>
      </c>
      <c r="C19" s="292"/>
      <c r="D19" s="292"/>
      <c r="E19" s="292"/>
      <c r="F19" s="292"/>
      <c r="G19" s="292"/>
      <c r="H19" s="361">
        <v>2024</v>
      </c>
      <c r="I19" s="361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67">
        <v>1</v>
      </c>
      <c r="B22" s="297" t="s">
        <v>120</v>
      </c>
      <c r="C22" s="297"/>
      <c r="D22" s="297"/>
      <c r="E22" s="297"/>
      <c r="F22" s="297"/>
      <c r="G22" s="297"/>
      <c r="H22" s="167" t="s">
        <v>43</v>
      </c>
      <c r="I22" s="167" t="s">
        <v>121</v>
      </c>
    </row>
    <row r="23" spans="1:10" x14ac:dyDescent="0.2">
      <c r="A23" s="167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2002.14</v>
      </c>
    </row>
    <row r="24" spans="1:10" x14ac:dyDescent="0.2">
      <c r="A24" s="167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67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67" t="s">
        <v>12</v>
      </c>
      <c r="B26" s="292" t="s">
        <v>124</v>
      </c>
      <c r="C26" s="292"/>
      <c r="D26" s="292"/>
      <c r="E26" s="292"/>
      <c r="F26" s="292"/>
      <c r="G26" s="292"/>
      <c r="H26" s="53">
        <v>0.2</v>
      </c>
      <c r="I26" s="58">
        <f>H26*I23</f>
        <v>400.42800000000005</v>
      </c>
    </row>
    <row r="27" spans="1:10" x14ac:dyDescent="0.2">
      <c r="A27" s="167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67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2684.96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67" t="s">
        <v>43</v>
      </c>
      <c r="I32" s="167" t="s">
        <v>121</v>
      </c>
      <c r="J32" s="71"/>
    </row>
    <row r="33" spans="1:11" x14ac:dyDescent="0.2">
      <c r="A33" s="167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223.65716800000001</v>
      </c>
      <c r="J33" s="71"/>
    </row>
    <row r="34" spans="1:11" x14ac:dyDescent="0.2">
      <c r="A34" s="167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74.641887999999994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298.29000000000002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3232.74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67" t="s">
        <v>43</v>
      </c>
      <c r="I37" s="167" t="s">
        <v>121</v>
      </c>
      <c r="J37" s="71" t="s">
        <v>132</v>
      </c>
    </row>
    <row r="38" spans="1:11" x14ac:dyDescent="0.2">
      <c r="A38" s="167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646.548</v>
      </c>
      <c r="J38" s="71"/>
    </row>
    <row r="39" spans="1:11" x14ac:dyDescent="0.2">
      <c r="A39" s="167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80.8185</v>
      </c>
      <c r="J39" s="71"/>
    </row>
    <row r="40" spans="1:11" x14ac:dyDescent="0.2">
      <c r="A40" s="167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54.503996399999998</v>
      </c>
      <c r="J40" s="71"/>
    </row>
    <row r="41" spans="1:11" x14ac:dyDescent="0.2">
      <c r="A41" s="167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48.491099999999996</v>
      </c>
      <c r="J41" s="71"/>
    </row>
    <row r="42" spans="1:11" x14ac:dyDescent="0.2">
      <c r="A42" s="167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32.327399999999997</v>
      </c>
      <c r="J42" s="71"/>
    </row>
    <row r="43" spans="1:11" x14ac:dyDescent="0.2">
      <c r="A43" s="167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19.396439999999998</v>
      </c>
      <c r="J43" s="71"/>
    </row>
    <row r="44" spans="1:11" x14ac:dyDescent="0.2">
      <c r="A44" s="167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6.4654799999999994</v>
      </c>
      <c r="J44" s="71"/>
    </row>
    <row r="45" spans="1:11" x14ac:dyDescent="0.2">
      <c r="A45" s="167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258.61919999999998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1147.17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67" t="s">
        <v>121</v>
      </c>
      <c r="J48" s="71"/>
    </row>
    <row r="49" spans="1:10" s="154" customFormat="1" x14ac:dyDescent="0.2">
      <c r="A49" s="172" t="s">
        <v>9</v>
      </c>
      <c r="B49" s="354" t="s">
        <v>38</v>
      </c>
      <c r="C49" s="355"/>
      <c r="D49" s="355"/>
      <c r="E49" s="355"/>
      <c r="F49" s="355"/>
      <c r="G49" s="356"/>
      <c r="H49" s="152" t="s">
        <v>143</v>
      </c>
      <c r="I49" s="153">
        <f>(8.55*2*16)-(0.06*I23)</f>
        <v>153.47160000000002</v>
      </c>
      <c r="J49" s="135"/>
    </row>
    <row r="50" spans="1:10" s="154" customFormat="1" x14ac:dyDescent="0.2">
      <c r="A50" s="172" t="s">
        <v>10</v>
      </c>
      <c r="B50" s="354" t="s">
        <v>340</v>
      </c>
      <c r="C50" s="355"/>
      <c r="D50" s="355"/>
      <c r="E50" s="355"/>
      <c r="F50" s="355"/>
      <c r="G50" s="356"/>
      <c r="H50" s="152" t="s">
        <v>143</v>
      </c>
      <c r="I50" s="153">
        <f>' Nutricionista RT SET FEC PLANT'!I50</f>
        <v>225.1</v>
      </c>
      <c r="J50" s="135"/>
    </row>
    <row r="51" spans="1:10" s="154" customFormat="1" x14ac:dyDescent="0.2">
      <c r="A51" s="172" t="s">
        <v>11</v>
      </c>
      <c r="B51" s="354" t="s">
        <v>341</v>
      </c>
      <c r="C51" s="355"/>
      <c r="D51" s="355"/>
      <c r="E51" s="355"/>
      <c r="F51" s="355"/>
      <c r="G51" s="356"/>
      <c r="H51" s="152" t="s">
        <v>143</v>
      </c>
      <c r="I51" s="56">
        <v>0</v>
      </c>
      <c r="J51" s="135"/>
    </row>
    <row r="52" spans="1:10" s="154" customFormat="1" x14ac:dyDescent="0.2">
      <c r="A52" s="172" t="s">
        <v>12</v>
      </c>
      <c r="B52" s="357" t="s">
        <v>342</v>
      </c>
      <c r="C52" s="358"/>
      <c r="D52" s="358"/>
      <c r="E52" s="358"/>
      <c r="F52" s="358"/>
      <c r="G52" s="359"/>
      <c r="H52" s="152" t="s">
        <v>143</v>
      </c>
      <c r="I52" s="153">
        <f>' Nutricionista RT SET FEC PLANT'!I52</f>
        <v>9.3791666666666664</v>
      </c>
      <c r="J52" s="135"/>
    </row>
    <row r="53" spans="1:10" s="154" customFormat="1" x14ac:dyDescent="0.2">
      <c r="A53" s="172" t="s">
        <v>3</v>
      </c>
      <c r="B53" s="357" t="s">
        <v>343</v>
      </c>
      <c r="C53" s="358"/>
      <c r="D53" s="358"/>
      <c r="E53" s="358"/>
      <c r="F53" s="358"/>
      <c r="G53" s="359"/>
      <c r="H53" s="152" t="s">
        <v>143</v>
      </c>
      <c r="I53" s="56">
        <f>' Nutricionista RT SET FEC PLANT'!I54</f>
        <v>97.9</v>
      </c>
      <c r="J53" s="135"/>
    </row>
    <row r="54" spans="1:10" s="154" customFormat="1" x14ac:dyDescent="0.2">
      <c r="A54" s="172" t="s">
        <v>4</v>
      </c>
      <c r="B54" s="350"/>
      <c r="C54" s="350"/>
      <c r="D54" s="350"/>
      <c r="E54" s="350"/>
      <c r="F54" s="350"/>
      <c r="G54" s="350"/>
      <c r="H54" s="152" t="s">
        <v>143</v>
      </c>
      <c r="I54" s="56">
        <v>0</v>
      </c>
      <c r="J54" s="135"/>
    </row>
    <row r="55" spans="1:10" s="154" customFormat="1" x14ac:dyDescent="0.2">
      <c r="A55" s="172" t="s">
        <v>5</v>
      </c>
      <c r="B55" s="349" t="s">
        <v>146</v>
      </c>
      <c r="C55" s="349"/>
      <c r="D55" s="349"/>
      <c r="E55" s="349"/>
      <c r="F55" s="349"/>
      <c r="G55" s="349"/>
      <c r="H55" s="152" t="s">
        <v>143</v>
      </c>
      <c r="I55" s="56">
        <v>0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485.85076666666669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67" t="s">
        <v>121</v>
      </c>
      <c r="J59" s="71"/>
    </row>
    <row r="60" spans="1:10" x14ac:dyDescent="0.2">
      <c r="A60" s="167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298.29000000000002</v>
      </c>
      <c r="J60" s="71"/>
    </row>
    <row r="61" spans="1:10" x14ac:dyDescent="0.2">
      <c r="A61" s="167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1147.17</v>
      </c>
      <c r="J61" s="71"/>
    </row>
    <row r="62" spans="1:10" x14ac:dyDescent="0.2">
      <c r="A62" s="167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485.85076666666669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1931.31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67">
        <v>3</v>
      </c>
      <c r="B66" s="297" t="s">
        <v>158</v>
      </c>
      <c r="C66" s="297"/>
      <c r="D66" s="297"/>
      <c r="E66" s="297"/>
      <c r="F66" s="297"/>
      <c r="G66" s="297"/>
      <c r="H66" s="167" t="s">
        <v>43</v>
      </c>
      <c r="I66" s="167" t="s">
        <v>121</v>
      </c>
      <c r="J66" s="71"/>
    </row>
    <row r="67" spans="1:10" x14ac:dyDescent="0.2">
      <c r="A67" s="167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11.276831999999999</v>
      </c>
      <c r="J67" s="71"/>
    </row>
    <row r="68" spans="1:10" x14ac:dyDescent="0.2">
      <c r="A68" s="167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0.90214655999999993</v>
      </c>
      <c r="J68" s="71"/>
    </row>
    <row r="69" spans="1:10" x14ac:dyDescent="0.2">
      <c r="A69" s="167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0.45107327999999997</v>
      </c>
      <c r="J69" s="71"/>
    </row>
    <row r="70" spans="1:10" x14ac:dyDescent="0.2">
      <c r="A70" s="167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52.088224000000004</v>
      </c>
      <c r="J70" s="71"/>
    </row>
    <row r="71" spans="1:10" x14ac:dyDescent="0.2">
      <c r="A71" s="167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18.484027168640004</v>
      </c>
      <c r="J71" s="71"/>
    </row>
    <row r="72" spans="1:10" x14ac:dyDescent="0.2">
      <c r="A72" s="167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2.0835289600000002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85.28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67" t="s">
        <v>43</v>
      </c>
      <c r="I76" s="167" t="s">
        <v>121</v>
      </c>
      <c r="J76" s="71"/>
    </row>
    <row r="77" spans="1:10" x14ac:dyDescent="0.2">
      <c r="A77" s="167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223.65716800000001</v>
      </c>
      <c r="J77" s="71"/>
    </row>
    <row r="78" spans="1:10" x14ac:dyDescent="0.2">
      <c r="A78" s="167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22.016672000000003</v>
      </c>
      <c r="J78" s="71"/>
    </row>
    <row r="79" spans="1:10" x14ac:dyDescent="0.2">
      <c r="A79" s="167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0.53699200000000002</v>
      </c>
      <c r="J79" s="71"/>
    </row>
    <row r="80" spans="1:10" x14ac:dyDescent="0.2">
      <c r="A80" s="167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0.80548799999999998</v>
      </c>
      <c r="J80" s="71"/>
    </row>
    <row r="81" spans="1:11" x14ac:dyDescent="0.2">
      <c r="A81" s="167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2.4740271582666669</v>
      </c>
      <c r="J81" s="75" t="s">
        <v>173</v>
      </c>
      <c r="K81" s="76">
        <f>I33+I34+I51+I52+I53</f>
        <v>405.57822266666665</v>
      </c>
    </row>
    <row r="82" spans="1:11" x14ac:dyDescent="0.2">
      <c r="A82" s="167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249.49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67" t="s">
        <v>43</v>
      </c>
      <c r="I85" s="167" t="s">
        <v>121</v>
      </c>
      <c r="J85" s="71"/>
    </row>
    <row r="86" spans="1:11" x14ac:dyDescent="0.2">
      <c r="A86" s="167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67" t="s">
        <v>121</v>
      </c>
      <c r="J90" s="71"/>
    </row>
    <row r="91" spans="1:11" x14ac:dyDescent="0.2">
      <c r="A91" s="167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249.49</v>
      </c>
      <c r="J91" s="71"/>
    </row>
    <row r="92" spans="1:11" x14ac:dyDescent="0.2">
      <c r="A92" s="167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249.49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67">
        <v>5</v>
      </c>
      <c r="B96" s="297" t="s">
        <v>185</v>
      </c>
      <c r="C96" s="297"/>
      <c r="D96" s="297"/>
      <c r="E96" s="297"/>
      <c r="F96" s="297"/>
      <c r="G96" s="297"/>
      <c r="H96" s="167"/>
      <c r="I96" s="167" t="s">
        <v>121</v>
      </c>
      <c r="J96" s="71"/>
    </row>
    <row r="97" spans="1:10" x14ac:dyDescent="0.2">
      <c r="A97" s="167" t="s">
        <v>9</v>
      </c>
      <c r="B97" s="310" t="s">
        <v>39</v>
      </c>
      <c r="C97" s="310"/>
      <c r="D97" s="310"/>
      <c r="E97" s="310"/>
      <c r="F97" s="310"/>
      <c r="G97" s="310"/>
      <c r="H97" s="166" t="s">
        <v>143</v>
      </c>
      <c r="I97" s="58">
        <f>Uniformes!E7</f>
        <v>58.799927477499999</v>
      </c>
      <c r="J97" s="71"/>
    </row>
    <row r="98" spans="1:10" x14ac:dyDescent="0.2">
      <c r="A98" s="167" t="s">
        <v>10</v>
      </c>
      <c r="B98" s="310" t="s">
        <v>40</v>
      </c>
      <c r="C98" s="310"/>
      <c r="D98" s="310"/>
      <c r="E98" s="310"/>
      <c r="F98" s="310"/>
      <c r="G98" s="310"/>
      <c r="H98" s="166" t="s">
        <v>143</v>
      </c>
      <c r="I98" s="166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66" t="s">
        <v>143</v>
      </c>
      <c r="I99" s="166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66" t="s">
        <v>143</v>
      </c>
      <c r="I100" s="166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67">
        <v>6</v>
      </c>
      <c r="B104" s="297" t="s">
        <v>188</v>
      </c>
      <c r="C104" s="297"/>
      <c r="D104" s="297"/>
      <c r="E104" s="297"/>
      <c r="F104" s="297"/>
      <c r="G104" s="297"/>
      <c r="H104" s="167" t="s">
        <v>43</v>
      </c>
      <c r="I104" s="167" t="s">
        <v>121</v>
      </c>
      <c r="J104" s="71"/>
    </row>
    <row r="105" spans="1:10" x14ac:dyDescent="0.2">
      <c r="A105" s="167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150.29</v>
      </c>
      <c r="J105" s="71"/>
    </row>
    <row r="106" spans="1:10" x14ac:dyDescent="0.2">
      <c r="A106" s="167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350.37</v>
      </c>
      <c r="J106" s="82">
        <f>SUM(I105:I106)</f>
        <v>500.65999999999997</v>
      </c>
    </row>
    <row r="107" spans="1:10" x14ac:dyDescent="0.2">
      <c r="A107" s="167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67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106.03</v>
      </c>
      <c r="J108" s="84"/>
    </row>
    <row r="109" spans="1:10" x14ac:dyDescent="0.2">
      <c r="A109" s="167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488.39</v>
      </c>
      <c r="J109" s="84"/>
    </row>
    <row r="110" spans="1:10" x14ac:dyDescent="0.2">
      <c r="A110" s="167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321.31</v>
      </c>
      <c r="J110" s="87">
        <f>SUM(I108:I110)</f>
        <v>915.73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1416.39</v>
      </c>
      <c r="J111" s="71"/>
    </row>
    <row r="112" spans="1:10" x14ac:dyDescent="0.2">
      <c r="A112" s="164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5510.49</v>
      </c>
    </row>
    <row r="116" spans="1:11" x14ac:dyDescent="0.2">
      <c r="A116" s="91"/>
      <c r="B116" s="165"/>
      <c r="C116" s="165"/>
      <c r="D116" s="165"/>
      <c r="E116" s="165"/>
      <c r="F116" s="165"/>
      <c r="G116" s="16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6426.22</v>
      </c>
    </row>
    <row r="118" spans="1:11" x14ac:dyDescent="0.2">
      <c r="A118" s="91"/>
      <c r="B118" s="165"/>
      <c r="C118" s="165"/>
      <c r="D118" s="165"/>
      <c r="E118" s="165"/>
      <c r="F118" s="165"/>
      <c r="G118" s="16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915.73</v>
      </c>
      <c r="K119" s="100"/>
    </row>
    <row r="120" spans="1:11" x14ac:dyDescent="0.2">
      <c r="A120" s="164"/>
      <c r="B120" s="164"/>
      <c r="C120" s="164"/>
      <c r="D120" s="164"/>
      <c r="E120" s="164"/>
      <c r="F120" s="164"/>
      <c r="G120" s="164"/>
      <c r="H120" s="164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67" t="s">
        <v>121</v>
      </c>
    </row>
    <row r="123" spans="1:11" x14ac:dyDescent="0.2">
      <c r="A123" s="166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2684.96</v>
      </c>
    </row>
    <row r="124" spans="1:11" x14ac:dyDescent="0.2">
      <c r="A124" s="166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1931.31</v>
      </c>
    </row>
    <row r="125" spans="1:11" x14ac:dyDescent="0.2">
      <c r="A125" s="166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85.28</v>
      </c>
      <c r="K125" s="102"/>
    </row>
    <row r="126" spans="1:11" x14ac:dyDescent="0.2">
      <c r="A126" s="166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249.49</v>
      </c>
      <c r="K126" s="102"/>
    </row>
    <row r="127" spans="1:11" x14ac:dyDescent="0.2">
      <c r="A127" s="166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67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5009.83</v>
      </c>
      <c r="K128" s="100"/>
    </row>
    <row r="129" spans="1:9" x14ac:dyDescent="0.2">
      <c r="A129" s="166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1416.39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6426.22</v>
      </c>
    </row>
    <row r="131" spans="1:9" x14ac:dyDescent="0.2">
      <c r="I131" s="100"/>
    </row>
    <row r="132" spans="1:9" ht="13.5" hidden="1" thickBot="1" x14ac:dyDescent="0.25">
      <c r="A132" s="164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69" t="s">
        <v>210</v>
      </c>
      <c r="I133" s="171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64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70"/>
      <c r="B144" s="339" t="s">
        <v>220</v>
      </c>
      <c r="C144" s="339"/>
      <c r="D144" s="339"/>
      <c r="E144" s="339"/>
      <c r="F144" s="339"/>
      <c r="G144" s="339"/>
      <c r="H144" s="339"/>
      <c r="I144" s="171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106.03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1416.39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64" t="s">
        <v>224</v>
      </c>
      <c r="B149" s="62" t="s">
        <v>225</v>
      </c>
    </row>
    <row r="152" spans="1:9" x14ac:dyDescent="0.2">
      <c r="A152" s="124" t="s">
        <v>226</v>
      </c>
      <c r="B152" s="124">
        <f>I130/I23</f>
        <v>3.2096756470576482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12852.44</v>
      </c>
    </row>
    <row r="155" spans="1:9" x14ac:dyDescent="0.2">
      <c r="A155" s="124" t="s">
        <v>228</v>
      </c>
      <c r="B155" s="124"/>
      <c r="C155" s="102">
        <f>H8*C154</f>
        <v>154229.28</v>
      </c>
    </row>
    <row r="156" spans="1:9" x14ac:dyDescent="0.2">
      <c r="A156" s="125"/>
    </row>
    <row r="157" spans="1:9" x14ac:dyDescent="0.2">
      <c r="A157" s="125"/>
    </row>
  </sheetData>
  <mergeCells count="166"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</mergeCells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K157"/>
  <sheetViews>
    <sheetView topLeftCell="A100" workbookViewId="0">
      <selection activeCell="O81" sqref="O81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306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47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47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47" t="s">
        <v>11</v>
      </c>
      <c r="B7" s="292" t="s">
        <v>339</v>
      </c>
      <c r="C7" s="292"/>
      <c r="D7" s="292"/>
      <c r="E7" s="292"/>
      <c r="F7" s="292"/>
      <c r="G7" s="292"/>
      <c r="H7" s="274">
        <v>2024</v>
      </c>
      <c r="I7" s="274"/>
    </row>
    <row r="8" spans="1:9" x14ac:dyDescent="0.2">
      <c r="A8" s="147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43"/>
      <c r="B9" s="146"/>
      <c r="C9" s="146"/>
      <c r="D9" s="146"/>
      <c r="E9" s="146"/>
      <c r="F9" s="146"/>
      <c r="G9" s="146"/>
      <c r="H9" s="143"/>
      <c r="I9" s="143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10</v>
      </c>
      <c r="F12" s="274"/>
      <c r="G12" s="274"/>
      <c r="H12" s="274"/>
      <c r="I12" s="274"/>
    </row>
    <row r="13" spans="1:9" x14ac:dyDescent="0.2">
      <c r="A13" s="143"/>
      <c r="B13" s="146"/>
      <c r="C13" s="146"/>
      <c r="D13" s="146"/>
      <c r="E13" s="146"/>
      <c r="F13" s="146"/>
      <c r="G13" s="146"/>
      <c r="H13" s="143"/>
      <c r="I13" s="143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4.75" customHeight="1" x14ac:dyDescent="0.2">
      <c r="A15" s="173">
        <v>1</v>
      </c>
      <c r="B15" s="336" t="s">
        <v>15</v>
      </c>
      <c r="C15" s="336"/>
      <c r="D15" s="336"/>
      <c r="E15" s="336"/>
      <c r="F15" s="336"/>
      <c r="G15" s="336"/>
      <c r="H15" s="332" t="s">
        <v>273</v>
      </c>
      <c r="I15" s="333"/>
    </row>
    <row r="16" spans="1:9" x14ac:dyDescent="0.2">
      <c r="A16" s="147">
        <v>2</v>
      </c>
      <c r="B16" s="292" t="s">
        <v>117</v>
      </c>
      <c r="C16" s="292"/>
      <c r="D16" s="292"/>
      <c r="E16" s="292"/>
      <c r="F16" s="292"/>
      <c r="G16" s="292"/>
      <c r="H16" s="274" t="s">
        <v>79</v>
      </c>
      <c r="I16" s="274"/>
    </row>
    <row r="17" spans="1:10" x14ac:dyDescent="0.2">
      <c r="A17" s="147">
        <v>3</v>
      </c>
      <c r="B17" s="292" t="s">
        <v>118</v>
      </c>
      <c r="C17" s="292"/>
      <c r="D17" s="292"/>
      <c r="E17" s="292"/>
      <c r="F17" s="292"/>
      <c r="G17" s="292"/>
      <c r="H17" s="298">
        <v>2002.14</v>
      </c>
      <c r="I17" s="298"/>
    </row>
    <row r="18" spans="1:10" ht="12.75" customHeight="1" x14ac:dyDescent="0.2">
      <c r="A18" s="147">
        <v>4</v>
      </c>
      <c r="B18" s="292" t="s">
        <v>16</v>
      </c>
      <c r="C18" s="292"/>
      <c r="D18" s="292"/>
      <c r="E18" s="292"/>
      <c r="F18" s="292"/>
      <c r="G18" s="292"/>
      <c r="H18" s="320" t="s">
        <v>272</v>
      </c>
      <c r="I18" s="362"/>
    </row>
    <row r="19" spans="1:10" x14ac:dyDescent="0.2">
      <c r="A19" s="147">
        <v>5</v>
      </c>
      <c r="B19" s="292" t="s">
        <v>1</v>
      </c>
      <c r="C19" s="292"/>
      <c r="D19" s="292"/>
      <c r="E19" s="292"/>
      <c r="F19" s="292"/>
      <c r="G19" s="292"/>
      <c r="H19" s="361">
        <v>2024</v>
      </c>
      <c r="I19" s="361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44">
        <v>1</v>
      </c>
      <c r="B22" s="297" t="s">
        <v>120</v>
      </c>
      <c r="C22" s="297"/>
      <c r="D22" s="297"/>
      <c r="E22" s="297"/>
      <c r="F22" s="297"/>
      <c r="G22" s="297"/>
      <c r="H22" s="144" t="s">
        <v>43</v>
      </c>
      <c r="I22" s="144" t="s">
        <v>121</v>
      </c>
    </row>
    <row r="23" spans="1:10" x14ac:dyDescent="0.2">
      <c r="A23" s="144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2002.14</v>
      </c>
    </row>
    <row r="24" spans="1:10" x14ac:dyDescent="0.2">
      <c r="A24" s="144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44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44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v>0</v>
      </c>
    </row>
    <row r="27" spans="1:10" x14ac:dyDescent="0.2">
      <c r="A27" s="144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44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2284.54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44" t="s">
        <v>43</v>
      </c>
      <c r="I32" s="144" t="s">
        <v>121</v>
      </c>
      <c r="J32" s="71"/>
    </row>
    <row r="33" spans="1:11" x14ac:dyDescent="0.2">
      <c r="A33" s="144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190.30218199999999</v>
      </c>
      <c r="J33" s="71"/>
    </row>
    <row r="34" spans="1:11" x14ac:dyDescent="0.2">
      <c r="A34" s="144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63.510211999999996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253.81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2750.73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44" t="s">
        <v>43</v>
      </c>
      <c r="I37" s="144" t="s">
        <v>121</v>
      </c>
      <c r="J37" s="71" t="s">
        <v>132</v>
      </c>
    </row>
    <row r="38" spans="1:11" x14ac:dyDescent="0.2">
      <c r="A38" s="144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550.14600000000007</v>
      </c>
      <c r="J38" s="71"/>
    </row>
    <row r="39" spans="1:11" x14ac:dyDescent="0.2">
      <c r="A39" s="144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 t="shared" ref="I39:I45" si="0">H39*$K$36</f>
        <v>68.768250000000009</v>
      </c>
      <c r="J39" s="71"/>
    </row>
    <row r="40" spans="1:11" x14ac:dyDescent="0.2">
      <c r="A40" s="144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si="0"/>
        <v>46.377307799999997</v>
      </c>
      <c r="J40" s="71"/>
    </row>
    <row r="41" spans="1:11" x14ac:dyDescent="0.2">
      <c r="A41" s="144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41.260950000000001</v>
      </c>
      <c r="J41" s="71"/>
    </row>
    <row r="42" spans="1:11" x14ac:dyDescent="0.2">
      <c r="A42" s="144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27.507300000000001</v>
      </c>
      <c r="J42" s="71"/>
    </row>
    <row r="43" spans="1:11" x14ac:dyDescent="0.2">
      <c r="A43" s="144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16.504380000000001</v>
      </c>
      <c r="J43" s="71"/>
    </row>
    <row r="44" spans="1:11" x14ac:dyDescent="0.2">
      <c r="A44" s="144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5.5014599999999998</v>
      </c>
      <c r="J44" s="71"/>
    </row>
    <row r="45" spans="1:11" x14ac:dyDescent="0.2">
      <c r="A45" s="144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220.05840000000001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976.12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44" t="s">
        <v>121</v>
      </c>
      <c r="J48" s="71"/>
    </row>
    <row r="49" spans="1:10" s="154" customFormat="1" x14ac:dyDescent="0.2">
      <c r="A49" s="151" t="s">
        <v>9</v>
      </c>
      <c r="B49" s="354" t="s">
        <v>38</v>
      </c>
      <c r="C49" s="355"/>
      <c r="D49" s="355"/>
      <c r="E49" s="355"/>
      <c r="F49" s="355"/>
      <c r="G49" s="356"/>
      <c r="H49" s="152" t="s">
        <v>143</v>
      </c>
      <c r="I49" s="153">
        <f>(8.55*2*16)-(0.06*I23)</f>
        <v>153.47160000000002</v>
      </c>
      <c r="J49" s="135"/>
    </row>
    <row r="50" spans="1:10" s="154" customFormat="1" x14ac:dyDescent="0.2">
      <c r="A50" s="151" t="s">
        <v>10</v>
      </c>
      <c r="B50" s="354" t="s">
        <v>340</v>
      </c>
      <c r="C50" s="355"/>
      <c r="D50" s="355"/>
      <c r="E50" s="355"/>
      <c r="F50" s="355"/>
      <c r="G50" s="356"/>
      <c r="H50" s="152" t="s">
        <v>143</v>
      </c>
      <c r="I50" s="153">
        <f>' Nutricionista RT SET FEC PLANT'!I50</f>
        <v>225.1</v>
      </c>
      <c r="J50" s="135"/>
    </row>
    <row r="51" spans="1:10" s="154" customFormat="1" x14ac:dyDescent="0.2">
      <c r="A51" s="151" t="s">
        <v>11</v>
      </c>
      <c r="B51" s="354" t="s">
        <v>341</v>
      </c>
      <c r="C51" s="355"/>
      <c r="D51" s="355"/>
      <c r="E51" s="355"/>
      <c r="F51" s="355"/>
      <c r="G51" s="356"/>
      <c r="H51" s="152" t="s">
        <v>143</v>
      </c>
      <c r="I51" s="56">
        <v>0</v>
      </c>
      <c r="J51" s="135"/>
    </row>
    <row r="52" spans="1:10" s="154" customFormat="1" x14ac:dyDescent="0.2">
      <c r="A52" s="151" t="s">
        <v>12</v>
      </c>
      <c r="B52" s="357" t="s">
        <v>342</v>
      </c>
      <c r="C52" s="358"/>
      <c r="D52" s="358"/>
      <c r="E52" s="358"/>
      <c r="F52" s="358"/>
      <c r="G52" s="359"/>
      <c r="H52" s="152" t="s">
        <v>143</v>
      </c>
      <c r="I52" s="153">
        <f>' Nutricionista RT SET FEC PLANT'!I52</f>
        <v>9.3791666666666664</v>
      </c>
      <c r="J52" s="135"/>
    </row>
    <row r="53" spans="1:10" s="154" customFormat="1" x14ac:dyDescent="0.2">
      <c r="A53" s="151" t="s">
        <v>3</v>
      </c>
      <c r="B53" s="357" t="s">
        <v>343</v>
      </c>
      <c r="C53" s="358"/>
      <c r="D53" s="358"/>
      <c r="E53" s="358"/>
      <c r="F53" s="358"/>
      <c r="G53" s="359"/>
      <c r="H53" s="152" t="s">
        <v>143</v>
      </c>
      <c r="I53" s="56">
        <f>' Nutricionista RT SET FEC PLANT'!I54</f>
        <v>97.9</v>
      </c>
      <c r="J53" s="135"/>
    </row>
    <row r="54" spans="1:10" s="154" customFormat="1" x14ac:dyDescent="0.2">
      <c r="A54" s="151" t="s">
        <v>4</v>
      </c>
      <c r="B54" s="350"/>
      <c r="C54" s="350"/>
      <c r="D54" s="350"/>
      <c r="E54" s="350"/>
      <c r="F54" s="350"/>
      <c r="G54" s="350"/>
      <c r="H54" s="152" t="s">
        <v>143</v>
      </c>
      <c r="I54" s="56">
        <v>0</v>
      </c>
      <c r="J54" s="135"/>
    </row>
    <row r="55" spans="1:10" s="154" customFormat="1" x14ac:dyDescent="0.2">
      <c r="A55" s="151" t="s">
        <v>5</v>
      </c>
      <c r="B55" s="349" t="s">
        <v>146</v>
      </c>
      <c r="C55" s="349"/>
      <c r="D55" s="349"/>
      <c r="E55" s="349"/>
      <c r="F55" s="349"/>
      <c r="G55" s="349"/>
      <c r="H55" s="152" t="s">
        <v>143</v>
      </c>
      <c r="I55" s="56">
        <v>0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485.85076666666669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44" t="s">
        <v>121</v>
      </c>
      <c r="J59" s="71"/>
    </row>
    <row r="60" spans="1:10" x14ac:dyDescent="0.2">
      <c r="A60" s="144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253.81</v>
      </c>
      <c r="J60" s="71"/>
    </row>
    <row r="61" spans="1:10" x14ac:dyDescent="0.2">
      <c r="A61" s="144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976.12</v>
      </c>
      <c r="J61" s="71"/>
    </row>
    <row r="62" spans="1:10" x14ac:dyDescent="0.2">
      <c r="A62" s="144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485.85076666666669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1715.78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44">
        <v>3</v>
      </c>
      <c r="B66" s="297" t="s">
        <v>158</v>
      </c>
      <c r="C66" s="297"/>
      <c r="D66" s="297"/>
      <c r="E66" s="297"/>
      <c r="F66" s="297"/>
      <c r="G66" s="297"/>
      <c r="H66" s="144" t="s">
        <v>43</v>
      </c>
      <c r="I66" s="144" t="s">
        <v>121</v>
      </c>
      <c r="J66" s="71"/>
    </row>
    <row r="67" spans="1:10" x14ac:dyDescent="0.2">
      <c r="A67" s="144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9.5950679999999995</v>
      </c>
      <c r="J67" s="71"/>
    </row>
    <row r="68" spans="1:10" x14ac:dyDescent="0.2">
      <c r="A68" s="144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0.76760543999999997</v>
      </c>
      <c r="J68" s="71"/>
    </row>
    <row r="69" spans="1:10" x14ac:dyDescent="0.2">
      <c r="A69" s="144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0.38380271999999999</v>
      </c>
      <c r="J69" s="71"/>
    </row>
    <row r="70" spans="1:10" x14ac:dyDescent="0.2">
      <c r="A70" s="144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44.320076</v>
      </c>
      <c r="J70" s="71"/>
    </row>
    <row r="71" spans="1:10" x14ac:dyDescent="0.2">
      <c r="A71" s="144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15.727422169360004</v>
      </c>
      <c r="J71" s="71"/>
    </row>
    <row r="72" spans="1:10" x14ac:dyDescent="0.2">
      <c r="A72" s="144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1.7728030399999999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72.56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44" t="s">
        <v>43</v>
      </c>
      <c r="I76" s="144" t="s">
        <v>121</v>
      </c>
      <c r="J76" s="71"/>
    </row>
    <row r="77" spans="1:10" x14ac:dyDescent="0.2">
      <c r="A77" s="144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190.30218199999999</v>
      </c>
      <c r="J77" s="71"/>
    </row>
    <row r="78" spans="1:10" x14ac:dyDescent="0.2">
      <c r="A78" s="144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18.733228</v>
      </c>
      <c r="J78" s="71"/>
    </row>
    <row r="79" spans="1:10" x14ac:dyDescent="0.2">
      <c r="A79" s="144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0.45690800000000004</v>
      </c>
      <c r="J79" s="71"/>
    </row>
    <row r="80" spans="1:10" x14ac:dyDescent="0.2">
      <c r="A80" s="144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0.68536199999999992</v>
      </c>
      <c r="J80" s="71"/>
    </row>
    <row r="81" spans="1:11" x14ac:dyDescent="0.2">
      <c r="A81" s="144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2.2026585200666666</v>
      </c>
      <c r="J81" s="75" t="s">
        <v>173</v>
      </c>
      <c r="K81" s="76">
        <f>I33+I34+I51+I52+I53</f>
        <v>361.09156066666662</v>
      </c>
    </row>
    <row r="82" spans="1:11" x14ac:dyDescent="0.2">
      <c r="A82" s="144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212.38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44" t="s">
        <v>43</v>
      </c>
      <c r="I85" s="144" t="s">
        <v>121</v>
      </c>
      <c r="J85" s="71"/>
    </row>
    <row r="86" spans="1:11" x14ac:dyDescent="0.2">
      <c r="A86" s="144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44" t="s">
        <v>121</v>
      </c>
      <c r="J90" s="71"/>
    </row>
    <row r="91" spans="1:11" x14ac:dyDescent="0.2">
      <c r="A91" s="144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212.38</v>
      </c>
      <c r="J91" s="71"/>
    </row>
    <row r="92" spans="1:11" x14ac:dyDescent="0.2">
      <c r="A92" s="144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212.38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44">
        <v>5</v>
      </c>
      <c r="B96" s="297" t="s">
        <v>185</v>
      </c>
      <c r="C96" s="297"/>
      <c r="D96" s="297"/>
      <c r="E96" s="297"/>
      <c r="F96" s="297"/>
      <c r="G96" s="297"/>
      <c r="H96" s="144"/>
      <c r="I96" s="144" t="s">
        <v>121</v>
      </c>
      <c r="J96" s="71"/>
    </row>
    <row r="97" spans="1:10" x14ac:dyDescent="0.2">
      <c r="A97" s="144" t="s">
        <v>9</v>
      </c>
      <c r="B97" s="310" t="s">
        <v>39</v>
      </c>
      <c r="C97" s="310"/>
      <c r="D97" s="310"/>
      <c r="E97" s="310"/>
      <c r="F97" s="310"/>
      <c r="G97" s="310"/>
      <c r="H97" s="147" t="s">
        <v>143</v>
      </c>
      <c r="I97" s="58">
        <f>Uniformes!E7</f>
        <v>58.799927477499999</v>
      </c>
      <c r="J97" s="71"/>
    </row>
    <row r="98" spans="1:10" x14ac:dyDescent="0.2">
      <c r="A98" s="144" t="s">
        <v>10</v>
      </c>
      <c r="B98" s="310" t="s">
        <v>40</v>
      </c>
      <c r="C98" s="310"/>
      <c r="D98" s="310"/>
      <c r="E98" s="310"/>
      <c r="F98" s="310"/>
      <c r="G98" s="310"/>
      <c r="H98" s="147" t="s">
        <v>143</v>
      </c>
      <c r="I98" s="147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47" t="s">
        <v>143</v>
      </c>
      <c r="I99" s="147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47" t="s">
        <v>143</v>
      </c>
      <c r="I100" s="147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44">
        <v>6</v>
      </c>
      <c r="B104" s="297" t="s">
        <v>188</v>
      </c>
      <c r="C104" s="297"/>
      <c r="D104" s="297"/>
      <c r="E104" s="297"/>
      <c r="F104" s="297"/>
      <c r="G104" s="297"/>
      <c r="H104" s="144" t="s">
        <v>43</v>
      </c>
      <c r="I104" s="144" t="s">
        <v>121</v>
      </c>
      <c r="J104" s="71"/>
    </row>
    <row r="105" spans="1:10" x14ac:dyDescent="0.2">
      <c r="A105" s="144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130.32</v>
      </c>
      <c r="J105" s="71"/>
    </row>
    <row r="106" spans="1:10" x14ac:dyDescent="0.2">
      <c r="A106" s="144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303.8</v>
      </c>
      <c r="J106" s="82">
        <f>SUM(I105:I106)</f>
        <v>434.12</v>
      </c>
    </row>
    <row r="107" spans="1:10" x14ac:dyDescent="0.2">
      <c r="A107" s="144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44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91.94</v>
      </c>
      <c r="J108" s="84"/>
    </row>
    <row r="109" spans="1:10" x14ac:dyDescent="0.2">
      <c r="A109" s="144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423.48</v>
      </c>
      <c r="J109" s="84"/>
    </row>
    <row r="110" spans="1:10" x14ac:dyDescent="0.2">
      <c r="A110" s="144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278.61</v>
      </c>
      <c r="J110" s="87">
        <f>SUM(I108:I110)</f>
        <v>794.03000000000009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1228.1500000000001</v>
      </c>
      <c r="J111" s="71"/>
    </row>
    <row r="112" spans="1:10" x14ac:dyDescent="0.2">
      <c r="A112" s="143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4778.17</v>
      </c>
    </row>
    <row r="116" spans="1:11" x14ac:dyDescent="0.2">
      <c r="A116" s="91"/>
      <c r="B116" s="145"/>
      <c r="C116" s="145"/>
      <c r="D116" s="145"/>
      <c r="E116" s="145"/>
      <c r="F116" s="145"/>
      <c r="G116" s="145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5572.2</v>
      </c>
    </row>
    <row r="118" spans="1:11" x14ac:dyDescent="0.2">
      <c r="A118" s="91"/>
      <c r="B118" s="145"/>
      <c r="C118" s="145"/>
      <c r="D118" s="145"/>
      <c r="E118" s="145"/>
      <c r="F118" s="145"/>
      <c r="G118" s="145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794.03</v>
      </c>
      <c r="K119" s="100"/>
    </row>
    <row r="120" spans="1:11" x14ac:dyDescent="0.2">
      <c r="A120" s="143"/>
      <c r="B120" s="143"/>
      <c r="C120" s="143"/>
      <c r="D120" s="143"/>
      <c r="E120" s="143"/>
      <c r="F120" s="143"/>
      <c r="G120" s="143"/>
      <c r="H120" s="143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44" t="s">
        <v>121</v>
      </c>
    </row>
    <row r="123" spans="1:11" x14ac:dyDescent="0.2">
      <c r="A123" s="147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2284.54</v>
      </c>
    </row>
    <row r="124" spans="1:11" x14ac:dyDescent="0.2">
      <c r="A124" s="147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1715.78</v>
      </c>
    </row>
    <row r="125" spans="1:11" x14ac:dyDescent="0.2">
      <c r="A125" s="147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72.56</v>
      </c>
      <c r="K125" s="102"/>
    </row>
    <row r="126" spans="1:11" x14ac:dyDescent="0.2">
      <c r="A126" s="147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212.38</v>
      </c>
      <c r="K126" s="102"/>
    </row>
    <row r="127" spans="1:11" x14ac:dyDescent="0.2">
      <c r="A127" s="147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44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4344.05</v>
      </c>
      <c r="K128" s="100"/>
    </row>
    <row r="129" spans="1:9" x14ac:dyDescent="0.2">
      <c r="A129" s="147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1228.1500000000001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5572.2</v>
      </c>
    </row>
    <row r="131" spans="1:9" x14ac:dyDescent="0.2">
      <c r="I131" s="100"/>
    </row>
    <row r="132" spans="1:9" ht="13.5" hidden="1" thickBot="1" x14ac:dyDescent="0.25">
      <c r="A132" s="143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50" t="s">
        <v>210</v>
      </c>
      <c r="I133" s="149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43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48"/>
      <c r="B144" s="339" t="s">
        <v>220</v>
      </c>
      <c r="C144" s="339"/>
      <c r="D144" s="339"/>
      <c r="E144" s="339"/>
      <c r="F144" s="339"/>
      <c r="G144" s="339"/>
      <c r="H144" s="339"/>
      <c r="I144" s="149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91.94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1228.1500000000001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43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2.7831220593964456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55722</v>
      </c>
    </row>
    <row r="155" spans="1:9" x14ac:dyDescent="0.2">
      <c r="A155" s="124" t="s">
        <v>228</v>
      </c>
      <c r="B155" s="124"/>
      <c r="C155" s="102">
        <f>H8*C154</f>
        <v>668664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K157"/>
  <sheetViews>
    <sheetView topLeftCell="A109" workbookViewId="0">
      <selection activeCell="L52" sqref="L52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307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59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59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59" t="s">
        <v>11</v>
      </c>
      <c r="B7" s="292" t="s">
        <v>339</v>
      </c>
      <c r="C7" s="292"/>
      <c r="D7" s="292"/>
      <c r="E7" s="292"/>
      <c r="F7" s="292"/>
      <c r="G7" s="292"/>
      <c r="H7" s="274">
        <v>2024</v>
      </c>
      <c r="I7" s="274"/>
    </row>
    <row r="8" spans="1:9" x14ac:dyDescent="0.2">
      <c r="A8" s="159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55"/>
      <c r="B9" s="158"/>
      <c r="C9" s="158"/>
      <c r="D9" s="158"/>
      <c r="E9" s="158"/>
      <c r="F9" s="158"/>
      <c r="G9" s="158"/>
      <c r="H9" s="155"/>
      <c r="I9" s="155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55"/>
      <c r="B13" s="158"/>
      <c r="C13" s="158"/>
      <c r="D13" s="158"/>
      <c r="E13" s="158"/>
      <c r="F13" s="158"/>
      <c r="G13" s="158"/>
      <c r="H13" s="155"/>
      <c r="I13" s="155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4.75" customHeight="1" x14ac:dyDescent="0.2">
      <c r="A15" s="173">
        <v>1</v>
      </c>
      <c r="B15" s="336" t="s">
        <v>15</v>
      </c>
      <c r="C15" s="336"/>
      <c r="D15" s="336"/>
      <c r="E15" s="336"/>
      <c r="F15" s="336"/>
      <c r="G15" s="336"/>
      <c r="H15" s="346" t="s">
        <v>274</v>
      </c>
      <c r="I15" s="347"/>
    </row>
    <row r="16" spans="1:9" x14ac:dyDescent="0.2">
      <c r="A16" s="159">
        <v>2</v>
      </c>
      <c r="B16" s="292" t="s">
        <v>117</v>
      </c>
      <c r="C16" s="292"/>
      <c r="D16" s="292"/>
      <c r="E16" s="292"/>
      <c r="F16" s="292"/>
      <c r="G16" s="292"/>
      <c r="H16" s="274" t="s">
        <v>79</v>
      </c>
      <c r="I16" s="274"/>
    </row>
    <row r="17" spans="1:10" x14ac:dyDescent="0.2">
      <c r="A17" s="159">
        <v>3</v>
      </c>
      <c r="B17" s="292" t="s">
        <v>118</v>
      </c>
      <c r="C17" s="292"/>
      <c r="D17" s="292"/>
      <c r="E17" s="292"/>
      <c r="F17" s="292"/>
      <c r="G17" s="292"/>
      <c r="H17" s="298">
        <v>2002.14</v>
      </c>
      <c r="I17" s="298"/>
    </row>
    <row r="18" spans="1:10" ht="12.75" customHeight="1" x14ac:dyDescent="0.2">
      <c r="A18" s="159">
        <v>4</v>
      </c>
      <c r="B18" s="292" t="s">
        <v>16</v>
      </c>
      <c r="C18" s="292"/>
      <c r="D18" s="292"/>
      <c r="E18" s="292"/>
      <c r="F18" s="292"/>
      <c r="G18" s="292"/>
      <c r="H18" s="320" t="s">
        <v>272</v>
      </c>
      <c r="I18" s="362"/>
    </row>
    <row r="19" spans="1:10" x14ac:dyDescent="0.2">
      <c r="A19" s="159">
        <v>5</v>
      </c>
      <c r="B19" s="292" t="s">
        <v>1</v>
      </c>
      <c r="C19" s="292"/>
      <c r="D19" s="292"/>
      <c r="E19" s="292"/>
      <c r="F19" s="292"/>
      <c r="G19" s="292"/>
      <c r="H19" s="361">
        <v>2024</v>
      </c>
      <c r="I19" s="361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56">
        <v>1</v>
      </c>
      <c r="B22" s="297" t="s">
        <v>120</v>
      </c>
      <c r="C22" s="297"/>
      <c r="D22" s="297"/>
      <c r="E22" s="297"/>
      <c r="F22" s="297"/>
      <c r="G22" s="297"/>
      <c r="H22" s="156" t="s">
        <v>43</v>
      </c>
      <c r="I22" s="156" t="s">
        <v>121</v>
      </c>
    </row>
    <row r="23" spans="1:10" x14ac:dyDescent="0.2">
      <c r="A23" s="15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2002.14</v>
      </c>
    </row>
    <row r="24" spans="1:10" x14ac:dyDescent="0.2">
      <c r="A24" s="15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5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5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15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5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2284.54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56" t="s">
        <v>43</v>
      </c>
      <c r="I32" s="156" t="s">
        <v>121</v>
      </c>
      <c r="J32" s="71"/>
    </row>
    <row r="33" spans="1:11" x14ac:dyDescent="0.2">
      <c r="A33" s="15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190.30218199999999</v>
      </c>
      <c r="J33" s="71"/>
    </row>
    <row r="34" spans="1:11" x14ac:dyDescent="0.2">
      <c r="A34" s="15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63.510211999999996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253.81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2750.73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56" t="s">
        <v>43</v>
      </c>
      <c r="I37" s="156" t="s">
        <v>121</v>
      </c>
      <c r="J37" s="71" t="s">
        <v>132</v>
      </c>
    </row>
    <row r="38" spans="1:11" x14ac:dyDescent="0.2">
      <c r="A38" s="15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550.14600000000007</v>
      </c>
      <c r="J38" s="71"/>
    </row>
    <row r="39" spans="1:11" x14ac:dyDescent="0.2">
      <c r="A39" s="15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>H39*$K$36</f>
        <v>68.768250000000009</v>
      </c>
      <c r="J39" s="71"/>
    </row>
    <row r="40" spans="1:11" x14ac:dyDescent="0.2">
      <c r="A40" s="15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ref="I40:I45" si="0">H40*$K$36</f>
        <v>46.377307799999997</v>
      </c>
      <c r="J40" s="71"/>
    </row>
    <row r="41" spans="1:11" x14ac:dyDescent="0.2">
      <c r="A41" s="15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41.260950000000001</v>
      </c>
      <c r="J41" s="71"/>
    </row>
    <row r="42" spans="1:11" x14ac:dyDescent="0.2">
      <c r="A42" s="15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27.507300000000001</v>
      </c>
      <c r="J42" s="71"/>
    </row>
    <row r="43" spans="1:11" x14ac:dyDescent="0.2">
      <c r="A43" s="15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16.504380000000001</v>
      </c>
      <c r="J43" s="71"/>
    </row>
    <row r="44" spans="1:11" x14ac:dyDescent="0.2">
      <c r="A44" s="15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5.5014599999999998</v>
      </c>
      <c r="J44" s="71"/>
    </row>
    <row r="45" spans="1:11" x14ac:dyDescent="0.2">
      <c r="A45" s="15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220.05840000000001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976.12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56" t="s">
        <v>121</v>
      </c>
      <c r="J48" s="71"/>
    </row>
    <row r="49" spans="1:10" s="154" customFormat="1" x14ac:dyDescent="0.2">
      <c r="A49" s="163" t="s">
        <v>9</v>
      </c>
      <c r="B49" s="354" t="s">
        <v>38</v>
      </c>
      <c r="C49" s="355"/>
      <c r="D49" s="355"/>
      <c r="E49" s="355"/>
      <c r="F49" s="355"/>
      <c r="G49" s="356"/>
      <c r="H49" s="152" t="s">
        <v>143</v>
      </c>
      <c r="I49" s="153">
        <f>(8.55*2*22)-(0.06*I23)</f>
        <v>256.07160000000005</v>
      </c>
      <c r="J49" s="135"/>
    </row>
    <row r="50" spans="1:10" s="154" customFormat="1" x14ac:dyDescent="0.2">
      <c r="A50" s="163" t="s">
        <v>10</v>
      </c>
      <c r="B50" s="354" t="s">
        <v>340</v>
      </c>
      <c r="C50" s="355"/>
      <c r="D50" s="355"/>
      <c r="E50" s="355"/>
      <c r="F50" s="355"/>
      <c r="G50" s="356"/>
      <c r="H50" s="152" t="s">
        <v>143</v>
      </c>
      <c r="I50" s="153">
        <f>' Nutricionista RT SET FEC PLANT'!I50</f>
        <v>225.1</v>
      </c>
      <c r="J50" s="135"/>
    </row>
    <row r="51" spans="1:10" s="154" customFormat="1" x14ac:dyDescent="0.2">
      <c r="A51" s="163" t="s">
        <v>11</v>
      </c>
      <c r="B51" s="354" t="s">
        <v>341</v>
      </c>
      <c r="C51" s="355"/>
      <c r="D51" s="355"/>
      <c r="E51" s="355"/>
      <c r="F51" s="355"/>
      <c r="G51" s="356"/>
      <c r="H51" s="152" t="s">
        <v>143</v>
      </c>
      <c r="I51" s="56">
        <v>0</v>
      </c>
      <c r="J51" s="135"/>
    </row>
    <row r="52" spans="1:10" s="154" customFormat="1" x14ac:dyDescent="0.2">
      <c r="A52" s="163" t="s">
        <v>12</v>
      </c>
      <c r="B52" s="357" t="s">
        <v>342</v>
      </c>
      <c r="C52" s="358"/>
      <c r="D52" s="358"/>
      <c r="E52" s="358"/>
      <c r="F52" s="358"/>
      <c r="G52" s="359"/>
      <c r="H52" s="152" t="s">
        <v>143</v>
      </c>
      <c r="I52" s="153">
        <f>' Nutricionista RT SET FEC PLANT'!I52</f>
        <v>9.3791666666666664</v>
      </c>
      <c r="J52" s="135"/>
    </row>
    <row r="53" spans="1:10" s="154" customFormat="1" x14ac:dyDescent="0.2">
      <c r="A53" s="163" t="s">
        <v>3</v>
      </c>
      <c r="B53" s="357" t="s">
        <v>343</v>
      </c>
      <c r="C53" s="358"/>
      <c r="D53" s="358"/>
      <c r="E53" s="358"/>
      <c r="F53" s="358"/>
      <c r="G53" s="359"/>
      <c r="H53" s="152" t="s">
        <v>143</v>
      </c>
      <c r="I53" s="56">
        <f>' Nutricionista RT SET FEC PLANT'!I54</f>
        <v>97.9</v>
      </c>
      <c r="J53" s="135"/>
    </row>
    <row r="54" spans="1:10" s="154" customFormat="1" x14ac:dyDescent="0.2">
      <c r="A54" s="163" t="s">
        <v>4</v>
      </c>
      <c r="B54" s="350"/>
      <c r="C54" s="350"/>
      <c r="D54" s="350"/>
      <c r="E54" s="350"/>
      <c r="F54" s="350"/>
      <c r="G54" s="350"/>
      <c r="H54" s="152" t="s">
        <v>143</v>
      </c>
      <c r="I54" s="56">
        <v>0</v>
      </c>
      <c r="J54" s="135"/>
    </row>
    <row r="55" spans="1:10" s="154" customFormat="1" x14ac:dyDescent="0.2">
      <c r="A55" s="163" t="s">
        <v>5</v>
      </c>
      <c r="B55" s="349" t="s">
        <v>146</v>
      </c>
      <c r="C55" s="349"/>
      <c r="D55" s="349"/>
      <c r="E55" s="349"/>
      <c r="F55" s="349"/>
      <c r="G55" s="349"/>
      <c r="H55" s="152" t="s">
        <v>143</v>
      </c>
      <c r="I55" s="56">
        <v>0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588.45076666666671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56" t="s">
        <v>121</v>
      </c>
      <c r="J59" s="71"/>
    </row>
    <row r="60" spans="1:10" x14ac:dyDescent="0.2">
      <c r="A60" s="15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253.81</v>
      </c>
      <c r="J60" s="71"/>
    </row>
    <row r="61" spans="1:10" x14ac:dyDescent="0.2">
      <c r="A61" s="15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976.12</v>
      </c>
      <c r="J61" s="71"/>
    </row>
    <row r="62" spans="1:10" x14ac:dyDescent="0.2">
      <c r="A62" s="15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588.45076666666671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1818.38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56">
        <v>3</v>
      </c>
      <c r="B66" s="297" t="s">
        <v>158</v>
      </c>
      <c r="C66" s="297"/>
      <c r="D66" s="297"/>
      <c r="E66" s="297"/>
      <c r="F66" s="297"/>
      <c r="G66" s="297"/>
      <c r="H66" s="156" t="s">
        <v>43</v>
      </c>
      <c r="I66" s="156" t="s">
        <v>121</v>
      </c>
      <c r="J66" s="71"/>
    </row>
    <row r="67" spans="1:10" x14ac:dyDescent="0.2">
      <c r="A67" s="15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9.5950679999999995</v>
      </c>
      <c r="J67" s="71"/>
    </row>
    <row r="68" spans="1:10" x14ac:dyDescent="0.2">
      <c r="A68" s="15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0.76760543999999997</v>
      </c>
      <c r="J68" s="71"/>
    </row>
    <row r="69" spans="1:10" x14ac:dyDescent="0.2">
      <c r="A69" s="15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0.38380271999999999</v>
      </c>
      <c r="J69" s="71"/>
    </row>
    <row r="70" spans="1:10" x14ac:dyDescent="0.2">
      <c r="A70" s="15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44.320076</v>
      </c>
      <c r="J70" s="71"/>
    </row>
    <row r="71" spans="1:10" x14ac:dyDescent="0.2">
      <c r="A71" s="15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15.727422169360004</v>
      </c>
      <c r="J71" s="71"/>
    </row>
    <row r="72" spans="1:10" x14ac:dyDescent="0.2">
      <c r="A72" s="15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1.7728030399999999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72.56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56" t="s">
        <v>43</v>
      </c>
      <c r="I76" s="156" t="s">
        <v>121</v>
      </c>
      <c r="J76" s="71"/>
    </row>
    <row r="77" spans="1:10" x14ac:dyDescent="0.2">
      <c r="A77" s="15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190.30218199999999</v>
      </c>
      <c r="J77" s="71"/>
    </row>
    <row r="78" spans="1:10" x14ac:dyDescent="0.2">
      <c r="A78" s="15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18.733228</v>
      </c>
      <c r="J78" s="71"/>
    </row>
    <row r="79" spans="1:10" x14ac:dyDescent="0.2">
      <c r="A79" s="15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0.45690800000000004</v>
      </c>
      <c r="J79" s="71"/>
    </row>
    <row r="80" spans="1:10" x14ac:dyDescent="0.2">
      <c r="A80" s="15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0.68536199999999992</v>
      </c>
      <c r="J80" s="71"/>
    </row>
    <row r="81" spans="1:11" x14ac:dyDescent="0.2">
      <c r="A81" s="15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2.2026585200666666</v>
      </c>
      <c r="J81" s="75" t="s">
        <v>173</v>
      </c>
      <c r="K81" s="76">
        <f>I33+I34+I51+I52+I53</f>
        <v>361.09156066666662</v>
      </c>
    </row>
    <row r="82" spans="1:11" x14ac:dyDescent="0.2">
      <c r="A82" s="15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212.38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56" t="s">
        <v>43</v>
      </c>
      <c r="I85" s="156" t="s">
        <v>121</v>
      </c>
      <c r="J85" s="71"/>
    </row>
    <row r="86" spans="1:11" x14ac:dyDescent="0.2">
      <c r="A86" s="15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56" t="s">
        <v>121</v>
      </c>
      <c r="J90" s="71"/>
    </row>
    <row r="91" spans="1:11" x14ac:dyDescent="0.2">
      <c r="A91" s="15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212.38</v>
      </c>
      <c r="J91" s="71"/>
    </row>
    <row r="92" spans="1:11" x14ac:dyDescent="0.2">
      <c r="A92" s="15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212.38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56">
        <v>5</v>
      </c>
      <c r="B96" s="297" t="s">
        <v>185</v>
      </c>
      <c r="C96" s="297"/>
      <c r="D96" s="297"/>
      <c r="E96" s="297"/>
      <c r="F96" s="297"/>
      <c r="G96" s="297"/>
      <c r="H96" s="156"/>
      <c r="I96" s="156" t="s">
        <v>121</v>
      </c>
      <c r="J96" s="71"/>
    </row>
    <row r="97" spans="1:10" x14ac:dyDescent="0.2">
      <c r="A97" s="156" t="s">
        <v>9</v>
      </c>
      <c r="B97" s="310" t="s">
        <v>39</v>
      </c>
      <c r="C97" s="310"/>
      <c r="D97" s="310"/>
      <c r="E97" s="310"/>
      <c r="F97" s="310"/>
      <c r="G97" s="310"/>
      <c r="H97" s="159" t="s">
        <v>143</v>
      </c>
      <c r="I97" s="58">
        <f>Uniformes!E7</f>
        <v>58.799927477499999</v>
      </c>
      <c r="J97" s="71"/>
    </row>
    <row r="98" spans="1:10" x14ac:dyDescent="0.2">
      <c r="A98" s="156" t="s">
        <v>10</v>
      </c>
      <c r="B98" s="310" t="s">
        <v>40</v>
      </c>
      <c r="C98" s="310"/>
      <c r="D98" s="310"/>
      <c r="E98" s="310"/>
      <c r="F98" s="310"/>
      <c r="G98" s="310"/>
      <c r="H98" s="159" t="s">
        <v>143</v>
      </c>
      <c r="I98" s="159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59" t="s">
        <v>143</v>
      </c>
      <c r="I99" s="159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59" t="s">
        <v>143</v>
      </c>
      <c r="I100" s="159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58.79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56">
        <v>6</v>
      </c>
      <c r="B104" s="297" t="s">
        <v>188</v>
      </c>
      <c r="C104" s="297"/>
      <c r="D104" s="297"/>
      <c r="E104" s="297"/>
      <c r="F104" s="297"/>
      <c r="G104" s="297"/>
      <c r="H104" s="156" t="s">
        <v>43</v>
      </c>
      <c r="I104" s="156" t="s">
        <v>121</v>
      </c>
      <c r="J104" s="71"/>
    </row>
    <row r="105" spans="1:10" x14ac:dyDescent="0.2">
      <c r="A105" s="15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133.38999999999999</v>
      </c>
      <c r="J105" s="71"/>
    </row>
    <row r="106" spans="1:10" x14ac:dyDescent="0.2">
      <c r="A106" s="15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310.98</v>
      </c>
      <c r="J106" s="82">
        <f>SUM(I105:I106)</f>
        <v>444.37</v>
      </c>
    </row>
    <row r="107" spans="1:10" x14ac:dyDescent="0.2">
      <c r="A107" s="15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5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94.11</v>
      </c>
      <c r="J108" s="84"/>
    </row>
    <row r="109" spans="1:10" x14ac:dyDescent="0.2">
      <c r="A109" s="15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433.48</v>
      </c>
      <c r="J109" s="84"/>
    </row>
    <row r="110" spans="1:10" x14ac:dyDescent="0.2">
      <c r="A110" s="15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285.19</v>
      </c>
      <c r="J110" s="87">
        <f>SUM(I108:I110)</f>
        <v>812.78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1257.1500000000001</v>
      </c>
      <c r="J111" s="71"/>
    </row>
    <row r="112" spans="1:10" x14ac:dyDescent="0.2">
      <c r="A112" s="155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4891.0200000000004</v>
      </c>
    </row>
    <row r="116" spans="1:11" x14ac:dyDescent="0.2">
      <c r="A116" s="91"/>
      <c r="B116" s="157"/>
      <c r="C116" s="157"/>
      <c r="D116" s="157"/>
      <c r="E116" s="157"/>
      <c r="F116" s="157"/>
      <c r="G116" s="157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5703.81</v>
      </c>
    </row>
    <row r="118" spans="1:11" x14ac:dyDescent="0.2">
      <c r="A118" s="91"/>
      <c r="B118" s="157"/>
      <c r="C118" s="157"/>
      <c r="D118" s="157"/>
      <c r="E118" s="157"/>
      <c r="F118" s="157"/>
      <c r="G118" s="157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812.79</v>
      </c>
      <c r="K119" s="100"/>
    </row>
    <row r="120" spans="1:11" x14ac:dyDescent="0.2">
      <c r="A120" s="155"/>
      <c r="B120" s="155"/>
      <c r="C120" s="155"/>
      <c r="D120" s="155"/>
      <c r="E120" s="155"/>
      <c r="F120" s="155"/>
      <c r="G120" s="155"/>
      <c r="H120" s="155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56" t="s">
        <v>121</v>
      </c>
    </row>
    <row r="123" spans="1:11" x14ac:dyDescent="0.2">
      <c r="A123" s="159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2284.54</v>
      </c>
    </row>
    <row r="124" spans="1:11" x14ac:dyDescent="0.2">
      <c r="A124" s="159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1818.38</v>
      </c>
    </row>
    <row r="125" spans="1:11" x14ac:dyDescent="0.2">
      <c r="A125" s="159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72.56</v>
      </c>
      <c r="K125" s="102"/>
    </row>
    <row r="126" spans="1:11" x14ac:dyDescent="0.2">
      <c r="A126" s="159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212.38</v>
      </c>
      <c r="K126" s="102"/>
    </row>
    <row r="127" spans="1:11" x14ac:dyDescent="0.2">
      <c r="A127" s="159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58.79</v>
      </c>
    </row>
    <row r="128" spans="1:11" x14ac:dyDescent="0.2">
      <c r="A128" s="15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4446.6499999999996</v>
      </c>
      <c r="K128" s="100"/>
    </row>
    <row r="129" spans="1:9" x14ac:dyDescent="0.2">
      <c r="A129" s="159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1257.1500000000001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5703.8</v>
      </c>
    </row>
    <row r="131" spans="1:9" x14ac:dyDescent="0.2">
      <c r="I131" s="100"/>
    </row>
    <row r="132" spans="1:9" ht="13.5" hidden="1" thickBot="1" x14ac:dyDescent="0.25">
      <c r="A132" s="155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62" t="s">
        <v>210</v>
      </c>
      <c r="I133" s="161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55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60"/>
      <c r="B144" s="339" t="s">
        <v>220</v>
      </c>
      <c r="C144" s="339"/>
      <c r="D144" s="339"/>
      <c r="E144" s="339"/>
      <c r="F144" s="339"/>
      <c r="G144" s="339"/>
      <c r="H144" s="339"/>
      <c r="I144" s="161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94.11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1257.1500000000001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55" t="s">
        <v>224</v>
      </c>
      <c r="B149" s="62" t="s">
        <v>225</v>
      </c>
    </row>
    <row r="150" spans="1:9" hidden="1" x14ac:dyDescent="0.2"/>
    <row r="151" spans="1:9" hidden="1" x14ac:dyDescent="0.2"/>
    <row r="152" spans="1:9" x14ac:dyDescent="0.2">
      <c r="A152" s="124" t="s">
        <v>226</v>
      </c>
      <c r="B152" s="124">
        <f>I130/I23</f>
        <v>2.8488517286503439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11407.6</v>
      </c>
    </row>
    <row r="155" spans="1:9" x14ac:dyDescent="0.2">
      <c r="A155" s="124" t="s">
        <v>228</v>
      </c>
      <c r="B155" s="124"/>
      <c r="C155" s="102">
        <f>H8*C154</f>
        <v>136891.20000000001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157"/>
  <sheetViews>
    <sheetView workbookViewId="0">
      <selection activeCell="O23" sqref="O23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28.8554687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308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59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59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x14ac:dyDescent="0.2">
      <c r="A7" s="159" t="s">
        <v>11</v>
      </c>
      <c r="B7" s="336" t="s">
        <v>283</v>
      </c>
      <c r="C7" s="336"/>
      <c r="D7" s="336"/>
      <c r="E7" s="336"/>
      <c r="F7" s="336"/>
      <c r="G7" s="336"/>
      <c r="H7" s="334" t="s">
        <v>330</v>
      </c>
      <c r="I7" s="335"/>
    </row>
    <row r="8" spans="1:9" x14ac:dyDescent="0.2">
      <c r="A8" s="159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55"/>
      <c r="B9" s="158"/>
      <c r="C9" s="158"/>
      <c r="D9" s="158"/>
      <c r="E9" s="158"/>
      <c r="F9" s="158"/>
      <c r="G9" s="158"/>
      <c r="H9" s="155"/>
      <c r="I9" s="155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281</v>
      </c>
      <c r="D12" s="274"/>
      <c r="E12" s="274">
        <v>1</v>
      </c>
      <c r="F12" s="274"/>
      <c r="G12" s="274"/>
      <c r="H12" s="274"/>
      <c r="I12" s="274"/>
    </row>
    <row r="13" spans="1:9" x14ac:dyDescent="0.2">
      <c r="A13" s="155"/>
      <c r="B13" s="158"/>
      <c r="C13" s="158"/>
      <c r="D13" s="158"/>
      <c r="E13" s="158"/>
      <c r="F13" s="158"/>
      <c r="G13" s="158"/>
      <c r="H13" s="155"/>
      <c r="I13" s="155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26.25" customHeight="1" x14ac:dyDescent="0.2">
      <c r="A15" s="173">
        <v>1</v>
      </c>
      <c r="B15" s="336" t="s">
        <v>15</v>
      </c>
      <c r="C15" s="336"/>
      <c r="D15" s="336"/>
      <c r="E15" s="336"/>
      <c r="F15" s="336"/>
      <c r="G15" s="336"/>
      <c r="H15" s="346" t="s">
        <v>275</v>
      </c>
      <c r="I15" s="347"/>
    </row>
    <row r="16" spans="1:9" x14ac:dyDescent="0.2">
      <c r="A16" s="159">
        <v>2</v>
      </c>
      <c r="B16" s="292" t="s">
        <v>117</v>
      </c>
      <c r="C16" s="292"/>
      <c r="D16" s="292"/>
      <c r="E16" s="292"/>
      <c r="F16" s="292"/>
      <c r="G16" s="292"/>
      <c r="H16" s="274" t="s">
        <v>240</v>
      </c>
      <c r="I16" s="274"/>
    </row>
    <row r="17" spans="1:10" x14ac:dyDescent="0.2">
      <c r="A17" s="159">
        <v>3</v>
      </c>
      <c r="B17" s="292" t="s">
        <v>118</v>
      </c>
      <c r="C17" s="292"/>
      <c r="D17" s="292"/>
      <c r="E17" s="292"/>
      <c r="F17" s="292"/>
      <c r="G17" s="292"/>
      <c r="H17" s="298">
        <v>2219.8000000000002</v>
      </c>
      <c r="I17" s="298"/>
    </row>
    <row r="18" spans="1:10" ht="12.75" customHeight="1" x14ac:dyDescent="0.2">
      <c r="A18" s="159">
        <v>4</v>
      </c>
      <c r="B18" s="292" t="s">
        <v>16</v>
      </c>
      <c r="C18" s="292"/>
      <c r="D18" s="292"/>
      <c r="E18" s="292"/>
      <c r="F18" s="292"/>
      <c r="G18" s="292"/>
      <c r="H18" s="332" t="s">
        <v>276</v>
      </c>
      <c r="I18" s="333"/>
    </row>
    <row r="19" spans="1:10" x14ac:dyDescent="0.2">
      <c r="A19" s="159">
        <v>5</v>
      </c>
      <c r="B19" s="292" t="s">
        <v>1</v>
      </c>
      <c r="C19" s="292"/>
      <c r="D19" s="292"/>
      <c r="E19" s="292"/>
      <c r="F19" s="292"/>
      <c r="G19" s="292"/>
      <c r="H19" s="363">
        <v>45352</v>
      </c>
      <c r="I19" s="274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56">
        <v>1</v>
      </c>
      <c r="B22" s="297" t="s">
        <v>120</v>
      </c>
      <c r="C22" s="297"/>
      <c r="D22" s="297"/>
      <c r="E22" s="297"/>
      <c r="F22" s="297"/>
      <c r="G22" s="297"/>
      <c r="H22" s="156" t="s">
        <v>43</v>
      </c>
      <c r="I22" s="156" t="s">
        <v>121</v>
      </c>
    </row>
    <row r="23" spans="1:10" x14ac:dyDescent="0.2">
      <c r="A23" s="15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2219.8000000000002</v>
      </c>
    </row>
    <row r="24" spans="1:10" x14ac:dyDescent="0.2">
      <c r="A24" s="156" t="s">
        <v>10</v>
      </c>
      <c r="B24" s="292" t="s">
        <v>122</v>
      </c>
      <c r="C24" s="292"/>
      <c r="D24" s="292"/>
      <c r="E24" s="292"/>
      <c r="F24" s="292"/>
      <c r="G24" s="292"/>
      <c r="H24" s="53">
        <v>0.3</v>
      </c>
      <c r="I24" s="58">
        <f>I23*H24</f>
        <v>665.94</v>
      </c>
    </row>
    <row r="25" spans="1:10" x14ac:dyDescent="0.2">
      <c r="A25" s="15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v>0</v>
      </c>
    </row>
    <row r="26" spans="1:10" x14ac:dyDescent="0.2">
      <c r="A26" s="15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15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5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2885.74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56" t="s">
        <v>43</v>
      </c>
      <c r="I32" s="156" t="s">
        <v>121</v>
      </c>
      <c r="J32" s="71"/>
    </row>
    <row r="33" spans="1:11" x14ac:dyDescent="0.2">
      <c r="A33" s="15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240.38214199999999</v>
      </c>
      <c r="J33" s="71"/>
    </row>
    <row r="34" spans="1:11" x14ac:dyDescent="0.2">
      <c r="A34" s="15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80.22357199999999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320.60000000000002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3474.0499999999997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56" t="s">
        <v>43</v>
      </c>
      <c r="I37" s="156" t="s">
        <v>121</v>
      </c>
      <c r="J37" s="71" t="s">
        <v>132</v>
      </c>
    </row>
    <row r="38" spans="1:11" x14ac:dyDescent="0.2">
      <c r="A38" s="15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694.81</v>
      </c>
      <c r="J38" s="71"/>
    </row>
    <row r="39" spans="1:11" x14ac:dyDescent="0.2">
      <c r="A39" s="15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>H39*$K$36</f>
        <v>86.851249999999993</v>
      </c>
      <c r="J39" s="71"/>
    </row>
    <row r="40" spans="1:11" x14ac:dyDescent="0.2">
      <c r="A40" s="15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ref="I40:I45" si="0">H40*$K$36</f>
        <v>58.572482999999998</v>
      </c>
      <c r="J40" s="71"/>
    </row>
    <row r="41" spans="1:11" x14ac:dyDescent="0.2">
      <c r="A41" s="15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52.110749999999996</v>
      </c>
      <c r="J41" s="71"/>
    </row>
    <row r="42" spans="1:11" x14ac:dyDescent="0.2">
      <c r="A42" s="15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34.740499999999997</v>
      </c>
      <c r="J42" s="71"/>
    </row>
    <row r="43" spans="1:11" x14ac:dyDescent="0.2">
      <c r="A43" s="15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20.8443</v>
      </c>
      <c r="J43" s="71"/>
    </row>
    <row r="44" spans="1:11" x14ac:dyDescent="0.2">
      <c r="A44" s="15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6.9480999999999993</v>
      </c>
      <c r="J44" s="71"/>
    </row>
    <row r="45" spans="1:11" x14ac:dyDescent="0.2">
      <c r="A45" s="15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277.92399999999998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1232.8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56" t="s">
        <v>121</v>
      </c>
      <c r="J48" s="71"/>
    </row>
    <row r="49" spans="1:10" s="154" customFormat="1" x14ac:dyDescent="0.2">
      <c r="A49" s="163" t="s">
        <v>9</v>
      </c>
      <c r="B49" s="301" t="s">
        <v>327</v>
      </c>
      <c r="C49" s="301"/>
      <c r="D49" s="301"/>
      <c r="E49" s="301"/>
      <c r="F49" s="301"/>
      <c r="G49" s="301"/>
      <c r="H49" s="152" t="s">
        <v>143</v>
      </c>
      <c r="I49" s="153">
        <f>(8.55*2*22)-(0.06*I23)</f>
        <v>243.01200000000003</v>
      </c>
      <c r="J49" s="135"/>
    </row>
    <row r="50" spans="1:10" s="154" customFormat="1" x14ac:dyDescent="0.2">
      <c r="A50" s="163" t="s">
        <v>10</v>
      </c>
      <c r="B50" s="301" t="s">
        <v>326</v>
      </c>
      <c r="C50" s="301"/>
      <c r="D50" s="301"/>
      <c r="E50" s="301"/>
      <c r="F50" s="301"/>
      <c r="G50" s="301"/>
      <c r="H50" s="152" t="s">
        <v>143</v>
      </c>
      <c r="I50" s="153">
        <f>'Tec. Manutenção'!I50</f>
        <v>368</v>
      </c>
      <c r="J50" s="135"/>
    </row>
    <row r="51" spans="1:10" s="154" customFormat="1" x14ac:dyDescent="0.2">
      <c r="A51" s="163" t="s">
        <v>11</v>
      </c>
      <c r="B51" s="349" t="s">
        <v>144</v>
      </c>
      <c r="C51" s="349"/>
      <c r="D51" s="349"/>
      <c r="E51" s="349"/>
      <c r="F51" s="349"/>
      <c r="G51" s="349"/>
      <c r="H51" s="152" t="s">
        <v>143</v>
      </c>
      <c r="I51" s="56">
        <v>0</v>
      </c>
      <c r="J51" s="135"/>
    </row>
    <row r="52" spans="1:10" s="154" customFormat="1" x14ac:dyDescent="0.2">
      <c r="A52" s="163" t="s">
        <v>12</v>
      </c>
      <c r="B52" s="350" t="s">
        <v>267</v>
      </c>
      <c r="C52" s="350"/>
      <c r="D52" s="350"/>
      <c r="E52" s="350"/>
      <c r="F52" s="350"/>
      <c r="G52" s="350"/>
      <c r="H52" s="152" t="s">
        <v>143</v>
      </c>
      <c r="I52" s="56">
        <v>0</v>
      </c>
      <c r="J52" s="135"/>
    </row>
    <row r="53" spans="1:10" s="154" customFormat="1" x14ac:dyDescent="0.2">
      <c r="A53" s="163" t="s">
        <v>3</v>
      </c>
      <c r="B53" s="303" t="s">
        <v>328</v>
      </c>
      <c r="C53" s="303"/>
      <c r="D53" s="303"/>
      <c r="E53" s="303"/>
      <c r="F53" s="303"/>
      <c r="G53" s="303"/>
      <c r="H53" s="152" t="s">
        <v>143</v>
      </c>
      <c r="I53" s="56">
        <f>I23*2%</f>
        <v>44.396000000000008</v>
      </c>
      <c r="J53" s="135"/>
    </row>
    <row r="54" spans="1:10" s="154" customFormat="1" x14ac:dyDescent="0.2">
      <c r="A54" s="163" t="s">
        <v>4</v>
      </c>
      <c r="B54" s="303" t="s">
        <v>329</v>
      </c>
      <c r="C54" s="303"/>
      <c r="D54" s="303"/>
      <c r="E54" s="303"/>
      <c r="F54" s="303"/>
      <c r="G54" s="303"/>
      <c r="H54" s="152" t="s">
        <v>143</v>
      </c>
      <c r="I54" s="56">
        <f>I23*6%/12</f>
        <v>11.099000000000002</v>
      </c>
      <c r="J54" s="135"/>
    </row>
    <row r="55" spans="1:10" s="154" customFormat="1" x14ac:dyDescent="0.2">
      <c r="A55" s="163" t="s">
        <v>5</v>
      </c>
      <c r="B55" s="349" t="s">
        <v>233</v>
      </c>
      <c r="C55" s="349"/>
      <c r="D55" s="349"/>
      <c r="E55" s="349"/>
      <c r="F55" s="349"/>
      <c r="G55" s="349"/>
      <c r="H55" s="152" t="s">
        <v>143</v>
      </c>
      <c r="I55" s="56">
        <v>0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666.50700000000006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56" t="s">
        <v>121</v>
      </c>
      <c r="J59" s="71"/>
    </row>
    <row r="60" spans="1:10" x14ac:dyDescent="0.2">
      <c r="A60" s="15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320.60000000000002</v>
      </c>
      <c r="J60" s="71"/>
    </row>
    <row r="61" spans="1:10" x14ac:dyDescent="0.2">
      <c r="A61" s="15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1232.8</v>
      </c>
      <c r="J61" s="71"/>
    </row>
    <row r="62" spans="1:10" x14ac:dyDescent="0.2">
      <c r="A62" s="15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666.50700000000006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2219.9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56">
        <v>3</v>
      </c>
      <c r="B66" s="297" t="s">
        <v>158</v>
      </c>
      <c r="C66" s="297"/>
      <c r="D66" s="297"/>
      <c r="E66" s="297"/>
      <c r="F66" s="297"/>
      <c r="G66" s="297"/>
      <c r="H66" s="156" t="s">
        <v>43</v>
      </c>
      <c r="I66" s="156" t="s">
        <v>121</v>
      </c>
      <c r="J66" s="71"/>
    </row>
    <row r="67" spans="1:10" x14ac:dyDescent="0.2">
      <c r="A67" s="15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12.120107999999998</v>
      </c>
      <c r="J67" s="71"/>
    </row>
    <row r="68" spans="1:10" x14ac:dyDescent="0.2">
      <c r="A68" s="15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0.96960863999999991</v>
      </c>
      <c r="J68" s="71"/>
    </row>
    <row r="69" spans="1:10" x14ac:dyDescent="0.2">
      <c r="A69" s="15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0.48480431999999996</v>
      </c>
      <c r="J69" s="71"/>
    </row>
    <row r="70" spans="1:10" x14ac:dyDescent="0.2">
      <c r="A70" s="15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55.983356000000001</v>
      </c>
      <c r="J70" s="71"/>
    </row>
    <row r="71" spans="1:10" x14ac:dyDescent="0.2">
      <c r="A71" s="15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19.866253710160002</v>
      </c>
      <c r="J71" s="71"/>
    </row>
    <row r="72" spans="1:10" x14ac:dyDescent="0.2">
      <c r="A72" s="15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2.2393342399999998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91.66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56" t="s">
        <v>43</v>
      </c>
      <c r="I76" s="156" t="s">
        <v>121</v>
      </c>
      <c r="J76" s="71"/>
    </row>
    <row r="77" spans="1:10" x14ac:dyDescent="0.2">
      <c r="A77" s="15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240.38214199999999</v>
      </c>
      <c r="J77" s="71"/>
    </row>
    <row r="78" spans="1:10" x14ac:dyDescent="0.2">
      <c r="A78" s="15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23.663067999999999</v>
      </c>
      <c r="J78" s="71"/>
    </row>
    <row r="79" spans="1:10" x14ac:dyDescent="0.2">
      <c r="A79" s="15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0.57714799999999999</v>
      </c>
      <c r="J79" s="71"/>
    </row>
    <row r="80" spans="1:10" x14ac:dyDescent="0.2">
      <c r="A80" s="15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0.86572199999999988</v>
      </c>
      <c r="J80" s="71"/>
    </row>
    <row r="81" spans="1:11" x14ac:dyDescent="0.2">
      <c r="A81" s="15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2.2265104554000001</v>
      </c>
      <c r="J81" s="75" t="s">
        <v>173</v>
      </c>
      <c r="K81" s="76">
        <f>I33+I34+I51+I52+I53</f>
        <v>365.00171399999999</v>
      </c>
    </row>
    <row r="82" spans="1:11" x14ac:dyDescent="0.2">
      <c r="A82" s="15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267.70999999999998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56" t="s">
        <v>43</v>
      </c>
      <c r="I85" s="156" t="s">
        <v>121</v>
      </c>
      <c r="J85" s="71"/>
    </row>
    <row r="86" spans="1:11" x14ac:dyDescent="0.2">
      <c r="A86" s="15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56" t="s">
        <v>121</v>
      </c>
      <c r="J90" s="71"/>
    </row>
    <row r="91" spans="1:11" x14ac:dyDescent="0.2">
      <c r="A91" s="15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267.70999999999998</v>
      </c>
      <c r="J91" s="71"/>
    </row>
    <row r="92" spans="1:11" x14ac:dyDescent="0.2">
      <c r="A92" s="15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267.70999999999998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56">
        <v>5</v>
      </c>
      <c r="B96" s="297" t="s">
        <v>185</v>
      </c>
      <c r="C96" s="297"/>
      <c r="D96" s="297"/>
      <c r="E96" s="297"/>
      <c r="F96" s="297"/>
      <c r="G96" s="297"/>
      <c r="H96" s="156"/>
      <c r="I96" s="156" t="s">
        <v>121</v>
      </c>
      <c r="J96" s="71"/>
    </row>
    <row r="97" spans="1:10" x14ac:dyDescent="0.2">
      <c r="A97" s="156" t="s">
        <v>9</v>
      </c>
      <c r="B97" s="310" t="s">
        <v>39</v>
      </c>
      <c r="C97" s="310"/>
      <c r="D97" s="310"/>
      <c r="E97" s="310"/>
      <c r="F97" s="310"/>
      <c r="G97" s="310"/>
      <c r="H97" s="159" t="s">
        <v>143</v>
      </c>
      <c r="I97" s="58">
        <f>Uniformes!E88</f>
        <v>82.438089277499984</v>
      </c>
      <c r="J97" s="71"/>
    </row>
    <row r="98" spans="1:10" x14ac:dyDescent="0.2">
      <c r="A98" s="156" t="s">
        <v>10</v>
      </c>
      <c r="B98" s="310" t="s">
        <v>40</v>
      </c>
      <c r="C98" s="310"/>
      <c r="D98" s="310"/>
      <c r="E98" s="310"/>
      <c r="F98" s="310"/>
      <c r="G98" s="310"/>
      <c r="H98" s="159" t="s">
        <v>143</v>
      </c>
      <c r="I98" s="159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59" t="s">
        <v>143</v>
      </c>
      <c r="I99" s="159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59" t="s">
        <v>143</v>
      </c>
      <c r="I100" s="159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82.43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56">
        <v>6</v>
      </c>
      <c r="B104" s="297" t="s">
        <v>188</v>
      </c>
      <c r="C104" s="297"/>
      <c r="D104" s="297"/>
      <c r="E104" s="297"/>
      <c r="F104" s="297"/>
      <c r="G104" s="297"/>
      <c r="H104" s="156" t="s">
        <v>43</v>
      </c>
      <c r="I104" s="156" t="s">
        <v>121</v>
      </c>
      <c r="J104" s="71"/>
    </row>
    <row r="105" spans="1:10" x14ac:dyDescent="0.2">
      <c r="A105" s="15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166.42</v>
      </c>
      <c r="J105" s="71"/>
    </row>
    <row r="106" spans="1:10" x14ac:dyDescent="0.2">
      <c r="A106" s="15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387.97</v>
      </c>
      <c r="J106" s="82">
        <f>SUM(I105:I106)</f>
        <v>554.39</v>
      </c>
    </row>
    <row r="107" spans="1:10" x14ac:dyDescent="0.2">
      <c r="A107" s="15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5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117.41</v>
      </c>
      <c r="J108" s="84"/>
    </row>
    <row r="109" spans="1:10" x14ac:dyDescent="0.2">
      <c r="A109" s="15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540.79999999999995</v>
      </c>
      <c r="J109" s="84"/>
    </row>
    <row r="110" spans="1:10" x14ac:dyDescent="0.2">
      <c r="A110" s="15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355.79</v>
      </c>
      <c r="J110" s="87">
        <f>SUM(I108:I110)</f>
        <v>1014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1568.39</v>
      </c>
      <c r="J111" s="71"/>
    </row>
    <row r="112" spans="1:10" x14ac:dyDescent="0.2">
      <c r="A112" s="155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6101.83</v>
      </c>
    </row>
    <row r="116" spans="1:11" x14ac:dyDescent="0.2">
      <c r="A116" s="91"/>
      <c r="B116" s="157"/>
      <c r="C116" s="157"/>
      <c r="D116" s="157"/>
      <c r="E116" s="157"/>
      <c r="F116" s="157"/>
      <c r="G116" s="157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7115.83</v>
      </c>
    </row>
    <row r="118" spans="1:11" x14ac:dyDescent="0.2">
      <c r="A118" s="91"/>
      <c r="B118" s="157"/>
      <c r="C118" s="157"/>
      <c r="D118" s="157"/>
      <c r="E118" s="157"/>
      <c r="F118" s="157"/>
      <c r="G118" s="157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1014</v>
      </c>
      <c r="K119" s="100"/>
    </row>
    <row r="120" spans="1:11" x14ac:dyDescent="0.2">
      <c r="A120" s="155"/>
      <c r="B120" s="155"/>
      <c r="C120" s="155"/>
      <c r="D120" s="155"/>
      <c r="E120" s="155"/>
      <c r="F120" s="155"/>
      <c r="G120" s="155"/>
      <c r="H120" s="155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56" t="s">
        <v>121</v>
      </c>
    </row>
    <row r="123" spans="1:11" x14ac:dyDescent="0.2">
      <c r="A123" s="159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2885.74</v>
      </c>
    </row>
    <row r="124" spans="1:11" x14ac:dyDescent="0.2">
      <c r="A124" s="159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2219.9</v>
      </c>
    </row>
    <row r="125" spans="1:11" x14ac:dyDescent="0.2">
      <c r="A125" s="159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91.66</v>
      </c>
      <c r="K125" s="102"/>
    </row>
    <row r="126" spans="1:11" x14ac:dyDescent="0.2">
      <c r="A126" s="159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267.70999999999998</v>
      </c>
      <c r="K126" s="102"/>
    </row>
    <row r="127" spans="1:11" x14ac:dyDescent="0.2">
      <c r="A127" s="159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82.43</v>
      </c>
    </row>
    <row r="128" spans="1:11" x14ac:dyDescent="0.2">
      <c r="A128" s="15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5547.44</v>
      </c>
      <c r="K128" s="100"/>
    </row>
    <row r="129" spans="1:9" x14ac:dyDescent="0.2">
      <c r="A129" s="159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1568.39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7115.83</v>
      </c>
    </row>
    <row r="131" spans="1:9" ht="16.5" customHeight="1" x14ac:dyDescent="0.2">
      <c r="I131" s="100"/>
    </row>
    <row r="132" spans="1:9" ht="13.5" hidden="1" thickBot="1" x14ac:dyDescent="0.25">
      <c r="A132" s="155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62" t="s">
        <v>210</v>
      </c>
      <c r="I133" s="161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55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60"/>
      <c r="B144" s="339" t="s">
        <v>220</v>
      </c>
      <c r="C144" s="339"/>
      <c r="D144" s="339"/>
      <c r="E144" s="339"/>
      <c r="F144" s="339"/>
      <c r="G144" s="339"/>
      <c r="H144" s="339"/>
      <c r="I144" s="161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117.41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1568.39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55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3.2056176232092977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7115.83</v>
      </c>
    </row>
    <row r="155" spans="1:9" x14ac:dyDescent="0.2">
      <c r="A155" s="124" t="s">
        <v>228</v>
      </c>
      <c r="B155" s="124"/>
      <c r="C155" s="102">
        <f>H8*C154</f>
        <v>85389.959999999992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57"/>
  <sheetViews>
    <sheetView workbookViewId="0">
      <selection activeCell="H16" sqref="H16:I16"/>
    </sheetView>
  </sheetViews>
  <sheetFormatPr defaultColWidth="9.140625" defaultRowHeight="12.75" x14ac:dyDescent="0.2"/>
  <cols>
    <col min="1" max="1" width="10" style="62" customWidth="1"/>
    <col min="2" max="2" width="9.140625" style="62"/>
    <col min="3" max="3" width="16.28515625" style="62" customWidth="1"/>
    <col min="4" max="4" width="9.140625" style="62"/>
    <col min="5" max="5" width="10.85546875" style="62" customWidth="1"/>
    <col min="6" max="6" width="9.140625" style="62"/>
    <col min="7" max="7" width="32.42578125" style="62" customWidth="1"/>
    <col min="8" max="8" width="9.140625" style="62"/>
    <col min="9" max="9" width="12" style="62" customWidth="1"/>
    <col min="10" max="10" width="15.42578125" style="62" customWidth="1"/>
    <col min="11" max="12" width="9.140625" style="62"/>
    <col min="13" max="13" width="9.5703125" style="62" customWidth="1"/>
    <col min="14" max="16384" width="9.140625" style="62"/>
  </cols>
  <sheetData>
    <row r="1" spans="1:9" x14ac:dyDescent="0.2">
      <c r="A1" s="289"/>
      <c r="B1" s="289"/>
      <c r="C1" s="289"/>
      <c r="D1" s="289"/>
      <c r="E1" s="289"/>
      <c r="F1" s="289"/>
      <c r="G1" s="289"/>
      <c r="H1" s="289"/>
      <c r="I1" s="289"/>
    </row>
    <row r="2" spans="1:9" x14ac:dyDescent="0.2">
      <c r="A2" s="290" t="s">
        <v>309</v>
      </c>
      <c r="B2" s="290"/>
      <c r="C2" s="290"/>
      <c r="D2" s="290"/>
      <c r="E2" s="290"/>
      <c r="F2" s="290"/>
      <c r="G2" s="290"/>
      <c r="H2" s="290"/>
      <c r="I2" s="290"/>
    </row>
    <row r="3" spans="1:9" x14ac:dyDescent="0.2">
      <c r="A3" s="63"/>
      <c r="B3" s="63"/>
      <c r="C3" s="63"/>
      <c r="D3" s="63"/>
      <c r="E3" s="63"/>
      <c r="F3" s="63"/>
      <c r="G3" s="63"/>
      <c r="H3" s="63"/>
      <c r="I3" s="63"/>
    </row>
    <row r="4" spans="1:9" x14ac:dyDescent="0.2">
      <c r="A4" s="291" t="s">
        <v>110</v>
      </c>
      <c r="B4" s="291"/>
      <c r="C4" s="291"/>
      <c r="D4" s="291"/>
      <c r="E4" s="291"/>
      <c r="F4" s="291"/>
      <c r="G4" s="291"/>
      <c r="H4" s="291"/>
      <c r="I4" s="291"/>
    </row>
    <row r="5" spans="1:9" x14ac:dyDescent="0.2">
      <c r="A5" s="159" t="s">
        <v>9</v>
      </c>
      <c r="B5" s="292" t="s">
        <v>111</v>
      </c>
      <c r="C5" s="292"/>
      <c r="D5" s="292"/>
      <c r="E5" s="292"/>
      <c r="F5" s="292"/>
      <c r="G5" s="292"/>
      <c r="H5" s="293"/>
      <c r="I5" s="293"/>
    </row>
    <row r="6" spans="1:9" x14ac:dyDescent="0.2">
      <c r="A6" s="159" t="s">
        <v>10</v>
      </c>
      <c r="B6" s="292" t="s">
        <v>112</v>
      </c>
      <c r="C6" s="292"/>
      <c r="D6" s="292"/>
      <c r="E6" s="292"/>
      <c r="F6" s="292"/>
      <c r="G6" s="292"/>
      <c r="H6" s="274" t="s">
        <v>113</v>
      </c>
      <c r="I6" s="274"/>
    </row>
    <row r="7" spans="1:9" ht="23.25" customHeight="1" x14ac:dyDescent="0.2">
      <c r="A7" s="159" t="s">
        <v>11</v>
      </c>
      <c r="B7" s="294" t="s">
        <v>311</v>
      </c>
      <c r="C7" s="295"/>
      <c r="D7" s="295"/>
      <c r="E7" s="295"/>
      <c r="F7" s="295"/>
      <c r="G7" s="296"/>
      <c r="H7" s="334">
        <v>2024</v>
      </c>
      <c r="I7" s="335"/>
    </row>
    <row r="8" spans="1:9" x14ac:dyDescent="0.2">
      <c r="A8" s="159" t="s">
        <v>12</v>
      </c>
      <c r="B8" s="292" t="s">
        <v>8</v>
      </c>
      <c r="C8" s="292"/>
      <c r="D8" s="292"/>
      <c r="E8" s="292"/>
      <c r="F8" s="292"/>
      <c r="G8" s="292"/>
      <c r="H8" s="274">
        <v>12</v>
      </c>
      <c r="I8" s="274"/>
    </row>
    <row r="9" spans="1:9" x14ac:dyDescent="0.2">
      <c r="A9" s="155"/>
      <c r="B9" s="158"/>
      <c r="C9" s="158"/>
      <c r="D9" s="158"/>
      <c r="E9" s="158"/>
      <c r="F9" s="158"/>
      <c r="G9" s="158"/>
      <c r="H9" s="155"/>
      <c r="I9" s="155"/>
    </row>
    <row r="10" spans="1:9" x14ac:dyDescent="0.2">
      <c r="A10" s="291" t="s">
        <v>13</v>
      </c>
      <c r="B10" s="291"/>
      <c r="C10" s="291"/>
      <c r="D10" s="291"/>
      <c r="E10" s="291"/>
      <c r="F10" s="291"/>
      <c r="G10" s="291"/>
      <c r="H10" s="291"/>
      <c r="I10" s="291"/>
    </row>
    <row r="11" spans="1:9" x14ac:dyDescent="0.2">
      <c r="A11" s="274" t="s">
        <v>14</v>
      </c>
      <c r="B11" s="274"/>
      <c r="C11" s="274" t="s">
        <v>114</v>
      </c>
      <c r="D11" s="274"/>
      <c r="E11" s="274" t="s">
        <v>115</v>
      </c>
      <c r="F11" s="274"/>
      <c r="G11" s="274"/>
      <c r="H11" s="274"/>
      <c r="I11" s="274"/>
    </row>
    <row r="12" spans="1:9" x14ac:dyDescent="0.2">
      <c r="A12" s="274" t="s">
        <v>229</v>
      </c>
      <c r="B12" s="274"/>
      <c r="C12" s="274" t="s">
        <v>287</v>
      </c>
      <c r="D12" s="274"/>
      <c r="E12" s="274">
        <v>2</v>
      </c>
      <c r="F12" s="274"/>
      <c r="G12" s="274"/>
      <c r="H12" s="274"/>
      <c r="I12" s="274"/>
    </row>
    <row r="13" spans="1:9" x14ac:dyDescent="0.2">
      <c r="A13" s="155"/>
      <c r="B13" s="158"/>
      <c r="C13" s="158"/>
      <c r="D13" s="158"/>
      <c r="E13" s="158"/>
      <c r="F13" s="158"/>
      <c r="G13" s="158"/>
      <c r="H13" s="155"/>
      <c r="I13" s="155"/>
    </row>
    <row r="14" spans="1:9" x14ac:dyDescent="0.2">
      <c r="A14" s="291" t="s">
        <v>116</v>
      </c>
      <c r="B14" s="291"/>
      <c r="C14" s="291"/>
      <c r="D14" s="291"/>
      <c r="E14" s="291"/>
      <c r="F14" s="291"/>
      <c r="G14" s="291"/>
      <c r="H14" s="291"/>
      <c r="I14" s="291"/>
    </row>
    <row r="15" spans="1:9" ht="16.5" customHeight="1" x14ac:dyDescent="0.2">
      <c r="A15" s="159">
        <v>1</v>
      </c>
      <c r="B15" s="292" t="s">
        <v>15</v>
      </c>
      <c r="C15" s="292"/>
      <c r="D15" s="292"/>
      <c r="E15" s="292"/>
      <c r="F15" s="292"/>
      <c r="G15" s="292"/>
      <c r="H15" s="332" t="s">
        <v>277</v>
      </c>
      <c r="I15" s="333"/>
    </row>
    <row r="16" spans="1:9" x14ac:dyDescent="0.2">
      <c r="A16" s="159">
        <v>2</v>
      </c>
      <c r="B16" s="292" t="s">
        <v>117</v>
      </c>
      <c r="C16" s="292"/>
      <c r="D16" s="292"/>
      <c r="E16" s="292"/>
      <c r="F16" s="292"/>
      <c r="G16" s="292"/>
      <c r="H16" s="274" t="s">
        <v>37</v>
      </c>
      <c r="I16" s="274"/>
    </row>
    <row r="17" spans="1:10" x14ac:dyDescent="0.2">
      <c r="A17" s="159">
        <v>3</v>
      </c>
      <c r="B17" s="292" t="s">
        <v>118</v>
      </c>
      <c r="C17" s="292"/>
      <c r="D17" s="292"/>
      <c r="E17" s="292"/>
      <c r="F17" s="292"/>
      <c r="G17" s="292"/>
      <c r="H17" s="298">
        <v>1929.4</v>
      </c>
      <c r="I17" s="298"/>
    </row>
    <row r="18" spans="1:10" ht="12.75" customHeight="1" x14ac:dyDescent="0.2">
      <c r="A18" s="159">
        <v>4</v>
      </c>
      <c r="B18" s="292" t="s">
        <v>16</v>
      </c>
      <c r="C18" s="292"/>
      <c r="D18" s="292"/>
      <c r="E18" s="292"/>
      <c r="F18" s="292"/>
      <c r="G18" s="292"/>
      <c r="H18" s="332" t="s">
        <v>278</v>
      </c>
      <c r="I18" s="333"/>
    </row>
    <row r="19" spans="1:10" x14ac:dyDescent="0.2">
      <c r="A19" s="159">
        <v>5</v>
      </c>
      <c r="B19" s="292" t="s">
        <v>1</v>
      </c>
      <c r="C19" s="292"/>
      <c r="D19" s="292"/>
      <c r="E19" s="292"/>
      <c r="F19" s="292"/>
      <c r="G19" s="292"/>
      <c r="H19" s="361">
        <v>2024</v>
      </c>
      <c r="I19" s="361"/>
    </row>
    <row r="20" spans="1:10" x14ac:dyDescent="0.2">
      <c r="A20" s="289"/>
      <c r="B20" s="289"/>
      <c r="C20" s="289"/>
      <c r="D20" s="289"/>
      <c r="E20" s="289"/>
      <c r="F20" s="289"/>
      <c r="G20" s="289"/>
      <c r="H20" s="289"/>
      <c r="I20" s="289"/>
    </row>
    <row r="21" spans="1:10" x14ac:dyDescent="0.2">
      <c r="A21" s="291" t="s">
        <v>119</v>
      </c>
      <c r="B21" s="291"/>
      <c r="C21" s="291"/>
      <c r="D21" s="291"/>
      <c r="E21" s="291"/>
      <c r="F21" s="291"/>
      <c r="G21" s="291"/>
      <c r="H21" s="291"/>
      <c r="I21" s="291"/>
    </row>
    <row r="22" spans="1:10" x14ac:dyDescent="0.2">
      <c r="A22" s="156">
        <v>1</v>
      </c>
      <c r="B22" s="297" t="s">
        <v>120</v>
      </c>
      <c r="C22" s="297"/>
      <c r="D22" s="297"/>
      <c r="E22" s="297"/>
      <c r="F22" s="297"/>
      <c r="G22" s="297"/>
      <c r="H22" s="156" t="s">
        <v>43</v>
      </c>
      <c r="I22" s="156" t="s">
        <v>121</v>
      </c>
    </row>
    <row r="23" spans="1:10" x14ac:dyDescent="0.2">
      <c r="A23" s="156" t="s">
        <v>9</v>
      </c>
      <c r="B23" s="292" t="s">
        <v>2</v>
      </c>
      <c r="C23" s="292"/>
      <c r="D23" s="292"/>
      <c r="E23" s="292"/>
      <c r="F23" s="292"/>
      <c r="G23" s="292"/>
      <c r="H23" s="67"/>
      <c r="I23" s="58">
        <f>H17</f>
        <v>1929.4</v>
      </c>
    </row>
    <row r="24" spans="1:10" x14ac:dyDescent="0.2">
      <c r="A24" s="156" t="s">
        <v>10</v>
      </c>
      <c r="B24" s="292" t="s">
        <v>122</v>
      </c>
      <c r="C24" s="292"/>
      <c r="D24" s="292"/>
      <c r="E24" s="292"/>
      <c r="F24" s="292"/>
      <c r="G24" s="292"/>
      <c r="H24" s="53"/>
      <c r="I24" s="58">
        <v>0</v>
      </c>
    </row>
    <row r="25" spans="1:10" x14ac:dyDescent="0.2">
      <c r="A25" s="156" t="s">
        <v>11</v>
      </c>
      <c r="B25" s="292" t="s">
        <v>123</v>
      </c>
      <c r="C25" s="292"/>
      <c r="D25" s="292"/>
      <c r="E25" s="292"/>
      <c r="F25" s="292"/>
      <c r="G25" s="292"/>
      <c r="H25" s="53">
        <v>0.2</v>
      </c>
      <c r="I25" s="58">
        <f>1412*H25</f>
        <v>282.40000000000003</v>
      </c>
    </row>
    <row r="26" spans="1:10" x14ac:dyDescent="0.2">
      <c r="A26" s="156" t="s">
        <v>12</v>
      </c>
      <c r="B26" s="292" t="s">
        <v>124</v>
      </c>
      <c r="C26" s="292"/>
      <c r="D26" s="292"/>
      <c r="E26" s="292"/>
      <c r="F26" s="292"/>
      <c r="G26" s="292"/>
      <c r="H26" s="53"/>
      <c r="I26" s="58">
        <f>H26*I23</f>
        <v>0</v>
      </c>
    </row>
    <row r="27" spans="1:10" x14ac:dyDescent="0.2">
      <c r="A27" s="156" t="s">
        <v>3</v>
      </c>
      <c r="B27" s="292" t="s">
        <v>125</v>
      </c>
      <c r="C27" s="292"/>
      <c r="D27" s="292"/>
      <c r="E27" s="292"/>
      <c r="F27" s="292"/>
      <c r="G27" s="292"/>
      <c r="H27" s="53"/>
      <c r="I27" s="58">
        <v>0</v>
      </c>
    </row>
    <row r="28" spans="1:10" x14ac:dyDescent="0.2">
      <c r="A28" s="156" t="s">
        <v>4</v>
      </c>
      <c r="B28" s="292" t="s">
        <v>7</v>
      </c>
      <c r="C28" s="292"/>
      <c r="D28" s="292"/>
      <c r="E28" s="292"/>
      <c r="F28" s="292"/>
      <c r="G28" s="292"/>
      <c r="H28" s="53"/>
      <c r="I28" s="58">
        <v>0</v>
      </c>
    </row>
    <row r="29" spans="1:10" x14ac:dyDescent="0.2">
      <c r="A29" s="297" t="s">
        <v>126</v>
      </c>
      <c r="B29" s="297"/>
      <c r="C29" s="297"/>
      <c r="D29" s="297"/>
      <c r="E29" s="297"/>
      <c r="F29" s="297"/>
      <c r="G29" s="297"/>
      <c r="H29" s="297"/>
      <c r="I29" s="68">
        <f>TRUNC(SUM(I23:I28),2)</f>
        <v>2211.8000000000002</v>
      </c>
    </row>
    <row r="30" spans="1:10" x14ac:dyDescent="0.2">
      <c r="A30" s="69"/>
      <c r="B30" s="69"/>
      <c r="C30" s="69"/>
      <c r="D30" s="69"/>
      <c r="E30" s="69"/>
      <c r="F30" s="69"/>
      <c r="G30" s="69"/>
      <c r="H30" s="69"/>
      <c r="I30" s="70"/>
      <c r="J30" s="71"/>
    </row>
    <row r="31" spans="1:10" x14ac:dyDescent="0.2">
      <c r="A31" s="291" t="s">
        <v>127</v>
      </c>
      <c r="B31" s="291"/>
      <c r="C31" s="291"/>
      <c r="D31" s="291"/>
      <c r="E31" s="291"/>
      <c r="F31" s="291"/>
      <c r="G31" s="291"/>
      <c r="H31" s="291"/>
      <c r="I31" s="291"/>
      <c r="J31" s="71"/>
    </row>
    <row r="32" spans="1:10" x14ac:dyDescent="0.2">
      <c r="A32" s="297" t="s">
        <v>128</v>
      </c>
      <c r="B32" s="297"/>
      <c r="C32" s="297"/>
      <c r="D32" s="297"/>
      <c r="E32" s="297"/>
      <c r="F32" s="297"/>
      <c r="G32" s="297"/>
      <c r="H32" s="156" t="s">
        <v>43</v>
      </c>
      <c r="I32" s="156" t="s">
        <v>121</v>
      </c>
      <c r="J32" s="71"/>
    </row>
    <row r="33" spans="1:11" x14ac:dyDescent="0.2">
      <c r="A33" s="156" t="s">
        <v>9</v>
      </c>
      <c r="B33" s="292" t="s">
        <v>234</v>
      </c>
      <c r="C33" s="292"/>
      <c r="D33" s="292"/>
      <c r="E33" s="292"/>
      <c r="F33" s="292"/>
      <c r="G33" s="292"/>
      <c r="H33" s="72">
        <v>8.3299999999999999E-2</v>
      </c>
      <c r="I33" s="58">
        <f>$I$29*H33</f>
        <v>184.24294</v>
      </c>
      <c r="J33" s="71"/>
    </row>
    <row r="34" spans="1:11" x14ac:dyDescent="0.2">
      <c r="A34" s="156" t="s">
        <v>10</v>
      </c>
      <c r="B34" s="292" t="s">
        <v>232</v>
      </c>
      <c r="C34" s="292"/>
      <c r="D34" s="292"/>
      <c r="E34" s="292"/>
      <c r="F34" s="292"/>
      <c r="G34" s="292"/>
      <c r="H34" s="73">
        <v>2.7799999999999998E-2</v>
      </c>
      <c r="I34" s="58">
        <f>H34*I29</f>
        <v>61.488039999999998</v>
      </c>
      <c r="J34" s="71"/>
    </row>
    <row r="35" spans="1:11" x14ac:dyDescent="0.2">
      <c r="A35" s="297" t="s">
        <v>129</v>
      </c>
      <c r="B35" s="297"/>
      <c r="C35" s="297"/>
      <c r="D35" s="297"/>
      <c r="E35" s="297"/>
      <c r="F35" s="297"/>
      <c r="G35" s="297"/>
      <c r="H35" s="74">
        <f>TRUNC(SUM(H33:H34),4)</f>
        <v>0.1111</v>
      </c>
      <c r="I35" s="59">
        <f>TRUNC(SUM(I33:I34),2)</f>
        <v>245.73</v>
      </c>
      <c r="J35" s="71"/>
    </row>
    <row r="36" spans="1:11" x14ac:dyDescent="0.2">
      <c r="A36" s="299"/>
      <c r="B36" s="299"/>
      <c r="C36" s="299"/>
      <c r="D36" s="299"/>
      <c r="E36" s="299"/>
      <c r="F36" s="299"/>
      <c r="G36" s="299"/>
      <c r="H36" s="299"/>
      <c r="I36" s="299"/>
      <c r="J36" s="75" t="s">
        <v>130</v>
      </c>
      <c r="K36" s="76">
        <f>I29+I35+I93</f>
        <v>2662.96</v>
      </c>
    </row>
    <row r="37" spans="1:11" x14ac:dyDescent="0.2">
      <c r="A37" s="297" t="s">
        <v>131</v>
      </c>
      <c r="B37" s="297"/>
      <c r="C37" s="297"/>
      <c r="D37" s="297"/>
      <c r="E37" s="297"/>
      <c r="F37" s="297"/>
      <c r="G37" s="297"/>
      <c r="H37" s="156" t="s">
        <v>43</v>
      </c>
      <c r="I37" s="156" t="s">
        <v>121</v>
      </c>
      <c r="J37" s="71" t="s">
        <v>132</v>
      </c>
    </row>
    <row r="38" spans="1:11" x14ac:dyDescent="0.2">
      <c r="A38" s="156" t="s">
        <v>9</v>
      </c>
      <c r="B38" s="292" t="s">
        <v>133</v>
      </c>
      <c r="C38" s="292"/>
      <c r="D38" s="292"/>
      <c r="E38" s="292"/>
      <c r="F38" s="292"/>
      <c r="G38" s="292"/>
      <c r="H38" s="72">
        <v>0.2</v>
      </c>
      <c r="I38" s="58">
        <f>H38*$K$36</f>
        <v>532.59199999999998</v>
      </c>
      <c r="J38" s="71"/>
    </row>
    <row r="39" spans="1:11" x14ac:dyDescent="0.2">
      <c r="A39" s="156" t="s">
        <v>10</v>
      </c>
      <c r="B39" s="292" t="s">
        <v>134</v>
      </c>
      <c r="C39" s="292"/>
      <c r="D39" s="292"/>
      <c r="E39" s="292"/>
      <c r="F39" s="292"/>
      <c r="G39" s="292"/>
      <c r="H39" s="72">
        <v>2.5000000000000001E-2</v>
      </c>
      <c r="I39" s="58">
        <f>H39*$K$36</f>
        <v>66.573999999999998</v>
      </c>
      <c r="J39" s="71"/>
    </row>
    <row r="40" spans="1:11" x14ac:dyDescent="0.2">
      <c r="A40" s="156" t="s">
        <v>11</v>
      </c>
      <c r="B40" s="292" t="s">
        <v>135</v>
      </c>
      <c r="C40" s="292"/>
      <c r="D40" s="292"/>
      <c r="E40" s="292"/>
      <c r="F40" s="292"/>
      <c r="G40" s="292"/>
      <c r="H40" s="77">
        <f>0.02*0.843</f>
        <v>1.686E-2</v>
      </c>
      <c r="I40" s="58">
        <f t="shared" ref="I40:I45" si="0">H40*$K$36</f>
        <v>44.897505600000002</v>
      </c>
      <c r="J40" s="71"/>
    </row>
    <row r="41" spans="1:11" x14ac:dyDescent="0.2">
      <c r="A41" s="156" t="s">
        <v>12</v>
      </c>
      <c r="B41" s="292" t="s">
        <v>136</v>
      </c>
      <c r="C41" s="292"/>
      <c r="D41" s="292"/>
      <c r="E41" s="292"/>
      <c r="F41" s="292"/>
      <c r="G41" s="292"/>
      <c r="H41" s="72">
        <v>1.4999999999999999E-2</v>
      </c>
      <c r="I41" s="58">
        <f t="shared" si="0"/>
        <v>39.944400000000002</v>
      </c>
      <c r="J41" s="71"/>
    </row>
    <row r="42" spans="1:11" x14ac:dyDescent="0.2">
      <c r="A42" s="156" t="s">
        <v>3</v>
      </c>
      <c r="B42" s="292" t="s">
        <v>137</v>
      </c>
      <c r="C42" s="292"/>
      <c r="D42" s="292"/>
      <c r="E42" s="292"/>
      <c r="F42" s="292"/>
      <c r="G42" s="292"/>
      <c r="H42" s="72">
        <v>0.01</v>
      </c>
      <c r="I42" s="58">
        <f t="shared" si="0"/>
        <v>26.6296</v>
      </c>
      <c r="J42" s="71"/>
    </row>
    <row r="43" spans="1:11" x14ac:dyDescent="0.2">
      <c r="A43" s="156" t="s">
        <v>4</v>
      </c>
      <c r="B43" s="292" t="s">
        <v>138</v>
      </c>
      <c r="C43" s="292"/>
      <c r="D43" s="292"/>
      <c r="E43" s="292"/>
      <c r="F43" s="292"/>
      <c r="G43" s="292"/>
      <c r="H43" s="72">
        <v>6.0000000000000001E-3</v>
      </c>
      <c r="I43" s="58">
        <f t="shared" si="0"/>
        <v>15.97776</v>
      </c>
      <c r="J43" s="71"/>
    </row>
    <row r="44" spans="1:11" x14ac:dyDescent="0.2">
      <c r="A44" s="156" t="s">
        <v>5</v>
      </c>
      <c r="B44" s="292" t="s">
        <v>139</v>
      </c>
      <c r="C44" s="292"/>
      <c r="D44" s="292"/>
      <c r="E44" s="292"/>
      <c r="F44" s="292"/>
      <c r="G44" s="292"/>
      <c r="H44" s="72">
        <v>2E-3</v>
      </c>
      <c r="I44" s="58">
        <f t="shared" si="0"/>
        <v>5.32592</v>
      </c>
      <c r="J44" s="71"/>
    </row>
    <row r="45" spans="1:11" x14ac:dyDescent="0.2">
      <c r="A45" s="156" t="s">
        <v>6</v>
      </c>
      <c r="B45" s="292" t="s">
        <v>140</v>
      </c>
      <c r="C45" s="292"/>
      <c r="D45" s="292"/>
      <c r="E45" s="292"/>
      <c r="F45" s="292"/>
      <c r="G45" s="292"/>
      <c r="H45" s="72">
        <v>0.08</v>
      </c>
      <c r="I45" s="58">
        <f t="shared" si="0"/>
        <v>213.0368</v>
      </c>
      <c r="J45" s="71"/>
    </row>
    <row r="46" spans="1:11" x14ac:dyDescent="0.2">
      <c r="A46" s="297" t="s">
        <v>141</v>
      </c>
      <c r="B46" s="297"/>
      <c r="C46" s="297"/>
      <c r="D46" s="297"/>
      <c r="E46" s="297"/>
      <c r="F46" s="297"/>
      <c r="G46" s="297"/>
      <c r="H46" s="74">
        <f>SUM(H38:H45)</f>
        <v>0.35486000000000006</v>
      </c>
      <c r="I46" s="59">
        <f>TRUNC(SUM(I38:I45),2)</f>
        <v>944.97</v>
      </c>
      <c r="J46" s="71"/>
    </row>
    <row r="47" spans="1:11" x14ac:dyDescent="0.2">
      <c r="A47" s="300"/>
      <c r="B47" s="300"/>
      <c r="C47" s="300"/>
      <c r="D47" s="300"/>
      <c r="E47" s="300"/>
      <c r="F47" s="300"/>
      <c r="G47" s="300"/>
      <c r="H47" s="300"/>
      <c r="I47" s="300"/>
      <c r="J47" s="71"/>
    </row>
    <row r="48" spans="1:11" x14ac:dyDescent="0.2">
      <c r="A48" s="297" t="s">
        <v>142</v>
      </c>
      <c r="B48" s="297"/>
      <c r="C48" s="297"/>
      <c r="D48" s="297"/>
      <c r="E48" s="297"/>
      <c r="F48" s="297"/>
      <c r="G48" s="297"/>
      <c r="H48" s="74"/>
      <c r="I48" s="156" t="s">
        <v>121</v>
      </c>
      <c r="J48" s="71"/>
    </row>
    <row r="49" spans="1:10" s="154" customFormat="1" x14ac:dyDescent="0.2">
      <c r="A49" s="163" t="s">
        <v>9</v>
      </c>
      <c r="B49" s="301" t="s">
        <v>316</v>
      </c>
      <c r="C49" s="301"/>
      <c r="D49" s="301"/>
      <c r="E49" s="301"/>
      <c r="F49" s="301"/>
      <c r="G49" s="301"/>
      <c r="H49" s="152" t="s">
        <v>143</v>
      </c>
      <c r="I49" s="153">
        <f>(4.3*2*16)-(0.06*I23)</f>
        <v>21.835999999999999</v>
      </c>
      <c r="J49" s="135"/>
    </row>
    <row r="50" spans="1:10" s="154" customFormat="1" x14ac:dyDescent="0.2">
      <c r="A50" s="163" t="s">
        <v>10</v>
      </c>
      <c r="B50" s="301" t="s">
        <v>313</v>
      </c>
      <c r="C50" s="301"/>
      <c r="D50" s="301"/>
      <c r="E50" s="301"/>
      <c r="F50" s="301"/>
      <c r="G50" s="301"/>
      <c r="H50" s="152" t="s">
        <v>143</v>
      </c>
      <c r="I50" s="153">
        <f>'Serv Limp Plant Diurno'!I50</f>
        <v>234.1</v>
      </c>
      <c r="J50" s="135"/>
    </row>
    <row r="51" spans="1:10" s="154" customFormat="1" x14ac:dyDescent="0.2">
      <c r="A51" s="163" t="s">
        <v>11</v>
      </c>
      <c r="B51" s="301" t="s">
        <v>321</v>
      </c>
      <c r="C51" s="301"/>
      <c r="D51" s="301"/>
      <c r="E51" s="301"/>
      <c r="F51" s="301"/>
      <c r="G51" s="301"/>
      <c r="H51" s="152" t="s">
        <v>143</v>
      </c>
      <c r="I51" s="56">
        <v>5</v>
      </c>
      <c r="J51" s="135"/>
    </row>
    <row r="52" spans="1:10" s="154" customFormat="1" x14ac:dyDescent="0.2">
      <c r="A52" s="163" t="s">
        <v>12</v>
      </c>
      <c r="B52" s="303" t="s">
        <v>322</v>
      </c>
      <c r="C52" s="303"/>
      <c r="D52" s="303"/>
      <c r="E52" s="303"/>
      <c r="F52" s="303"/>
      <c r="G52" s="303"/>
      <c r="H52" s="152" t="s">
        <v>143</v>
      </c>
      <c r="I52" s="153">
        <f>(I23*2.7%)-(52.09*0.4)</f>
        <v>31.257800000000007</v>
      </c>
      <c r="J52" s="135"/>
    </row>
    <row r="53" spans="1:10" s="154" customFormat="1" x14ac:dyDescent="0.2">
      <c r="A53" s="163" t="s">
        <v>3</v>
      </c>
      <c r="B53" s="303" t="s">
        <v>315</v>
      </c>
      <c r="C53" s="303"/>
      <c r="D53" s="303"/>
      <c r="E53" s="303"/>
      <c r="F53" s="303"/>
      <c r="G53" s="303"/>
      <c r="H53" s="152" t="s">
        <v>143</v>
      </c>
      <c r="I53" s="56">
        <f>'Serv Limp Plant Diurno'!I53</f>
        <v>37.80833333333333</v>
      </c>
      <c r="J53" s="135"/>
    </row>
    <row r="54" spans="1:10" s="154" customFormat="1" x14ac:dyDescent="0.2">
      <c r="A54" s="163" t="s">
        <v>4</v>
      </c>
      <c r="B54" s="303" t="s">
        <v>314</v>
      </c>
      <c r="C54" s="303"/>
      <c r="D54" s="303"/>
      <c r="E54" s="303"/>
      <c r="F54" s="303"/>
      <c r="G54" s="303"/>
      <c r="H54" s="152" t="s">
        <v>143</v>
      </c>
      <c r="I54" s="56">
        <f>'Serv Limp Plant Diurno'!I54</f>
        <v>33.583333333333336</v>
      </c>
      <c r="J54" s="135"/>
    </row>
    <row r="55" spans="1:10" s="154" customFormat="1" x14ac:dyDescent="0.2">
      <c r="A55" s="163" t="s">
        <v>5</v>
      </c>
      <c r="B55" s="301" t="s">
        <v>312</v>
      </c>
      <c r="C55" s="301"/>
      <c r="D55" s="301"/>
      <c r="E55" s="301"/>
      <c r="F55" s="301"/>
      <c r="G55" s="301"/>
      <c r="H55" s="152" t="s">
        <v>143</v>
      </c>
      <c r="I55" s="56">
        <f>'Serv Limp Plant Diurno'!I55</f>
        <v>8.4583333333333321</v>
      </c>
      <c r="J55" s="135"/>
    </row>
    <row r="56" spans="1:10" s="154" customFormat="1" x14ac:dyDescent="0.2">
      <c r="A56" s="360" t="s">
        <v>147</v>
      </c>
      <c r="B56" s="360"/>
      <c r="C56" s="360"/>
      <c r="D56" s="360"/>
      <c r="E56" s="360"/>
      <c r="F56" s="360"/>
      <c r="G56" s="360"/>
      <c r="H56" s="360"/>
      <c r="I56" s="142">
        <f>SUM(I49:I55)</f>
        <v>372.04379999999998</v>
      </c>
      <c r="J56" s="135"/>
    </row>
    <row r="57" spans="1:10" x14ac:dyDescent="0.2">
      <c r="A57" s="300"/>
      <c r="B57" s="300"/>
      <c r="C57" s="300"/>
      <c r="D57" s="300"/>
      <c r="E57" s="300"/>
      <c r="F57" s="300"/>
      <c r="G57" s="300"/>
      <c r="H57" s="300"/>
      <c r="I57" s="300"/>
      <c r="J57" s="71"/>
    </row>
    <row r="58" spans="1:10" x14ac:dyDescent="0.2">
      <c r="A58" s="302" t="s">
        <v>148</v>
      </c>
      <c r="B58" s="302"/>
      <c r="C58" s="302"/>
      <c r="D58" s="302"/>
      <c r="E58" s="302"/>
      <c r="F58" s="302"/>
      <c r="G58" s="302"/>
      <c r="H58" s="302"/>
      <c r="I58" s="302"/>
      <c r="J58" s="71"/>
    </row>
    <row r="59" spans="1:10" x14ac:dyDescent="0.2">
      <c r="A59" s="297" t="s">
        <v>149</v>
      </c>
      <c r="B59" s="297"/>
      <c r="C59" s="297"/>
      <c r="D59" s="297"/>
      <c r="E59" s="297"/>
      <c r="F59" s="297"/>
      <c r="G59" s="297"/>
      <c r="H59" s="297"/>
      <c r="I59" s="156" t="s">
        <v>121</v>
      </c>
      <c r="J59" s="71"/>
    </row>
    <row r="60" spans="1:10" x14ac:dyDescent="0.2">
      <c r="A60" s="156" t="s">
        <v>150</v>
      </c>
      <c r="B60" s="274" t="s">
        <v>151</v>
      </c>
      <c r="C60" s="274"/>
      <c r="D60" s="274"/>
      <c r="E60" s="274"/>
      <c r="F60" s="274"/>
      <c r="G60" s="274"/>
      <c r="H60" s="274"/>
      <c r="I60" s="58">
        <f>I35</f>
        <v>245.73</v>
      </c>
      <c r="J60" s="71"/>
    </row>
    <row r="61" spans="1:10" x14ac:dyDescent="0.2">
      <c r="A61" s="156" t="s">
        <v>152</v>
      </c>
      <c r="B61" s="274" t="s">
        <v>153</v>
      </c>
      <c r="C61" s="274"/>
      <c r="D61" s="274"/>
      <c r="E61" s="274"/>
      <c r="F61" s="274"/>
      <c r="G61" s="274"/>
      <c r="H61" s="274"/>
      <c r="I61" s="58">
        <f>I46</f>
        <v>944.97</v>
      </c>
      <c r="J61" s="71"/>
    </row>
    <row r="62" spans="1:10" x14ac:dyDescent="0.2">
      <c r="A62" s="156" t="s">
        <v>154</v>
      </c>
      <c r="B62" s="274" t="s">
        <v>155</v>
      </c>
      <c r="C62" s="274"/>
      <c r="D62" s="274"/>
      <c r="E62" s="274"/>
      <c r="F62" s="274"/>
      <c r="G62" s="274"/>
      <c r="H62" s="274"/>
      <c r="I62" s="58">
        <f>I56</f>
        <v>372.04379999999998</v>
      </c>
      <c r="J62" s="71"/>
    </row>
    <row r="63" spans="1:10" x14ac:dyDescent="0.2">
      <c r="A63" s="297" t="s">
        <v>156</v>
      </c>
      <c r="B63" s="297"/>
      <c r="C63" s="297"/>
      <c r="D63" s="297"/>
      <c r="E63" s="297"/>
      <c r="F63" s="297"/>
      <c r="G63" s="297"/>
      <c r="H63" s="297"/>
      <c r="I63" s="59">
        <f>TRUNC(SUM(I60:I62),2)</f>
        <v>1562.74</v>
      </c>
      <c r="J63" s="71"/>
    </row>
    <row r="64" spans="1:10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71"/>
    </row>
    <row r="65" spans="1:10" x14ac:dyDescent="0.2">
      <c r="A65" s="291" t="s">
        <v>157</v>
      </c>
      <c r="B65" s="291"/>
      <c r="C65" s="291"/>
      <c r="D65" s="291"/>
      <c r="E65" s="291"/>
      <c r="F65" s="291"/>
      <c r="G65" s="291"/>
      <c r="H65" s="291"/>
      <c r="I65" s="291"/>
      <c r="J65" s="71"/>
    </row>
    <row r="66" spans="1:10" x14ac:dyDescent="0.2">
      <c r="A66" s="156">
        <v>3</v>
      </c>
      <c r="B66" s="297" t="s">
        <v>158</v>
      </c>
      <c r="C66" s="297"/>
      <c r="D66" s="297"/>
      <c r="E66" s="297"/>
      <c r="F66" s="297"/>
      <c r="G66" s="297"/>
      <c r="H66" s="156" t="s">
        <v>43</v>
      </c>
      <c r="I66" s="156" t="s">
        <v>121</v>
      </c>
      <c r="J66" s="71"/>
    </row>
    <row r="67" spans="1:10" x14ac:dyDescent="0.2">
      <c r="A67" s="156" t="s">
        <v>9</v>
      </c>
      <c r="B67" s="292" t="s">
        <v>159</v>
      </c>
      <c r="C67" s="292"/>
      <c r="D67" s="292"/>
      <c r="E67" s="292"/>
      <c r="F67" s="292"/>
      <c r="G67" s="292"/>
      <c r="H67" s="72">
        <v>4.1999999999999997E-3</v>
      </c>
      <c r="I67" s="58">
        <f>$I$29*H67</f>
        <v>9.2895599999999998</v>
      </c>
      <c r="J67" s="71"/>
    </row>
    <row r="68" spans="1:10" x14ac:dyDescent="0.2">
      <c r="A68" s="156" t="s">
        <v>10</v>
      </c>
      <c r="B68" s="292" t="s">
        <v>160</v>
      </c>
      <c r="C68" s="292"/>
      <c r="D68" s="292"/>
      <c r="E68" s="292"/>
      <c r="F68" s="292"/>
      <c r="G68" s="292"/>
      <c r="H68" s="78">
        <f>0.08*H67</f>
        <v>3.3599999999999998E-4</v>
      </c>
      <c r="I68" s="58">
        <f>H68*I29</f>
        <v>0.74316480000000007</v>
      </c>
      <c r="J68" s="71"/>
    </row>
    <row r="69" spans="1:10" x14ac:dyDescent="0.2">
      <c r="A69" s="156" t="s">
        <v>11</v>
      </c>
      <c r="B69" s="292" t="s">
        <v>161</v>
      </c>
      <c r="C69" s="292"/>
      <c r="D69" s="292"/>
      <c r="E69" s="292"/>
      <c r="F69" s="292"/>
      <c r="G69" s="292"/>
      <c r="H69" s="77">
        <f>0.5*H68</f>
        <v>1.6799999999999999E-4</v>
      </c>
      <c r="I69" s="58">
        <f>$I$29*H69</f>
        <v>0.37158240000000003</v>
      </c>
      <c r="J69" s="71"/>
    </row>
    <row r="70" spans="1:10" x14ac:dyDescent="0.2">
      <c r="A70" s="156" t="s">
        <v>12</v>
      </c>
      <c r="B70" s="292" t="s">
        <v>162</v>
      </c>
      <c r="C70" s="292"/>
      <c r="D70" s="292"/>
      <c r="E70" s="292"/>
      <c r="F70" s="292"/>
      <c r="G70" s="292"/>
      <c r="H70" s="72">
        <v>1.9400000000000001E-2</v>
      </c>
      <c r="I70" s="58">
        <f>$I$29*H70</f>
        <v>42.908920000000002</v>
      </c>
      <c r="J70" s="71"/>
    </row>
    <row r="71" spans="1:10" x14ac:dyDescent="0.2">
      <c r="A71" s="156" t="s">
        <v>3</v>
      </c>
      <c r="B71" s="304" t="s">
        <v>163</v>
      </c>
      <c r="C71" s="304"/>
      <c r="D71" s="304"/>
      <c r="E71" s="304"/>
      <c r="F71" s="304"/>
      <c r="G71" s="304"/>
      <c r="H71" s="73">
        <f>H46*H70</f>
        <v>6.8842840000000018E-3</v>
      </c>
      <c r="I71" s="58">
        <f>$I$29*H71</f>
        <v>15.226659351200006</v>
      </c>
      <c r="J71" s="71"/>
    </row>
    <row r="72" spans="1:10" x14ac:dyDescent="0.2">
      <c r="A72" s="156" t="s">
        <v>4</v>
      </c>
      <c r="B72" s="292" t="s">
        <v>164</v>
      </c>
      <c r="C72" s="292"/>
      <c r="D72" s="292"/>
      <c r="E72" s="292"/>
      <c r="F72" s="292"/>
      <c r="G72" s="292"/>
      <c r="H72" s="77">
        <f>0.5*0.08*H70</f>
        <v>7.76E-4</v>
      </c>
      <c r="I72" s="58">
        <f>$I$29*H72</f>
        <v>1.7163568000000002</v>
      </c>
      <c r="J72" s="71"/>
    </row>
    <row r="73" spans="1:10" x14ac:dyDescent="0.2">
      <c r="A73" s="297" t="s">
        <v>165</v>
      </c>
      <c r="B73" s="297"/>
      <c r="C73" s="297"/>
      <c r="D73" s="297"/>
      <c r="E73" s="297"/>
      <c r="F73" s="297"/>
      <c r="G73" s="297"/>
      <c r="H73" s="74">
        <f>TRUNC(SUM(H67:H72),4)</f>
        <v>3.1699999999999999E-2</v>
      </c>
      <c r="I73" s="59">
        <f>TRUNC(SUM(I67:I72),2)</f>
        <v>70.25</v>
      </c>
      <c r="J73" s="71"/>
    </row>
    <row r="74" spans="1:10" x14ac:dyDescent="0.2">
      <c r="A74" s="307"/>
      <c r="B74" s="307"/>
      <c r="C74" s="307"/>
      <c r="D74" s="307"/>
      <c r="E74" s="307"/>
      <c r="F74" s="307"/>
      <c r="G74" s="307"/>
      <c r="H74" s="307"/>
      <c r="I74" s="307"/>
      <c r="J74" s="71"/>
    </row>
    <row r="75" spans="1:10" x14ac:dyDescent="0.2">
      <c r="A75" s="291" t="s">
        <v>166</v>
      </c>
      <c r="B75" s="291"/>
      <c r="C75" s="291"/>
      <c r="D75" s="291"/>
      <c r="E75" s="291"/>
      <c r="F75" s="291"/>
      <c r="G75" s="291"/>
      <c r="H75" s="291"/>
      <c r="I75" s="291"/>
      <c r="J75" s="71"/>
    </row>
    <row r="76" spans="1:10" x14ac:dyDescent="0.2">
      <c r="A76" s="297" t="s">
        <v>167</v>
      </c>
      <c r="B76" s="297"/>
      <c r="C76" s="297"/>
      <c r="D76" s="297"/>
      <c r="E76" s="297"/>
      <c r="F76" s="297"/>
      <c r="G76" s="297"/>
      <c r="H76" s="156" t="s">
        <v>43</v>
      </c>
      <c r="I76" s="156" t="s">
        <v>121</v>
      </c>
      <c r="J76" s="71"/>
    </row>
    <row r="77" spans="1:10" x14ac:dyDescent="0.2">
      <c r="A77" s="156" t="s">
        <v>9</v>
      </c>
      <c r="B77" s="292" t="s">
        <v>168</v>
      </c>
      <c r="C77" s="292"/>
      <c r="D77" s="292"/>
      <c r="E77" s="292"/>
      <c r="F77" s="292"/>
      <c r="G77" s="292"/>
      <c r="H77" s="72">
        <v>8.3299999999999999E-2</v>
      </c>
      <c r="I77" s="58">
        <f>$I$29*H77</f>
        <v>184.24294</v>
      </c>
      <c r="J77" s="71"/>
    </row>
    <row r="78" spans="1:10" x14ac:dyDescent="0.2">
      <c r="A78" s="156" t="s">
        <v>10</v>
      </c>
      <c r="B78" s="292" t="s">
        <v>169</v>
      </c>
      <c r="C78" s="292"/>
      <c r="D78" s="292"/>
      <c r="E78" s="292"/>
      <c r="F78" s="292"/>
      <c r="G78" s="292"/>
      <c r="H78" s="72">
        <v>8.2000000000000007E-3</v>
      </c>
      <c r="I78" s="58">
        <f>$I$29*H78</f>
        <v>18.136760000000002</v>
      </c>
      <c r="J78" s="71"/>
    </row>
    <row r="79" spans="1:10" x14ac:dyDescent="0.2">
      <c r="A79" s="156" t="s">
        <v>11</v>
      </c>
      <c r="B79" s="292" t="s">
        <v>170</v>
      </c>
      <c r="C79" s="292"/>
      <c r="D79" s="292"/>
      <c r="E79" s="292"/>
      <c r="F79" s="292"/>
      <c r="G79" s="292"/>
      <c r="H79" s="72">
        <v>2.0000000000000001E-4</v>
      </c>
      <c r="I79" s="58">
        <f>$I$29*H79</f>
        <v>0.44236000000000003</v>
      </c>
      <c r="J79" s="71"/>
    </row>
    <row r="80" spans="1:10" x14ac:dyDescent="0.2">
      <c r="A80" s="156" t="s">
        <v>12</v>
      </c>
      <c r="B80" s="292" t="s">
        <v>171</v>
      </c>
      <c r="C80" s="292"/>
      <c r="D80" s="292"/>
      <c r="E80" s="292"/>
      <c r="F80" s="292"/>
      <c r="G80" s="292"/>
      <c r="H80" s="72">
        <v>2.9999999999999997E-4</v>
      </c>
      <c r="I80" s="58">
        <f>$I$29*H80</f>
        <v>0.66354000000000002</v>
      </c>
      <c r="J80" s="71"/>
    </row>
    <row r="81" spans="1:11" x14ac:dyDescent="0.2">
      <c r="A81" s="156" t="s">
        <v>3</v>
      </c>
      <c r="B81" s="292" t="s">
        <v>172</v>
      </c>
      <c r="C81" s="292"/>
      <c r="D81" s="292"/>
      <c r="E81" s="292"/>
      <c r="F81" s="292"/>
      <c r="G81" s="292"/>
      <c r="H81" s="72">
        <v>6.1000000000000004E-3</v>
      </c>
      <c r="I81" s="58">
        <f>H81*K81</f>
        <v>1.9507623913333336</v>
      </c>
      <c r="J81" s="75" t="s">
        <v>173</v>
      </c>
      <c r="K81" s="76">
        <f>I33+I34+I51+I52+I53</f>
        <v>319.79711333333336</v>
      </c>
    </row>
    <row r="82" spans="1:11" x14ac:dyDescent="0.2">
      <c r="A82" s="156" t="s">
        <v>4</v>
      </c>
      <c r="B82" s="292" t="s">
        <v>174</v>
      </c>
      <c r="C82" s="292"/>
      <c r="D82" s="292"/>
      <c r="E82" s="292"/>
      <c r="F82" s="292"/>
      <c r="G82" s="292"/>
      <c r="H82" s="72">
        <v>0</v>
      </c>
      <c r="I82" s="58">
        <f>$I$29*H82</f>
        <v>0</v>
      </c>
      <c r="J82" s="71"/>
    </row>
    <row r="83" spans="1:11" x14ac:dyDescent="0.2">
      <c r="A83" s="297" t="s">
        <v>175</v>
      </c>
      <c r="B83" s="297"/>
      <c r="C83" s="297"/>
      <c r="D83" s="297"/>
      <c r="E83" s="297"/>
      <c r="F83" s="297"/>
      <c r="G83" s="297"/>
      <c r="H83" s="74">
        <f>TRUNC(SUM(H77:H82),4)</f>
        <v>9.8100000000000007E-2</v>
      </c>
      <c r="I83" s="59">
        <f>TRUNC(SUM(I77:I82),2)</f>
        <v>205.43</v>
      </c>
      <c r="J83" s="71"/>
    </row>
    <row r="84" spans="1:11" x14ac:dyDescent="0.2">
      <c r="A84" s="306"/>
      <c r="B84" s="306"/>
      <c r="C84" s="306"/>
      <c r="D84" s="306"/>
      <c r="E84" s="306"/>
      <c r="F84" s="306"/>
      <c r="G84" s="306"/>
      <c r="H84" s="306"/>
      <c r="I84" s="306"/>
      <c r="J84" s="71"/>
    </row>
    <row r="85" spans="1:11" x14ac:dyDescent="0.2">
      <c r="A85" s="297" t="s">
        <v>176</v>
      </c>
      <c r="B85" s="297"/>
      <c r="C85" s="297"/>
      <c r="D85" s="297"/>
      <c r="E85" s="297"/>
      <c r="F85" s="297"/>
      <c r="G85" s="297"/>
      <c r="H85" s="156" t="s">
        <v>43</v>
      </c>
      <c r="I85" s="156" t="s">
        <v>121</v>
      </c>
      <c r="J85" s="71"/>
    </row>
    <row r="86" spans="1:11" x14ac:dyDescent="0.2">
      <c r="A86" s="156" t="s">
        <v>9</v>
      </c>
      <c r="B86" s="292" t="s">
        <v>177</v>
      </c>
      <c r="C86" s="292"/>
      <c r="D86" s="292"/>
      <c r="E86" s="292"/>
      <c r="F86" s="292"/>
      <c r="G86" s="292"/>
      <c r="H86" s="72">
        <v>0</v>
      </c>
      <c r="I86" s="58">
        <f>$I$29*H86</f>
        <v>0</v>
      </c>
      <c r="J86" s="71"/>
    </row>
    <row r="87" spans="1:11" x14ac:dyDescent="0.2">
      <c r="A87" s="297" t="s">
        <v>178</v>
      </c>
      <c r="B87" s="297"/>
      <c r="C87" s="297"/>
      <c r="D87" s="297"/>
      <c r="E87" s="297"/>
      <c r="F87" s="297"/>
      <c r="G87" s="297"/>
      <c r="H87" s="74">
        <f>TRUNC(SUM(H86),4)</f>
        <v>0</v>
      </c>
      <c r="I87" s="59">
        <f>TRUNC(SUM(I86),2)</f>
        <v>0</v>
      </c>
      <c r="J87" s="71"/>
    </row>
    <row r="88" spans="1:11" x14ac:dyDescent="0.2">
      <c r="A88" s="308"/>
      <c r="B88" s="308"/>
      <c r="C88" s="308"/>
      <c r="D88" s="308"/>
      <c r="E88" s="308"/>
      <c r="F88" s="308"/>
      <c r="G88" s="308"/>
      <c r="H88" s="308"/>
      <c r="I88" s="308"/>
      <c r="J88" s="71"/>
    </row>
    <row r="89" spans="1:11" x14ac:dyDescent="0.2">
      <c r="A89" s="302" t="s">
        <v>179</v>
      </c>
      <c r="B89" s="302"/>
      <c r="C89" s="302"/>
      <c r="D89" s="302"/>
      <c r="E89" s="302"/>
      <c r="F89" s="302"/>
      <c r="G89" s="302"/>
      <c r="H89" s="302"/>
      <c r="I89" s="302"/>
      <c r="J89" s="71"/>
    </row>
    <row r="90" spans="1:11" x14ac:dyDescent="0.2">
      <c r="A90" s="297" t="s">
        <v>180</v>
      </c>
      <c r="B90" s="297"/>
      <c r="C90" s="297"/>
      <c r="D90" s="297"/>
      <c r="E90" s="297"/>
      <c r="F90" s="297"/>
      <c r="G90" s="297"/>
      <c r="H90" s="297"/>
      <c r="I90" s="156" t="s">
        <v>121</v>
      </c>
      <c r="J90" s="71"/>
    </row>
    <row r="91" spans="1:11" x14ac:dyDescent="0.2">
      <c r="A91" s="156" t="s">
        <v>42</v>
      </c>
      <c r="B91" s="292" t="s">
        <v>181</v>
      </c>
      <c r="C91" s="292"/>
      <c r="D91" s="292"/>
      <c r="E91" s="292"/>
      <c r="F91" s="292"/>
      <c r="G91" s="292"/>
      <c r="H91" s="292"/>
      <c r="I91" s="58">
        <f>I83</f>
        <v>205.43</v>
      </c>
      <c r="J91" s="71"/>
    </row>
    <row r="92" spans="1:11" x14ac:dyDescent="0.2">
      <c r="A92" s="156" t="s">
        <v>45</v>
      </c>
      <c r="B92" s="292" t="s">
        <v>182</v>
      </c>
      <c r="C92" s="292"/>
      <c r="D92" s="292"/>
      <c r="E92" s="292"/>
      <c r="F92" s="292"/>
      <c r="G92" s="292"/>
      <c r="H92" s="292"/>
      <c r="I92" s="58">
        <f>I87</f>
        <v>0</v>
      </c>
      <c r="J92" s="71"/>
    </row>
    <row r="93" spans="1:11" x14ac:dyDescent="0.2">
      <c r="A93" s="297" t="s">
        <v>183</v>
      </c>
      <c r="B93" s="297"/>
      <c r="C93" s="297"/>
      <c r="D93" s="297"/>
      <c r="E93" s="297"/>
      <c r="F93" s="297"/>
      <c r="G93" s="297"/>
      <c r="H93" s="297"/>
      <c r="I93" s="59">
        <f>TRUNC(SUM(I91:I92),2)</f>
        <v>205.43</v>
      </c>
      <c r="J93" s="71"/>
    </row>
    <row r="94" spans="1:11" x14ac:dyDescent="0.2">
      <c r="A94" s="305"/>
      <c r="B94" s="305"/>
      <c r="C94" s="305"/>
      <c r="D94" s="305"/>
      <c r="E94" s="305"/>
      <c r="F94" s="305"/>
      <c r="G94" s="305"/>
      <c r="H94" s="305"/>
      <c r="I94" s="305"/>
      <c r="J94" s="71"/>
    </row>
    <row r="95" spans="1:11" x14ac:dyDescent="0.2">
      <c r="A95" s="291" t="s">
        <v>184</v>
      </c>
      <c r="B95" s="291"/>
      <c r="C95" s="291"/>
      <c r="D95" s="291"/>
      <c r="E95" s="291"/>
      <c r="F95" s="291"/>
      <c r="G95" s="291"/>
      <c r="H95" s="291"/>
      <c r="I95" s="291"/>
      <c r="J95" s="71"/>
    </row>
    <row r="96" spans="1:11" x14ac:dyDescent="0.2">
      <c r="A96" s="156">
        <v>5</v>
      </c>
      <c r="B96" s="297" t="s">
        <v>185</v>
      </c>
      <c r="C96" s="297"/>
      <c r="D96" s="297"/>
      <c r="E96" s="297"/>
      <c r="F96" s="297"/>
      <c r="G96" s="297"/>
      <c r="H96" s="156"/>
      <c r="I96" s="156" t="s">
        <v>121</v>
      </c>
      <c r="J96" s="71"/>
    </row>
    <row r="97" spans="1:10" x14ac:dyDescent="0.2">
      <c r="A97" s="156" t="s">
        <v>9</v>
      </c>
      <c r="B97" s="310" t="s">
        <v>39</v>
      </c>
      <c r="C97" s="310"/>
      <c r="D97" s="310"/>
      <c r="E97" s="310"/>
      <c r="F97" s="310"/>
      <c r="G97" s="310"/>
      <c r="H97" s="159" t="s">
        <v>143</v>
      </c>
      <c r="I97" s="58">
        <f>Uniformes!E42</f>
        <v>90.675630510833329</v>
      </c>
      <c r="J97" s="71"/>
    </row>
    <row r="98" spans="1:10" x14ac:dyDescent="0.2">
      <c r="A98" s="156" t="s">
        <v>10</v>
      </c>
      <c r="B98" s="310" t="s">
        <v>40</v>
      </c>
      <c r="C98" s="310"/>
      <c r="D98" s="310"/>
      <c r="E98" s="310"/>
      <c r="F98" s="310"/>
      <c r="G98" s="310"/>
      <c r="H98" s="159" t="s">
        <v>143</v>
      </c>
      <c r="I98" s="159" t="s">
        <v>143</v>
      </c>
      <c r="J98" s="71"/>
    </row>
    <row r="99" spans="1:10" x14ac:dyDescent="0.2">
      <c r="A99" s="79" t="s">
        <v>11</v>
      </c>
      <c r="B99" s="310" t="s">
        <v>41</v>
      </c>
      <c r="C99" s="310"/>
      <c r="D99" s="310"/>
      <c r="E99" s="310"/>
      <c r="F99" s="310"/>
      <c r="G99" s="310"/>
      <c r="H99" s="159" t="s">
        <v>143</v>
      </c>
      <c r="I99" s="159" t="s">
        <v>143</v>
      </c>
      <c r="J99" s="71"/>
    </row>
    <row r="100" spans="1:10" x14ac:dyDescent="0.2">
      <c r="A100" s="79" t="s">
        <v>12</v>
      </c>
      <c r="B100" s="310" t="s">
        <v>7</v>
      </c>
      <c r="C100" s="310"/>
      <c r="D100" s="310"/>
      <c r="E100" s="310"/>
      <c r="F100" s="310"/>
      <c r="G100" s="310"/>
      <c r="H100" s="159" t="s">
        <v>143</v>
      </c>
      <c r="I100" s="159" t="s">
        <v>143</v>
      </c>
      <c r="J100" s="71"/>
    </row>
    <row r="101" spans="1:10" x14ac:dyDescent="0.2">
      <c r="A101" s="297" t="s">
        <v>186</v>
      </c>
      <c r="B101" s="297"/>
      <c r="C101" s="297"/>
      <c r="D101" s="297"/>
      <c r="E101" s="297"/>
      <c r="F101" s="297"/>
      <c r="G101" s="297"/>
      <c r="H101" s="74" t="s">
        <v>143</v>
      </c>
      <c r="I101" s="59">
        <f>TRUNC(SUM(I97:I100),2)</f>
        <v>90.67</v>
      </c>
      <c r="J101" s="71"/>
    </row>
    <row r="102" spans="1:10" x14ac:dyDescent="0.2">
      <c r="A102" s="305"/>
      <c r="B102" s="305"/>
      <c r="C102" s="305"/>
      <c r="D102" s="305"/>
      <c r="E102" s="305"/>
      <c r="F102" s="305"/>
      <c r="G102" s="305"/>
      <c r="H102" s="305"/>
      <c r="I102" s="305"/>
      <c r="J102" s="71"/>
    </row>
    <row r="103" spans="1:10" x14ac:dyDescent="0.2">
      <c r="A103" s="291" t="s">
        <v>187</v>
      </c>
      <c r="B103" s="291"/>
      <c r="C103" s="291"/>
      <c r="D103" s="291"/>
      <c r="E103" s="291"/>
      <c r="F103" s="291"/>
      <c r="G103" s="291"/>
      <c r="H103" s="291"/>
      <c r="I103" s="291"/>
      <c r="J103" s="71"/>
    </row>
    <row r="104" spans="1:10" x14ac:dyDescent="0.2">
      <c r="A104" s="156">
        <v>6</v>
      </c>
      <c r="B104" s="297" t="s">
        <v>188</v>
      </c>
      <c r="C104" s="297"/>
      <c r="D104" s="297"/>
      <c r="E104" s="297"/>
      <c r="F104" s="297"/>
      <c r="G104" s="297"/>
      <c r="H104" s="156" t="s">
        <v>43</v>
      </c>
      <c r="I104" s="156" t="s">
        <v>121</v>
      </c>
      <c r="J104" s="71"/>
    </row>
    <row r="105" spans="1:10" x14ac:dyDescent="0.2">
      <c r="A105" s="156" t="s">
        <v>9</v>
      </c>
      <c r="B105" s="292" t="s">
        <v>189</v>
      </c>
      <c r="C105" s="292"/>
      <c r="D105" s="292"/>
      <c r="E105" s="292"/>
      <c r="F105" s="292"/>
      <c r="G105" s="292"/>
      <c r="H105" s="80">
        <v>0.03</v>
      </c>
      <c r="I105" s="81">
        <f>TRUNC(H105*I128,2)</f>
        <v>124.22</v>
      </c>
      <c r="J105" s="71"/>
    </row>
    <row r="106" spans="1:10" x14ac:dyDescent="0.2">
      <c r="A106" s="156" t="s">
        <v>10</v>
      </c>
      <c r="B106" s="292" t="s">
        <v>190</v>
      </c>
      <c r="C106" s="292"/>
      <c r="D106" s="292"/>
      <c r="E106" s="292"/>
      <c r="F106" s="292"/>
      <c r="G106" s="292"/>
      <c r="H106" s="80">
        <v>6.7900000000000002E-2</v>
      </c>
      <c r="I106" s="81">
        <f>TRUNC(H106*(I105+I128),2)</f>
        <v>289.60000000000002</v>
      </c>
      <c r="J106" s="82">
        <f>SUM(I105:I106)</f>
        <v>413.82000000000005</v>
      </c>
    </row>
    <row r="107" spans="1:10" x14ac:dyDescent="0.2">
      <c r="A107" s="156" t="s">
        <v>11</v>
      </c>
      <c r="B107" s="309" t="s">
        <v>191</v>
      </c>
      <c r="C107" s="309"/>
      <c r="D107" s="309"/>
      <c r="E107" s="309"/>
      <c r="F107" s="309"/>
      <c r="G107" s="309"/>
      <c r="H107" s="53"/>
      <c r="I107" s="83"/>
      <c r="J107" s="84"/>
    </row>
    <row r="108" spans="1:10" x14ac:dyDescent="0.2">
      <c r="A108" s="156" t="s">
        <v>0</v>
      </c>
      <c r="B108" s="292" t="s">
        <v>192</v>
      </c>
      <c r="C108" s="292"/>
      <c r="D108" s="292"/>
      <c r="E108" s="292"/>
      <c r="F108" s="292"/>
      <c r="G108" s="292"/>
      <c r="H108" s="85">
        <v>1.6500000000000001E-2</v>
      </c>
      <c r="I108" s="86">
        <f>TRUNC(H108*I117,2)</f>
        <v>87.64</v>
      </c>
      <c r="J108" s="84"/>
    </row>
    <row r="109" spans="1:10" x14ac:dyDescent="0.2">
      <c r="A109" s="156" t="s">
        <v>193</v>
      </c>
      <c r="B109" s="292" t="s">
        <v>194</v>
      </c>
      <c r="C109" s="292"/>
      <c r="D109" s="292"/>
      <c r="E109" s="292"/>
      <c r="F109" s="292"/>
      <c r="G109" s="292"/>
      <c r="H109" s="85">
        <v>7.5999999999999998E-2</v>
      </c>
      <c r="I109" s="86">
        <f>TRUNC(H109*I117,2)</f>
        <v>403.68</v>
      </c>
      <c r="J109" s="84"/>
    </row>
    <row r="110" spans="1:10" x14ac:dyDescent="0.2">
      <c r="A110" s="156" t="s">
        <v>195</v>
      </c>
      <c r="B110" s="292" t="s">
        <v>196</v>
      </c>
      <c r="C110" s="292"/>
      <c r="D110" s="292"/>
      <c r="E110" s="292"/>
      <c r="F110" s="292"/>
      <c r="G110" s="292"/>
      <c r="H110" s="85">
        <v>0.05</v>
      </c>
      <c r="I110" s="86">
        <f>TRUNC(H110*I117,2)</f>
        <v>265.58</v>
      </c>
      <c r="J110" s="87">
        <f>SUM(I108:I110)</f>
        <v>756.9</v>
      </c>
    </row>
    <row r="111" spans="1:10" x14ac:dyDescent="0.2">
      <c r="A111" s="297" t="s">
        <v>197</v>
      </c>
      <c r="B111" s="297"/>
      <c r="C111" s="297"/>
      <c r="D111" s="297"/>
      <c r="E111" s="297"/>
      <c r="F111" s="297"/>
      <c r="G111" s="297"/>
      <c r="H111" s="54">
        <f>SUM(H105:H110)</f>
        <v>0.2404</v>
      </c>
      <c r="I111" s="59">
        <f>TRUNC(SUM(I105:I110),2)</f>
        <v>1170.72</v>
      </c>
      <c r="J111" s="71"/>
    </row>
    <row r="112" spans="1:10" x14ac:dyDescent="0.2">
      <c r="A112" s="155"/>
      <c r="B112" s="314"/>
      <c r="C112" s="314"/>
      <c r="D112" s="314"/>
      <c r="E112" s="314"/>
      <c r="F112" s="314"/>
      <c r="G112" s="314"/>
      <c r="H112" s="314"/>
      <c r="I112" s="314"/>
    </row>
    <row r="113" spans="1:11" ht="15.75" x14ac:dyDescent="0.25">
      <c r="A113" s="88" t="s">
        <v>198</v>
      </c>
      <c r="B113" s="315" t="s">
        <v>235</v>
      </c>
      <c r="C113" s="315"/>
      <c r="D113" s="315"/>
      <c r="E113" s="315"/>
      <c r="F113" s="315"/>
      <c r="G113" s="315"/>
      <c r="H113" s="89">
        <f>TRUNC(H108+H109+H110,4)</f>
        <v>0.14249999999999999</v>
      </c>
      <c r="I113" s="90"/>
    </row>
    <row r="114" spans="1:11" x14ac:dyDescent="0.2">
      <c r="A114" s="91"/>
      <c r="B114" s="312"/>
      <c r="C114" s="312"/>
      <c r="D114" s="312"/>
      <c r="E114" s="312"/>
      <c r="F114" s="312"/>
      <c r="G114" s="312"/>
      <c r="H114" s="92"/>
      <c r="I114" s="93"/>
    </row>
    <row r="115" spans="1:11" ht="15.75" x14ac:dyDescent="0.25">
      <c r="A115" s="91" t="s">
        <v>199</v>
      </c>
      <c r="B115" s="311" t="s">
        <v>236</v>
      </c>
      <c r="C115" s="311"/>
      <c r="D115" s="311"/>
      <c r="E115" s="311"/>
      <c r="F115" s="311"/>
      <c r="G115" s="311"/>
      <c r="H115" s="92"/>
      <c r="I115" s="94">
        <f>TRUNC(I128+I105+I106,2)</f>
        <v>4554.71</v>
      </c>
    </row>
    <row r="116" spans="1:11" x14ac:dyDescent="0.2">
      <c r="A116" s="91"/>
      <c r="B116" s="157"/>
      <c r="C116" s="157"/>
      <c r="D116" s="157"/>
      <c r="E116" s="157"/>
      <c r="F116" s="157"/>
      <c r="G116" s="157"/>
      <c r="H116" s="92"/>
      <c r="I116" s="94"/>
    </row>
    <row r="117" spans="1:11" ht="15.75" x14ac:dyDescent="0.25">
      <c r="A117" s="91" t="s">
        <v>200</v>
      </c>
      <c r="B117" s="312" t="s">
        <v>237</v>
      </c>
      <c r="C117" s="312"/>
      <c r="D117" s="312"/>
      <c r="E117" s="312"/>
      <c r="F117" s="312"/>
      <c r="G117" s="312"/>
      <c r="H117" s="92"/>
      <c r="I117" s="96">
        <f>TRUNC(I115/(1-H113),2)</f>
        <v>5311.61</v>
      </c>
    </row>
    <row r="118" spans="1:11" x14ac:dyDescent="0.2">
      <c r="A118" s="91"/>
      <c r="B118" s="157"/>
      <c r="C118" s="157"/>
      <c r="D118" s="157"/>
      <c r="E118" s="157"/>
      <c r="F118" s="157"/>
      <c r="G118" s="157"/>
      <c r="H118" s="92"/>
      <c r="I118" s="94"/>
    </row>
    <row r="119" spans="1:11" ht="15.75" x14ac:dyDescent="0.25">
      <c r="A119" s="97"/>
      <c r="B119" s="313" t="s">
        <v>238</v>
      </c>
      <c r="C119" s="313"/>
      <c r="D119" s="313"/>
      <c r="E119" s="313"/>
      <c r="F119" s="313"/>
      <c r="G119" s="313"/>
      <c r="H119" s="98"/>
      <c r="I119" s="99">
        <f>TRUNC(I117-I115,2)</f>
        <v>756.9</v>
      </c>
      <c r="K119" s="100"/>
    </row>
    <row r="120" spans="1:11" x14ac:dyDescent="0.2">
      <c r="A120" s="155"/>
      <c r="B120" s="155"/>
      <c r="C120" s="155"/>
      <c r="D120" s="155"/>
      <c r="E120" s="155"/>
      <c r="F120" s="155"/>
      <c r="G120" s="155"/>
      <c r="H120" s="155"/>
      <c r="I120" s="101"/>
    </row>
    <row r="121" spans="1:11" x14ac:dyDescent="0.2">
      <c r="A121" s="302" t="s">
        <v>201</v>
      </c>
      <c r="B121" s="302"/>
      <c r="C121" s="302"/>
      <c r="D121" s="302"/>
      <c r="E121" s="302"/>
      <c r="F121" s="302"/>
      <c r="G121" s="302"/>
      <c r="H121" s="302"/>
      <c r="I121" s="302"/>
      <c r="K121" s="102"/>
    </row>
    <row r="122" spans="1:11" x14ac:dyDescent="0.2">
      <c r="A122" s="297" t="s">
        <v>202</v>
      </c>
      <c r="B122" s="297"/>
      <c r="C122" s="297"/>
      <c r="D122" s="297"/>
      <c r="E122" s="297"/>
      <c r="F122" s="297"/>
      <c r="G122" s="297"/>
      <c r="H122" s="297"/>
      <c r="I122" s="156" t="s">
        <v>121</v>
      </c>
    </row>
    <row r="123" spans="1:11" x14ac:dyDescent="0.2">
      <c r="A123" s="159" t="s">
        <v>9</v>
      </c>
      <c r="B123" s="292" t="str">
        <f>A21</f>
        <v>MÓDULO 1 - COMPOSIÇÃO DA REMUNERAÇÃO</v>
      </c>
      <c r="C123" s="292"/>
      <c r="D123" s="292"/>
      <c r="E123" s="292"/>
      <c r="F123" s="292"/>
      <c r="G123" s="292"/>
      <c r="H123" s="292"/>
      <c r="I123" s="58">
        <f>I29</f>
        <v>2211.8000000000002</v>
      </c>
    </row>
    <row r="124" spans="1:11" x14ac:dyDescent="0.2">
      <c r="A124" s="159" t="s">
        <v>10</v>
      </c>
      <c r="B124" s="292" t="str">
        <f>A31</f>
        <v>MÓDULO 2 – ENCARGOS E BENEFÍCIOS ANUAIS, MENSAIS E DIÁRIOS</v>
      </c>
      <c r="C124" s="292"/>
      <c r="D124" s="292"/>
      <c r="E124" s="292"/>
      <c r="F124" s="292"/>
      <c r="G124" s="292"/>
      <c r="H124" s="292"/>
      <c r="I124" s="58">
        <f>I63</f>
        <v>1562.74</v>
      </c>
    </row>
    <row r="125" spans="1:11" x14ac:dyDescent="0.2">
      <c r="A125" s="159" t="s">
        <v>11</v>
      </c>
      <c r="B125" s="292" t="str">
        <f>A65</f>
        <v>MÓDULO 3 – PROVISÃO PARA RESCISÃO</v>
      </c>
      <c r="C125" s="292"/>
      <c r="D125" s="292"/>
      <c r="E125" s="292"/>
      <c r="F125" s="292"/>
      <c r="G125" s="292"/>
      <c r="H125" s="292"/>
      <c r="I125" s="58">
        <f>I73</f>
        <v>70.25</v>
      </c>
      <c r="K125" s="102"/>
    </row>
    <row r="126" spans="1:11" x14ac:dyDescent="0.2">
      <c r="A126" s="159" t="s">
        <v>12</v>
      </c>
      <c r="B126" s="292" t="str">
        <f>A75</f>
        <v>MÓDULO 4 – CUSTO DE REPOSIÇÃO DO PROFISSIONAL AUSENTE</v>
      </c>
      <c r="C126" s="292"/>
      <c r="D126" s="292"/>
      <c r="E126" s="292"/>
      <c r="F126" s="292"/>
      <c r="G126" s="292"/>
      <c r="H126" s="292"/>
      <c r="I126" s="58">
        <f>I93</f>
        <v>205.43</v>
      </c>
      <c r="K126" s="102"/>
    </row>
    <row r="127" spans="1:11" x14ac:dyDescent="0.2">
      <c r="A127" s="159" t="s">
        <v>3</v>
      </c>
      <c r="B127" s="292" t="str">
        <f>A95</f>
        <v>MÓDULO 5 – INSUMOS DIVERSOS</v>
      </c>
      <c r="C127" s="292"/>
      <c r="D127" s="292"/>
      <c r="E127" s="292"/>
      <c r="F127" s="292"/>
      <c r="G127" s="292"/>
      <c r="H127" s="292"/>
      <c r="I127" s="58">
        <f>I101</f>
        <v>90.67</v>
      </c>
    </row>
    <row r="128" spans="1:11" x14ac:dyDescent="0.2">
      <c r="A128" s="156"/>
      <c r="B128" s="297" t="s">
        <v>203</v>
      </c>
      <c r="C128" s="297"/>
      <c r="D128" s="297"/>
      <c r="E128" s="297"/>
      <c r="F128" s="297"/>
      <c r="G128" s="297"/>
      <c r="H128" s="297"/>
      <c r="I128" s="59">
        <f>TRUNC(SUM(I123:I127),2)</f>
        <v>4140.8900000000003</v>
      </c>
      <c r="K128" s="100"/>
    </row>
    <row r="129" spans="1:9" x14ac:dyDescent="0.2">
      <c r="A129" s="159" t="s">
        <v>4</v>
      </c>
      <c r="B129" s="292" t="str">
        <f>A103</f>
        <v>MÓDULO 6 – CUSTOS INDIRETOS, TRIBUTOS E LUCRO</v>
      </c>
      <c r="C129" s="292"/>
      <c r="D129" s="292"/>
      <c r="E129" s="292"/>
      <c r="F129" s="292"/>
      <c r="G129" s="292"/>
      <c r="H129" s="292"/>
      <c r="I129" s="58">
        <f>I111</f>
        <v>1170.72</v>
      </c>
    </row>
    <row r="130" spans="1:9" x14ac:dyDescent="0.2">
      <c r="A130" s="297" t="s">
        <v>204</v>
      </c>
      <c r="B130" s="297"/>
      <c r="C130" s="297"/>
      <c r="D130" s="297"/>
      <c r="E130" s="297"/>
      <c r="F130" s="297"/>
      <c r="G130" s="297"/>
      <c r="H130" s="297"/>
      <c r="I130" s="103">
        <f>TRUNC(SUM(I128:I129),2)</f>
        <v>5311.61</v>
      </c>
    </row>
    <row r="131" spans="1:9" x14ac:dyDescent="0.2">
      <c r="I131" s="100"/>
    </row>
    <row r="132" spans="1:9" ht="13.5" hidden="1" thickBot="1" x14ac:dyDescent="0.25">
      <c r="A132" s="155"/>
      <c r="B132" s="289" t="s">
        <v>205</v>
      </c>
      <c r="C132" s="289"/>
      <c r="D132" s="289"/>
      <c r="E132" s="289"/>
      <c r="F132" s="289"/>
      <c r="G132" s="289"/>
      <c r="H132" s="69"/>
      <c r="I132" s="69"/>
    </row>
    <row r="133" spans="1:9" ht="39" hidden="1" thickBot="1" x14ac:dyDescent="0.25">
      <c r="A133" s="337" t="s">
        <v>206</v>
      </c>
      <c r="B133" s="337"/>
      <c r="C133" s="337" t="s">
        <v>207</v>
      </c>
      <c r="D133" s="337"/>
      <c r="E133" s="337" t="s">
        <v>208</v>
      </c>
      <c r="F133" s="337"/>
      <c r="G133" s="126" t="s">
        <v>209</v>
      </c>
      <c r="H133" s="162" t="s">
        <v>210</v>
      </c>
      <c r="I133" s="161" t="s">
        <v>121</v>
      </c>
    </row>
    <row r="134" spans="1:9" hidden="1" x14ac:dyDescent="0.2">
      <c r="A134" s="317" t="s">
        <v>211</v>
      </c>
      <c r="B134" s="317"/>
      <c r="C134" s="338" t="s">
        <v>212</v>
      </c>
      <c r="D134" s="338"/>
      <c r="E134" s="319"/>
      <c r="F134" s="319"/>
      <c r="G134" s="129" t="s">
        <v>212</v>
      </c>
      <c r="H134" s="130"/>
      <c r="I134" s="109">
        <v>0</v>
      </c>
    </row>
    <row r="135" spans="1:9" hidden="1" x14ac:dyDescent="0.2">
      <c r="A135" s="320" t="s">
        <v>213</v>
      </c>
      <c r="B135" s="320"/>
      <c r="C135" s="321" t="s">
        <v>212</v>
      </c>
      <c r="D135" s="321"/>
      <c r="E135" s="322"/>
      <c r="F135" s="322"/>
      <c r="G135" s="110" t="s">
        <v>212</v>
      </c>
      <c r="H135" s="111"/>
      <c r="I135" s="112">
        <v>0</v>
      </c>
    </row>
    <row r="136" spans="1:9" hidden="1" x14ac:dyDescent="0.2">
      <c r="A136" s="320" t="s">
        <v>214</v>
      </c>
      <c r="B136" s="320"/>
      <c r="C136" s="321" t="s">
        <v>212</v>
      </c>
      <c r="D136" s="321"/>
      <c r="E136" s="322"/>
      <c r="F136" s="322"/>
      <c r="G136" s="110" t="s">
        <v>212</v>
      </c>
      <c r="H136" s="111"/>
      <c r="I136" s="112">
        <v>0</v>
      </c>
    </row>
    <row r="137" spans="1:9" hidden="1" x14ac:dyDescent="0.2">
      <c r="A137" s="320" t="s">
        <v>215</v>
      </c>
      <c r="B137" s="320"/>
      <c r="C137" s="321" t="s">
        <v>212</v>
      </c>
      <c r="D137" s="321"/>
      <c r="E137" s="322"/>
      <c r="F137" s="322"/>
      <c r="G137" s="110" t="s">
        <v>212</v>
      </c>
      <c r="H137" s="111"/>
      <c r="I137" s="112">
        <v>0</v>
      </c>
    </row>
    <row r="138" spans="1:9" hidden="1" x14ac:dyDescent="0.2">
      <c r="A138" s="323"/>
      <c r="B138" s="323"/>
      <c r="C138" s="322"/>
      <c r="D138" s="322"/>
      <c r="E138" s="322"/>
      <c r="F138" s="322"/>
      <c r="G138" s="113"/>
      <c r="H138" s="114"/>
      <c r="I138" s="112"/>
    </row>
    <row r="139" spans="1:9" ht="13.5" hidden="1" thickBot="1" x14ac:dyDescent="0.25">
      <c r="A139" s="328"/>
      <c r="B139" s="328"/>
      <c r="C139" s="329"/>
      <c r="D139" s="329"/>
      <c r="E139" s="329"/>
      <c r="F139" s="329"/>
      <c r="G139" s="115"/>
      <c r="H139" s="116"/>
      <c r="I139" s="117"/>
    </row>
    <row r="140" spans="1:9" ht="13.5" hidden="1" thickBot="1" x14ac:dyDescent="0.25">
      <c r="A140" s="330" t="s">
        <v>216</v>
      </c>
      <c r="B140" s="330"/>
      <c r="C140" s="330"/>
      <c r="D140" s="330"/>
      <c r="E140" s="330"/>
      <c r="F140" s="330"/>
      <c r="G140" s="330"/>
      <c r="H140" s="330"/>
      <c r="I140" s="131">
        <f>SUM(I138:I139)</f>
        <v>0</v>
      </c>
    </row>
    <row r="141" spans="1:9" hidden="1" x14ac:dyDescent="0.2"/>
    <row r="142" spans="1:9" ht="13.5" hidden="1" thickBot="1" x14ac:dyDescent="0.25">
      <c r="A142" s="155" t="s">
        <v>217</v>
      </c>
      <c r="B142" s="289" t="s">
        <v>218</v>
      </c>
      <c r="C142" s="289"/>
      <c r="D142" s="289"/>
      <c r="E142" s="289"/>
      <c r="F142" s="289"/>
      <c r="G142" s="289"/>
      <c r="H142" s="69"/>
      <c r="I142" s="69"/>
    </row>
    <row r="143" spans="1:9" ht="13.5" hidden="1" thickBot="1" x14ac:dyDescent="0.25">
      <c r="A143" s="342" t="s">
        <v>219</v>
      </c>
      <c r="B143" s="342"/>
      <c r="C143" s="342"/>
      <c r="D143" s="342"/>
      <c r="E143" s="342"/>
      <c r="F143" s="342"/>
      <c r="G143" s="342"/>
      <c r="H143" s="342"/>
      <c r="I143" s="342"/>
    </row>
    <row r="144" spans="1:9" ht="13.5" hidden="1" thickBot="1" x14ac:dyDescent="0.25">
      <c r="A144" s="160"/>
      <c r="B144" s="339" t="s">
        <v>220</v>
      </c>
      <c r="C144" s="339"/>
      <c r="D144" s="339"/>
      <c r="E144" s="339"/>
      <c r="F144" s="339"/>
      <c r="G144" s="339"/>
      <c r="H144" s="339"/>
      <c r="I144" s="161" t="s">
        <v>121</v>
      </c>
    </row>
    <row r="145" spans="1:9" hidden="1" x14ac:dyDescent="0.2">
      <c r="A145" s="120" t="s">
        <v>9</v>
      </c>
      <c r="B145" s="340" t="s">
        <v>221</v>
      </c>
      <c r="C145" s="340"/>
      <c r="D145" s="340"/>
      <c r="E145" s="340"/>
      <c r="F145" s="340"/>
      <c r="G145" s="340"/>
      <c r="H145" s="340"/>
      <c r="I145" s="121">
        <f>I108</f>
        <v>87.64</v>
      </c>
    </row>
    <row r="146" spans="1:9" hidden="1" x14ac:dyDescent="0.2">
      <c r="A146" s="122" t="s">
        <v>10</v>
      </c>
      <c r="B146" s="292" t="s">
        <v>222</v>
      </c>
      <c r="C146" s="292"/>
      <c r="D146" s="292"/>
      <c r="E146" s="292"/>
      <c r="F146" s="292"/>
      <c r="G146" s="292"/>
      <c r="H146" s="292"/>
      <c r="I146" s="123" t="e">
        <f>#REF!</f>
        <v>#REF!</v>
      </c>
    </row>
    <row r="147" spans="1:9" ht="13.5" hidden="1" thickBot="1" x14ac:dyDescent="0.25">
      <c r="A147" s="122" t="s">
        <v>11</v>
      </c>
      <c r="B147" s="326" t="s">
        <v>223</v>
      </c>
      <c r="C147" s="326"/>
      <c r="D147" s="326"/>
      <c r="E147" s="326"/>
      <c r="F147" s="326"/>
      <c r="G147" s="326"/>
      <c r="H147" s="326"/>
      <c r="I147" s="123">
        <f>I111</f>
        <v>1170.72</v>
      </c>
    </row>
    <row r="148" spans="1:9" ht="13.5" hidden="1" thickBot="1" x14ac:dyDescent="0.25">
      <c r="A148" s="341" t="s">
        <v>44</v>
      </c>
      <c r="B148" s="341"/>
      <c r="C148" s="341"/>
      <c r="D148" s="341"/>
      <c r="E148" s="341"/>
      <c r="F148" s="341"/>
      <c r="G148" s="341"/>
      <c r="H148" s="341"/>
      <c r="I148" s="131" t="e">
        <f>SUM(I145:I147)</f>
        <v>#REF!</v>
      </c>
    </row>
    <row r="149" spans="1:9" hidden="1" x14ac:dyDescent="0.2">
      <c r="A149" s="155" t="s">
        <v>224</v>
      </c>
      <c r="B149" s="62" t="s">
        <v>225</v>
      </c>
    </row>
    <row r="150" spans="1:9" hidden="1" x14ac:dyDescent="0.2"/>
    <row r="152" spans="1:9" x14ac:dyDescent="0.2">
      <c r="A152" s="124" t="s">
        <v>226</v>
      </c>
      <c r="B152" s="124">
        <f>I130/I23</f>
        <v>2.7529853840572196</v>
      </c>
    </row>
    <row r="153" spans="1:9" x14ac:dyDescent="0.2">
      <c r="A153" s="102"/>
      <c r="B153" s="124"/>
      <c r="E153" s="125"/>
    </row>
    <row r="154" spans="1:9" x14ac:dyDescent="0.2">
      <c r="A154" s="124" t="s">
        <v>227</v>
      </c>
      <c r="B154" s="124"/>
      <c r="C154" s="102">
        <f>I130*E12</f>
        <v>10623.22</v>
      </c>
    </row>
    <row r="155" spans="1:9" x14ac:dyDescent="0.2">
      <c r="A155" s="124" t="s">
        <v>228</v>
      </c>
      <c r="B155" s="124"/>
      <c r="C155" s="102">
        <f>H8*C154</f>
        <v>127478.63999999998</v>
      </c>
    </row>
    <row r="156" spans="1:9" x14ac:dyDescent="0.2">
      <c r="A156" s="125"/>
    </row>
    <row r="157" spans="1:9" x14ac:dyDescent="0.2">
      <c r="A157" s="125"/>
    </row>
  </sheetData>
  <mergeCells count="166">
    <mergeCell ref="B144:H144"/>
    <mergeCell ref="B145:H145"/>
    <mergeCell ref="B146:H146"/>
    <mergeCell ref="B147:H147"/>
    <mergeCell ref="A148:H148"/>
    <mergeCell ref="A139:B139"/>
    <mergeCell ref="C139:D139"/>
    <mergeCell ref="E139:F139"/>
    <mergeCell ref="A140:H140"/>
    <mergeCell ref="B142:G142"/>
    <mergeCell ref="A143:I143"/>
    <mergeCell ref="A137:B137"/>
    <mergeCell ref="C137:D137"/>
    <mergeCell ref="E137:F137"/>
    <mergeCell ref="A138:B138"/>
    <mergeCell ref="C138:D138"/>
    <mergeCell ref="E138:F138"/>
    <mergeCell ref="A135:B135"/>
    <mergeCell ref="C135:D135"/>
    <mergeCell ref="E135:F135"/>
    <mergeCell ref="A136:B136"/>
    <mergeCell ref="C136:D136"/>
    <mergeCell ref="E136:F136"/>
    <mergeCell ref="A130:H130"/>
    <mergeCell ref="B132:G132"/>
    <mergeCell ref="A133:B133"/>
    <mergeCell ref="C133:D133"/>
    <mergeCell ref="E133:F133"/>
    <mergeCell ref="A134:B134"/>
    <mergeCell ref="C134:D134"/>
    <mergeCell ref="E134:F134"/>
    <mergeCell ref="B124:H124"/>
    <mergeCell ref="B125:H125"/>
    <mergeCell ref="B126:H126"/>
    <mergeCell ref="B127:H127"/>
    <mergeCell ref="B128:H128"/>
    <mergeCell ref="B129:H129"/>
    <mergeCell ref="B115:G115"/>
    <mergeCell ref="B117:G117"/>
    <mergeCell ref="B119:G119"/>
    <mergeCell ref="A121:I121"/>
    <mergeCell ref="A122:H122"/>
    <mergeCell ref="B123:H123"/>
    <mergeCell ref="B109:G109"/>
    <mergeCell ref="B110:G110"/>
    <mergeCell ref="A111:G111"/>
    <mergeCell ref="B112:I112"/>
    <mergeCell ref="B113:G113"/>
    <mergeCell ref="B114:G114"/>
    <mergeCell ref="A103:I103"/>
    <mergeCell ref="B104:G104"/>
    <mergeCell ref="B105:G105"/>
    <mergeCell ref="B106:G106"/>
    <mergeCell ref="B107:G107"/>
    <mergeCell ref="B108:G108"/>
    <mergeCell ref="B97:G97"/>
    <mergeCell ref="B98:G98"/>
    <mergeCell ref="B99:G99"/>
    <mergeCell ref="B100:G100"/>
    <mergeCell ref="A101:G101"/>
    <mergeCell ref="A102:I102"/>
    <mergeCell ref="B91:H91"/>
    <mergeCell ref="B92:H92"/>
    <mergeCell ref="A93:H93"/>
    <mergeCell ref="A94:I94"/>
    <mergeCell ref="A95:I95"/>
    <mergeCell ref="B96:G96"/>
    <mergeCell ref="A85:G85"/>
    <mergeCell ref="B86:G86"/>
    <mergeCell ref="A87:G87"/>
    <mergeCell ref="A88:I88"/>
    <mergeCell ref="A89:I89"/>
    <mergeCell ref="A90:H90"/>
    <mergeCell ref="B79:G79"/>
    <mergeCell ref="B80:G80"/>
    <mergeCell ref="B81:G81"/>
    <mergeCell ref="B82:G82"/>
    <mergeCell ref="A83:G83"/>
    <mergeCell ref="A84:I84"/>
    <mergeCell ref="A73:G73"/>
    <mergeCell ref="A74:I74"/>
    <mergeCell ref="A75:I75"/>
    <mergeCell ref="A76:G76"/>
    <mergeCell ref="B77:G77"/>
    <mergeCell ref="B78:G78"/>
    <mergeCell ref="B67:G67"/>
    <mergeCell ref="B68:G68"/>
    <mergeCell ref="B69:G69"/>
    <mergeCell ref="B70:G70"/>
    <mergeCell ref="B71:G71"/>
    <mergeCell ref="B72:G72"/>
    <mergeCell ref="B61:H61"/>
    <mergeCell ref="B62:H62"/>
    <mergeCell ref="A63:H63"/>
    <mergeCell ref="A64:I64"/>
    <mergeCell ref="A65:I65"/>
    <mergeCell ref="B66:G66"/>
    <mergeCell ref="B55:G55"/>
    <mergeCell ref="A56:H56"/>
    <mergeCell ref="A57:I57"/>
    <mergeCell ref="A58:I58"/>
    <mergeCell ref="A59:H59"/>
    <mergeCell ref="B60:H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A46:G46"/>
    <mergeCell ref="A47:I47"/>
    <mergeCell ref="A48:G48"/>
    <mergeCell ref="A37:G37"/>
    <mergeCell ref="B38:G38"/>
    <mergeCell ref="B39:G39"/>
    <mergeCell ref="B40:G40"/>
    <mergeCell ref="B41:G41"/>
    <mergeCell ref="B42:G42"/>
    <mergeCell ref="A31:I31"/>
    <mergeCell ref="A32:G32"/>
    <mergeCell ref="B33:G33"/>
    <mergeCell ref="B34:G34"/>
    <mergeCell ref="A35:G35"/>
    <mergeCell ref="A36:I36"/>
    <mergeCell ref="B24:G24"/>
    <mergeCell ref="B25:G25"/>
    <mergeCell ref="B26:G26"/>
    <mergeCell ref="B27:G27"/>
    <mergeCell ref="B28:G28"/>
    <mergeCell ref="A29:H29"/>
    <mergeCell ref="B19:G19"/>
    <mergeCell ref="H19:I19"/>
    <mergeCell ref="A20:I20"/>
    <mergeCell ref="A21:I21"/>
    <mergeCell ref="B22:G22"/>
    <mergeCell ref="B23:G23"/>
    <mergeCell ref="B16:G16"/>
    <mergeCell ref="H16:I16"/>
    <mergeCell ref="B17:G17"/>
    <mergeCell ref="H17:I17"/>
    <mergeCell ref="B18:G18"/>
    <mergeCell ref="H18:I18"/>
    <mergeCell ref="A14:I14"/>
    <mergeCell ref="B15:G15"/>
    <mergeCell ref="H15:I15"/>
    <mergeCell ref="B7:G7"/>
    <mergeCell ref="H7:I7"/>
    <mergeCell ref="B8:G8"/>
    <mergeCell ref="H8:I8"/>
    <mergeCell ref="A10:I10"/>
    <mergeCell ref="A11:B11"/>
    <mergeCell ref="C11:D11"/>
    <mergeCell ref="E11:I11"/>
    <mergeCell ref="A1:I1"/>
    <mergeCell ref="A2:I2"/>
    <mergeCell ref="A4:I4"/>
    <mergeCell ref="B5:G5"/>
    <mergeCell ref="H5:I5"/>
    <mergeCell ref="B6:G6"/>
    <mergeCell ref="H6:I6"/>
    <mergeCell ref="A12:B12"/>
    <mergeCell ref="C12:D12"/>
    <mergeCell ref="E12:I12"/>
  </mergeCells>
  <pageMargins left="0.511811024" right="0.511811024" top="0.78740157499999996" bottom="0.78740157499999996" header="0.31496062000000002" footer="0.3149606200000000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05"/>
  <sheetViews>
    <sheetView view="pageBreakPreview" zoomScaleNormal="100" zoomScaleSheetLayoutView="100" workbookViewId="0">
      <selection activeCell="G17" sqref="G17"/>
    </sheetView>
  </sheetViews>
  <sheetFormatPr defaultRowHeight="12.75" x14ac:dyDescent="0.2"/>
  <cols>
    <col min="1" max="1" width="35.28515625" style="11" customWidth="1"/>
    <col min="2" max="2" width="20.42578125" style="1" customWidth="1"/>
    <col min="3" max="3" width="13.28515625" style="1" bestFit="1" customWidth="1"/>
    <col min="4" max="4" width="11.140625" style="1" customWidth="1"/>
    <col min="5" max="5" width="17" style="1" customWidth="1"/>
    <col min="6" max="6" width="29.7109375" style="1" customWidth="1"/>
    <col min="7" max="16384" width="9.140625" style="1"/>
  </cols>
  <sheetData>
    <row r="1" spans="1:6" ht="30" customHeight="1" thickBot="1" x14ac:dyDescent="0.25">
      <c r="A1" s="370" t="s">
        <v>109</v>
      </c>
      <c r="B1" s="371"/>
      <c r="C1" s="371"/>
      <c r="D1" s="371"/>
      <c r="E1" s="372"/>
    </row>
    <row r="2" spans="1:6" ht="25.5" x14ac:dyDescent="0.2">
      <c r="A2" s="2" t="s">
        <v>17</v>
      </c>
      <c r="B2" s="3" t="s">
        <v>18</v>
      </c>
      <c r="C2" s="3" t="s">
        <v>19</v>
      </c>
      <c r="D2" s="3" t="s">
        <v>20</v>
      </c>
      <c r="E2" s="4" t="s">
        <v>21</v>
      </c>
    </row>
    <row r="3" spans="1:6" x14ac:dyDescent="0.2">
      <c r="A3" s="5" t="s">
        <v>81</v>
      </c>
      <c r="B3" s="6">
        <v>96.701571000000001</v>
      </c>
      <c r="C3" s="7">
        <v>4</v>
      </c>
      <c r="D3" s="7">
        <v>3</v>
      </c>
      <c r="E3" s="8">
        <f>B3*D3/12</f>
        <v>24.17539275</v>
      </c>
      <c r="F3" s="187"/>
    </row>
    <row r="4" spans="1:6" x14ac:dyDescent="0.2">
      <c r="A4" s="5" t="s">
        <v>22</v>
      </c>
      <c r="B4" s="6">
        <v>8.5956951999999998</v>
      </c>
      <c r="C4" s="7">
        <v>1</v>
      </c>
      <c r="D4" s="7">
        <v>12</v>
      </c>
      <c r="E4" s="8">
        <f>B4*D4/12</f>
        <v>8.5956951999999998</v>
      </c>
      <c r="F4" s="187"/>
    </row>
    <row r="5" spans="1:6" x14ac:dyDescent="0.2">
      <c r="A5" s="5" t="s">
        <v>23</v>
      </c>
      <c r="B5" s="6">
        <v>7.4137871100000003</v>
      </c>
      <c r="C5" s="7">
        <v>4</v>
      </c>
      <c r="D5" s="7">
        <v>3</v>
      </c>
      <c r="E5" s="8">
        <f>B5*D5/12</f>
        <v>1.8534467775000001</v>
      </c>
      <c r="F5" s="187"/>
    </row>
    <row r="6" spans="1:6" x14ac:dyDescent="0.2">
      <c r="A6" s="9" t="s">
        <v>24</v>
      </c>
      <c r="B6" s="6">
        <v>96.701571000000001</v>
      </c>
      <c r="C6" s="7">
        <v>4</v>
      </c>
      <c r="D6" s="7">
        <v>3</v>
      </c>
      <c r="E6" s="8">
        <f>B6*D6/12</f>
        <v>24.17539275</v>
      </c>
      <c r="F6" s="187"/>
    </row>
    <row r="7" spans="1:6" ht="13.5" thickBot="1" x14ac:dyDescent="0.25">
      <c r="A7" s="368" t="s">
        <v>25</v>
      </c>
      <c r="B7" s="369"/>
      <c r="C7" s="369"/>
      <c r="D7" s="369"/>
      <c r="E7" s="10">
        <f>SUM(E3:E6)</f>
        <v>58.799927477499999</v>
      </c>
      <c r="F7" s="187"/>
    </row>
    <row r="8" spans="1:6" ht="13.5" thickBot="1" x14ac:dyDescent="0.25">
      <c r="A8" s="373"/>
      <c r="B8" s="374"/>
      <c r="C8" s="374"/>
      <c r="D8" s="374"/>
      <c r="E8" s="375"/>
      <c r="F8" s="187"/>
    </row>
    <row r="9" spans="1:6" ht="13.5" thickBot="1" x14ac:dyDescent="0.25">
      <c r="A9" s="365" t="s">
        <v>288</v>
      </c>
      <c r="B9" s="366"/>
      <c r="C9" s="366"/>
      <c r="D9" s="366"/>
      <c r="E9" s="367"/>
      <c r="F9" s="187"/>
    </row>
    <row r="10" spans="1:6" ht="25.5" x14ac:dyDescent="0.2">
      <c r="A10" s="2" t="s">
        <v>17</v>
      </c>
      <c r="B10" s="3" t="s">
        <v>18</v>
      </c>
      <c r="C10" s="3" t="s">
        <v>19</v>
      </c>
      <c r="D10" s="3" t="s">
        <v>20</v>
      </c>
      <c r="E10" s="4" t="s">
        <v>21</v>
      </c>
      <c r="F10" s="187"/>
    </row>
    <row r="11" spans="1:6" x14ac:dyDescent="0.2">
      <c r="A11" s="5" t="s">
        <v>26</v>
      </c>
      <c r="B11" s="6">
        <v>64.467714000000001</v>
      </c>
      <c r="C11" s="7">
        <v>4</v>
      </c>
      <c r="D11" s="7">
        <v>3</v>
      </c>
      <c r="E11" s="8">
        <f>B11*D11/12</f>
        <v>16.1169285</v>
      </c>
      <c r="F11" s="187"/>
    </row>
    <row r="12" spans="1:6" x14ac:dyDescent="0.2">
      <c r="A12" s="5" t="s">
        <v>66</v>
      </c>
      <c r="B12" s="6">
        <v>59.095404500000001</v>
      </c>
      <c r="C12" s="7">
        <v>4</v>
      </c>
      <c r="D12" s="7">
        <v>3</v>
      </c>
      <c r="E12" s="8">
        <f>B12*D12/12</f>
        <v>14.773851125</v>
      </c>
      <c r="F12" s="187"/>
    </row>
    <row r="13" spans="1:6" x14ac:dyDescent="0.2">
      <c r="A13" s="5" t="s">
        <v>22</v>
      </c>
      <c r="B13" s="6">
        <v>8.5956951999999998</v>
      </c>
      <c r="C13" s="7">
        <v>1</v>
      </c>
      <c r="D13" s="7">
        <v>12</v>
      </c>
      <c r="E13" s="8">
        <f>B13*D13/12</f>
        <v>8.5956951999999998</v>
      </c>
      <c r="F13" s="187"/>
    </row>
    <row r="14" spans="1:6" x14ac:dyDescent="0.2">
      <c r="A14" s="5" t="s">
        <v>23</v>
      </c>
      <c r="B14" s="6">
        <v>7.4137871100000003</v>
      </c>
      <c r="C14" s="7">
        <v>4</v>
      </c>
      <c r="D14" s="7">
        <v>3</v>
      </c>
      <c r="E14" s="8">
        <f>B14*D14/12</f>
        <v>1.8534467775000001</v>
      </c>
      <c r="F14" s="187"/>
    </row>
    <row r="15" spans="1:6" x14ac:dyDescent="0.2">
      <c r="A15" s="9" t="s">
        <v>24</v>
      </c>
      <c r="B15" s="6">
        <v>96.701571000000001</v>
      </c>
      <c r="C15" s="7">
        <v>4</v>
      </c>
      <c r="D15" s="7">
        <v>3</v>
      </c>
      <c r="E15" s="8">
        <f>B15*D15/12</f>
        <v>24.17539275</v>
      </c>
      <c r="F15" s="187"/>
    </row>
    <row r="16" spans="1:6" ht="13.5" thickBot="1" x14ac:dyDescent="0.25">
      <c r="A16" s="368" t="s">
        <v>25</v>
      </c>
      <c r="B16" s="369"/>
      <c r="C16" s="369"/>
      <c r="D16" s="369"/>
      <c r="E16" s="10">
        <f>SUM(E11:E15)</f>
        <v>65.515314352499999</v>
      </c>
      <c r="F16" s="187"/>
    </row>
    <row r="17" spans="1:7" ht="13.5" thickBot="1" x14ac:dyDescent="0.25">
      <c r="F17" s="187"/>
    </row>
    <row r="18" spans="1:7" ht="13.5" thickBot="1" x14ac:dyDescent="0.25">
      <c r="A18" s="365" t="s">
        <v>47</v>
      </c>
      <c r="B18" s="366"/>
      <c r="C18" s="366"/>
      <c r="D18" s="366"/>
      <c r="E18" s="367"/>
      <c r="F18" s="187"/>
    </row>
    <row r="19" spans="1:7" ht="25.5" x14ac:dyDescent="0.2">
      <c r="A19" s="2" t="s">
        <v>17</v>
      </c>
      <c r="B19" s="3" t="s">
        <v>18</v>
      </c>
      <c r="C19" s="3" t="s">
        <v>19</v>
      </c>
      <c r="D19" s="3" t="s">
        <v>20</v>
      </c>
      <c r="E19" s="4" t="s">
        <v>21</v>
      </c>
      <c r="F19" s="187"/>
    </row>
    <row r="20" spans="1:7" x14ac:dyDescent="0.2">
      <c r="A20" s="5" t="s">
        <v>48</v>
      </c>
      <c r="B20" s="6">
        <v>59.095404500000001</v>
      </c>
      <c r="C20" s="7">
        <v>4</v>
      </c>
      <c r="D20" s="7">
        <v>3</v>
      </c>
      <c r="E20" s="8">
        <f>B20*D20/12</f>
        <v>14.773851125</v>
      </c>
      <c r="F20" s="187"/>
      <c r="G20" s="14"/>
    </row>
    <row r="21" spans="1:7" x14ac:dyDescent="0.2">
      <c r="A21" s="5" t="s">
        <v>49</v>
      </c>
      <c r="B21" s="6">
        <v>55.872018799999999</v>
      </c>
      <c r="C21" s="7">
        <v>4</v>
      </c>
      <c r="D21" s="7">
        <v>3</v>
      </c>
      <c r="E21" s="8">
        <f t="shared" ref="E21:E29" si="0">B21*D21/12</f>
        <v>13.9680047</v>
      </c>
      <c r="F21" s="187"/>
      <c r="G21" s="14"/>
    </row>
    <row r="22" spans="1:7" x14ac:dyDescent="0.2">
      <c r="A22" s="5" t="s">
        <v>22</v>
      </c>
      <c r="B22" s="6">
        <v>8.5956951999999998</v>
      </c>
      <c r="C22" s="7">
        <v>1</v>
      </c>
      <c r="D22" s="7">
        <v>12</v>
      </c>
      <c r="E22" s="8">
        <f t="shared" si="0"/>
        <v>8.5956951999999998</v>
      </c>
      <c r="F22" s="187"/>
      <c r="G22" s="14"/>
    </row>
    <row r="23" spans="1:7" x14ac:dyDescent="0.2">
      <c r="A23" s="5"/>
      <c r="B23" s="6">
        <v>0</v>
      </c>
      <c r="C23" s="7"/>
      <c r="D23" s="7"/>
      <c r="E23" s="8">
        <f t="shared" si="0"/>
        <v>0</v>
      </c>
      <c r="F23" s="187"/>
      <c r="G23" s="14"/>
    </row>
    <row r="24" spans="1:7" x14ac:dyDescent="0.2">
      <c r="A24" s="5" t="s">
        <v>50</v>
      </c>
      <c r="B24" s="6">
        <v>7.4137871100000003</v>
      </c>
      <c r="C24" s="7">
        <v>4</v>
      </c>
      <c r="D24" s="7">
        <v>3</v>
      </c>
      <c r="E24" s="8">
        <f t="shared" si="0"/>
        <v>1.8534467775000001</v>
      </c>
      <c r="F24" s="187"/>
      <c r="G24" s="14"/>
    </row>
    <row r="25" spans="1:7" x14ac:dyDescent="0.2">
      <c r="A25" s="5" t="s">
        <v>51</v>
      </c>
      <c r="B25" s="6">
        <v>36.531704599999998</v>
      </c>
      <c r="C25" s="7">
        <v>4</v>
      </c>
      <c r="D25" s="7">
        <v>3</v>
      </c>
      <c r="E25" s="8">
        <f t="shared" si="0"/>
        <v>9.1329261499999994</v>
      </c>
      <c r="F25" s="187"/>
      <c r="G25" s="14"/>
    </row>
    <row r="26" spans="1:7" x14ac:dyDescent="0.2">
      <c r="A26" s="5" t="s">
        <v>52</v>
      </c>
      <c r="B26" s="6">
        <v>53.723095000000001</v>
      </c>
      <c r="C26" s="7">
        <v>6</v>
      </c>
      <c r="D26" s="7">
        <v>2</v>
      </c>
      <c r="E26" s="8">
        <f t="shared" si="0"/>
        <v>8.9538491666666662</v>
      </c>
      <c r="F26" s="187"/>
      <c r="G26" s="14"/>
    </row>
    <row r="27" spans="1:7" x14ac:dyDescent="0.2">
      <c r="A27" s="5" t="s">
        <v>53</v>
      </c>
      <c r="B27" s="6">
        <v>107.44619</v>
      </c>
      <c r="C27" s="7">
        <v>12</v>
      </c>
      <c r="D27" s="7">
        <v>1</v>
      </c>
      <c r="E27" s="8">
        <f t="shared" si="0"/>
        <v>8.9538491666666662</v>
      </c>
      <c r="F27" s="187"/>
      <c r="G27" s="14"/>
    </row>
    <row r="28" spans="1:7" x14ac:dyDescent="0.2">
      <c r="A28" s="5" t="s">
        <v>83</v>
      </c>
      <c r="B28" s="6">
        <v>68.765561599999998</v>
      </c>
      <c r="C28" s="7">
        <v>4</v>
      </c>
      <c r="D28" s="7">
        <v>3</v>
      </c>
      <c r="E28" s="8">
        <f t="shared" si="0"/>
        <v>17.1913904</v>
      </c>
      <c r="F28" s="187"/>
      <c r="G28" s="14"/>
    </row>
    <row r="29" spans="1:7" x14ac:dyDescent="0.2">
      <c r="A29" s="9" t="s">
        <v>54</v>
      </c>
      <c r="B29" s="6">
        <v>81.659104400000004</v>
      </c>
      <c r="C29" s="7">
        <v>4</v>
      </c>
      <c r="D29" s="7">
        <v>3</v>
      </c>
      <c r="E29" s="8">
        <f t="shared" si="0"/>
        <v>20.414776100000001</v>
      </c>
      <c r="F29" s="187"/>
      <c r="G29" s="14"/>
    </row>
    <row r="30" spans="1:7" ht="13.5" thickBot="1" x14ac:dyDescent="0.25">
      <c r="A30" s="368" t="s">
        <v>25</v>
      </c>
      <c r="B30" s="369"/>
      <c r="C30" s="369"/>
      <c r="D30" s="369"/>
      <c r="E30" s="10">
        <f>SUM(E20:E29)</f>
        <v>103.83778878583333</v>
      </c>
      <c r="F30" s="187"/>
      <c r="G30" s="15"/>
    </row>
    <row r="31" spans="1:7" ht="13.5" thickBot="1" x14ac:dyDescent="0.25">
      <c r="F31" s="187"/>
      <c r="G31" s="16"/>
    </row>
    <row r="32" spans="1:7" ht="13.5" thickBot="1" x14ac:dyDescent="0.25">
      <c r="A32" s="365" t="s">
        <v>62</v>
      </c>
      <c r="B32" s="366"/>
      <c r="C32" s="366"/>
      <c r="D32" s="366"/>
      <c r="E32" s="367"/>
      <c r="F32" s="187"/>
    </row>
    <row r="33" spans="1:7" ht="25.5" x14ac:dyDescent="0.2">
      <c r="A33" s="2" t="s">
        <v>17</v>
      </c>
      <c r="B33" s="3" t="s">
        <v>18</v>
      </c>
      <c r="C33" s="3" t="s">
        <v>19</v>
      </c>
      <c r="D33" s="3" t="s">
        <v>20</v>
      </c>
      <c r="E33" s="4" t="s">
        <v>21</v>
      </c>
      <c r="F33" s="187"/>
    </row>
    <row r="34" spans="1:7" x14ac:dyDescent="0.2">
      <c r="A34" s="5" t="s">
        <v>48</v>
      </c>
      <c r="B34" s="6">
        <v>59.095404500000001</v>
      </c>
      <c r="C34" s="7">
        <v>4</v>
      </c>
      <c r="D34" s="7">
        <v>3</v>
      </c>
      <c r="E34" s="8">
        <f>B34*D34/12</f>
        <v>14.773851125</v>
      </c>
      <c r="F34" s="187"/>
    </row>
    <row r="35" spans="1:7" x14ac:dyDescent="0.2">
      <c r="A35" s="5" t="s">
        <v>49</v>
      </c>
      <c r="B35" s="6">
        <v>55.872018799999999</v>
      </c>
      <c r="C35" s="7">
        <v>4</v>
      </c>
      <c r="D35" s="7">
        <v>3</v>
      </c>
      <c r="E35" s="8">
        <f t="shared" ref="E35:E41" si="1">B35*D35/12</f>
        <v>13.9680047</v>
      </c>
      <c r="F35" s="187"/>
    </row>
    <row r="36" spans="1:7" ht="12.75" customHeight="1" x14ac:dyDescent="0.2">
      <c r="A36" s="5" t="s">
        <v>22</v>
      </c>
      <c r="B36" s="6">
        <v>8.5956951999999998</v>
      </c>
      <c r="C36" s="7">
        <v>1</v>
      </c>
      <c r="D36" s="7">
        <v>12</v>
      </c>
      <c r="E36" s="8">
        <f t="shared" si="1"/>
        <v>8.5956951999999998</v>
      </c>
      <c r="F36" s="187"/>
    </row>
    <row r="37" spans="1:7" ht="12.75" customHeight="1" x14ac:dyDescent="0.2">
      <c r="A37" s="5"/>
      <c r="B37" s="6">
        <v>0</v>
      </c>
      <c r="C37" s="7"/>
      <c r="D37" s="7"/>
      <c r="E37" s="8">
        <f t="shared" si="1"/>
        <v>0</v>
      </c>
      <c r="F37" s="187"/>
    </row>
    <row r="38" spans="1:7" x14ac:dyDescent="0.2">
      <c r="A38" s="5" t="s">
        <v>50</v>
      </c>
      <c r="B38" s="6">
        <v>7.4137871100000003</v>
      </c>
      <c r="C38" s="7">
        <v>4</v>
      </c>
      <c r="D38" s="7">
        <v>3</v>
      </c>
      <c r="E38" s="8">
        <f t="shared" si="1"/>
        <v>1.8534467775000001</v>
      </c>
      <c r="F38" s="187"/>
    </row>
    <row r="39" spans="1:7" x14ac:dyDescent="0.2">
      <c r="A39" s="5" t="s">
        <v>51</v>
      </c>
      <c r="B39" s="6">
        <v>36.531704599999998</v>
      </c>
      <c r="C39" s="7">
        <v>4</v>
      </c>
      <c r="D39" s="7">
        <v>3</v>
      </c>
      <c r="E39" s="8">
        <f t="shared" si="1"/>
        <v>9.1329261499999994</v>
      </c>
      <c r="F39" s="187"/>
    </row>
    <row r="40" spans="1:7" x14ac:dyDescent="0.2">
      <c r="A40" s="5" t="s">
        <v>55</v>
      </c>
      <c r="B40" s="6">
        <v>263.24316549999998</v>
      </c>
      <c r="C40" s="7">
        <v>12</v>
      </c>
      <c r="D40" s="7">
        <v>1</v>
      </c>
      <c r="E40" s="8">
        <f t="shared" si="1"/>
        <v>21.936930458333332</v>
      </c>
      <c r="F40" s="187"/>
    </row>
    <row r="41" spans="1:7" x14ac:dyDescent="0.2">
      <c r="A41" s="9" t="s">
        <v>54</v>
      </c>
      <c r="B41" s="6">
        <v>81.659104400000004</v>
      </c>
      <c r="C41" s="7">
        <v>4</v>
      </c>
      <c r="D41" s="7">
        <v>3</v>
      </c>
      <c r="E41" s="8">
        <f t="shared" si="1"/>
        <v>20.414776100000001</v>
      </c>
      <c r="F41" s="187"/>
    </row>
    <row r="42" spans="1:7" ht="13.5" thickBot="1" x14ac:dyDescent="0.25">
      <c r="A42" s="368" t="s">
        <v>25</v>
      </c>
      <c r="B42" s="369"/>
      <c r="C42" s="369"/>
      <c r="D42" s="369"/>
      <c r="E42" s="10">
        <f>SUM(E34:E41)</f>
        <v>90.675630510833329</v>
      </c>
      <c r="F42" s="187"/>
    </row>
    <row r="43" spans="1:7" x14ac:dyDescent="0.2">
      <c r="F43" s="187"/>
    </row>
    <row r="44" spans="1:7" ht="13.5" thickBot="1" x14ac:dyDescent="0.25">
      <c r="F44" s="187"/>
    </row>
    <row r="45" spans="1:7" ht="13.5" thickBot="1" x14ac:dyDescent="0.25">
      <c r="A45" s="365" t="s">
        <v>63</v>
      </c>
      <c r="B45" s="366"/>
      <c r="C45" s="366"/>
      <c r="D45" s="366"/>
      <c r="E45" s="367"/>
      <c r="F45" s="187"/>
    </row>
    <row r="46" spans="1:7" ht="25.5" x14ac:dyDescent="0.2">
      <c r="A46" s="2" t="s">
        <v>17</v>
      </c>
      <c r="B46" s="3" t="s">
        <v>18</v>
      </c>
      <c r="C46" s="3" t="s">
        <v>19</v>
      </c>
      <c r="D46" s="3" t="s">
        <v>20</v>
      </c>
      <c r="E46" s="4" t="s">
        <v>21</v>
      </c>
      <c r="F46" s="187"/>
    </row>
    <row r="47" spans="1:7" x14ac:dyDescent="0.2">
      <c r="A47" s="5" t="s">
        <v>48</v>
      </c>
      <c r="B47" s="6">
        <v>59.095404500000001</v>
      </c>
      <c r="C47" s="7">
        <v>4</v>
      </c>
      <c r="D47" s="7">
        <v>3</v>
      </c>
      <c r="E47" s="8">
        <f>B47*D47/12</f>
        <v>14.773851125</v>
      </c>
      <c r="F47" s="187"/>
      <c r="G47" s="14"/>
    </row>
    <row r="48" spans="1:7" x14ac:dyDescent="0.2">
      <c r="A48" s="5" t="s">
        <v>49</v>
      </c>
      <c r="B48" s="6">
        <v>55.872018799999999</v>
      </c>
      <c r="C48" s="7">
        <v>4</v>
      </c>
      <c r="D48" s="7">
        <v>3</v>
      </c>
      <c r="E48" s="8">
        <f t="shared" ref="E48:E53" si="2">B48*D48/12</f>
        <v>13.9680047</v>
      </c>
      <c r="F48" s="187"/>
      <c r="G48" s="14"/>
    </row>
    <row r="49" spans="1:7" x14ac:dyDescent="0.2">
      <c r="A49" s="5" t="s">
        <v>22</v>
      </c>
      <c r="B49" s="6">
        <v>8.5956951999999998</v>
      </c>
      <c r="C49" s="7">
        <v>1</v>
      </c>
      <c r="D49" s="7">
        <v>12</v>
      </c>
      <c r="E49" s="8">
        <f t="shared" si="2"/>
        <v>8.5956951999999998</v>
      </c>
      <c r="F49" s="187"/>
      <c r="G49" s="14"/>
    </row>
    <row r="50" spans="1:7" x14ac:dyDescent="0.2">
      <c r="A50" s="5"/>
      <c r="B50" s="6">
        <v>0</v>
      </c>
      <c r="C50" s="7"/>
      <c r="D50" s="7"/>
      <c r="E50" s="8">
        <f t="shared" si="2"/>
        <v>0</v>
      </c>
      <c r="F50" s="187"/>
      <c r="G50" s="14"/>
    </row>
    <row r="51" spans="1:7" x14ac:dyDescent="0.2">
      <c r="A51" s="5" t="s">
        <v>50</v>
      </c>
      <c r="B51" s="6">
        <v>7.4137871100000003</v>
      </c>
      <c r="C51" s="7">
        <v>4</v>
      </c>
      <c r="D51" s="7">
        <v>3</v>
      </c>
      <c r="E51" s="8">
        <f t="shared" si="2"/>
        <v>1.8534467775000001</v>
      </c>
      <c r="F51" s="187"/>
      <c r="G51" s="14"/>
    </row>
    <row r="52" spans="1:7" x14ac:dyDescent="0.2">
      <c r="A52" s="5" t="s">
        <v>67</v>
      </c>
      <c r="B52" s="6">
        <v>135.38219939999999</v>
      </c>
      <c r="C52" s="7">
        <v>4</v>
      </c>
      <c r="D52" s="7">
        <v>3</v>
      </c>
      <c r="E52" s="8">
        <f t="shared" si="2"/>
        <v>33.845549849999998</v>
      </c>
      <c r="F52" s="187"/>
      <c r="G52" s="14"/>
    </row>
    <row r="53" spans="1:7" x14ac:dyDescent="0.2">
      <c r="A53" s="5" t="s">
        <v>84</v>
      </c>
      <c r="B53" s="6">
        <v>128.935428</v>
      </c>
      <c r="C53" s="7">
        <v>4</v>
      </c>
      <c r="D53" s="7">
        <v>3</v>
      </c>
      <c r="E53" s="8">
        <f t="shared" si="2"/>
        <v>32.233857</v>
      </c>
      <c r="F53" s="187"/>
      <c r="G53" s="14"/>
    </row>
    <row r="54" spans="1:7" x14ac:dyDescent="0.2">
      <c r="A54" s="9" t="s">
        <v>57</v>
      </c>
      <c r="B54" s="6">
        <v>81.659104400000004</v>
      </c>
      <c r="C54" s="7">
        <v>4</v>
      </c>
      <c r="D54" s="7">
        <v>3</v>
      </c>
      <c r="E54" s="8">
        <f>B54*D54/12</f>
        <v>20.414776100000001</v>
      </c>
      <c r="F54" s="187"/>
      <c r="G54" s="15"/>
    </row>
    <row r="55" spans="1:7" ht="13.5" thickBot="1" x14ac:dyDescent="0.25">
      <c r="A55" s="368" t="s">
        <v>25</v>
      </c>
      <c r="B55" s="369"/>
      <c r="C55" s="369"/>
      <c r="D55" s="369"/>
      <c r="E55" s="10">
        <f>SUM(E47:E54)</f>
        <v>125.68518075249999</v>
      </c>
      <c r="F55" s="187"/>
    </row>
    <row r="56" spans="1:7" ht="13.5" thickBot="1" x14ac:dyDescent="0.25">
      <c r="F56" s="187"/>
    </row>
    <row r="57" spans="1:7" ht="13.5" thickBot="1" x14ac:dyDescent="0.25">
      <c r="A57" s="365" t="s">
        <v>58</v>
      </c>
      <c r="B57" s="366"/>
      <c r="C57" s="366"/>
      <c r="D57" s="366"/>
      <c r="E57" s="367"/>
      <c r="F57" s="187"/>
    </row>
    <row r="58" spans="1:7" ht="25.5" x14ac:dyDescent="0.2">
      <c r="A58" s="2" t="s">
        <v>17</v>
      </c>
      <c r="B58" s="3" t="s">
        <v>18</v>
      </c>
      <c r="C58" s="3" t="s">
        <v>19</v>
      </c>
      <c r="D58" s="3" t="s">
        <v>20</v>
      </c>
      <c r="E58" s="4" t="s">
        <v>21</v>
      </c>
      <c r="F58" s="187"/>
    </row>
    <row r="59" spans="1:7" x14ac:dyDescent="0.2">
      <c r="A59" s="5" t="s">
        <v>48</v>
      </c>
      <c r="B59" s="6">
        <v>59.095404500000001</v>
      </c>
      <c r="C59" s="7">
        <v>4</v>
      </c>
      <c r="D59" s="7">
        <v>3</v>
      </c>
      <c r="E59" s="8">
        <f t="shared" ref="E59:E64" si="3">B59*D59/12</f>
        <v>14.773851125</v>
      </c>
      <c r="F59" s="187"/>
    </row>
    <row r="60" spans="1:7" x14ac:dyDescent="0.2">
      <c r="A60" s="5" t="s">
        <v>49</v>
      </c>
      <c r="B60" s="6">
        <v>55.872018799999999</v>
      </c>
      <c r="C60" s="7">
        <v>4</v>
      </c>
      <c r="D60" s="7">
        <v>3</v>
      </c>
      <c r="E60" s="8">
        <f t="shared" si="3"/>
        <v>13.9680047</v>
      </c>
      <c r="F60" s="187"/>
    </row>
    <row r="61" spans="1:7" x14ac:dyDescent="0.2">
      <c r="A61" s="1" t="s">
        <v>59</v>
      </c>
      <c r="B61" s="6">
        <v>26.8615475</v>
      </c>
      <c r="C61" s="7">
        <v>1</v>
      </c>
      <c r="D61" s="7">
        <v>12</v>
      </c>
      <c r="E61" s="8">
        <f t="shared" si="3"/>
        <v>26.8615475</v>
      </c>
      <c r="F61" s="187"/>
    </row>
    <row r="62" spans="1:7" x14ac:dyDescent="0.2">
      <c r="A62" s="5" t="s">
        <v>50</v>
      </c>
      <c r="B62" s="6">
        <v>7.4137871100000003</v>
      </c>
      <c r="C62" s="7">
        <v>4</v>
      </c>
      <c r="D62" s="7">
        <v>3</v>
      </c>
      <c r="E62" s="8">
        <f t="shared" si="3"/>
        <v>1.8534467775000001</v>
      </c>
      <c r="F62" s="187"/>
    </row>
    <row r="63" spans="1:7" x14ac:dyDescent="0.2">
      <c r="A63" s="5" t="s">
        <v>56</v>
      </c>
      <c r="B63" s="6">
        <v>37.6061665</v>
      </c>
      <c r="C63" s="7">
        <v>4</v>
      </c>
      <c r="D63" s="7">
        <v>3</v>
      </c>
      <c r="E63" s="8">
        <f t="shared" si="3"/>
        <v>9.4015416250000001</v>
      </c>
      <c r="F63" s="187"/>
    </row>
    <row r="64" spans="1:7" x14ac:dyDescent="0.2">
      <c r="A64" s="9" t="s">
        <v>57</v>
      </c>
      <c r="B64" s="6">
        <v>81.659104400000004</v>
      </c>
      <c r="C64" s="7">
        <v>4</v>
      </c>
      <c r="D64" s="7">
        <v>3</v>
      </c>
      <c r="E64" s="8">
        <f t="shared" si="3"/>
        <v>20.414776100000001</v>
      </c>
      <c r="F64" s="187"/>
    </row>
    <row r="65" spans="1:6" ht="13.5" thickBot="1" x14ac:dyDescent="0.25">
      <c r="A65" s="368" t="s">
        <v>25</v>
      </c>
      <c r="B65" s="369"/>
      <c r="C65" s="369"/>
      <c r="D65" s="369"/>
      <c r="E65" s="10">
        <f>SUM(E59:E64)</f>
        <v>87.273167827499989</v>
      </c>
      <c r="F65" s="187"/>
    </row>
    <row r="66" spans="1:6" ht="13.5" thickBot="1" x14ac:dyDescent="0.25">
      <c r="F66" s="187"/>
    </row>
    <row r="67" spans="1:6" ht="13.5" thickBot="1" x14ac:dyDescent="0.25">
      <c r="A67" s="365" t="s">
        <v>60</v>
      </c>
      <c r="B67" s="366"/>
      <c r="C67" s="366"/>
      <c r="D67" s="366"/>
      <c r="E67" s="367"/>
      <c r="F67" s="187"/>
    </row>
    <row r="68" spans="1:6" ht="25.5" x14ac:dyDescent="0.2">
      <c r="A68" s="2" t="s">
        <v>17</v>
      </c>
      <c r="B68" s="3" t="s">
        <v>18</v>
      </c>
      <c r="C68" s="3" t="s">
        <v>19</v>
      </c>
      <c r="D68" s="3" t="s">
        <v>20</v>
      </c>
      <c r="E68" s="4" t="s">
        <v>21</v>
      </c>
      <c r="F68" s="187"/>
    </row>
    <row r="69" spans="1:6" x14ac:dyDescent="0.2">
      <c r="A69" s="5" t="s">
        <v>48</v>
      </c>
      <c r="B69" s="6">
        <v>59.095404500000001</v>
      </c>
      <c r="C69" s="7">
        <v>4</v>
      </c>
      <c r="D69" s="7">
        <v>3</v>
      </c>
      <c r="E69" s="8">
        <f>B69*D69/12</f>
        <v>14.773851125</v>
      </c>
      <c r="F69" s="187"/>
    </row>
    <row r="70" spans="1:6" x14ac:dyDescent="0.2">
      <c r="A70" s="5" t="s">
        <v>49</v>
      </c>
      <c r="B70" s="6">
        <v>55.872018799999999</v>
      </c>
      <c r="C70" s="7">
        <v>4</v>
      </c>
      <c r="D70" s="7">
        <v>3</v>
      </c>
      <c r="E70" s="8">
        <f t="shared" ref="E70:E76" si="4">B70*D70/12</f>
        <v>13.9680047</v>
      </c>
      <c r="F70" s="187"/>
    </row>
    <row r="71" spans="1:6" x14ac:dyDescent="0.2">
      <c r="A71" s="5" t="s">
        <v>22</v>
      </c>
      <c r="B71" s="6">
        <v>8.5956951999999998</v>
      </c>
      <c r="C71" s="7">
        <v>1</v>
      </c>
      <c r="D71" s="7">
        <v>12</v>
      </c>
      <c r="E71" s="8">
        <f t="shared" si="4"/>
        <v>8.5956951999999998</v>
      </c>
      <c r="F71" s="187"/>
    </row>
    <row r="72" spans="1:6" x14ac:dyDescent="0.2">
      <c r="A72" s="5"/>
      <c r="B72" s="6">
        <v>0</v>
      </c>
      <c r="C72" s="7"/>
      <c r="D72" s="7"/>
      <c r="E72" s="8">
        <f t="shared" si="4"/>
        <v>0</v>
      </c>
      <c r="F72" s="187"/>
    </row>
    <row r="73" spans="1:6" x14ac:dyDescent="0.2">
      <c r="A73" s="5" t="s">
        <v>50</v>
      </c>
      <c r="B73" s="6">
        <v>7.4137871100000003</v>
      </c>
      <c r="C73" s="7">
        <v>4</v>
      </c>
      <c r="D73" s="7">
        <v>3</v>
      </c>
      <c r="E73" s="8">
        <f t="shared" si="4"/>
        <v>1.8534467775000001</v>
      </c>
      <c r="F73" s="187"/>
    </row>
    <row r="74" spans="1:6" x14ac:dyDescent="0.2">
      <c r="A74" s="5" t="s">
        <v>51</v>
      </c>
      <c r="B74" s="6">
        <v>36.531704599999998</v>
      </c>
      <c r="C74" s="7">
        <v>4</v>
      </c>
      <c r="D74" s="7">
        <v>3</v>
      </c>
      <c r="E74" s="8">
        <f t="shared" si="4"/>
        <v>9.1329261499999994</v>
      </c>
      <c r="F74" s="187"/>
    </row>
    <row r="75" spans="1:6" x14ac:dyDescent="0.2">
      <c r="A75" s="5" t="s">
        <v>61</v>
      </c>
      <c r="B75" s="6">
        <v>19.340314199999998</v>
      </c>
      <c r="C75" s="7">
        <v>1</v>
      </c>
      <c r="D75" s="7">
        <v>12</v>
      </c>
      <c r="E75" s="8">
        <f t="shared" si="4"/>
        <v>19.340314199999998</v>
      </c>
      <c r="F75" s="187"/>
    </row>
    <row r="76" spans="1:6" x14ac:dyDescent="0.2">
      <c r="A76" s="9" t="s">
        <v>54</v>
      </c>
      <c r="B76" s="6">
        <v>81.659104400000004</v>
      </c>
      <c r="C76" s="7">
        <v>4</v>
      </c>
      <c r="D76" s="7">
        <v>3</v>
      </c>
      <c r="E76" s="8">
        <f t="shared" si="4"/>
        <v>20.414776100000001</v>
      </c>
      <c r="F76" s="187"/>
    </row>
    <row r="77" spans="1:6" ht="13.5" thickBot="1" x14ac:dyDescent="0.25">
      <c r="A77" s="368" t="s">
        <v>25</v>
      </c>
      <c r="B77" s="369"/>
      <c r="C77" s="369"/>
      <c r="D77" s="369"/>
      <c r="E77" s="10">
        <f>SUM(E69:E76)</f>
        <v>88.079014252499988</v>
      </c>
      <c r="F77" s="187"/>
    </row>
    <row r="78" spans="1:6" ht="13.5" thickBot="1" x14ac:dyDescent="0.25">
      <c r="F78" s="187"/>
    </row>
    <row r="79" spans="1:6" ht="13.5" thickBot="1" x14ac:dyDescent="0.25">
      <c r="A79" s="365" t="s">
        <v>85</v>
      </c>
      <c r="B79" s="366"/>
      <c r="C79" s="366"/>
      <c r="D79" s="366"/>
      <c r="E79" s="367"/>
      <c r="F79" s="187"/>
    </row>
    <row r="80" spans="1:6" ht="25.5" x14ac:dyDescent="0.2">
      <c r="A80" s="2" t="s">
        <v>17</v>
      </c>
      <c r="B80" s="3" t="s">
        <v>18</v>
      </c>
      <c r="C80" s="3" t="s">
        <v>19</v>
      </c>
      <c r="D80" s="3" t="s">
        <v>20</v>
      </c>
      <c r="E80" s="4" t="s">
        <v>21</v>
      </c>
      <c r="F80" s="187"/>
    </row>
    <row r="81" spans="1:6" x14ac:dyDescent="0.2">
      <c r="A81" s="5" t="s">
        <v>86</v>
      </c>
      <c r="B81" s="6">
        <v>126.7865042</v>
      </c>
      <c r="C81" s="7">
        <v>6</v>
      </c>
      <c r="D81" s="7">
        <v>2</v>
      </c>
      <c r="E81" s="8">
        <f t="shared" ref="E81:E87" si="5">B81*D81/12</f>
        <v>21.131084033333334</v>
      </c>
      <c r="F81" s="187"/>
    </row>
    <row r="82" spans="1:6" x14ac:dyDescent="0.2">
      <c r="A82" s="5" t="s">
        <v>87</v>
      </c>
      <c r="B82" s="6">
        <v>21.489238</v>
      </c>
      <c r="C82" s="7">
        <v>6</v>
      </c>
      <c r="D82" s="7">
        <v>2</v>
      </c>
      <c r="E82" s="8">
        <f t="shared" si="5"/>
        <v>3.5815396666666666</v>
      </c>
      <c r="F82" s="187"/>
    </row>
    <row r="83" spans="1:6" x14ac:dyDescent="0.2">
      <c r="A83" s="5" t="s">
        <v>22</v>
      </c>
      <c r="B83" s="6">
        <v>8.5956951999999998</v>
      </c>
      <c r="C83" s="7">
        <v>1</v>
      </c>
      <c r="D83" s="7">
        <v>12</v>
      </c>
      <c r="E83" s="8">
        <f t="shared" si="5"/>
        <v>8.5956951999999998</v>
      </c>
      <c r="F83" s="187"/>
    </row>
    <row r="84" spans="1:6" x14ac:dyDescent="0.2">
      <c r="A84" s="5" t="s">
        <v>23</v>
      </c>
      <c r="B84" s="6">
        <v>7.4137871100000003</v>
      </c>
      <c r="C84" s="7">
        <v>4</v>
      </c>
      <c r="D84" s="7">
        <v>3</v>
      </c>
      <c r="E84" s="8">
        <f t="shared" si="5"/>
        <v>1.8534467775000001</v>
      </c>
      <c r="F84" s="187"/>
    </row>
    <row r="85" spans="1:6" x14ac:dyDescent="0.2">
      <c r="A85" s="5" t="s">
        <v>88</v>
      </c>
      <c r="B85" s="6">
        <v>3.2233856999999997</v>
      </c>
      <c r="C85" s="7">
        <v>6</v>
      </c>
      <c r="D85" s="7">
        <v>2</v>
      </c>
      <c r="E85" s="8">
        <f t="shared" si="5"/>
        <v>0.53723094999999998</v>
      </c>
      <c r="F85" s="187"/>
    </row>
    <row r="86" spans="1:6" x14ac:dyDescent="0.2">
      <c r="A86" s="5" t="s">
        <v>89</v>
      </c>
      <c r="B86" s="6">
        <v>16.1169285</v>
      </c>
      <c r="C86" s="7">
        <v>4</v>
      </c>
      <c r="D86" s="7">
        <v>3</v>
      </c>
      <c r="E86" s="8">
        <f t="shared" si="5"/>
        <v>4.0292321250000001</v>
      </c>
      <c r="F86" s="187"/>
    </row>
    <row r="87" spans="1:6" x14ac:dyDescent="0.2">
      <c r="A87" s="9" t="s">
        <v>90</v>
      </c>
      <c r="B87" s="6">
        <v>170.83944209999999</v>
      </c>
      <c r="C87" s="7">
        <v>4</v>
      </c>
      <c r="D87" s="7">
        <v>3</v>
      </c>
      <c r="E87" s="8">
        <f t="shared" si="5"/>
        <v>42.709860524999989</v>
      </c>
      <c r="F87" s="187"/>
    </row>
    <row r="88" spans="1:6" ht="13.5" thickBot="1" x14ac:dyDescent="0.25">
      <c r="A88" s="368" t="s">
        <v>25</v>
      </c>
      <c r="B88" s="369"/>
      <c r="C88" s="369"/>
      <c r="D88" s="369"/>
      <c r="E88" s="10">
        <f>SUM(E81:E87)</f>
        <v>82.438089277499984</v>
      </c>
      <c r="F88" s="187"/>
    </row>
    <row r="89" spans="1:6" ht="13.5" thickBot="1" x14ac:dyDescent="0.25">
      <c r="A89" s="365" t="s">
        <v>107</v>
      </c>
      <c r="B89" s="366"/>
      <c r="C89" s="366"/>
      <c r="D89" s="366"/>
      <c r="E89" s="367"/>
      <c r="F89" s="187"/>
    </row>
    <row r="90" spans="1:6" ht="25.5" x14ac:dyDescent="0.2">
      <c r="A90" s="2" t="s">
        <v>17</v>
      </c>
      <c r="B90" s="3" t="s">
        <v>18</v>
      </c>
      <c r="C90" s="3" t="s">
        <v>19</v>
      </c>
      <c r="D90" s="3" t="s">
        <v>20</v>
      </c>
      <c r="E90" s="4" t="s">
        <v>21</v>
      </c>
      <c r="F90" s="187"/>
    </row>
    <row r="91" spans="1:6" x14ac:dyDescent="0.2">
      <c r="A91" s="5" t="s">
        <v>48</v>
      </c>
      <c r="B91" s="6">
        <v>59.095404500000001</v>
      </c>
      <c r="C91" s="7">
        <v>4</v>
      </c>
      <c r="D91" s="7">
        <v>3</v>
      </c>
      <c r="E91" s="8">
        <f>B91*D91/12</f>
        <v>14.773851125</v>
      </c>
      <c r="F91" s="187"/>
    </row>
    <row r="92" spans="1:6" x14ac:dyDescent="0.2">
      <c r="A92" s="5" t="s">
        <v>64</v>
      </c>
      <c r="B92" s="6">
        <v>85.956952000000001</v>
      </c>
      <c r="C92" s="7">
        <v>4</v>
      </c>
      <c r="D92" s="7">
        <v>3</v>
      </c>
      <c r="E92" s="8">
        <f t="shared" ref="E92:E98" si="6">B92*D92/12</f>
        <v>21.489238</v>
      </c>
      <c r="F92" s="187"/>
    </row>
    <row r="93" spans="1:6" x14ac:dyDescent="0.2">
      <c r="A93" s="5" t="s">
        <v>22</v>
      </c>
      <c r="B93" s="6">
        <v>8.5956951999999998</v>
      </c>
      <c r="C93" s="7">
        <v>1</v>
      </c>
      <c r="D93" s="7">
        <v>12</v>
      </c>
      <c r="E93" s="8">
        <f t="shared" si="6"/>
        <v>8.5956951999999998</v>
      </c>
      <c r="F93" s="187"/>
    </row>
    <row r="94" spans="1:6" x14ac:dyDescent="0.2">
      <c r="A94" s="5" t="s">
        <v>65</v>
      </c>
      <c r="B94" s="6">
        <v>26.8615475</v>
      </c>
      <c r="C94" s="7">
        <v>4</v>
      </c>
      <c r="D94" s="7">
        <v>3</v>
      </c>
      <c r="E94" s="8">
        <f t="shared" si="6"/>
        <v>6.7153868750000001</v>
      </c>
      <c r="F94" s="187"/>
    </row>
    <row r="95" spans="1:6" x14ac:dyDescent="0.2">
      <c r="A95" s="5" t="s">
        <v>50</v>
      </c>
      <c r="B95" s="6">
        <v>7.4137871100000003</v>
      </c>
      <c r="C95" s="7">
        <v>4</v>
      </c>
      <c r="D95" s="7">
        <v>3</v>
      </c>
      <c r="E95" s="8">
        <f t="shared" si="6"/>
        <v>1.8534467775000001</v>
      </c>
      <c r="F95" s="187"/>
    </row>
    <row r="96" spans="1:6" x14ac:dyDescent="0.2">
      <c r="A96" s="5" t="s">
        <v>67</v>
      </c>
      <c r="B96" s="6">
        <v>135.38219939999999</v>
      </c>
      <c r="C96" s="7">
        <v>12</v>
      </c>
      <c r="D96" s="7">
        <v>1</v>
      </c>
      <c r="E96" s="8">
        <f t="shared" si="6"/>
        <v>11.28184995</v>
      </c>
      <c r="F96" s="187"/>
    </row>
    <row r="97" spans="1:6" x14ac:dyDescent="0.2">
      <c r="A97" s="5" t="s">
        <v>56</v>
      </c>
      <c r="B97" s="6">
        <v>37.6061665</v>
      </c>
      <c r="C97" s="7">
        <v>4</v>
      </c>
      <c r="D97" s="7">
        <v>3</v>
      </c>
      <c r="E97" s="8">
        <f t="shared" si="6"/>
        <v>9.4015416250000001</v>
      </c>
      <c r="F97" s="187"/>
    </row>
    <row r="98" spans="1:6" x14ac:dyDescent="0.2">
      <c r="A98" s="9" t="s">
        <v>57</v>
      </c>
      <c r="B98" s="6">
        <v>81.659104400000004</v>
      </c>
      <c r="C98" s="7">
        <v>4</v>
      </c>
      <c r="D98" s="7">
        <v>3</v>
      </c>
      <c r="E98" s="8">
        <f t="shared" si="6"/>
        <v>20.414776100000001</v>
      </c>
      <c r="F98" s="187"/>
    </row>
    <row r="99" spans="1:6" ht="13.5" thickBot="1" x14ac:dyDescent="0.25">
      <c r="A99" s="368" t="s">
        <v>25</v>
      </c>
      <c r="B99" s="369"/>
      <c r="C99" s="369"/>
      <c r="D99" s="369"/>
      <c r="E99" s="10">
        <f>SUM(E91:E98)</f>
        <v>94.525785652500005</v>
      </c>
      <c r="F99" s="187"/>
    </row>
    <row r="100" spans="1:6" ht="15" x14ac:dyDescent="0.2">
      <c r="A100" s="12"/>
    </row>
    <row r="101" spans="1:6" ht="15" x14ac:dyDescent="0.2">
      <c r="A101" s="13"/>
    </row>
    <row r="102" spans="1:6" x14ac:dyDescent="0.2">
      <c r="A102" s="364" t="s">
        <v>310</v>
      </c>
      <c r="B102" s="364"/>
      <c r="C102" s="364"/>
      <c r="D102" s="364"/>
      <c r="E102" s="364"/>
    </row>
    <row r="103" spans="1:6" x14ac:dyDescent="0.2">
      <c r="A103" s="364"/>
      <c r="B103" s="364"/>
      <c r="C103" s="364"/>
      <c r="D103" s="364"/>
      <c r="E103" s="364"/>
    </row>
    <row r="104" spans="1:6" x14ac:dyDescent="0.2">
      <c r="A104" s="364"/>
      <c r="B104" s="364"/>
      <c r="C104" s="364"/>
      <c r="D104" s="364"/>
      <c r="E104" s="364"/>
    </row>
    <row r="105" spans="1:6" ht="37.5" customHeight="1" x14ac:dyDescent="0.2">
      <c r="A105" s="364"/>
      <c r="B105" s="364"/>
      <c r="C105" s="364"/>
      <c r="D105" s="364"/>
      <c r="E105" s="364"/>
    </row>
  </sheetData>
  <mergeCells count="20">
    <mergeCell ref="A1:E1"/>
    <mergeCell ref="A7:D7"/>
    <mergeCell ref="A8:E8"/>
    <mergeCell ref="A9:E9"/>
    <mergeCell ref="A55:D55"/>
    <mergeCell ref="A16:D16"/>
    <mergeCell ref="A18:E18"/>
    <mergeCell ref="A30:D30"/>
    <mergeCell ref="A32:E32"/>
    <mergeCell ref="A42:D42"/>
    <mergeCell ref="A45:E45"/>
    <mergeCell ref="A102:E105"/>
    <mergeCell ref="A57:E57"/>
    <mergeCell ref="A89:E89"/>
    <mergeCell ref="A99:D99"/>
    <mergeCell ref="A65:D65"/>
    <mergeCell ref="A67:E67"/>
    <mergeCell ref="A77:D77"/>
    <mergeCell ref="A79:E79"/>
    <mergeCell ref="A88:D8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8" firstPageNumber="291" orientation="portrait" useFirstPageNumber="1" r:id="rId1"/>
  <headerFooter>
    <oddHeader xml:space="preserve">&amp;R&amp;P
</oddHeader>
  </headerFooter>
  <rowBreaks count="1" manualBreakCount="1">
    <brk id="55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3</vt:i4>
      </vt:variant>
    </vt:vector>
  </HeadingPairs>
  <TitlesOfParts>
    <vt:vector size="29" baseType="lpstr">
      <vt:lpstr>DIMENSIONAMENTO ESTIMADO  </vt:lpstr>
      <vt:lpstr>VALOR ESTIMADO</vt:lpstr>
      <vt:lpstr>Serv Limp Plant Diurno</vt:lpstr>
      <vt:lpstr>Serv Limp Plant Noturno</vt:lpstr>
      <vt:lpstr>Ass Adm. Diarista </vt:lpstr>
      <vt:lpstr>Almoxarife Diarista</vt:lpstr>
      <vt:lpstr>Aux Almoxarife </vt:lpstr>
      <vt:lpstr>Cozinheiro Lider</vt:lpstr>
      <vt:lpstr>Cozinheiro </vt:lpstr>
      <vt:lpstr>Aux Cozinha Noturno</vt:lpstr>
      <vt:lpstr>Aux Cozinha </vt:lpstr>
      <vt:lpstr>Copeiro diarista </vt:lpstr>
      <vt:lpstr>Copeiro Plant Noturno  </vt:lpstr>
      <vt:lpstr>Copeiro Plant diurno </vt:lpstr>
      <vt:lpstr>Tec. Manutenção</vt:lpstr>
      <vt:lpstr>Motorista </vt:lpstr>
      <vt:lpstr> Nutricionista RT SET FEC PLANT</vt:lpstr>
      <vt:lpstr> NUT RT CHEFIA DIARISTA</vt:lpstr>
      <vt:lpstr>Nutricionista  Plantonista</vt:lpstr>
      <vt:lpstr>Nutricionista Diarista </vt:lpstr>
      <vt:lpstr>Tec em Nutrição Plant noturno</vt:lpstr>
      <vt:lpstr>Tecnico em Nutrição Plantonista</vt:lpstr>
      <vt:lpstr>Tecnico Nutrição Diarista</vt:lpstr>
      <vt:lpstr>Mecânico de Refrigeração</vt:lpstr>
      <vt:lpstr>Magarefe plantonista </vt:lpstr>
      <vt:lpstr>Uniformes</vt:lpstr>
      <vt:lpstr>'DIMENSIONAMENTO ESTIMADO  '!Area_de_impressao</vt:lpstr>
      <vt:lpstr>'Nutricionista  Plantonista'!Area_de_impressao</vt:lpstr>
      <vt:lpstr>Uniformes!Area_de_impressao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ivan.pinna</dc:creator>
  <cp:lastModifiedBy>Silvana Ferraro</cp:lastModifiedBy>
  <cp:lastPrinted>2019-08-27T11:48:24Z</cp:lastPrinted>
  <dcterms:created xsi:type="dcterms:W3CDTF">2011-07-14T16:07:46Z</dcterms:created>
  <dcterms:modified xsi:type="dcterms:W3CDTF">2024-05-23T15:38:12Z</dcterms:modified>
</cp:coreProperties>
</file>