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50216333\Downloads\"/>
    </mc:Choice>
  </mc:AlternateContent>
  <xr:revisionPtr revIDLastSave="0" documentId="13_ncr:1_{D65C18EE-8E9D-40A1-89DC-B0E48B98E147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44H" sheetId="1" r:id="rId1"/>
    <sheet name="44H+40%" sheetId="15" r:id="rId2"/>
    <sheet name="Encarregado" sheetId="16" r:id="rId3"/>
    <sheet name="Uniformes e EPIs" sheetId="12" r:id="rId4"/>
    <sheet name="Insumos" sheetId="13" r:id="rId5"/>
    <sheet name="Áreas" sheetId="17" r:id="rId6"/>
    <sheet name="Resultado" sheetId="1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1" i="1" l="1"/>
  <c r="M53" i="1"/>
  <c r="M52" i="1"/>
  <c r="M51" i="1"/>
  <c r="Q54" i="1"/>
  <c r="Q53" i="1"/>
  <c r="Q52" i="1"/>
  <c r="Q51" i="1"/>
  <c r="Q64" i="1"/>
  <c r="Q63" i="1"/>
  <c r="Q62" i="1"/>
  <c r="Q61" i="1"/>
  <c r="M63" i="1"/>
  <c r="M62" i="1"/>
  <c r="M61" i="1"/>
  <c r="I66" i="1"/>
  <c r="I65" i="1"/>
  <c r="I64" i="1"/>
  <c r="I63" i="1"/>
  <c r="I62" i="1"/>
  <c r="I61" i="1"/>
  <c r="E62" i="1"/>
  <c r="E61" i="1"/>
  <c r="Q91" i="1"/>
  <c r="Q90" i="1"/>
  <c r="Q89" i="1"/>
  <c r="M91" i="1"/>
  <c r="M90" i="1"/>
  <c r="M89" i="1"/>
  <c r="I91" i="1"/>
  <c r="I90" i="1"/>
  <c r="I89" i="1"/>
  <c r="H41" i="13"/>
  <c r="R19" i="11"/>
  <c r="R13" i="11"/>
  <c r="R7" i="11"/>
  <c r="M19" i="11"/>
  <c r="M13" i="11"/>
  <c r="M7" i="11"/>
  <c r="H19" i="11"/>
  <c r="H13" i="11"/>
  <c r="H7" i="11"/>
  <c r="C19" i="11"/>
  <c r="C13" i="11"/>
  <c r="C7" i="11"/>
  <c r="P57" i="16"/>
  <c r="L57" i="16"/>
  <c r="H57" i="16"/>
  <c r="D57" i="16"/>
  <c r="P57" i="15"/>
  <c r="L57" i="15"/>
  <c r="H57" i="15"/>
  <c r="D57" i="15"/>
  <c r="P56" i="1"/>
  <c r="L56" i="1"/>
  <c r="H56" i="1"/>
  <c r="D56" i="1"/>
  <c r="E82" i="15"/>
  <c r="E63" i="15"/>
  <c r="D63" i="15"/>
  <c r="D51" i="1" l="1"/>
  <c r="D52" i="1" s="1"/>
  <c r="H53" i="1"/>
  <c r="D53" i="1"/>
  <c r="D54" i="1"/>
  <c r="D55" i="1"/>
  <c r="P54" i="16"/>
  <c r="L54" i="16"/>
  <c r="H54" i="16"/>
  <c r="D54" i="16"/>
  <c r="P54" i="15"/>
  <c r="L54" i="15"/>
  <c r="H54" i="15"/>
  <c r="D54" i="15"/>
  <c r="P53" i="1"/>
  <c r="L53" i="1"/>
  <c r="E53" i="1"/>
  <c r="R9" i="11"/>
  <c r="R15" i="11"/>
  <c r="R21" i="11"/>
  <c r="R14" i="11"/>
  <c r="R8" i="11"/>
  <c r="M20" i="11"/>
  <c r="M14" i="11"/>
  <c r="M9" i="11"/>
  <c r="H8" i="11"/>
  <c r="R20" i="11"/>
  <c r="Q2" i="11"/>
  <c r="L2" i="11"/>
  <c r="H20" i="11"/>
  <c r="H14" i="11"/>
  <c r="G2" i="11"/>
  <c r="E51" i="1" l="1"/>
  <c r="M8" i="11"/>
  <c r="T8" i="17" l="1"/>
  <c r="T7" i="17"/>
  <c r="T6" i="17"/>
  <c r="AE39" i="13"/>
  <c r="AF39" i="13" s="1"/>
  <c r="AE38" i="13"/>
  <c r="AF38" i="13" s="1"/>
  <c r="AE37" i="13"/>
  <c r="AF37" i="13" s="1"/>
  <c r="AE36" i="13"/>
  <c r="AF36" i="13" s="1"/>
  <c r="AF35" i="13"/>
  <c r="AE35" i="13"/>
  <c r="AE34" i="13"/>
  <c r="AF34" i="13" s="1"/>
  <c r="AE33" i="13"/>
  <c r="AF33" i="13" s="1"/>
  <c r="AE32" i="13"/>
  <c r="AF32" i="13" s="1"/>
  <c r="AE31" i="13"/>
  <c r="AF31" i="13" s="1"/>
  <c r="AE30" i="13"/>
  <c r="AF30" i="13" s="1"/>
  <c r="AE29" i="13"/>
  <c r="AF29" i="13" s="1"/>
  <c r="AE28" i="13"/>
  <c r="AF28" i="13" s="1"/>
  <c r="AE27" i="13"/>
  <c r="AF27" i="13" s="1"/>
  <c r="AF26" i="13"/>
  <c r="AE26" i="13"/>
  <c r="AE25" i="13"/>
  <c r="AF25" i="13" s="1"/>
  <c r="AE24" i="13"/>
  <c r="AF24" i="13" s="1"/>
  <c r="AE23" i="13"/>
  <c r="AF23" i="13" s="1"/>
  <c r="AE22" i="13"/>
  <c r="AF22" i="13" s="1"/>
  <c r="AE21" i="13"/>
  <c r="AF21" i="13" s="1"/>
  <c r="AE20" i="13"/>
  <c r="AF20" i="13" s="1"/>
  <c r="AE19" i="13"/>
  <c r="AF19" i="13" s="1"/>
  <c r="AE18" i="13"/>
  <c r="AF18" i="13" s="1"/>
  <c r="AF17" i="13"/>
  <c r="AE17" i="13"/>
  <c r="AE16" i="13"/>
  <c r="AF16" i="13" s="1"/>
  <c r="AE15" i="13"/>
  <c r="AF15" i="13" s="1"/>
  <c r="AE14" i="13"/>
  <c r="AF14" i="13" s="1"/>
  <c r="AE13" i="13"/>
  <c r="AF13" i="13" s="1"/>
  <c r="AE12" i="13"/>
  <c r="AF12" i="13" s="1"/>
  <c r="AE11" i="13"/>
  <c r="AF11" i="13" s="1"/>
  <c r="AE10" i="13"/>
  <c r="AF10" i="13" s="1"/>
  <c r="AE9" i="13"/>
  <c r="AF9" i="13" s="1"/>
  <c r="AF8" i="13"/>
  <c r="AE8" i="13"/>
  <c r="AE7" i="13"/>
  <c r="AF7" i="13" s="1"/>
  <c r="AE6" i="13"/>
  <c r="AF6" i="13" s="1"/>
  <c r="AE5" i="13"/>
  <c r="AF5" i="13" s="1"/>
  <c r="O8" i="17"/>
  <c r="O7" i="17"/>
  <c r="O6" i="17"/>
  <c r="W39" i="13"/>
  <c r="X39" i="13" s="1"/>
  <c r="W38" i="13"/>
  <c r="X38" i="13" s="1"/>
  <c r="W37" i="13"/>
  <c r="X37" i="13" s="1"/>
  <c r="W36" i="13"/>
  <c r="X36" i="13" s="1"/>
  <c r="W35" i="13"/>
  <c r="X35" i="13" s="1"/>
  <c r="W34" i="13"/>
  <c r="X34" i="13" s="1"/>
  <c r="W33" i="13"/>
  <c r="X33" i="13" s="1"/>
  <c r="X32" i="13"/>
  <c r="W32" i="13"/>
  <c r="W31" i="13"/>
  <c r="X31" i="13" s="1"/>
  <c r="W30" i="13"/>
  <c r="X30" i="13" s="1"/>
  <c r="W29" i="13"/>
  <c r="X29" i="13" s="1"/>
  <c r="W28" i="13"/>
  <c r="X28" i="13" s="1"/>
  <c r="W27" i="13"/>
  <c r="X27" i="13" s="1"/>
  <c r="W26" i="13"/>
  <c r="X26" i="13" s="1"/>
  <c r="W25" i="13"/>
  <c r="X25" i="13" s="1"/>
  <c r="W24" i="13"/>
  <c r="X24" i="13" s="1"/>
  <c r="X23" i="13"/>
  <c r="W23" i="13"/>
  <c r="W22" i="13"/>
  <c r="X22" i="13" s="1"/>
  <c r="W21" i="13"/>
  <c r="X21" i="13" s="1"/>
  <c r="W20" i="13"/>
  <c r="X20" i="13" s="1"/>
  <c r="W19" i="13"/>
  <c r="X19" i="13" s="1"/>
  <c r="W18" i="13"/>
  <c r="X18" i="13" s="1"/>
  <c r="W17" i="13"/>
  <c r="X17" i="13" s="1"/>
  <c r="W16" i="13"/>
  <c r="X16" i="13" s="1"/>
  <c r="W15" i="13"/>
  <c r="X15" i="13" s="1"/>
  <c r="X14" i="13"/>
  <c r="W14" i="13"/>
  <c r="W13" i="13"/>
  <c r="X13" i="13" s="1"/>
  <c r="W12" i="13"/>
  <c r="X12" i="13" s="1"/>
  <c r="W11" i="13"/>
  <c r="X11" i="13" s="1"/>
  <c r="W10" i="13"/>
  <c r="X10" i="13" s="1"/>
  <c r="W9" i="13"/>
  <c r="X9" i="13" s="1"/>
  <c r="W8" i="13"/>
  <c r="X8" i="13" s="1"/>
  <c r="W7" i="13"/>
  <c r="X7" i="13" s="1"/>
  <c r="W6" i="13"/>
  <c r="X6" i="13" s="1"/>
  <c r="X5" i="13"/>
  <c r="W5" i="13"/>
  <c r="J8" i="17"/>
  <c r="J7" i="17"/>
  <c r="J6" i="17"/>
  <c r="O39" i="13"/>
  <c r="P39" i="13" s="1"/>
  <c r="P38" i="13"/>
  <c r="O38" i="13"/>
  <c r="O37" i="13"/>
  <c r="P37" i="13" s="1"/>
  <c r="O36" i="13"/>
  <c r="P36" i="13" s="1"/>
  <c r="O35" i="13"/>
  <c r="P35" i="13" s="1"/>
  <c r="O34" i="13"/>
  <c r="P34" i="13" s="1"/>
  <c r="O33" i="13"/>
  <c r="P33" i="13" s="1"/>
  <c r="O32" i="13"/>
  <c r="P32" i="13" s="1"/>
  <c r="O31" i="13"/>
  <c r="P31" i="13" s="1"/>
  <c r="O30" i="13"/>
  <c r="P30" i="13" s="1"/>
  <c r="P29" i="13"/>
  <c r="O29" i="13"/>
  <c r="O28" i="13"/>
  <c r="P28" i="13" s="1"/>
  <c r="O27" i="13"/>
  <c r="P27" i="13" s="1"/>
  <c r="O26" i="13"/>
  <c r="P26" i="13" s="1"/>
  <c r="O25" i="13"/>
  <c r="P25" i="13" s="1"/>
  <c r="O24" i="13"/>
  <c r="P24" i="13" s="1"/>
  <c r="O23" i="13"/>
  <c r="P23" i="13" s="1"/>
  <c r="O22" i="13"/>
  <c r="P22" i="13" s="1"/>
  <c r="O21" i="13"/>
  <c r="P21" i="13" s="1"/>
  <c r="P20" i="13"/>
  <c r="O20" i="13"/>
  <c r="O19" i="13"/>
  <c r="P19" i="13" s="1"/>
  <c r="O18" i="13"/>
  <c r="P18" i="13" s="1"/>
  <c r="O17" i="13"/>
  <c r="P17" i="13" s="1"/>
  <c r="O16" i="13"/>
  <c r="P16" i="13" s="1"/>
  <c r="O15" i="13"/>
  <c r="P15" i="13" s="1"/>
  <c r="O14" i="13"/>
  <c r="P14" i="13" s="1"/>
  <c r="O13" i="13"/>
  <c r="P13" i="13" s="1"/>
  <c r="O12" i="13"/>
  <c r="P12" i="13" s="1"/>
  <c r="P11" i="13"/>
  <c r="O11" i="13"/>
  <c r="O10" i="13"/>
  <c r="P10" i="13" s="1"/>
  <c r="O9" i="13"/>
  <c r="P9" i="13" s="1"/>
  <c r="O8" i="13"/>
  <c r="P8" i="13" s="1"/>
  <c r="O7" i="13"/>
  <c r="P7" i="13" s="1"/>
  <c r="O6" i="13"/>
  <c r="P6" i="13" s="1"/>
  <c r="O5" i="13"/>
  <c r="P5" i="13" s="1"/>
  <c r="E6" i="17"/>
  <c r="H6" i="13"/>
  <c r="H7" i="13"/>
  <c r="H10" i="13"/>
  <c r="H11" i="13"/>
  <c r="H12" i="13"/>
  <c r="H13" i="13"/>
  <c r="H16" i="13"/>
  <c r="H17" i="13"/>
  <c r="H18" i="13"/>
  <c r="H19" i="13"/>
  <c r="H22" i="13"/>
  <c r="H23" i="13"/>
  <c r="H24" i="13"/>
  <c r="H25" i="13"/>
  <c r="H28" i="13"/>
  <c r="H29" i="13"/>
  <c r="H30" i="13"/>
  <c r="H31" i="13"/>
  <c r="H34" i="13"/>
  <c r="H35" i="13"/>
  <c r="H36" i="13"/>
  <c r="H37" i="13"/>
  <c r="H5" i="13"/>
  <c r="G6" i="13"/>
  <c r="G7" i="13"/>
  <c r="G8" i="13"/>
  <c r="H8" i="13" s="1"/>
  <c r="G9" i="13"/>
  <c r="H9" i="13" s="1"/>
  <c r="G10" i="13"/>
  <c r="G11" i="13"/>
  <c r="G12" i="13"/>
  <c r="G13" i="13"/>
  <c r="G14" i="13"/>
  <c r="H14" i="13" s="1"/>
  <c r="G15" i="13"/>
  <c r="H15" i="13" s="1"/>
  <c r="G16" i="13"/>
  <c r="G17" i="13"/>
  <c r="G18" i="13"/>
  <c r="G19" i="13"/>
  <c r="G20" i="13"/>
  <c r="H20" i="13" s="1"/>
  <c r="G21" i="13"/>
  <c r="H21" i="13" s="1"/>
  <c r="G22" i="13"/>
  <c r="G23" i="13"/>
  <c r="G24" i="13"/>
  <c r="G25" i="13"/>
  <c r="G26" i="13"/>
  <c r="H26" i="13" s="1"/>
  <c r="G27" i="13"/>
  <c r="H27" i="13" s="1"/>
  <c r="G28" i="13"/>
  <c r="G29" i="13"/>
  <c r="G30" i="13"/>
  <c r="G31" i="13"/>
  <c r="G32" i="13"/>
  <c r="H32" i="13" s="1"/>
  <c r="G33" i="13"/>
  <c r="H33" i="13" s="1"/>
  <c r="G34" i="13"/>
  <c r="G35" i="13"/>
  <c r="G36" i="13"/>
  <c r="G37" i="13"/>
  <c r="G38" i="13"/>
  <c r="H38" i="13" s="1"/>
  <c r="G39" i="13"/>
  <c r="H39" i="13" s="1"/>
  <c r="G5" i="13"/>
  <c r="Q82" i="16"/>
  <c r="M82" i="16"/>
  <c r="I82" i="16"/>
  <c r="E82" i="16"/>
  <c r="H21" i="12"/>
  <c r="H20" i="12"/>
  <c r="G19" i="12"/>
  <c r="H19" i="12" s="1"/>
  <c r="G18" i="12"/>
  <c r="H18" i="12" s="1"/>
  <c r="H7" i="12"/>
  <c r="H9" i="12"/>
  <c r="H6" i="12"/>
  <c r="G7" i="12"/>
  <c r="G8" i="12"/>
  <c r="H8" i="12" s="1"/>
  <c r="G9" i="12"/>
  <c r="G10" i="12"/>
  <c r="H10" i="12" s="1"/>
  <c r="G11" i="12"/>
  <c r="H11" i="12" s="1"/>
  <c r="G12" i="12"/>
  <c r="H12" i="12" s="1"/>
  <c r="G6" i="12"/>
  <c r="P67" i="16"/>
  <c r="P66" i="16"/>
  <c r="P65" i="16"/>
  <c r="P64" i="16"/>
  <c r="P63" i="16"/>
  <c r="P69" i="16" s="1"/>
  <c r="L67" i="16"/>
  <c r="L66" i="16"/>
  <c r="L65" i="16"/>
  <c r="L64" i="16"/>
  <c r="L63" i="16"/>
  <c r="H67" i="16"/>
  <c r="H66" i="16"/>
  <c r="H65" i="16"/>
  <c r="H64" i="16"/>
  <c r="H63" i="16"/>
  <c r="H69" i="16" s="1"/>
  <c r="P67" i="15"/>
  <c r="P66" i="15"/>
  <c r="P69" i="15" s="1"/>
  <c r="P65" i="15"/>
  <c r="P64" i="15"/>
  <c r="P63" i="15"/>
  <c r="L67" i="15"/>
  <c r="L66" i="15"/>
  <c r="L65" i="15"/>
  <c r="L64" i="15"/>
  <c r="L63" i="15"/>
  <c r="H67" i="15"/>
  <c r="H66" i="15"/>
  <c r="H65" i="15"/>
  <c r="H64" i="15"/>
  <c r="H63" i="15"/>
  <c r="H69" i="15" s="1"/>
  <c r="P65" i="1"/>
  <c r="P64" i="1"/>
  <c r="P63" i="1"/>
  <c r="P62" i="1"/>
  <c r="P61" i="1"/>
  <c r="P67" i="1" s="1"/>
  <c r="L65" i="1"/>
  <c r="L64" i="1"/>
  <c r="L63" i="1"/>
  <c r="L62" i="1"/>
  <c r="L61" i="1"/>
  <c r="H65" i="1"/>
  <c r="H64" i="1"/>
  <c r="H63" i="1"/>
  <c r="H62" i="1"/>
  <c r="H61" i="1"/>
  <c r="H67" i="1" s="1"/>
  <c r="D67" i="16"/>
  <c r="D67" i="15"/>
  <c r="D65" i="1"/>
  <c r="D66" i="16"/>
  <c r="D66" i="15"/>
  <c r="D64" i="1"/>
  <c r="D65" i="16"/>
  <c r="D69" i="16" s="1"/>
  <c r="D65" i="15"/>
  <c r="D63" i="1"/>
  <c r="D64" i="16"/>
  <c r="D64" i="15"/>
  <c r="D62" i="1"/>
  <c r="D67" i="1" s="1"/>
  <c r="D63" i="16"/>
  <c r="D69" i="15"/>
  <c r="D52" i="15"/>
  <c r="D61" i="1"/>
  <c r="D52" i="16"/>
  <c r="D53" i="16" s="1"/>
  <c r="P55" i="16"/>
  <c r="P52" i="16"/>
  <c r="P53" i="16" s="1"/>
  <c r="L55" i="16"/>
  <c r="L52" i="16"/>
  <c r="L53" i="16" s="1"/>
  <c r="H55" i="16"/>
  <c r="H52" i="16"/>
  <c r="H53" i="16" s="1"/>
  <c r="D55" i="16"/>
  <c r="P55" i="15"/>
  <c r="P52" i="15"/>
  <c r="P53" i="15" s="1"/>
  <c r="L55" i="15"/>
  <c r="L52" i="15"/>
  <c r="L53" i="15" s="1"/>
  <c r="H55" i="15"/>
  <c r="H52" i="15"/>
  <c r="H53" i="15" s="1"/>
  <c r="H54" i="1"/>
  <c r="L54" i="1"/>
  <c r="P54" i="1"/>
  <c r="H40" i="13" l="1"/>
  <c r="J9" i="17"/>
  <c r="H21" i="11" s="1"/>
  <c r="T9" i="17"/>
  <c r="AF41" i="13" s="1"/>
  <c r="O9" i="17"/>
  <c r="AF40" i="13"/>
  <c r="X40" i="13"/>
  <c r="P40" i="13"/>
  <c r="H13" i="12"/>
  <c r="H14" i="12" s="1"/>
  <c r="L69" i="16"/>
  <c r="L69" i="15"/>
  <c r="L67" i="1"/>
  <c r="D55" i="15"/>
  <c r="P51" i="1"/>
  <c r="L51" i="1"/>
  <c r="L52" i="1" s="1"/>
  <c r="H51" i="1"/>
  <c r="H52" i="1" s="1"/>
  <c r="Q39" i="16"/>
  <c r="M39" i="16"/>
  <c r="I39" i="16"/>
  <c r="E39" i="16"/>
  <c r="Q39" i="15"/>
  <c r="M39" i="15"/>
  <c r="I39" i="15"/>
  <c r="E39" i="15"/>
  <c r="E40" i="1"/>
  <c r="I40" i="1"/>
  <c r="P93" i="16"/>
  <c r="Q78" i="16"/>
  <c r="P34" i="16"/>
  <c r="P56" i="16" s="1"/>
  <c r="Q14" i="16"/>
  <c r="Q13" i="16"/>
  <c r="Q38" i="16" s="1"/>
  <c r="P1" i="16"/>
  <c r="L93" i="16"/>
  <c r="M78" i="16"/>
  <c r="L34" i="16"/>
  <c r="L56" i="16" s="1"/>
  <c r="M14" i="16"/>
  <c r="M13" i="16"/>
  <c r="M38" i="16" s="1"/>
  <c r="L1" i="16"/>
  <c r="H93" i="16"/>
  <c r="I78" i="16"/>
  <c r="H34" i="16"/>
  <c r="H56" i="16" s="1"/>
  <c r="I13" i="16"/>
  <c r="I38" i="16" s="1"/>
  <c r="H1" i="16"/>
  <c r="P92" i="15"/>
  <c r="Q78" i="15"/>
  <c r="P34" i="15"/>
  <c r="P56" i="15" s="1"/>
  <c r="Q12" i="15"/>
  <c r="Q38" i="15" s="1"/>
  <c r="P1" i="15"/>
  <c r="L92" i="15"/>
  <c r="M78" i="15"/>
  <c r="L34" i="15"/>
  <c r="L56" i="15" s="1"/>
  <c r="M12" i="15"/>
  <c r="M38" i="15" s="1"/>
  <c r="L1" i="15"/>
  <c r="H92" i="15"/>
  <c r="I78" i="15"/>
  <c r="H34" i="15"/>
  <c r="H56" i="15" s="1"/>
  <c r="I12" i="15"/>
  <c r="I38" i="15" s="1"/>
  <c r="H1" i="15"/>
  <c r="P88" i="1"/>
  <c r="Q74" i="1"/>
  <c r="Q40" i="1"/>
  <c r="P35" i="1"/>
  <c r="Q12" i="1"/>
  <c r="Q39" i="1" s="1"/>
  <c r="L88" i="1"/>
  <c r="M74" i="1"/>
  <c r="M40" i="1"/>
  <c r="L35" i="1"/>
  <c r="L55" i="1" s="1"/>
  <c r="M12" i="1"/>
  <c r="M39" i="1" s="1"/>
  <c r="H88" i="1"/>
  <c r="I74" i="1"/>
  <c r="H35" i="1"/>
  <c r="H55" i="1" s="1"/>
  <c r="I12" i="1"/>
  <c r="I39" i="1" s="1"/>
  <c r="AF42" i="13" l="1"/>
  <c r="P41" i="13"/>
  <c r="P42" i="13" s="1"/>
  <c r="I79" i="1" s="1"/>
  <c r="H9" i="11"/>
  <c r="H15" i="11"/>
  <c r="X41" i="13"/>
  <c r="X42" i="13" s="1"/>
  <c r="M21" i="11"/>
  <c r="M15" i="11"/>
  <c r="Q83" i="15"/>
  <c r="Q79" i="1"/>
  <c r="I83" i="15"/>
  <c r="M82" i="15"/>
  <c r="E78" i="1"/>
  <c r="I82" i="15"/>
  <c r="Q78" i="1"/>
  <c r="M78" i="1"/>
  <c r="Q82" i="15"/>
  <c r="I78" i="1"/>
  <c r="Q42" i="16"/>
  <c r="Q47" i="16" s="1"/>
  <c r="I42" i="16"/>
  <c r="I47" i="16" s="1"/>
  <c r="I16" i="16"/>
  <c r="I102" i="16" s="1"/>
  <c r="M16" i="16"/>
  <c r="M21" i="16" s="1"/>
  <c r="I43" i="1"/>
  <c r="I47" i="1" s="1"/>
  <c r="Q16" i="16"/>
  <c r="Q43" i="1"/>
  <c r="Q47" i="1" s="1"/>
  <c r="M43" i="1"/>
  <c r="M47" i="1" s="1"/>
  <c r="P52" i="1"/>
  <c r="Q42" i="15"/>
  <c r="Q47" i="15" s="1"/>
  <c r="I42" i="15"/>
  <c r="I47" i="15" s="1"/>
  <c r="M42" i="16"/>
  <c r="M47" i="16" s="1"/>
  <c r="M42" i="15"/>
  <c r="M47" i="15" s="1"/>
  <c r="P55" i="1"/>
  <c r="M83" i="15" l="1"/>
  <c r="M79" i="1"/>
  <c r="I64" i="16"/>
  <c r="I66" i="16"/>
  <c r="Q102" i="16"/>
  <c r="Q64" i="16"/>
  <c r="Q66" i="16"/>
  <c r="M66" i="16"/>
  <c r="M64" i="16"/>
  <c r="M22" i="16"/>
  <c r="M102" i="16"/>
  <c r="M23" i="16"/>
  <c r="Q21" i="16"/>
  <c r="Q22" i="16"/>
  <c r="Q23" i="16"/>
  <c r="E7" i="17"/>
  <c r="D93" i="16" l="1"/>
  <c r="D92" i="15"/>
  <c r="E13" i="16" l="1"/>
  <c r="E38" i="16" s="1"/>
  <c r="D34" i="16"/>
  <c r="D56" i="16" s="1"/>
  <c r="D34" i="15"/>
  <c r="D53" i="15"/>
  <c r="D35" i="1"/>
  <c r="D56" i="15" l="1"/>
  <c r="I86" i="15" l="1"/>
  <c r="M82" i="1"/>
  <c r="M99" i="1" s="1"/>
  <c r="M86" i="15"/>
  <c r="Q82" i="1"/>
  <c r="Q99" i="1" s="1"/>
  <c r="I82" i="1"/>
  <c r="I99" i="1" s="1"/>
  <c r="Q86" i="15"/>
  <c r="Q105" i="15" s="1"/>
  <c r="M105" i="15" l="1"/>
  <c r="I105" i="15"/>
  <c r="B2" i="11"/>
  <c r="B5" i="12" l="1"/>
  <c r="E1" i="17"/>
  <c r="E8" i="17"/>
  <c r="E9" i="17" s="1"/>
  <c r="D1" i="16"/>
  <c r="D1" i="15"/>
  <c r="E12" i="1"/>
  <c r="E39" i="1" s="1"/>
  <c r="E12" i="15"/>
  <c r="E38" i="15" s="1"/>
  <c r="E78" i="16"/>
  <c r="E78" i="15"/>
  <c r="H42" i="13" l="1"/>
  <c r="E83" i="15" s="1"/>
  <c r="C9" i="11"/>
  <c r="C15" i="11"/>
  <c r="C21" i="11"/>
  <c r="C20" i="11"/>
  <c r="C14" i="11"/>
  <c r="C8" i="11"/>
  <c r="I15" i="15"/>
  <c r="Q15" i="15"/>
  <c r="Q14" i="15"/>
  <c r="I14" i="15"/>
  <c r="Q13" i="15"/>
  <c r="I13" i="15"/>
  <c r="M15" i="15"/>
  <c r="M14" i="15"/>
  <c r="M13" i="15"/>
  <c r="Q17" i="1"/>
  <c r="M15" i="1"/>
  <c r="I13" i="1"/>
  <c r="Q16" i="1"/>
  <c r="M14" i="1"/>
  <c r="Q14" i="1"/>
  <c r="I16" i="1"/>
  <c r="Q13" i="1"/>
  <c r="M17" i="1"/>
  <c r="I15" i="1"/>
  <c r="M16" i="1"/>
  <c r="I14" i="1"/>
  <c r="Q15" i="1"/>
  <c r="M13" i="1"/>
  <c r="I17" i="1"/>
  <c r="E14" i="15"/>
  <c r="E17" i="1"/>
  <c r="E13" i="1"/>
  <c r="E42" i="15"/>
  <c r="E47" i="15" s="1"/>
  <c r="E13" i="15"/>
  <c r="E42" i="16"/>
  <c r="E47" i="16" s="1"/>
  <c r="E16" i="16"/>
  <c r="E15" i="15"/>
  <c r="E16" i="1"/>
  <c r="E15" i="1"/>
  <c r="E14" i="1"/>
  <c r="D88" i="1"/>
  <c r="E79" i="1" l="1"/>
  <c r="E64" i="16"/>
  <c r="E66" i="16"/>
  <c r="Q16" i="15"/>
  <c r="M16" i="15"/>
  <c r="I16" i="15"/>
  <c r="M18" i="1"/>
  <c r="Q18" i="1"/>
  <c r="I18" i="1"/>
  <c r="I23" i="16"/>
  <c r="I22" i="16"/>
  <c r="I21" i="16"/>
  <c r="E23" i="16"/>
  <c r="E22" i="16"/>
  <c r="E102" i="16"/>
  <c r="E21" i="16"/>
  <c r="E18" i="1"/>
  <c r="Q66" i="15" l="1"/>
  <c r="Q64" i="15"/>
  <c r="I66" i="15"/>
  <c r="I64" i="15"/>
  <c r="M66" i="15"/>
  <c r="M64" i="15"/>
  <c r="E64" i="1"/>
  <c r="E63" i="1"/>
  <c r="M64" i="1"/>
  <c r="Q101" i="15"/>
  <c r="I101" i="15"/>
  <c r="M101" i="15"/>
  <c r="I95" i="1"/>
  <c r="M95" i="1"/>
  <c r="Q95" i="1"/>
  <c r="E22" i="1"/>
  <c r="I23" i="1"/>
  <c r="M23" i="1"/>
  <c r="M24" i="1"/>
  <c r="I22" i="1"/>
  <c r="Q24" i="1"/>
  <c r="M22" i="1"/>
  <c r="Q23" i="1"/>
  <c r="Q22" i="1"/>
  <c r="I24" i="1"/>
  <c r="Q24" i="16"/>
  <c r="M24" i="16"/>
  <c r="M54" i="16" s="1"/>
  <c r="I24" i="16"/>
  <c r="E24" i="16"/>
  <c r="E54" i="16" s="1"/>
  <c r="E55" i="16"/>
  <c r="E52" i="16"/>
  <c r="E68" i="16"/>
  <c r="E33" i="16"/>
  <c r="E29" i="16"/>
  <c r="E24" i="1"/>
  <c r="E23" i="1"/>
  <c r="E95" i="1"/>
  <c r="E32" i="16" l="1"/>
  <c r="E27" i="16"/>
  <c r="I54" i="16"/>
  <c r="I57" i="16"/>
  <c r="Q54" i="16"/>
  <c r="Q57" i="16"/>
  <c r="E65" i="16"/>
  <c r="E26" i="16"/>
  <c r="I33" i="16"/>
  <c r="I26" i="16"/>
  <c r="I28" i="16"/>
  <c r="I27" i="16"/>
  <c r="I45" i="16"/>
  <c r="I53" i="16"/>
  <c r="I56" i="16"/>
  <c r="I55" i="16"/>
  <c r="I52" i="16"/>
  <c r="E25" i="1"/>
  <c r="Q34" i="1" s="1"/>
  <c r="M45" i="16"/>
  <c r="M27" i="16"/>
  <c r="M28" i="16"/>
  <c r="M53" i="16"/>
  <c r="M26" i="16"/>
  <c r="M29" i="16"/>
  <c r="M33" i="16"/>
  <c r="M52" i="16"/>
  <c r="M32" i="16"/>
  <c r="M31" i="16"/>
  <c r="M57" i="16"/>
  <c r="M56" i="16"/>
  <c r="M30" i="16"/>
  <c r="M55" i="16"/>
  <c r="Q45" i="16"/>
  <c r="Q53" i="16"/>
  <c r="Q28" i="16"/>
  <c r="Q29" i="16"/>
  <c r="Q27" i="16"/>
  <c r="Q26" i="16"/>
  <c r="Q33" i="16"/>
  <c r="Q32" i="16"/>
  <c r="Q52" i="16"/>
  <c r="Q31" i="16"/>
  <c r="Q30" i="16"/>
  <c r="Q55" i="16"/>
  <c r="Q56" i="16"/>
  <c r="I25" i="1"/>
  <c r="Q25" i="1"/>
  <c r="M25" i="1"/>
  <c r="E31" i="16"/>
  <c r="I30" i="16"/>
  <c r="I29" i="16"/>
  <c r="I32" i="16"/>
  <c r="I31" i="16"/>
  <c r="I68" i="16"/>
  <c r="I65" i="16"/>
  <c r="M68" i="16"/>
  <c r="M65" i="16"/>
  <c r="Q65" i="16"/>
  <c r="Q68" i="16"/>
  <c r="E30" i="16"/>
  <c r="E57" i="16"/>
  <c r="E28" i="16"/>
  <c r="E56" i="16"/>
  <c r="E45" i="16"/>
  <c r="E53" i="16"/>
  <c r="M34" i="1" l="1"/>
  <c r="I34" i="1"/>
  <c r="M30" i="1"/>
  <c r="Q30" i="1"/>
  <c r="E27" i="1"/>
  <c r="Q66" i="1"/>
  <c r="M31" i="1"/>
  <c r="M33" i="1"/>
  <c r="I30" i="1"/>
  <c r="Q31" i="1"/>
  <c r="E30" i="1"/>
  <c r="I32" i="1"/>
  <c r="I28" i="1"/>
  <c r="Q27" i="1"/>
  <c r="M66" i="1"/>
  <c r="I31" i="1"/>
  <c r="E52" i="1"/>
  <c r="Q29" i="1"/>
  <c r="I29" i="1"/>
  <c r="E29" i="1"/>
  <c r="M32" i="1"/>
  <c r="E54" i="1"/>
  <c r="E56" i="1"/>
  <c r="Q33" i="1"/>
  <c r="M27" i="1"/>
  <c r="M54" i="1"/>
  <c r="I33" i="1"/>
  <c r="M28" i="1"/>
  <c r="Q32" i="1"/>
  <c r="M29" i="1"/>
  <c r="Q28" i="1"/>
  <c r="I54" i="1"/>
  <c r="I53" i="1"/>
  <c r="I56" i="1"/>
  <c r="E34" i="16"/>
  <c r="E34" i="1"/>
  <c r="I27" i="1"/>
  <c r="I45" i="1"/>
  <c r="I55" i="1"/>
  <c r="I52" i="1"/>
  <c r="M45" i="1"/>
  <c r="M56" i="1"/>
  <c r="M55" i="1"/>
  <c r="Q45" i="1"/>
  <c r="Q56" i="1"/>
  <c r="Q55" i="1"/>
  <c r="M58" i="16"/>
  <c r="M104" i="16" s="1"/>
  <c r="Q58" i="16"/>
  <c r="Q104" i="16" s="1"/>
  <c r="I58" i="16"/>
  <c r="I104" i="16" s="1"/>
  <c r="Q34" i="16"/>
  <c r="I34" i="16"/>
  <c r="M34" i="16"/>
  <c r="E58" i="16"/>
  <c r="I46" i="16" l="1"/>
  <c r="I48" i="16" s="1"/>
  <c r="I103" i="16" s="1"/>
  <c r="I67" i="16"/>
  <c r="I63" i="16"/>
  <c r="I70" i="16" s="1"/>
  <c r="I105" i="16" s="1"/>
  <c r="E46" i="16"/>
  <c r="E48" i="16" s="1"/>
  <c r="E103" i="16" s="1"/>
  <c r="E67" i="16"/>
  <c r="E63" i="16"/>
  <c r="M36" i="1"/>
  <c r="M46" i="1" s="1"/>
  <c r="M48" i="1" s="1"/>
  <c r="M96" i="1" s="1"/>
  <c r="Q36" i="1"/>
  <c r="Q46" i="1" s="1"/>
  <c r="Q48" i="1" s="1"/>
  <c r="Q96" i="1" s="1"/>
  <c r="Q46" i="16"/>
  <c r="Q48" i="16" s="1"/>
  <c r="Q103" i="16" s="1"/>
  <c r="Q67" i="16"/>
  <c r="Q63" i="16"/>
  <c r="M46" i="16"/>
  <c r="M48" i="16" s="1"/>
  <c r="M103" i="16" s="1"/>
  <c r="M63" i="16"/>
  <c r="M67" i="16"/>
  <c r="I36" i="1"/>
  <c r="I57" i="1"/>
  <c r="I97" i="1" s="1"/>
  <c r="M57" i="1"/>
  <c r="M97" i="1" s="1"/>
  <c r="Q57" i="1"/>
  <c r="Q97" i="1" s="1"/>
  <c r="E104" i="16"/>
  <c r="I77" i="16" l="1"/>
  <c r="I79" i="16" s="1"/>
  <c r="Q70" i="16"/>
  <c r="Q77" i="16" s="1"/>
  <c r="Q79" i="16" s="1"/>
  <c r="Q65" i="1"/>
  <c r="M65" i="1"/>
  <c r="M68" i="1"/>
  <c r="I46" i="1"/>
  <c r="I48" i="1" s="1"/>
  <c r="I96" i="1" s="1"/>
  <c r="M70" i="16"/>
  <c r="E70" i="16"/>
  <c r="Q68" i="1" l="1"/>
  <c r="Q73" i="1" s="1"/>
  <c r="Q75" i="1" s="1"/>
  <c r="Q83" i="1" s="1"/>
  <c r="Q105" i="16"/>
  <c r="I68" i="1"/>
  <c r="I73" i="1" s="1"/>
  <c r="I75" i="1" s="1"/>
  <c r="I83" i="1" s="1"/>
  <c r="M77" i="16"/>
  <c r="M79" i="16" s="1"/>
  <c r="M105" i="16"/>
  <c r="Q98" i="1"/>
  <c r="Q100" i="1" s="1"/>
  <c r="M73" i="1"/>
  <c r="M75" i="1" s="1"/>
  <c r="M83" i="1" s="1"/>
  <c r="M98" i="1"/>
  <c r="M100" i="1" s="1"/>
  <c r="E77" i="16"/>
  <c r="E79" i="16" s="1"/>
  <c r="E105" i="16"/>
  <c r="M86" i="1" l="1"/>
  <c r="M87" i="1" s="1"/>
  <c r="Q86" i="1"/>
  <c r="I86" i="1"/>
  <c r="I87" i="1" s="1"/>
  <c r="E86" i="16"/>
  <c r="E106" i="16" s="1"/>
  <c r="E107" i="16" s="1"/>
  <c r="Q86" i="16"/>
  <c r="I86" i="16"/>
  <c r="M86" i="16"/>
  <c r="M106" i="16" s="1"/>
  <c r="M107" i="16" s="1"/>
  <c r="I98" i="1"/>
  <c r="I100" i="1" s="1"/>
  <c r="Q87" i="1" l="1"/>
  <c r="I106" i="16"/>
  <c r="I107" i="16" s="1"/>
  <c r="I87" i="16"/>
  <c r="I91" i="16" s="1"/>
  <c r="M87" i="16"/>
  <c r="Q106" i="16"/>
  <c r="Q107" i="16" s="1"/>
  <c r="Q87" i="16"/>
  <c r="E87" i="16"/>
  <c r="E91" i="16" l="1"/>
  <c r="E92" i="16" s="1"/>
  <c r="E95" i="16" s="1"/>
  <c r="Q92" i="1"/>
  <c r="Q101" i="1" s="1"/>
  <c r="Q102" i="1" s="1"/>
  <c r="M92" i="1"/>
  <c r="M101" i="1" s="1"/>
  <c r="M102" i="1" s="1"/>
  <c r="N8" i="11" s="1"/>
  <c r="O8" i="11" s="1"/>
  <c r="I92" i="1"/>
  <c r="I101" i="1" s="1"/>
  <c r="I102" i="1" s="1"/>
  <c r="Q91" i="16"/>
  <c r="M91" i="16"/>
  <c r="I92" i="16"/>
  <c r="I96" i="16" s="1"/>
  <c r="E86" i="15"/>
  <c r="E82" i="1"/>
  <c r="N20" i="11" l="1"/>
  <c r="O20" i="11" s="1"/>
  <c r="S8" i="11"/>
  <c r="T8" i="11" s="1"/>
  <c r="S20" i="11"/>
  <c r="T20" i="11" s="1"/>
  <c r="E105" i="15"/>
  <c r="I95" i="16"/>
  <c r="I94" i="16"/>
  <c r="M92" i="16"/>
  <c r="M96" i="16" s="1"/>
  <c r="Q92" i="16"/>
  <c r="Q96" i="16" s="1"/>
  <c r="E94" i="16"/>
  <c r="E96" i="16"/>
  <c r="I97" i="16" l="1"/>
  <c r="I108" i="16" s="1"/>
  <c r="I109" i="16" s="1"/>
  <c r="M94" i="16"/>
  <c r="Q95" i="16"/>
  <c r="M95" i="16"/>
  <c r="Q94" i="16"/>
  <c r="E97" i="16"/>
  <c r="E108" i="16" s="1"/>
  <c r="E109" i="16" s="1"/>
  <c r="I15" i="11" l="1"/>
  <c r="I9" i="11"/>
  <c r="J9" i="11" s="1"/>
  <c r="D21" i="11"/>
  <c r="D9" i="11"/>
  <c r="E9" i="11" s="1"/>
  <c r="M97" i="16"/>
  <c r="M108" i="16" s="1"/>
  <c r="M109" i="16" s="1"/>
  <c r="Q97" i="16"/>
  <c r="Q108" i="16" s="1"/>
  <c r="Q109" i="16" s="1"/>
  <c r="D15" i="11"/>
  <c r="E74" i="1"/>
  <c r="S15" i="11" l="1"/>
  <c r="T15" i="11" s="1"/>
  <c r="S9" i="11"/>
  <c r="T9" i="11" s="1"/>
  <c r="T10" i="11" s="1"/>
  <c r="S21" i="11"/>
  <c r="T21" i="11" s="1"/>
  <c r="T22" i="11" s="1"/>
  <c r="N21" i="11"/>
  <c r="O21" i="11" s="1"/>
  <c r="O22" i="11" s="1"/>
  <c r="N9" i="11"/>
  <c r="I21" i="11"/>
  <c r="J15" i="11"/>
  <c r="E15" i="11"/>
  <c r="E21" i="11"/>
  <c r="N15" i="11" l="1"/>
  <c r="O15" i="11" s="1"/>
  <c r="O9" i="11"/>
  <c r="O10" i="11" s="1"/>
  <c r="J21" i="11"/>
  <c r="E43" i="1"/>
  <c r="E47" i="1" s="1"/>
  <c r="E45" i="1" l="1"/>
  <c r="E55" i="1"/>
  <c r="E57" i="1" s="1"/>
  <c r="E83" i="1" s="1"/>
  <c r="E66" i="1"/>
  <c r="E31" i="1"/>
  <c r="E33" i="1"/>
  <c r="E32" i="1"/>
  <c r="E28" i="1"/>
  <c r="E86" i="1" l="1"/>
  <c r="E87" i="1" s="1"/>
  <c r="E89" i="1" s="1"/>
  <c r="E36" i="1"/>
  <c r="E65" i="1" l="1"/>
  <c r="E46" i="1"/>
  <c r="E48" i="1" s="1"/>
  <c r="E68" i="1" l="1"/>
  <c r="E73" i="1" s="1"/>
  <c r="E96" i="1"/>
  <c r="E97" i="1" l="1"/>
  <c r="E75" i="1" l="1"/>
  <c r="E98" i="1"/>
  <c r="E91" i="1" l="1"/>
  <c r="E90" i="1"/>
  <c r="E99" i="1"/>
  <c r="E100" i="1" s="1"/>
  <c r="E92" i="1" l="1"/>
  <c r="E101" i="1" s="1"/>
  <c r="E102" i="1" s="1"/>
  <c r="D8" i="11" s="1"/>
  <c r="E8" i="11" l="1"/>
  <c r="E10" i="11" s="1"/>
  <c r="D20" i="11"/>
  <c r="E20" i="11" s="1"/>
  <c r="E22" i="11" l="1"/>
  <c r="E16" i="15" l="1"/>
  <c r="E66" i="15" l="1"/>
  <c r="E65" i="15"/>
  <c r="E64" i="15"/>
  <c r="Q21" i="15"/>
  <c r="M22" i="15"/>
  <c r="M21" i="15"/>
  <c r="Q23" i="15"/>
  <c r="I23" i="15"/>
  <c r="Q22" i="15"/>
  <c r="I22" i="15"/>
  <c r="I21" i="15"/>
  <c r="M23" i="15"/>
  <c r="E101" i="15"/>
  <c r="E21" i="15"/>
  <c r="E22" i="15"/>
  <c r="E23" i="15"/>
  <c r="I24" i="15" l="1"/>
  <c r="I54" i="15" s="1"/>
  <c r="Q24" i="15"/>
  <c r="Q54" i="15" s="1"/>
  <c r="M24" i="15"/>
  <c r="E24" i="15"/>
  <c r="E54" i="15" s="1"/>
  <c r="M54" i="15" l="1"/>
  <c r="M57" i="15"/>
  <c r="E26" i="15"/>
  <c r="E33" i="15"/>
  <c r="E52" i="15"/>
  <c r="M45" i="15"/>
  <c r="M27" i="15"/>
  <c r="M26" i="15"/>
  <c r="M55" i="15"/>
  <c r="M32" i="15"/>
  <c r="M28" i="15"/>
  <c r="M29" i="15"/>
  <c r="M30" i="15"/>
  <c r="M53" i="15"/>
  <c r="M31" i="15"/>
  <c r="M52" i="15"/>
  <c r="M56" i="15"/>
  <c r="M33" i="15"/>
  <c r="Q45" i="15"/>
  <c r="Q31" i="15"/>
  <c r="Q32" i="15"/>
  <c r="Q33" i="15"/>
  <c r="Q28" i="15"/>
  <c r="Q29" i="15"/>
  <c r="Q30" i="15"/>
  <c r="Q34" i="15"/>
  <c r="Q27" i="15"/>
  <c r="Q26" i="15"/>
  <c r="Q57" i="15"/>
  <c r="Q53" i="15"/>
  <c r="Q52" i="15"/>
  <c r="Q56" i="15"/>
  <c r="Q55" i="15"/>
  <c r="I45" i="15"/>
  <c r="I30" i="15"/>
  <c r="I33" i="15"/>
  <c r="I34" i="15"/>
  <c r="I26" i="15"/>
  <c r="I31" i="15"/>
  <c r="I32" i="15"/>
  <c r="I27" i="15"/>
  <c r="I28" i="15"/>
  <c r="I29" i="15"/>
  <c r="I53" i="15"/>
  <c r="I52" i="15"/>
  <c r="I55" i="15"/>
  <c r="I57" i="15"/>
  <c r="I56" i="15"/>
  <c r="I65" i="15"/>
  <c r="Q65" i="15"/>
  <c r="M65" i="15"/>
  <c r="E55" i="15"/>
  <c r="E57" i="15"/>
  <c r="E53" i="15"/>
  <c r="E56" i="15"/>
  <c r="E29" i="15"/>
  <c r="E31" i="15"/>
  <c r="E27" i="15"/>
  <c r="E32" i="15"/>
  <c r="E45" i="15"/>
  <c r="E30" i="15"/>
  <c r="E28" i="15"/>
  <c r="Q63" i="15" l="1"/>
  <c r="Q67" i="15"/>
  <c r="I67" i="15"/>
  <c r="I63" i="15"/>
  <c r="I70" i="15" s="1"/>
  <c r="M58" i="15"/>
  <c r="Q70" i="15"/>
  <c r="M34" i="15"/>
  <c r="I58" i="15"/>
  <c r="Q58" i="15"/>
  <c r="Q103" i="15" s="1"/>
  <c r="I46" i="15"/>
  <c r="I48" i="15" s="1"/>
  <c r="I102" i="15" s="1"/>
  <c r="Q46" i="15"/>
  <c r="Q48" i="15" s="1"/>
  <c r="Q102" i="15" s="1"/>
  <c r="E58" i="15"/>
  <c r="E34" i="15"/>
  <c r="M103" i="15" l="1"/>
  <c r="M87" i="15"/>
  <c r="I103" i="15"/>
  <c r="I87" i="15"/>
  <c r="M46" i="15"/>
  <c r="M48" i="15" s="1"/>
  <c r="M102" i="15" s="1"/>
  <c r="M67" i="15"/>
  <c r="M63" i="15"/>
  <c r="M70" i="15" s="1"/>
  <c r="M104" i="15" s="1"/>
  <c r="E46" i="15"/>
  <c r="E48" i="15" s="1"/>
  <c r="E102" i="15" s="1"/>
  <c r="E67" i="15"/>
  <c r="E70" i="15"/>
  <c r="I77" i="15"/>
  <c r="I79" i="15" s="1"/>
  <c r="I104" i="15"/>
  <c r="I106" i="15" s="1"/>
  <c r="Q77" i="15"/>
  <c r="Q79" i="15" s="1"/>
  <c r="Q87" i="15" s="1"/>
  <c r="Q104" i="15"/>
  <c r="Q106" i="15" s="1"/>
  <c r="M77" i="15" l="1"/>
  <c r="M79" i="15" s="1"/>
  <c r="M106" i="15"/>
  <c r="M90" i="15"/>
  <c r="M91" i="15" s="1"/>
  <c r="M94" i="15" s="1"/>
  <c r="I90" i="15"/>
  <c r="I91" i="15" s="1"/>
  <c r="I95" i="15" s="1"/>
  <c r="Q90" i="15"/>
  <c r="Q91" i="15" s="1"/>
  <c r="E103" i="15"/>
  <c r="M93" i="15" l="1"/>
  <c r="Q94" i="15"/>
  <c r="Q95" i="15"/>
  <c r="M95" i="15"/>
  <c r="Q93" i="15"/>
  <c r="I93" i="15"/>
  <c r="I94" i="15"/>
  <c r="E77" i="15"/>
  <c r="E79" i="15" s="1"/>
  <c r="E87" i="15" s="1"/>
  <c r="E104" i="15"/>
  <c r="E106" i="15" s="1"/>
  <c r="E90" i="15" l="1"/>
  <c r="E91" i="15" s="1"/>
  <c r="E93" i="15"/>
  <c r="Q96" i="15"/>
  <c r="Q107" i="15" s="1"/>
  <c r="Q108" i="15" s="1"/>
  <c r="S14" i="11" s="1"/>
  <c r="T14" i="11" s="1"/>
  <c r="T16" i="11" s="1"/>
  <c r="M96" i="15"/>
  <c r="M107" i="15" s="1"/>
  <c r="M108" i="15" s="1"/>
  <c r="N14" i="11" s="1"/>
  <c r="O14" i="11" s="1"/>
  <c r="O16" i="11" s="1"/>
  <c r="I96" i="15"/>
  <c r="I107" i="15" s="1"/>
  <c r="I108" i="15" s="1"/>
  <c r="I14" i="11" l="1"/>
  <c r="I8" i="11"/>
  <c r="J8" i="11" s="1"/>
  <c r="J10" i="11" s="1"/>
  <c r="E94" i="15"/>
  <c r="E95" i="15"/>
  <c r="I20" i="11" l="1"/>
  <c r="J20" i="11" s="1"/>
  <c r="J22" i="11" s="1"/>
  <c r="J14" i="11"/>
  <c r="J16" i="11" s="1"/>
  <c r="E96" i="15"/>
  <c r="E107" i="15" s="1"/>
  <c r="E108" i="15" s="1"/>
  <c r="D14" i="11" s="1"/>
  <c r="E14" i="11" s="1"/>
  <c r="E16" i="11" s="1"/>
</calcChain>
</file>

<file path=xl/sharedStrings.xml><?xml version="1.0" encoding="utf-8"?>
<sst xmlns="http://schemas.openxmlformats.org/spreadsheetml/2006/main" count="2471" uniqueCount="196">
  <si>
    <t>Dados complementares para composição dos custos referente à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</si>
  <si>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</si>
  <si>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</si>
  <si>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</si>
  <si>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Data base da categoria (dia/mês/ano)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</si>
  <si>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</si>
  <si>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</si>
  <si>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</si>
  <si>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</si>
  <si>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</si>
  <si>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</si>
  <si>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</si>
  <si>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</si>
  <si>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</si>
  <si>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</si>
  <si>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</si>
  <si>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</si>
  <si>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</si>
  <si>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G</t>
  </si>
  <si>
    <t>Outros (especificar)</t>
  </si>
  <si>
    <t>Total</t>
  </si>
  <si>
    <t>Módulo 2 - Encargos e Benefícios Anuais, Mensais e Diários</t>
  </si>
  <si>
    <t>Submódulo 2.1 - 13º (décimo terceiro) Sal ário, Férias e Adicional de Férias</t>
  </si>
  <si>
    <t>2.1</t>
  </si>
  <si>
    <t>13º (décimo terceiro) Salário, Férias e Adicional de Férias</t>
  </si>
  <si>
    <t>13º (décimo terceiro) Salário</t>
  </si>
  <si>
    <t>2.2</t>
  </si>
  <si>
    <t>GPS, FGTS e outras contribuições</t>
  </si>
  <si>
    <t>(%)</t>
  </si>
  <si>
    <t>INSS</t>
  </si>
  <si>
    <t>Salário Educação</t>
  </si>
  <si>
    <t>SAT</t>
  </si>
  <si>
    <t>SESC ou SESI</t>
  </si>
  <si>
    <t>SENAI - SENAC</t>
  </si>
  <si>
    <t>F</t>
  </si>
  <si>
    <t>SEBRAE</t>
  </si>
  <si>
    <t>INCRA</t>
  </si>
  <si>
    <t>H</t>
  </si>
  <si>
    <t>FGTS</t>
  </si>
  <si>
    <t>Nota: Os percentuais dos encargos previdenciários, do FGTS e demais contribuições são aqueles estabelecidos pela legislação vigente.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</si>
  <si>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</si>
  <si>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</si>
  <si>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</si>
  <si>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</si>
  <si>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</si>
  <si>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</si>
  <si>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</si>
  <si>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</si>
  <si>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</si>
  <si>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</si>
  <si>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</si>
  <si>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</si>
  <si>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</si>
  <si>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Submódulo 4.1 - Ausências Legais</t>
  </si>
  <si>
    <t>4.1</t>
  </si>
  <si>
    <t>Ausências Legais</t>
  </si>
  <si>
    <t>Submódulo 4.2 - Intrajornada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</si>
  <si>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</si>
  <si>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</si>
  <si>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</si>
  <si>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</si>
  <si>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</si>
  <si>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Módulo 6 - Custos Indiretos, Tributos e Lucro</t>
  </si>
  <si>
    <t>Custos Indiretos, Tributos e Lucro</t>
  </si>
  <si>
    <t>Percentual (%)</t>
  </si>
  <si>
    <t>Custos Indiretos</t>
  </si>
  <si>
    <t>Lucro</t>
  </si>
  <si>
    <t>Tributos</t>
  </si>
  <si>
    <t>RESUMO DO CUSTO POR EMPREGADO</t>
  </si>
  <si>
    <t>Subtotal (A + B +C+ D+E)</t>
  </si>
  <si>
    <t>Módulo 6 – Custos Indiretos, Tributos e Lucro</t>
  </si>
  <si>
    <t>Valor Total por Empregado</t>
  </si>
  <si>
    <t>Benefício Social e Familiar</t>
  </si>
  <si>
    <t>Insumos de materiais</t>
  </si>
  <si>
    <t>PIS</t>
  </si>
  <si>
    <t>COFINS</t>
  </si>
  <si>
    <t>ISS</t>
  </si>
  <si>
    <t>Nº do Processo:</t>
  </si>
  <si>
    <t xml:space="preserve">Número de meses de execução contratual: </t>
  </si>
  <si>
    <t xml:space="preserve">Intrajornada </t>
  </si>
  <si>
    <t>Valor R$</t>
  </si>
  <si>
    <t>Intervalo para repouso ou alimentação</t>
  </si>
  <si>
    <t>Dias de Reposição</t>
  </si>
  <si>
    <t>TOTAL DOS CUSTOS DIRETOS</t>
  </si>
  <si>
    <t xml:space="preserve">Férias </t>
  </si>
  <si>
    <t>Adicional de Férias</t>
  </si>
  <si>
    <t>Depreciação de Equipamentos</t>
  </si>
  <si>
    <t>Manutenção de Equipamentos</t>
  </si>
  <si>
    <t>Uniformes e EPIs</t>
  </si>
  <si>
    <t>EPI's e Uniforme</t>
  </si>
  <si>
    <t>Quantidade</t>
  </si>
  <si>
    <t>LUVA PVC 70cm</t>
  </si>
  <si>
    <t>CAMISA COM GOLA TIPO POLO, EM ALGODÃO, MANGA CURTA, COM GRAVAÇÃO DO EMBLEMA DA EMPRESA</t>
  </si>
  <si>
    <t>TOTAL</t>
  </si>
  <si>
    <t>ENCARREGADO</t>
  </si>
  <si>
    <t>Insumos</t>
  </si>
  <si>
    <t>ALCOOL LIQUIDO 70 C/ 1L</t>
  </si>
  <si>
    <t>CREOLINA 750ML</t>
  </si>
  <si>
    <t>DESENTUPIDOR DE PIA</t>
  </si>
  <si>
    <t>DESENTUPIDOR DE VASO</t>
  </si>
  <si>
    <t>DESODORIZADOR 360ML</t>
  </si>
  <si>
    <t>DETERGENTE 5L</t>
  </si>
  <si>
    <t>ESPONJA DUPLA FACE</t>
  </si>
  <si>
    <t>FLANELA BRANCA G 38X58</t>
  </si>
  <si>
    <t>HIPOCLORITO 5% 5L</t>
  </si>
  <si>
    <t>INSETICIDA AEROSOL 300ML</t>
  </si>
  <si>
    <t>LUSTRA MOVEIS LAVANDA 200ML</t>
  </si>
  <si>
    <t>LUVA MULTIUSO VERDE P/M/G</t>
  </si>
  <si>
    <t>NAFTALINA 40GR</t>
  </si>
  <si>
    <t>ODORIZADOR DE AMBIENTE TALCO 5L</t>
  </si>
  <si>
    <t>PA DE LIXO COM CABO LONGO PLASTIFICADO</t>
  </si>
  <si>
    <t>PANO CORTADO GG</t>
  </si>
  <si>
    <t>PANO MULTIUSO TIPO PERFEX ROLO COM 50 PANOS</t>
  </si>
  <si>
    <t>PAPEL HIG. 10X30 BR LX C/ 64</t>
  </si>
  <si>
    <t>PAPEL TOALHA INTERF. C/1000 FD VIRGEM BRANCO</t>
  </si>
  <si>
    <t>PEDRA SANITARIA MISTA 40GR</t>
  </si>
  <si>
    <t>PULVERIZADOR SPRAY 500ML</t>
  </si>
  <si>
    <t>RODO DE LIMPAR VIDRO</t>
  </si>
  <si>
    <t>RODO DE PLASTICO 60CM C/ CABO</t>
  </si>
  <si>
    <t>SABAO EM PO 1KG</t>
  </si>
  <si>
    <t>SACO P/ LIXO PRETO 100L C/ 100UN</t>
  </si>
  <si>
    <t>SACO P/ LIXO PRETO 200L C/ 100UN</t>
  </si>
  <si>
    <t>SACO P/ LIXO PRETO 40L C/ 100UN</t>
  </si>
  <si>
    <t>SACO P/ LIXO PRETO 60L C/ 100UN</t>
  </si>
  <si>
    <t>VASSOURA DE NYLON P/ PIA E VASO</t>
  </si>
  <si>
    <t>VASSOURA GARI CAIXAO</t>
  </si>
  <si>
    <t>VASSOURA PIACAVA CHAPA N 1</t>
  </si>
  <si>
    <t>VASSOURA TIPO NOVICA COM CABO PLASTIFICADO</t>
  </si>
  <si>
    <t>ÁREA INTERNA </t>
  </si>
  <si>
    <t>MÃO DE OBRA</t>
  </si>
  <si>
    <t>(1) PRODUTIVIDADE (1/M²)</t>
  </si>
  <si>
    <t>(2) PREÇO HOMEM-MÊS (R$)</t>
  </si>
  <si>
    <t>(1X2) SUBTOTAL (R$/M²)</t>
  </si>
  <si>
    <t>SERVENTE</t>
  </si>
  <si>
    <t>TOTAL ÁREA INTERNA</t>
  </si>
  <si>
    <t>ÁREA EXTERNA</t>
  </si>
  <si>
    <t>TOTAL ÁREA EXTERNA</t>
  </si>
  <si>
    <t>ÁREA INTERNA INSALUBRE</t>
  </si>
  <si>
    <t>TIPO DE ÁREA</t>
  </si>
  <si>
    <t>I - Área Interna</t>
  </si>
  <si>
    <t>LOTE 1</t>
  </si>
  <si>
    <t>ÁREA (M²) (A)</t>
  </si>
  <si>
    <t>Produtividade TR (B)</t>
  </si>
  <si>
    <t>Quantidade estimada de funcionários (Produt./M²)( A / B = C)</t>
  </si>
  <si>
    <t>Servente 44h</t>
  </si>
  <si>
    <t>PLANILHA DE CUSTOS E FORMAÇÃO DE PREÇO</t>
  </si>
  <si>
    <t>Encarregado</t>
  </si>
  <si>
    <t>VALOR MENSAL</t>
  </si>
  <si>
    <t>Quant.</t>
  </si>
  <si>
    <t>Valor do material por funcionário</t>
  </si>
  <si>
    <t>Valor do material por funcionário por mês</t>
  </si>
  <si>
    <t>II - Área Insalubre</t>
  </si>
  <si>
    <t>III - Área Externa</t>
  </si>
  <si>
    <t>Submódulo 2.2 - GPS, FGTS e outras contribuições</t>
  </si>
  <si>
    <t>VALOR TOTAL POR EMPREGADO</t>
  </si>
  <si>
    <t>C.1</t>
  </si>
  <si>
    <t>C.2</t>
  </si>
  <si>
    <t>C.3</t>
  </si>
  <si>
    <t>Subtotal (A + B + C + D + E)</t>
  </si>
  <si>
    <t xml:space="preserve">     PIS</t>
  </si>
  <si>
    <t xml:space="preserve">     COFINS</t>
  </si>
  <si>
    <t xml:space="preserve">     ISS</t>
  </si>
  <si>
    <t>Resumo do Custo por Empregado - Mão de obra vinculada à execução contratual</t>
  </si>
  <si>
    <t>Substituto na cobertura de Férias (Décimo Terceiro Salário do Substituto)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</si>
  <si>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</si>
  <si>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</si>
  <si>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</si>
  <si>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</si>
  <si>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 xml:space="preserve">   Subtotal </t>
  </si>
  <si>
    <t>Incidência de GPS, FGTS e outras contribuições sobre o APT</t>
  </si>
  <si>
    <t>outra substituição (especificar)</t>
  </si>
  <si>
    <t>Servente 44h com insalubridade 40%</t>
  </si>
  <si>
    <t>Gratificação encarregado</t>
  </si>
  <si>
    <t>Valor Total por empregado com 40% de insalubridade</t>
  </si>
  <si>
    <t>Outro</t>
  </si>
  <si>
    <t>ASG</t>
  </si>
  <si>
    <t>LOTE 2</t>
  </si>
  <si>
    <t>LOTE 3</t>
  </si>
  <si>
    <t>LOTE 4</t>
  </si>
  <si>
    <t>Multa do FGTS no Aviso Prévio Indenizado</t>
  </si>
  <si>
    <t>Multa do FGTS  sobre o APT</t>
  </si>
  <si>
    <t>BONÉ</t>
  </si>
  <si>
    <t>CRACHÁ DE IDENTIFICAÇÃO</t>
  </si>
  <si>
    <t>BOTA PVC CANO LONGO</t>
  </si>
  <si>
    <t>TÊNIS OU SAPATO</t>
  </si>
  <si>
    <t>CALÇA E CAMISA (UNIFORME OPERACIONAL)</t>
  </si>
  <si>
    <t>CAMISA MALHA MANGA CURTA</t>
  </si>
  <si>
    <t>CALÇA COMPRIDA EM TECIDO SARJA</t>
  </si>
  <si>
    <t>Preço A</t>
  </si>
  <si>
    <t>Preço B</t>
  </si>
  <si>
    <t>Preço C</t>
  </si>
  <si>
    <t>Média</t>
  </si>
  <si>
    <t>Valor R$ (Média x Quantidade)</t>
  </si>
  <si>
    <t>BALDE PLASTICO 10L</t>
  </si>
  <si>
    <t>LUVA DE BORRACHA P/M/G</t>
  </si>
  <si>
    <t>SABONETE LIQUIDO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</si>
</sst>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R$&quot;\ #,##0.00"/>
    <numFmt numFmtId="165" formatCode="0.000000E+00"/>
    <numFmt numFmtId="166" formatCode="0.0"/>
    <numFmt numFmtId="167" formatCode="0.000%"/>
    <numFmt numFmtId="168" formatCode="0.00000"/>
    <numFmt numFmtId="169" formatCode="0.000000"/>
    <numFmt numFmtId="170" formatCode="&quot;R$&quot;\ #,##0.0000"/>
    <numFmt numFmtId="171" formatCode="0.0000%"/>
  </numFmts>
  <fonts count="23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21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0" fillId="4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2" xfId="0" applyBorder="1"/>
    <xf numFmtId="0" fontId="2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9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14" fontId="2" fillId="5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2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9" fontId="2" fillId="0" borderId="1" xfId="0" applyNumberFormat="1" applyFont="1" applyBorder="1" applyAlignment="1">
      <alignment horizontal="center" vertical="center"/>
    </xf>
    <xf numFmtId="9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2" fillId="5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64" fontId="6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0" fontId="4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2" fillId="5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0" fontId="2" fillId="5" borderId="13" xfId="1" applyNumberFormat="1" applyFont="1" applyFill="1" applyBorder="1" applyAlignment="1">
      <alignment horizontal="center" vertical="center" wrapText="1"/>
    </xf>
    <xf numFmtId="10" fontId="3" fillId="5" borderId="13" xfId="1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3" fillId="5" borderId="0" xfId="0" applyFont="1" applyFill="1"/>
    <xf numFmtId="0" fontId="5" fillId="0" borderId="0" xfId="0" applyFont="1"/>
    <xf numFmtId="0" fontId="12" fillId="0" borderId="0" xfId="0" applyFont="1"/>
    <xf numFmtId="0" fontId="12" fillId="8" borderId="1" xfId="0" applyFont="1" applyFill="1" applyBorder="1"/>
    <xf numFmtId="164" fontId="5" fillId="0" borderId="1" xfId="0" applyNumberFormat="1" applyFont="1" applyBorder="1"/>
    <xf numFmtId="164" fontId="6" fillId="2" borderId="1" xfId="0" applyNumberFormat="1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0" fontId="2" fillId="0" borderId="3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0" fontId="14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11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/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169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1" xfId="0" applyFont="1" applyBorder="1" applyAlignment="1">
      <alignment vertical="center" wrapText="1"/>
    </xf>
    <xf numFmtId="0" fontId="16" fillId="6" borderId="1" xfId="0" applyFont="1" applyFill="1" applyBorder="1" applyAlignment="1">
      <alignment wrapText="1"/>
    </xf>
    <xf numFmtId="0" fontId="16" fillId="6" borderId="1" xfId="0" applyFont="1" applyFill="1" applyBorder="1"/>
    <xf numFmtId="0" fontId="16" fillId="4" borderId="1" xfId="0" applyFont="1" applyFill="1" applyBorder="1" applyAlignment="1">
      <alignment vertical="center" wrapText="1"/>
    </xf>
    <xf numFmtId="164" fontId="16" fillId="0" borderId="1" xfId="0" applyNumberFormat="1" applyFont="1" applyBorder="1" applyAlignment="1">
      <alignment vertical="center"/>
    </xf>
    <xf numFmtId="165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170" fontId="17" fillId="0" borderId="1" xfId="0" applyNumberFormat="1" applyFont="1" applyBorder="1" applyAlignment="1">
      <alignment vertical="center"/>
    </xf>
    <xf numFmtId="171" fontId="2" fillId="5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6" borderId="2" xfId="0" applyFont="1" applyFill="1" applyBorder="1" applyAlignment="1">
      <alignment horizontal="center" wrapText="1"/>
    </xf>
    <xf numFmtId="0" fontId="16" fillId="6" borderId="5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8" fillId="11" borderId="1" xfId="0" applyNumberFormat="1" applyFont="1" applyFill="1" applyBorder="1" applyAlignment="1">
      <alignment horizontal="center" vertical="center"/>
    </xf>
    <xf numFmtId="164" fontId="19" fillId="9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1" fillId="10" borderId="14" xfId="0" applyFont="1" applyFill="1" applyBorder="1" applyAlignment="1">
      <alignment horizontal="center" vertical="center"/>
    </xf>
    <xf numFmtId="0" fontId="21" fillId="10" borderId="14" xfId="0" applyFont="1" applyFill="1" applyBorder="1" applyAlignment="1">
      <alignment horizontal="center" vertical="center" wrapText="1"/>
    </xf>
    <xf numFmtId="0" fontId="22" fillId="0" borderId="0" xfId="0" applyFont="1"/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0" xfId="0" applyAlignment="1"/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B1:Q126"/>
  <sheetViews>
    <sheetView zoomScale="70" zoomScaleNormal="70" workbookViewId="0">
      <selection activeCell="I57" sqref="I57"/>
    </sheetView>
  </sheetViews>
  <sheetFormatPr defaultColWidth="8.85546875" defaultRowHeight="17.100000000000001" customHeight="1" x14ac:dyDescent="0.25"/>
  <cols>
    <col min="1" max="1" width="2.42578125" style="89" customWidth="1"/>
    <col min="2" max="2" width="13.85546875" style="89" customWidth="1"/>
    <col min="3" max="3" width="48.140625" style="89" customWidth="1"/>
    <col min="4" max="4" width="15.140625" style="89" customWidth="1"/>
    <col min="5" max="5" width="15.7109375" style="89" bestFit="1" customWidth="1"/>
    <col min="6" max="6" width="13.85546875" style="89" customWidth="1"/>
    <col min="7" max="7" width="48.140625" style="89" customWidth="1"/>
    <col min="8" max="8" width="15.140625" style="89" customWidth="1"/>
    <col min="9" max="9" width="15.7109375" style="89" bestFit="1" customWidth="1"/>
    <col min="10" max="10" width="13.85546875" style="89" customWidth="1"/>
    <col min="11" max="11" width="48.140625" style="89" customWidth="1"/>
    <col min="12" max="12" width="15.140625" style="89" customWidth="1"/>
    <col min="13" max="13" width="15.7109375" style="89" bestFit="1" customWidth="1"/>
    <col min="14" max="14" width="13.85546875" style="89" customWidth="1"/>
    <col min="15" max="15" width="48.140625" style="89" customWidth="1"/>
    <col min="16" max="16" width="15.140625" style="89" customWidth="1"/>
    <col min="17" max="17" width="15.7109375" style="89" bestFit="1" customWidth="1"/>
    <col min="18" max="16384" width="8.85546875" style="89"/>
  </cols>
  <sheetData>
    <row r="1" spans="2:17" ht="17.100000000000001" customHeight="1" x14ac:dyDescent="0.25">
      <c r="B1" s="87" t="s">
        <v>145</v>
      </c>
      <c r="C1" s="87"/>
      <c r="D1" s="88" t="s">
        <v>140</v>
      </c>
      <c r="E1" s="87"/>
      <c r="F1" s="87" t="s">
        <v>145</v>
      </c>
      <c r="G1" s="87"/>
      <c r="H1" s="88" t="s">
        <v>176</v>
      </c>
      <c r="I1" s="87"/>
      <c r="J1" s="87" t="s">
        <v>145</v>
      </c>
      <c r="K1" s="87"/>
      <c r="L1" s="88" t="s">
        <v>177</v>
      </c>
      <c r="M1" s="87"/>
      <c r="N1" s="87" t="s">
        <v>145</v>
      </c>
      <c r="O1" s="87"/>
      <c r="P1" s="88" t="s">
        <v>178</v>
      </c>
      <c r="Q1" s="87"/>
    </row>
    <row r="2" spans="2:17" ht="17.100000000000001" customHeight="1" x14ac:dyDescent="0.25">
      <c r="B2" s="90" t="s">
        <v>77</v>
      </c>
      <c r="C2" s="90"/>
      <c r="D2" s="90"/>
      <c r="E2" s="90"/>
      <c r="F2" s="90" t="s">
        <v>77</v>
      </c>
      <c r="G2" s="90"/>
      <c r="H2" s="90"/>
      <c r="I2" s="90"/>
      <c r="J2" s="90" t="s">
        <v>77</v>
      </c>
      <c r="K2" s="90"/>
      <c r="L2" s="90"/>
      <c r="M2" s="90"/>
      <c r="N2" s="90" t="s">
        <v>77</v>
      </c>
      <c r="O2" s="90"/>
      <c r="P2" s="90"/>
      <c r="Q2" s="90"/>
    </row>
    <row r="4" spans="2:17" ht="17.100000000000001" customHeight="1" x14ac:dyDescent="0.25">
      <c r="B4" s="139" t="s">
        <v>0</v>
      </c>
      <c r="C4" s="151"/>
      <c r="D4" s="151"/>
      <c r="E4" s="140"/>
      <c r="F4" s="139" t="s">
        <v>0</v>
      </c>
      <c r="G4" s="151"/>
      <c r="H4" s="151"/>
      <c r="I4" s="140"/>
      <c r="J4" s="139" t="s">
        <v>0</v>
      </c>
      <c r="K4" s="151"/>
      <c r="L4" s="151"/>
      <c r="M4" s="140"/>
      <c r="N4" s="139" t="s">
        <v>0</v>
      </c>
      <c r="O4" s="151"/>
      <c r="P4" s="151"/>
      <c r="Q4" s="140"/>
    </row>
    <row r="5" spans="2:17" ht="17.100000000000001" customHeight="1" x14ac:dyDescent="0.25">
      <c r="B5" s="3">
        <v>1</v>
      </c>
      <c r="C5" s="141" t="s">
        <v>1</v>
      </c>
      <c r="D5" s="142"/>
      <c r="E5" s="13" t="s">
        <v>144</v>
      </c>
      <c r="F5" s="3">
        <v>1</v>
      </c>
      <c r="G5" s="141" t="s">
        <v>1</v>
      </c>
      <c r="H5" s="142"/>
      <c r="I5" s="13" t="s">
        <v>144</v>
      </c>
      <c r="J5" s="3">
        <v>1</v>
      </c>
      <c r="K5" s="141" t="s">
        <v>1</v>
      </c>
      <c r="L5" s="142"/>
      <c r="M5" s="13" t="s">
        <v>144</v>
      </c>
      <c r="N5" s="3">
        <v>1</v>
      </c>
      <c r="O5" s="141" t="s">
        <v>1</v>
      </c>
      <c r="P5" s="142"/>
      <c r="Q5" s="13" t="s">
        <v>144</v>
      </c>
    </row>
    <row r="6" spans="2:17" ht="17.100000000000001" customHeight="1" x14ac:dyDescent="0.25">
      <c r="B6" s="3">
        <v>2</v>
      </c>
      <c r="C6" s="141" t="s">
        <v>2</v>
      </c>
      <c r="D6" s="142"/>
      <c r="E6" s="25">
        <v>1730.75</v>
      </c>
      <c r="F6" s="3">
        <v>2</v>
      </c>
      <c r="G6" s="141" t="s">
        <v>2</v>
      </c>
      <c r="H6" s="142"/>
      <c r="I6" s="25">
        <v>1730.75</v>
      </c>
      <c r="J6" s="3">
        <v>2</v>
      </c>
      <c r="K6" s="141" t="s">
        <v>2</v>
      </c>
      <c r="L6" s="142"/>
      <c r="M6" s="25">
        <v>1730.75</v>
      </c>
      <c r="N6" s="3">
        <v>2</v>
      </c>
      <c r="O6" s="141" t="s">
        <v>2</v>
      </c>
      <c r="P6" s="142"/>
      <c r="Q6" s="25">
        <v>1730.75</v>
      </c>
    </row>
    <row r="7" spans="2:17" ht="17.100000000000001" customHeight="1" x14ac:dyDescent="0.25">
      <c r="B7" s="3">
        <v>3</v>
      </c>
      <c r="C7" s="141" t="s">
        <v>3</v>
      </c>
      <c r="D7" s="142"/>
      <c r="E7" s="23" t="s">
        <v>175</v>
      </c>
      <c r="F7" s="3">
        <v>3</v>
      </c>
      <c r="G7" s="141" t="s">
        <v>3</v>
      </c>
      <c r="H7" s="142"/>
      <c r="I7" s="23" t="s">
        <v>175</v>
      </c>
      <c r="J7" s="3">
        <v>3</v>
      </c>
      <c r="K7" s="141" t="s">
        <v>3</v>
      </c>
      <c r="L7" s="142"/>
      <c r="M7" s="23" t="s">
        <v>175</v>
      </c>
      <c r="N7" s="3">
        <v>3</v>
      </c>
      <c r="O7" s="141" t="s">
        <v>3</v>
      </c>
      <c r="P7" s="142"/>
      <c r="Q7" s="23" t="s">
        <v>175</v>
      </c>
    </row>
    <row r="8" spans="2:17" ht="17.100000000000001" customHeight="1" x14ac:dyDescent="0.25">
      <c r="B8" s="3">
        <v>4</v>
      </c>
      <c r="C8" s="141" t="s">
        <v>4</v>
      </c>
      <c r="D8" s="142"/>
      <c r="E8" s="24">
        <v>45775</v>
      </c>
      <c r="F8" s="3">
        <v>4</v>
      </c>
      <c r="G8" s="141" t="s">
        <v>4</v>
      </c>
      <c r="H8" s="142"/>
      <c r="I8" s="24">
        <v>45775</v>
      </c>
      <c r="J8" s="3">
        <v>4</v>
      </c>
      <c r="K8" s="141" t="s">
        <v>4</v>
      </c>
      <c r="L8" s="142"/>
      <c r="M8" s="24">
        <v>45775</v>
      </c>
      <c r="N8" s="3">
        <v>4</v>
      </c>
      <c r="O8" s="141" t="s">
        <v>4</v>
      </c>
      <c r="P8" s="142"/>
      <c r="Q8" s="24">
        <v>45775</v>
      </c>
    </row>
    <row r="9" spans="2:17" ht="17.100000000000001" customHeight="1" x14ac:dyDescent="0.25">
      <c r="B9" s="3">
        <v>5</v>
      </c>
      <c r="C9" s="158" t="s">
        <v>78</v>
      </c>
      <c r="D9" s="158"/>
      <c r="E9" s="13">
        <v>30</v>
      </c>
      <c r="F9" s="3">
        <v>5</v>
      </c>
      <c r="G9" s="158" t="s">
        <v>78</v>
      </c>
      <c r="H9" s="158"/>
      <c r="I9" s="13">
        <v>30</v>
      </c>
      <c r="J9" s="3">
        <v>5</v>
      </c>
      <c r="K9" s="158" t="s">
        <v>78</v>
      </c>
      <c r="L9" s="158"/>
      <c r="M9" s="13">
        <v>30</v>
      </c>
      <c r="N9" s="3">
        <v>5</v>
      </c>
      <c r="O9" s="158" t="s">
        <v>78</v>
      </c>
      <c r="P9" s="158"/>
      <c r="Q9" s="13">
        <v>30</v>
      </c>
    </row>
    <row r="10" spans="2:17" ht="17.100000000000001" customHeight="1" x14ac:dyDescent="0.25">
      <c r="B10" s="60"/>
      <c r="C10" s="159"/>
      <c r="D10" s="159"/>
      <c r="E10" s="60"/>
      <c r="F10" s="60"/>
      <c r="G10" s="159"/>
      <c r="H10" s="159"/>
      <c r="I10" s="60"/>
      <c r="J10" s="60"/>
      <c r="K10" s="159"/>
      <c r="L10" s="159"/>
      <c r="M10" s="60"/>
      <c r="N10" s="60"/>
      <c r="O10" s="159"/>
      <c r="P10" s="159"/>
      <c r="Q10" s="60"/>
    </row>
    <row r="11" spans="2:17" ht="17.100000000000001" customHeight="1" x14ac:dyDescent="0.25">
      <c r="B11" s="139" t="s">
        <v>5</v>
      </c>
      <c r="C11" s="140"/>
      <c r="D11" s="71" t="s">
        <v>28</v>
      </c>
      <c r="E11" s="70" t="s">
        <v>7</v>
      </c>
      <c r="F11" s="139" t="s">
        <v>5</v>
      </c>
      <c r="G11" s="140"/>
      <c r="H11" s="71" t="s">
        <v>28</v>
      </c>
      <c r="I11" s="70" t="s">
        <v>7</v>
      </c>
      <c r="J11" s="139" t="s">
        <v>5</v>
      </c>
      <c r="K11" s="140"/>
      <c r="L11" s="71" t="s">
        <v>28</v>
      </c>
      <c r="M11" s="70" t="s">
        <v>7</v>
      </c>
      <c r="N11" s="139" t="s">
        <v>5</v>
      </c>
      <c r="O11" s="140"/>
      <c r="P11" s="71" t="s">
        <v>28</v>
      </c>
      <c r="Q11" s="70" t="s">
        <v>7</v>
      </c>
    </row>
    <row r="12" spans="2:17" ht="17.100000000000001" customHeight="1" x14ac:dyDescent="0.25">
      <c r="B12" s="3" t="s">
        <v>8</v>
      </c>
      <c r="C12" s="13" t="s">
        <v>9</v>
      </c>
      <c r="D12" s="13"/>
      <c r="E12" s="14">
        <f>E6</f>
        <v>1730.75</v>
      </c>
      <c r="F12" s="3" t="s">
        <v>8</v>
      </c>
      <c r="G12" s="13" t="s">
        <v>9</v>
      </c>
      <c r="H12" s="13"/>
      <c r="I12" s="14">
        <f>I6</f>
        <v>1730.75</v>
      </c>
      <c r="J12" s="3" t="s">
        <v>8</v>
      </c>
      <c r="K12" s="13" t="s">
        <v>9</v>
      </c>
      <c r="L12" s="13"/>
      <c r="M12" s="14">
        <f>M6</f>
        <v>1730.75</v>
      </c>
      <c r="N12" s="3" t="s">
        <v>8</v>
      </c>
      <c r="O12" s="13" t="s">
        <v>9</v>
      </c>
      <c r="P12" s="13"/>
      <c r="Q12" s="14">
        <f>Q6</f>
        <v>1730.75</v>
      </c>
    </row>
    <row r="13" spans="2:17" ht="17.100000000000001" customHeight="1" x14ac:dyDescent="0.25">
      <c r="B13" s="3" t="s">
        <v>10</v>
      </c>
      <c r="C13" s="13" t="s">
        <v>11</v>
      </c>
      <c r="D13" s="13"/>
      <c r="E13" s="14">
        <f>$E$12*D13</f>
        <v>0</v>
      </c>
      <c r="F13" s="3" t="s">
        <v>10</v>
      </c>
      <c r="G13" s="13" t="s">
        <v>11</v>
      </c>
      <c r="H13" s="13"/>
      <c r="I13" s="14">
        <f>$E$12*H13</f>
        <v>0</v>
      </c>
      <c r="J13" s="3" t="s">
        <v>10</v>
      </c>
      <c r="K13" s="13" t="s">
        <v>11</v>
      </c>
      <c r="L13" s="13"/>
      <c r="M13" s="14">
        <f>$E$12*L13</f>
        <v>0</v>
      </c>
      <c r="N13" s="3" t="s">
        <v>10</v>
      </c>
      <c r="O13" s="13" t="s">
        <v>11</v>
      </c>
      <c r="P13" s="13"/>
      <c r="Q13" s="14">
        <f>$E$12*P13</f>
        <v>0</v>
      </c>
    </row>
    <row r="14" spans="2:17" ht="17.100000000000001" customHeight="1" x14ac:dyDescent="0.25">
      <c r="B14" s="3" t="s">
        <v>12</v>
      </c>
      <c r="C14" s="13" t="s">
        <v>13</v>
      </c>
      <c r="D14" s="13"/>
      <c r="E14" s="14">
        <f>$E$12*D14</f>
        <v>0</v>
      </c>
      <c r="F14" s="3" t="s">
        <v>12</v>
      </c>
      <c r="G14" s="13" t="s">
        <v>13</v>
      </c>
      <c r="H14" s="13"/>
      <c r="I14" s="14">
        <f>$E$12*H14</f>
        <v>0</v>
      </c>
      <c r="J14" s="3" t="s">
        <v>12</v>
      </c>
      <c r="K14" s="13" t="s">
        <v>13</v>
      </c>
      <c r="L14" s="13"/>
      <c r="M14" s="14">
        <f>$E$12*L14</f>
        <v>0</v>
      </c>
      <c r="N14" s="3" t="s">
        <v>12</v>
      </c>
      <c r="O14" s="13" t="s">
        <v>13</v>
      </c>
      <c r="P14" s="13"/>
      <c r="Q14" s="14">
        <f>$E$12*P14</f>
        <v>0</v>
      </c>
    </row>
    <row r="15" spans="2:17" ht="17.100000000000001" customHeight="1" x14ac:dyDescent="0.25">
      <c r="B15" s="3" t="s">
        <v>14</v>
      </c>
      <c r="C15" s="13" t="s">
        <v>15</v>
      </c>
      <c r="D15" s="13"/>
      <c r="E15" s="14">
        <f>$E$12*D15</f>
        <v>0</v>
      </c>
      <c r="F15" s="3" t="s">
        <v>14</v>
      </c>
      <c r="G15" s="13" t="s">
        <v>15</v>
      </c>
      <c r="H15" s="13"/>
      <c r="I15" s="14">
        <f>$E$12*H15</f>
        <v>0</v>
      </c>
      <c r="J15" s="3" t="s">
        <v>14</v>
      </c>
      <c r="K15" s="13" t="s">
        <v>15</v>
      </c>
      <c r="L15" s="13"/>
      <c r="M15" s="14">
        <f>$E$12*L15</f>
        <v>0</v>
      </c>
      <c r="N15" s="3" t="s">
        <v>14</v>
      </c>
      <c r="O15" s="13" t="s">
        <v>15</v>
      </c>
      <c r="P15" s="13"/>
      <c r="Q15" s="14">
        <f>$E$12*P15</f>
        <v>0</v>
      </c>
    </row>
    <row r="16" spans="2:17" ht="17.100000000000001" customHeight="1" x14ac:dyDescent="0.25">
      <c r="B16" s="3" t="s">
        <v>16</v>
      </c>
      <c r="C16" s="13" t="s">
        <v>17</v>
      </c>
      <c r="D16" s="13"/>
      <c r="E16" s="14">
        <f>$E$12*D16</f>
        <v>0</v>
      </c>
      <c r="F16" s="3" t="s">
        <v>16</v>
      </c>
      <c r="G16" s="13" t="s">
        <v>17</v>
      </c>
      <c r="H16" s="13"/>
      <c r="I16" s="14">
        <f>$E$12*H16</f>
        <v>0</v>
      </c>
      <c r="J16" s="3" t="s">
        <v>16</v>
      </c>
      <c r="K16" s="13" t="s">
        <v>17</v>
      </c>
      <c r="L16" s="13"/>
      <c r="M16" s="14">
        <f>$E$12*L16</f>
        <v>0</v>
      </c>
      <c r="N16" s="3" t="s">
        <v>16</v>
      </c>
      <c r="O16" s="13" t="s">
        <v>17</v>
      </c>
      <c r="P16" s="13"/>
      <c r="Q16" s="14">
        <f>$E$12*P16</f>
        <v>0</v>
      </c>
    </row>
    <row r="17" spans="2:17" ht="17.100000000000001" customHeight="1" x14ac:dyDescent="0.25">
      <c r="B17" s="3" t="s">
        <v>34</v>
      </c>
      <c r="C17" s="13" t="s">
        <v>19</v>
      </c>
      <c r="D17" s="13"/>
      <c r="E17" s="14">
        <f>$E$12*D17</f>
        <v>0</v>
      </c>
      <c r="F17" s="3" t="s">
        <v>34</v>
      </c>
      <c r="G17" s="13" t="s">
        <v>19</v>
      </c>
      <c r="H17" s="13"/>
      <c r="I17" s="14">
        <f>$E$12*H17</f>
        <v>0</v>
      </c>
      <c r="J17" s="3" t="s">
        <v>34</v>
      </c>
      <c r="K17" s="13" t="s">
        <v>19</v>
      </c>
      <c r="L17" s="13"/>
      <c r="M17" s="14">
        <f>$E$12*L17</f>
        <v>0</v>
      </c>
      <c r="N17" s="3" t="s">
        <v>34</v>
      </c>
      <c r="O17" s="13" t="s">
        <v>19</v>
      </c>
      <c r="P17" s="13"/>
      <c r="Q17" s="14">
        <f>$E$12*P17</f>
        <v>0</v>
      </c>
    </row>
    <row r="18" spans="2:17" ht="17.100000000000001" customHeight="1" x14ac:dyDescent="0.25">
      <c r="B18" s="148" t="s">
        <v>20</v>
      </c>
      <c r="C18" s="149"/>
      <c r="D18" s="150"/>
      <c r="E18" s="37">
        <f>SUM(E12:E17)</f>
        <v>1730.75</v>
      </c>
      <c r="F18" s="148" t="s">
        <v>20</v>
      </c>
      <c r="G18" s="149"/>
      <c r="H18" s="150"/>
      <c r="I18" s="37">
        <f>SUM(I12:I17)</f>
        <v>1730.75</v>
      </c>
      <c r="J18" s="148" t="s">
        <v>20</v>
      </c>
      <c r="K18" s="149"/>
      <c r="L18" s="150"/>
      <c r="M18" s="37">
        <f>SUM(M12:M17)</f>
        <v>1730.75</v>
      </c>
      <c r="N18" s="148" t="s">
        <v>20</v>
      </c>
      <c r="O18" s="149"/>
      <c r="P18" s="150"/>
      <c r="Q18" s="37">
        <f>SUM(Q12:Q17)</f>
        <v>1730.75</v>
      </c>
    </row>
    <row r="19" spans="2:17" ht="17.100000000000001" customHeight="1" x14ac:dyDescent="0.25">
      <c r="B19" s="58"/>
      <c r="C19" s="58"/>
      <c r="D19" s="77"/>
      <c r="E19" s="77"/>
      <c r="F19" s="58"/>
      <c r="G19" s="58"/>
      <c r="H19" s="77"/>
      <c r="I19" s="77"/>
      <c r="J19" s="58"/>
      <c r="K19" s="58"/>
      <c r="L19" s="77"/>
      <c r="M19" s="77"/>
      <c r="N19" s="58"/>
      <c r="O19" s="58"/>
      <c r="P19" s="77"/>
      <c r="Q19" s="77"/>
    </row>
    <row r="20" spans="2:17" ht="17.100000000000001" customHeight="1" x14ac:dyDescent="0.25">
      <c r="B20" s="155" t="s">
        <v>21</v>
      </c>
      <c r="C20" s="155"/>
      <c r="D20" s="155"/>
      <c r="E20" s="155"/>
      <c r="F20" s="155" t="s">
        <v>21</v>
      </c>
      <c r="G20" s="155"/>
      <c r="H20" s="155"/>
      <c r="I20" s="155"/>
      <c r="J20" s="155" t="s">
        <v>21</v>
      </c>
      <c r="K20" s="155"/>
      <c r="L20" s="155"/>
      <c r="M20" s="155"/>
      <c r="N20" s="155" t="s">
        <v>21</v>
      </c>
      <c r="O20" s="155"/>
      <c r="P20" s="155"/>
      <c r="Q20" s="155"/>
    </row>
    <row r="21" spans="2:17" ht="17.100000000000001" customHeight="1" x14ac:dyDescent="0.25">
      <c r="B21" s="156" t="s">
        <v>22</v>
      </c>
      <c r="C21" s="157"/>
      <c r="D21" s="73" t="s">
        <v>28</v>
      </c>
      <c r="E21" s="73" t="s">
        <v>7</v>
      </c>
      <c r="F21" s="156" t="s">
        <v>22</v>
      </c>
      <c r="G21" s="157"/>
      <c r="H21" s="73" t="s">
        <v>28</v>
      </c>
      <c r="I21" s="73" t="s">
        <v>7</v>
      </c>
      <c r="J21" s="156" t="s">
        <v>22</v>
      </c>
      <c r="K21" s="157"/>
      <c r="L21" s="73" t="s">
        <v>28</v>
      </c>
      <c r="M21" s="73" t="s">
        <v>7</v>
      </c>
      <c r="N21" s="156" t="s">
        <v>22</v>
      </c>
      <c r="O21" s="157"/>
      <c r="P21" s="73" t="s">
        <v>28</v>
      </c>
      <c r="Q21" s="73" t="s">
        <v>7</v>
      </c>
    </row>
    <row r="22" spans="2:17" ht="17.100000000000001" customHeight="1" x14ac:dyDescent="0.25">
      <c r="B22" s="3" t="s">
        <v>8</v>
      </c>
      <c r="C22" s="13" t="s">
        <v>25</v>
      </c>
      <c r="D22" s="31">
        <v>8.3299999999999999E-2</v>
      </c>
      <c r="E22" s="14">
        <f>$E$18*D22</f>
        <v>144.17147499999999</v>
      </c>
      <c r="F22" s="3" t="s">
        <v>8</v>
      </c>
      <c r="G22" s="13" t="s">
        <v>25</v>
      </c>
      <c r="H22" s="31">
        <v>8.3299999999999999E-2</v>
      </c>
      <c r="I22" s="14">
        <f>$E$18*H22</f>
        <v>144.17147499999999</v>
      </c>
      <c r="J22" s="3" t="s">
        <v>8</v>
      </c>
      <c r="K22" s="13" t="s">
        <v>25</v>
      </c>
      <c r="L22" s="31">
        <v>8.3299999999999999E-2</v>
      </c>
      <c r="M22" s="14">
        <f>$E$18*L22</f>
        <v>144.17147499999999</v>
      </c>
      <c r="N22" s="3" t="s">
        <v>8</v>
      </c>
      <c r="O22" s="13" t="s">
        <v>25</v>
      </c>
      <c r="P22" s="31">
        <v>8.3299999999999999E-2</v>
      </c>
      <c r="Q22" s="14">
        <f>$E$18*P22</f>
        <v>144.17147499999999</v>
      </c>
    </row>
    <row r="23" spans="2:17" ht="17.100000000000001" customHeight="1" x14ac:dyDescent="0.25">
      <c r="B23" s="3" t="s">
        <v>10</v>
      </c>
      <c r="C23" s="13" t="s">
        <v>84</v>
      </c>
      <c r="D23" s="31">
        <v>8.3299999999999999E-2</v>
      </c>
      <c r="E23" s="14">
        <f>$E$18*D23</f>
        <v>144.17147499999999</v>
      </c>
      <c r="F23" s="3" t="s">
        <v>10</v>
      </c>
      <c r="G23" s="13" t="s">
        <v>84</v>
      </c>
      <c r="H23" s="31">
        <v>8.3299999999999999E-2</v>
      </c>
      <c r="I23" s="14">
        <f>$E$18*H23</f>
        <v>144.17147499999999</v>
      </c>
      <c r="J23" s="3" t="s">
        <v>10</v>
      </c>
      <c r="K23" s="13" t="s">
        <v>84</v>
      </c>
      <c r="L23" s="31">
        <v>8.3299999999999999E-2</v>
      </c>
      <c r="M23" s="14">
        <f>$E$18*L23</f>
        <v>144.17147499999999</v>
      </c>
      <c r="N23" s="3" t="s">
        <v>10</v>
      </c>
      <c r="O23" s="13" t="s">
        <v>84</v>
      </c>
      <c r="P23" s="31">
        <v>8.3299999999999999E-2</v>
      </c>
      <c r="Q23" s="14">
        <f>$E$18*P23</f>
        <v>144.17147499999999</v>
      </c>
    </row>
    <row r="24" spans="2:17" ht="17.100000000000001" customHeight="1" x14ac:dyDescent="0.25">
      <c r="B24" s="3" t="s">
        <v>12</v>
      </c>
      <c r="C24" s="13" t="s">
        <v>85</v>
      </c>
      <c r="D24" s="31">
        <v>2.7799999999999998E-2</v>
      </c>
      <c r="E24" s="14">
        <f>$E$18*D24</f>
        <v>48.114849999999997</v>
      </c>
      <c r="F24" s="3" t="s">
        <v>12</v>
      </c>
      <c r="G24" s="13" t="s">
        <v>85</v>
      </c>
      <c r="H24" s="31">
        <v>2.7799999999999998E-2</v>
      </c>
      <c r="I24" s="14">
        <f>$E$18*H24</f>
        <v>48.114849999999997</v>
      </c>
      <c r="J24" s="3" t="s">
        <v>12</v>
      </c>
      <c r="K24" s="13" t="s">
        <v>85</v>
      </c>
      <c r="L24" s="31">
        <v>2.7799999999999998E-2</v>
      </c>
      <c r="M24" s="14">
        <f>$E$18*L24</f>
        <v>48.114849999999997</v>
      </c>
      <c r="N24" s="3" t="s">
        <v>12</v>
      </c>
      <c r="O24" s="13" t="s">
        <v>85</v>
      </c>
      <c r="P24" s="31">
        <v>2.7799999999999998E-2</v>
      </c>
      <c r="Q24" s="14">
        <f>$E$18*P24</f>
        <v>48.114849999999997</v>
      </c>
    </row>
    <row r="25" spans="2:17" ht="17.100000000000001" customHeight="1" x14ac:dyDescent="0.25">
      <c r="B25" s="136" t="s">
        <v>20</v>
      </c>
      <c r="C25" s="137"/>
      <c r="D25" s="138"/>
      <c r="E25" s="69">
        <f>SUM(E22:E24)</f>
        <v>336.45779999999996</v>
      </c>
      <c r="F25" s="136" t="s">
        <v>20</v>
      </c>
      <c r="G25" s="137"/>
      <c r="H25" s="138"/>
      <c r="I25" s="69">
        <f>SUM(I22:I24)</f>
        <v>336.45779999999996</v>
      </c>
      <c r="J25" s="136" t="s">
        <v>20</v>
      </c>
      <c r="K25" s="137"/>
      <c r="L25" s="138"/>
      <c r="M25" s="69">
        <f>SUM(M22:M24)</f>
        <v>336.45779999999996</v>
      </c>
      <c r="N25" s="136" t="s">
        <v>20</v>
      </c>
      <c r="O25" s="137"/>
      <c r="P25" s="138"/>
      <c r="Q25" s="69">
        <f>SUM(Q22:Q24)</f>
        <v>336.45779999999996</v>
      </c>
    </row>
    <row r="26" spans="2:17" ht="17.100000000000001" customHeight="1" x14ac:dyDescent="0.25">
      <c r="B26" s="160" t="s">
        <v>153</v>
      </c>
      <c r="C26" s="161"/>
      <c r="D26" s="73" t="s">
        <v>28</v>
      </c>
      <c r="E26" s="73" t="s">
        <v>7</v>
      </c>
      <c r="F26" s="160" t="s">
        <v>153</v>
      </c>
      <c r="G26" s="161"/>
      <c r="H26" s="73" t="s">
        <v>28</v>
      </c>
      <c r="I26" s="73" t="s">
        <v>7</v>
      </c>
      <c r="J26" s="160" t="s">
        <v>153</v>
      </c>
      <c r="K26" s="161"/>
      <c r="L26" s="73" t="s">
        <v>28</v>
      </c>
      <c r="M26" s="73" t="s">
        <v>7</v>
      </c>
      <c r="N26" s="160" t="s">
        <v>153</v>
      </c>
      <c r="O26" s="161"/>
      <c r="P26" s="73" t="s">
        <v>28</v>
      </c>
      <c r="Q26" s="73" t="s">
        <v>7</v>
      </c>
    </row>
    <row r="27" spans="2:17" ht="17.100000000000001" customHeight="1" x14ac:dyDescent="0.25">
      <c r="B27" s="3" t="s">
        <v>8</v>
      </c>
      <c r="C27" s="28" t="s">
        <v>29</v>
      </c>
      <c r="D27" s="33">
        <v>0.2</v>
      </c>
      <c r="E27" s="63">
        <f>($E$25+$E$18)*$D$27</f>
        <v>413.44156000000004</v>
      </c>
      <c r="F27" s="3" t="s">
        <v>8</v>
      </c>
      <c r="G27" s="28" t="s">
        <v>29</v>
      </c>
      <c r="H27" s="33">
        <v>0.2</v>
      </c>
      <c r="I27" s="63">
        <f>($E$25+$E$18)*$D$27</f>
        <v>413.44156000000004</v>
      </c>
      <c r="J27" s="3" t="s">
        <v>8</v>
      </c>
      <c r="K27" s="28" t="s">
        <v>29</v>
      </c>
      <c r="L27" s="33">
        <v>0.2</v>
      </c>
      <c r="M27" s="63">
        <f>($E$25+$E$18)*$D$27</f>
        <v>413.44156000000004</v>
      </c>
      <c r="N27" s="3" t="s">
        <v>8</v>
      </c>
      <c r="O27" s="28" t="s">
        <v>29</v>
      </c>
      <c r="P27" s="33">
        <v>0.2</v>
      </c>
      <c r="Q27" s="63">
        <f>($E$25+$E$18)*$D$27</f>
        <v>413.44156000000004</v>
      </c>
    </row>
    <row r="28" spans="2:17" ht="17.100000000000001" customHeight="1" x14ac:dyDescent="0.25">
      <c r="B28" s="3" t="s">
        <v>10</v>
      </c>
      <c r="C28" s="28" t="s">
        <v>30</v>
      </c>
      <c r="D28" s="31">
        <v>2.5000000000000001E-2</v>
      </c>
      <c r="E28" s="63">
        <f>($E$25+E18)*D28</f>
        <v>51.680195000000005</v>
      </c>
      <c r="F28" s="3" t="s">
        <v>10</v>
      </c>
      <c r="G28" s="28" t="s">
        <v>30</v>
      </c>
      <c r="H28" s="31">
        <v>2.5000000000000001E-2</v>
      </c>
      <c r="I28" s="63">
        <f>($E$25+I18)*H28</f>
        <v>51.680195000000005</v>
      </c>
      <c r="J28" s="3" t="s">
        <v>10</v>
      </c>
      <c r="K28" s="28" t="s">
        <v>30</v>
      </c>
      <c r="L28" s="31">
        <v>2.5000000000000001E-2</v>
      </c>
      <c r="M28" s="63">
        <f>($E$25+M18)*L28</f>
        <v>51.680195000000005</v>
      </c>
      <c r="N28" s="3" t="s">
        <v>10</v>
      </c>
      <c r="O28" s="28" t="s">
        <v>30</v>
      </c>
      <c r="P28" s="31">
        <v>2.5000000000000001E-2</v>
      </c>
      <c r="Q28" s="63">
        <f>($E$25+Q18)*P28</f>
        <v>51.680195000000005</v>
      </c>
    </row>
    <row r="29" spans="2:17" ht="17.100000000000001" customHeight="1" x14ac:dyDescent="0.25">
      <c r="B29" s="3" t="s">
        <v>12</v>
      </c>
      <c r="C29" s="28" t="s">
        <v>31</v>
      </c>
      <c r="D29" s="40">
        <v>0.03</v>
      </c>
      <c r="E29" s="64">
        <f>($E$25+E18)*$D$29</f>
        <v>62.016234000000004</v>
      </c>
      <c r="F29" s="3" t="s">
        <v>12</v>
      </c>
      <c r="G29" s="28" t="s">
        <v>31</v>
      </c>
      <c r="H29" s="40">
        <v>0.03</v>
      </c>
      <c r="I29" s="64">
        <f>($E$25+I18)*$D$29</f>
        <v>62.016234000000004</v>
      </c>
      <c r="J29" s="3" t="s">
        <v>12</v>
      </c>
      <c r="K29" s="28" t="s">
        <v>31</v>
      </c>
      <c r="L29" s="40">
        <v>0.03</v>
      </c>
      <c r="M29" s="64">
        <f>($E$25+M18)*$D$29</f>
        <v>62.016234000000004</v>
      </c>
      <c r="N29" s="3" t="s">
        <v>12</v>
      </c>
      <c r="O29" s="28" t="s">
        <v>31</v>
      </c>
      <c r="P29" s="40">
        <v>0.03</v>
      </c>
      <c r="Q29" s="64">
        <f>($E$25+Q18)*$D$29</f>
        <v>62.016234000000004</v>
      </c>
    </row>
    <row r="30" spans="2:17" ht="17.100000000000001" customHeight="1" x14ac:dyDescent="0.25">
      <c r="B30" s="3" t="s">
        <v>14</v>
      </c>
      <c r="C30" s="28" t="s">
        <v>32</v>
      </c>
      <c r="D30" s="31">
        <v>1.4999999999999999E-2</v>
      </c>
      <c r="E30" s="63">
        <f>($E$25+E18)*$D$30</f>
        <v>31.008117000000002</v>
      </c>
      <c r="F30" s="3" t="s">
        <v>14</v>
      </c>
      <c r="G30" s="28" t="s">
        <v>32</v>
      </c>
      <c r="H30" s="31">
        <v>1.4999999999999999E-2</v>
      </c>
      <c r="I30" s="63">
        <f>($E$25+I18)*$D$30</f>
        <v>31.008117000000002</v>
      </c>
      <c r="J30" s="3" t="s">
        <v>14</v>
      </c>
      <c r="K30" s="28" t="s">
        <v>32</v>
      </c>
      <c r="L30" s="31">
        <v>1.4999999999999999E-2</v>
      </c>
      <c r="M30" s="63">
        <f>($E$25+M18)*$D$30</f>
        <v>31.008117000000002</v>
      </c>
      <c r="N30" s="3" t="s">
        <v>14</v>
      </c>
      <c r="O30" s="28" t="s">
        <v>32</v>
      </c>
      <c r="P30" s="31">
        <v>1.4999999999999999E-2</v>
      </c>
      <c r="Q30" s="63">
        <f>($E$25+Q18)*$D$30</f>
        <v>31.008117000000002</v>
      </c>
    </row>
    <row r="31" spans="2:17" ht="17.100000000000001" customHeight="1" x14ac:dyDescent="0.25">
      <c r="B31" s="3" t="s">
        <v>16</v>
      </c>
      <c r="C31" s="28" t="s">
        <v>33</v>
      </c>
      <c r="D31" s="33">
        <v>0.01</v>
      </c>
      <c r="E31" s="63">
        <f>($E$25+E18)*$D$31</f>
        <v>20.672078000000003</v>
      </c>
      <c r="F31" s="3" t="s">
        <v>16</v>
      </c>
      <c r="G31" s="28" t="s">
        <v>33</v>
      </c>
      <c r="H31" s="33">
        <v>0.01</v>
      </c>
      <c r="I31" s="63">
        <f>($E$25+I18)*$D$31</f>
        <v>20.672078000000003</v>
      </c>
      <c r="J31" s="3" t="s">
        <v>16</v>
      </c>
      <c r="K31" s="28" t="s">
        <v>33</v>
      </c>
      <c r="L31" s="33">
        <v>0.01</v>
      </c>
      <c r="M31" s="63">
        <f>($E$25+M18)*$D$31</f>
        <v>20.672078000000003</v>
      </c>
      <c r="N31" s="3" t="s">
        <v>16</v>
      </c>
      <c r="O31" s="28" t="s">
        <v>33</v>
      </c>
      <c r="P31" s="33">
        <v>0.01</v>
      </c>
      <c r="Q31" s="63">
        <f>($E$25+Q18)*$D$31</f>
        <v>20.672078000000003</v>
      </c>
    </row>
    <row r="32" spans="2:17" ht="17.100000000000001" customHeight="1" x14ac:dyDescent="0.25">
      <c r="B32" s="3" t="s">
        <v>34</v>
      </c>
      <c r="C32" s="28" t="s">
        <v>35</v>
      </c>
      <c r="D32" s="31">
        <v>6.0000000000000001E-3</v>
      </c>
      <c r="E32" s="63">
        <f>($E$25+E18)*$D$32</f>
        <v>12.403246800000002</v>
      </c>
      <c r="F32" s="3" t="s">
        <v>34</v>
      </c>
      <c r="G32" s="28" t="s">
        <v>35</v>
      </c>
      <c r="H32" s="31">
        <v>6.0000000000000001E-3</v>
      </c>
      <c r="I32" s="63">
        <f>($E$25+I18)*$D$32</f>
        <v>12.403246800000002</v>
      </c>
      <c r="J32" s="3" t="s">
        <v>34</v>
      </c>
      <c r="K32" s="28" t="s">
        <v>35</v>
      </c>
      <c r="L32" s="31">
        <v>6.0000000000000001E-3</v>
      </c>
      <c r="M32" s="63">
        <f>($E$25+M18)*$D$32</f>
        <v>12.403246800000002</v>
      </c>
      <c r="N32" s="3" t="s">
        <v>34</v>
      </c>
      <c r="O32" s="28" t="s">
        <v>35</v>
      </c>
      <c r="P32" s="31">
        <v>6.0000000000000001E-3</v>
      </c>
      <c r="Q32" s="63">
        <f>($E$25+Q18)*$D$32</f>
        <v>12.403246800000002</v>
      </c>
    </row>
    <row r="33" spans="2:17" ht="17.100000000000001" customHeight="1" x14ac:dyDescent="0.25">
      <c r="B33" s="3" t="s">
        <v>18</v>
      </c>
      <c r="C33" s="28" t="s">
        <v>36</v>
      </c>
      <c r="D33" s="31">
        <v>2E-3</v>
      </c>
      <c r="E33" s="63">
        <f>($E$25+E18)*$D$33</f>
        <v>4.1344156000000005</v>
      </c>
      <c r="F33" s="3" t="s">
        <v>18</v>
      </c>
      <c r="G33" s="28" t="s">
        <v>36</v>
      </c>
      <c r="H33" s="31">
        <v>2E-3</v>
      </c>
      <c r="I33" s="63">
        <f>($E$25+I18)*$D$33</f>
        <v>4.1344156000000005</v>
      </c>
      <c r="J33" s="3" t="s">
        <v>18</v>
      </c>
      <c r="K33" s="28" t="s">
        <v>36</v>
      </c>
      <c r="L33" s="31">
        <v>2E-3</v>
      </c>
      <c r="M33" s="63">
        <f>($E$25+M18)*$D$33</f>
        <v>4.1344156000000005</v>
      </c>
      <c r="N33" s="3" t="s">
        <v>18</v>
      </c>
      <c r="O33" s="28" t="s">
        <v>36</v>
      </c>
      <c r="P33" s="31">
        <v>2E-3</v>
      </c>
      <c r="Q33" s="63">
        <f>($E$25+Q18)*$D$33</f>
        <v>4.1344156000000005</v>
      </c>
    </row>
    <row r="34" spans="2:17" ht="17.100000000000001" customHeight="1" x14ac:dyDescent="0.25">
      <c r="B34" s="3" t="s">
        <v>37</v>
      </c>
      <c r="C34" s="28" t="s">
        <v>38</v>
      </c>
      <c r="D34" s="33">
        <v>0.08</v>
      </c>
      <c r="E34" s="63">
        <f>($E$25+$E$18)*D34</f>
        <v>165.37662400000002</v>
      </c>
      <c r="F34" s="3" t="s">
        <v>37</v>
      </c>
      <c r="G34" s="28" t="s">
        <v>38</v>
      </c>
      <c r="H34" s="33">
        <v>0.08</v>
      </c>
      <c r="I34" s="63">
        <f>($E$25+$E$18)*H34</f>
        <v>165.37662400000002</v>
      </c>
      <c r="J34" s="3" t="s">
        <v>37</v>
      </c>
      <c r="K34" s="28" t="s">
        <v>38</v>
      </c>
      <c r="L34" s="33">
        <v>0.08</v>
      </c>
      <c r="M34" s="63">
        <f>($E$25+$E$18)*L34</f>
        <v>165.37662400000002</v>
      </c>
      <c r="N34" s="3" t="s">
        <v>37</v>
      </c>
      <c r="O34" s="28" t="s">
        <v>38</v>
      </c>
      <c r="P34" s="33">
        <v>0.08</v>
      </c>
      <c r="Q34" s="63">
        <f>($E$25+$E$18)*P34</f>
        <v>165.37662400000002</v>
      </c>
    </row>
    <row r="35" spans="2:17" ht="17.100000000000001" customHeight="1" x14ac:dyDescent="0.25">
      <c r="B35" s="95"/>
      <c r="C35" s="96"/>
      <c r="D35" s="97">
        <f>SUM(D27:D34)</f>
        <v>0.36800000000000005</v>
      </c>
      <c r="E35" s="63"/>
      <c r="F35" s="95"/>
      <c r="G35" s="96"/>
      <c r="H35" s="97">
        <f>SUM(H27:H34)</f>
        <v>0.36800000000000005</v>
      </c>
      <c r="I35" s="63"/>
      <c r="J35" s="95"/>
      <c r="K35" s="96"/>
      <c r="L35" s="97">
        <f>SUM(L27:L34)</f>
        <v>0.36800000000000005</v>
      </c>
      <c r="M35" s="63"/>
      <c r="N35" s="95"/>
      <c r="O35" s="96"/>
      <c r="P35" s="97">
        <f>SUM(P27:P34)</f>
        <v>0.36800000000000005</v>
      </c>
      <c r="Q35" s="63"/>
    </row>
    <row r="36" spans="2:17" ht="17.100000000000001" customHeight="1" x14ac:dyDescent="0.25">
      <c r="B36" s="136" t="s">
        <v>20</v>
      </c>
      <c r="C36" s="137"/>
      <c r="D36" s="138"/>
      <c r="E36" s="66">
        <f>SUM(E27:E34)</f>
        <v>760.73247040000012</v>
      </c>
      <c r="F36" s="136" t="s">
        <v>20</v>
      </c>
      <c r="G36" s="137"/>
      <c r="H36" s="138"/>
      <c r="I36" s="66">
        <f>SUM(I27:I34)</f>
        <v>760.73247040000012</v>
      </c>
      <c r="J36" s="136" t="s">
        <v>20</v>
      </c>
      <c r="K36" s="137"/>
      <c r="L36" s="138"/>
      <c r="M36" s="66">
        <f>SUM(M27:M34)</f>
        <v>760.73247040000012</v>
      </c>
      <c r="N36" s="136" t="s">
        <v>20</v>
      </c>
      <c r="O36" s="137"/>
      <c r="P36" s="138"/>
      <c r="Q36" s="66">
        <f>SUM(Q27:Q34)</f>
        <v>760.73247040000012</v>
      </c>
    </row>
    <row r="37" spans="2:17" ht="17.100000000000001" customHeight="1" x14ac:dyDescent="0.25">
      <c r="B37" s="76" t="s">
        <v>40</v>
      </c>
      <c r="C37" s="16"/>
      <c r="D37" s="73" t="s">
        <v>28</v>
      </c>
      <c r="E37" s="73" t="s">
        <v>7</v>
      </c>
      <c r="F37" s="76" t="s">
        <v>40</v>
      </c>
      <c r="G37" s="16"/>
      <c r="H37" s="73" t="s">
        <v>28</v>
      </c>
      <c r="I37" s="73" t="s">
        <v>7</v>
      </c>
      <c r="J37" s="76" t="s">
        <v>40</v>
      </c>
      <c r="K37" s="16"/>
      <c r="L37" s="73" t="s">
        <v>28</v>
      </c>
      <c r="M37" s="73" t="s">
        <v>7</v>
      </c>
      <c r="N37" s="76" t="s">
        <v>40</v>
      </c>
      <c r="O37" s="16"/>
      <c r="P37" s="73" t="s">
        <v>28</v>
      </c>
      <c r="Q37" s="73" t="s">
        <v>7</v>
      </c>
    </row>
    <row r="38" spans="2:17" ht="17.100000000000001" customHeight="1" x14ac:dyDescent="0.25">
      <c r="B38" s="3" t="s">
        <v>41</v>
      </c>
      <c r="C38" s="13" t="s">
        <v>42</v>
      </c>
      <c r="D38" s="13"/>
      <c r="E38" s="13" t="s">
        <v>7</v>
      </c>
      <c r="F38" s="3" t="s">
        <v>41</v>
      </c>
      <c r="G38" s="13" t="s">
        <v>42</v>
      </c>
      <c r="H38" s="13"/>
      <c r="I38" s="13" t="s">
        <v>7</v>
      </c>
      <c r="J38" s="3" t="s">
        <v>41</v>
      </c>
      <c r="K38" s="13" t="s">
        <v>42</v>
      </c>
      <c r="L38" s="13"/>
      <c r="M38" s="13" t="s">
        <v>7</v>
      </c>
      <c r="N38" s="3" t="s">
        <v>41</v>
      </c>
      <c r="O38" s="13" t="s">
        <v>42</v>
      </c>
      <c r="P38" s="13"/>
      <c r="Q38" s="13" t="s">
        <v>7</v>
      </c>
    </row>
    <row r="39" spans="2:17" ht="17.100000000000001" customHeight="1" x14ac:dyDescent="0.25">
      <c r="B39" s="3" t="s">
        <v>8</v>
      </c>
      <c r="C39" s="13" t="s">
        <v>43</v>
      </c>
      <c r="D39" s="35">
        <v>4.7</v>
      </c>
      <c r="E39" s="14">
        <f>D39*2*26-(E12*6%)</f>
        <v>140.55500000000001</v>
      </c>
      <c r="F39" s="3" t="s">
        <v>8</v>
      </c>
      <c r="G39" s="13" t="s">
        <v>43</v>
      </c>
      <c r="H39" s="35">
        <v>4.7</v>
      </c>
      <c r="I39" s="14">
        <f>H39*2*26-(I12*6%)</f>
        <v>140.55500000000001</v>
      </c>
      <c r="J39" s="3" t="s">
        <v>8</v>
      </c>
      <c r="K39" s="13" t="s">
        <v>43</v>
      </c>
      <c r="L39" s="35">
        <v>4.7</v>
      </c>
      <c r="M39" s="14">
        <f>L39*2*26-(M12*6%)</f>
        <v>140.55500000000001</v>
      </c>
      <c r="N39" s="3" t="s">
        <v>8</v>
      </c>
      <c r="O39" s="13" t="s">
        <v>43</v>
      </c>
      <c r="P39" s="35">
        <v>4.7</v>
      </c>
      <c r="Q39" s="14">
        <f>P39*2*26-(Q12*6%)</f>
        <v>140.55500000000001</v>
      </c>
    </row>
    <row r="40" spans="2:17" ht="17.100000000000001" customHeight="1" x14ac:dyDescent="0.25">
      <c r="B40" s="3" t="s">
        <v>10</v>
      </c>
      <c r="C40" s="13" t="s">
        <v>44</v>
      </c>
      <c r="D40" s="35">
        <v>25</v>
      </c>
      <c r="E40" s="14">
        <f>D40*22-(25*22*10%)</f>
        <v>495</v>
      </c>
      <c r="F40" s="3" t="s">
        <v>10</v>
      </c>
      <c r="G40" s="13" t="s">
        <v>44</v>
      </c>
      <c r="H40" s="35">
        <v>25</v>
      </c>
      <c r="I40" s="14">
        <f>H40*22-(25*22*10%)</f>
        <v>495</v>
      </c>
      <c r="J40" s="3" t="s">
        <v>10</v>
      </c>
      <c r="K40" s="13" t="s">
        <v>44</v>
      </c>
      <c r="L40" s="35">
        <v>25</v>
      </c>
      <c r="M40" s="14">
        <f>L40*22-(25*22*10%)</f>
        <v>495</v>
      </c>
      <c r="N40" s="3" t="s">
        <v>10</v>
      </c>
      <c r="O40" s="13" t="s">
        <v>44</v>
      </c>
      <c r="P40" s="35">
        <v>25</v>
      </c>
      <c r="Q40" s="14">
        <f>P40*22-(25*22*10%)</f>
        <v>495</v>
      </c>
    </row>
    <row r="41" spans="2:17" ht="17.100000000000001" customHeight="1" x14ac:dyDescent="0.25">
      <c r="B41" s="3" t="s">
        <v>12</v>
      </c>
      <c r="C41" s="13" t="s">
        <v>72</v>
      </c>
      <c r="D41" s="13"/>
      <c r="E41" s="25">
        <v>21.6</v>
      </c>
      <c r="F41" s="3" t="s">
        <v>12</v>
      </c>
      <c r="G41" s="13" t="s">
        <v>72</v>
      </c>
      <c r="H41" s="13"/>
      <c r="I41" s="25">
        <v>21.6</v>
      </c>
      <c r="J41" s="3" t="s">
        <v>12</v>
      </c>
      <c r="K41" s="13" t="s">
        <v>72</v>
      </c>
      <c r="L41" s="13"/>
      <c r="M41" s="25">
        <v>21.6</v>
      </c>
      <c r="N41" s="3" t="s">
        <v>12</v>
      </c>
      <c r="O41" s="13" t="s">
        <v>72</v>
      </c>
      <c r="P41" s="13"/>
      <c r="Q41" s="25">
        <v>21.6</v>
      </c>
    </row>
    <row r="42" spans="2:17" ht="17.100000000000001" customHeight="1" x14ac:dyDescent="0.25">
      <c r="B42" s="3" t="s">
        <v>14</v>
      </c>
      <c r="C42" s="13" t="s">
        <v>19</v>
      </c>
      <c r="D42" s="13"/>
      <c r="E42" s="13"/>
      <c r="F42" s="3" t="s">
        <v>14</v>
      </c>
      <c r="G42" s="13" t="s">
        <v>19</v>
      </c>
      <c r="H42" s="13"/>
      <c r="I42" s="13"/>
      <c r="J42" s="3" t="s">
        <v>14</v>
      </c>
      <c r="K42" s="13" t="s">
        <v>19</v>
      </c>
      <c r="L42" s="13"/>
      <c r="M42" s="13"/>
      <c r="N42" s="3" t="s">
        <v>14</v>
      </c>
      <c r="O42" s="13" t="s">
        <v>19</v>
      </c>
      <c r="P42" s="13"/>
      <c r="Q42" s="13"/>
    </row>
    <row r="43" spans="2:17" ht="17.100000000000001" customHeight="1" x14ac:dyDescent="0.25">
      <c r="B43" s="20" t="s">
        <v>20</v>
      </c>
      <c r="C43" s="20"/>
      <c r="D43" s="20"/>
      <c r="E43" s="69">
        <f>SUM(E39,E40,E41)</f>
        <v>657.15500000000009</v>
      </c>
      <c r="F43" s="20" t="s">
        <v>20</v>
      </c>
      <c r="G43" s="20"/>
      <c r="H43" s="20"/>
      <c r="I43" s="69">
        <f>SUM(I39,I40,I41)</f>
        <v>657.15500000000009</v>
      </c>
      <c r="J43" s="20" t="s">
        <v>20</v>
      </c>
      <c r="K43" s="20"/>
      <c r="L43" s="20"/>
      <c r="M43" s="69">
        <f>SUM(M39,M40,M41)</f>
        <v>657.15500000000009</v>
      </c>
      <c r="N43" s="20" t="s">
        <v>20</v>
      </c>
      <c r="O43" s="20"/>
      <c r="P43" s="20"/>
      <c r="Q43" s="69">
        <f>SUM(Q39,Q40,Q41)</f>
        <v>657.15500000000009</v>
      </c>
    </row>
    <row r="44" spans="2:17" ht="17.100000000000001" customHeight="1" x14ac:dyDescent="0.25">
      <c r="B44" s="17" t="s">
        <v>45</v>
      </c>
      <c r="C44" s="18"/>
      <c r="D44" s="18"/>
      <c r="E44" s="80" t="s">
        <v>7</v>
      </c>
      <c r="F44" s="17" t="s">
        <v>45</v>
      </c>
      <c r="G44" s="18"/>
      <c r="H44" s="18"/>
      <c r="I44" s="80" t="s">
        <v>7</v>
      </c>
      <c r="J44" s="17" t="s">
        <v>45</v>
      </c>
      <c r="K44" s="18"/>
      <c r="L44" s="18"/>
      <c r="M44" s="80" t="s">
        <v>7</v>
      </c>
      <c r="N44" s="17" t="s">
        <v>45</v>
      </c>
      <c r="O44" s="18"/>
      <c r="P44" s="18"/>
      <c r="Q44" s="80" t="s">
        <v>7</v>
      </c>
    </row>
    <row r="45" spans="2:17" ht="17.100000000000001" customHeight="1" x14ac:dyDescent="0.25">
      <c r="B45" s="3" t="s">
        <v>23</v>
      </c>
      <c r="C45" s="141" t="s">
        <v>24</v>
      </c>
      <c r="D45" s="142"/>
      <c r="E45" s="14">
        <f>E25</f>
        <v>336.45779999999996</v>
      </c>
      <c r="F45" s="3" t="s">
        <v>23</v>
      </c>
      <c r="G45" s="141" t="s">
        <v>24</v>
      </c>
      <c r="H45" s="142"/>
      <c r="I45" s="14">
        <f>I25</f>
        <v>336.45779999999996</v>
      </c>
      <c r="J45" s="3" t="s">
        <v>23</v>
      </c>
      <c r="K45" s="141" t="s">
        <v>24</v>
      </c>
      <c r="L45" s="142"/>
      <c r="M45" s="14">
        <f>M25</f>
        <v>336.45779999999996</v>
      </c>
      <c r="N45" s="3" t="s">
        <v>23</v>
      </c>
      <c r="O45" s="141" t="s">
        <v>24</v>
      </c>
      <c r="P45" s="142"/>
      <c r="Q45" s="14">
        <f>Q25</f>
        <v>336.45779999999996</v>
      </c>
    </row>
    <row r="46" spans="2:17" ht="17.100000000000001" customHeight="1" x14ac:dyDescent="0.25">
      <c r="B46" s="3" t="s">
        <v>26</v>
      </c>
      <c r="C46" s="141" t="s">
        <v>27</v>
      </c>
      <c r="D46" s="142"/>
      <c r="E46" s="14">
        <f>E36</f>
        <v>760.73247040000012</v>
      </c>
      <c r="F46" s="3" t="s">
        <v>26</v>
      </c>
      <c r="G46" s="141" t="s">
        <v>27</v>
      </c>
      <c r="H46" s="142"/>
      <c r="I46" s="14">
        <f>I36</f>
        <v>760.73247040000012</v>
      </c>
      <c r="J46" s="3" t="s">
        <v>26</v>
      </c>
      <c r="K46" s="141" t="s">
        <v>27</v>
      </c>
      <c r="L46" s="142"/>
      <c r="M46" s="14">
        <f>M36</f>
        <v>760.73247040000012</v>
      </c>
      <c r="N46" s="3" t="s">
        <v>26</v>
      </c>
      <c r="O46" s="141" t="s">
        <v>27</v>
      </c>
      <c r="P46" s="142"/>
      <c r="Q46" s="14">
        <f>Q36</f>
        <v>760.73247040000012</v>
      </c>
    </row>
    <row r="47" spans="2:17" ht="17.100000000000001" customHeight="1" x14ac:dyDescent="0.25">
      <c r="B47" s="3" t="s">
        <v>41</v>
      </c>
      <c r="C47" s="141" t="s">
        <v>42</v>
      </c>
      <c r="D47" s="142"/>
      <c r="E47" s="14">
        <f>E43</f>
        <v>657.15500000000009</v>
      </c>
      <c r="F47" s="3" t="s">
        <v>41</v>
      </c>
      <c r="G47" s="141" t="s">
        <v>42</v>
      </c>
      <c r="H47" s="142"/>
      <c r="I47" s="14">
        <f>I43</f>
        <v>657.15500000000009</v>
      </c>
      <c r="J47" s="3" t="s">
        <v>41</v>
      </c>
      <c r="K47" s="141" t="s">
        <v>42</v>
      </c>
      <c r="L47" s="142"/>
      <c r="M47" s="14">
        <f>M43</f>
        <v>657.15500000000009</v>
      </c>
      <c r="N47" s="3" t="s">
        <v>41</v>
      </c>
      <c r="O47" s="141" t="s">
        <v>42</v>
      </c>
      <c r="P47" s="142"/>
      <c r="Q47" s="14">
        <f>Q43</f>
        <v>657.15500000000009</v>
      </c>
    </row>
    <row r="48" spans="2:17" ht="17.100000000000001" customHeight="1" x14ac:dyDescent="0.25">
      <c r="B48" s="148" t="s">
        <v>20</v>
      </c>
      <c r="C48" s="149"/>
      <c r="D48" s="150"/>
      <c r="E48" s="37">
        <f>SUM(E45:E47)</f>
        <v>1754.3452704000001</v>
      </c>
      <c r="F48" s="148" t="s">
        <v>20</v>
      </c>
      <c r="G48" s="149"/>
      <c r="H48" s="150"/>
      <c r="I48" s="37">
        <f>SUM(I45:I47)</f>
        <v>1754.3452704000001</v>
      </c>
      <c r="J48" s="148" t="s">
        <v>20</v>
      </c>
      <c r="K48" s="149"/>
      <c r="L48" s="150"/>
      <c r="M48" s="37">
        <f>SUM(M45:M47)</f>
        <v>1754.3452704000001</v>
      </c>
      <c r="N48" s="148" t="s">
        <v>20</v>
      </c>
      <c r="O48" s="149"/>
      <c r="P48" s="150"/>
      <c r="Q48" s="37">
        <f>SUM(Q45:Q47)</f>
        <v>1754.3452704000001</v>
      </c>
    </row>
    <row r="49" spans="2:17" ht="17.100000000000001" customHeight="1" x14ac:dyDescent="0.25">
      <c r="B49" s="38"/>
      <c r="C49" s="38"/>
      <c r="D49" s="39"/>
      <c r="E49" s="38"/>
      <c r="F49" s="38"/>
      <c r="G49" s="38"/>
      <c r="H49" s="39"/>
      <c r="I49" s="38"/>
      <c r="J49" s="38"/>
      <c r="K49" s="38"/>
      <c r="L49" s="39"/>
      <c r="M49" s="38"/>
      <c r="N49" s="38"/>
      <c r="O49" s="38"/>
      <c r="P49" s="39"/>
      <c r="Q49" s="38"/>
    </row>
    <row r="50" spans="2:17" ht="17.100000000000001" customHeight="1" x14ac:dyDescent="0.25">
      <c r="B50" s="139" t="s">
        <v>47</v>
      </c>
      <c r="C50" s="140"/>
      <c r="D50" s="83" t="s">
        <v>28</v>
      </c>
      <c r="E50" s="79" t="s">
        <v>7</v>
      </c>
      <c r="F50" s="139" t="s">
        <v>47</v>
      </c>
      <c r="G50" s="140"/>
      <c r="H50" s="83" t="s">
        <v>28</v>
      </c>
      <c r="I50" s="79" t="s">
        <v>7</v>
      </c>
      <c r="J50" s="139" t="s">
        <v>47</v>
      </c>
      <c r="K50" s="140"/>
      <c r="L50" s="83" t="s">
        <v>28</v>
      </c>
      <c r="M50" s="79" t="s">
        <v>7</v>
      </c>
      <c r="N50" s="139" t="s">
        <v>47</v>
      </c>
      <c r="O50" s="140"/>
      <c r="P50" s="83" t="s">
        <v>28</v>
      </c>
      <c r="Q50" s="79" t="s">
        <v>7</v>
      </c>
    </row>
    <row r="51" spans="2:17" ht="17.100000000000001" customHeight="1" x14ac:dyDescent="0.25">
      <c r="B51" s="3" t="s">
        <v>8</v>
      </c>
      <c r="C51" s="36" t="s">
        <v>49</v>
      </c>
      <c r="D51" s="40">
        <f>5%/12</f>
        <v>4.1666666666666666E-3</v>
      </c>
      <c r="E51" s="14">
        <f>($E$18+$E$25)*D51</f>
        <v>8.6133658333333329</v>
      </c>
      <c r="F51" s="3" t="s">
        <v>8</v>
      </c>
      <c r="G51" s="36" t="s">
        <v>49</v>
      </c>
      <c r="H51" s="40">
        <f>5%/12</f>
        <v>4.1666666666666666E-3</v>
      </c>
      <c r="I51" s="14">
        <f>($I$18+$I$25)*H51</f>
        <v>8.6133658333333329</v>
      </c>
      <c r="J51" s="3" t="s">
        <v>8</v>
      </c>
      <c r="K51" s="36" t="s">
        <v>49</v>
      </c>
      <c r="L51" s="40">
        <f>5%/12</f>
        <v>4.1666666666666666E-3</v>
      </c>
      <c r="M51" s="14">
        <f>($M$18+$M$25)*L51</f>
        <v>8.6133658333333329</v>
      </c>
      <c r="N51" s="3" t="s">
        <v>8</v>
      </c>
      <c r="O51" s="36" t="s">
        <v>49</v>
      </c>
      <c r="P51" s="40">
        <f>5%/12</f>
        <v>4.1666666666666666E-3</v>
      </c>
      <c r="Q51" s="14">
        <f>($Q$18+$Q$25)*P51</f>
        <v>8.6133658333333329</v>
      </c>
    </row>
    <row r="52" spans="2:17" ht="17.100000000000001" customHeight="1" x14ac:dyDescent="0.25">
      <c r="B52" s="3" t="s">
        <v>10</v>
      </c>
      <c r="C52" s="36" t="s">
        <v>50</v>
      </c>
      <c r="D52" s="40">
        <f>D51*D34</f>
        <v>3.3333333333333332E-4</v>
      </c>
      <c r="E52" s="14">
        <f>($E$18+$E$25)*D52</f>
        <v>0.68906926666666668</v>
      </c>
      <c r="F52" s="3" t="s">
        <v>10</v>
      </c>
      <c r="G52" s="36" t="s">
        <v>50</v>
      </c>
      <c r="H52" s="40">
        <f>H51*H34</f>
        <v>3.3333333333333332E-4</v>
      </c>
      <c r="I52" s="14">
        <f t="shared" ref="I52:I55" si="0">($I$18+$I$25)*H52</f>
        <v>0.68906926666666668</v>
      </c>
      <c r="J52" s="3" t="s">
        <v>10</v>
      </c>
      <c r="K52" s="36" t="s">
        <v>50</v>
      </c>
      <c r="L52" s="40">
        <f>L51*L34</f>
        <v>3.3333333333333332E-4</v>
      </c>
      <c r="M52" s="14">
        <f>($M$18+$M$25)*L52</f>
        <v>0.68906926666666668</v>
      </c>
      <c r="N52" s="3" t="s">
        <v>10</v>
      </c>
      <c r="O52" s="36" t="s">
        <v>50</v>
      </c>
      <c r="P52" s="40">
        <f>P51*P34</f>
        <v>3.3333333333333332E-4</v>
      </c>
      <c r="Q52" s="14">
        <f>($Q$18+$Q$25)*P52</f>
        <v>0.68906926666666668</v>
      </c>
    </row>
    <row r="53" spans="2:17" ht="17.100000000000001" customHeight="1" x14ac:dyDescent="0.25">
      <c r="B53" s="3" t="s">
        <v>12</v>
      </c>
      <c r="C53" s="36" t="s">
        <v>179</v>
      </c>
      <c r="D53" s="134">
        <f>(1+2/12+(1/3*1/12))*0.08*0.4*0.05</f>
        <v>1.9111111111111115E-3</v>
      </c>
      <c r="E53" s="14">
        <f>(E18+E25)*D53</f>
        <v>3.9506637955555566</v>
      </c>
      <c r="F53" s="3" t="s">
        <v>12</v>
      </c>
      <c r="G53" s="36" t="s">
        <v>179</v>
      </c>
      <c r="H53" s="40">
        <f>(1+2/12+(1/3*1/12))*0.08*0.4*0.05</f>
        <v>1.9111111111111115E-3</v>
      </c>
      <c r="I53" s="14">
        <f>(I18+I25)*H53</f>
        <v>3.9506637955555566</v>
      </c>
      <c r="J53" s="3" t="s">
        <v>12</v>
      </c>
      <c r="K53" s="36" t="s">
        <v>179</v>
      </c>
      <c r="L53" s="40">
        <f>(1+2/12+(1/3*1/12))*0.08*0.4*0.05</f>
        <v>1.9111111111111115E-3</v>
      </c>
      <c r="M53" s="14">
        <f>(M18+M25)*L53</f>
        <v>3.9506637955555566</v>
      </c>
      <c r="N53" s="3" t="s">
        <v>12</v>
      </c>
      <c r="O53" s="36" t="s">
        <v>179</v>
      </c>
      <c r="P53" s="40">
        <f>(1+2/12+(1/3*1/12))*0.08*0.4*0.05</f>
        <v>1.9111111111111115E-3</v>
      </c>
      <c r="Q53" s="14">
        <f>(Q18+Q25)*P53</f>
        <v>3.9506637955555566</v>
      </c>
    </row>
    <row r="54" spans="2:17" ht="17.100000000000001" customHeight="1" x14ac:dyDescent="0.25">
      <c r="B54" s="3" t="s">
        <v>14</v>
      </c>
      <c r="C54" s="36" t="s">
        <v>51</v>
      </c>
      <c r="D54" s="40">
        <f>7/30/12</f>
        <v>1.9444444444444445E-2</v>
      </c>
      <c r="E54" s="14">
        <f>($E$18+$E$25)*D54</f>
        <v>40.195707222222225</v>
      </c>
      <c r="F54" s="3" t="s">
        <v>14</v>
      </c>
      <c r="G54" s="36" t="s">
        <v>51</v>
      </c>
      <c r="H54" s="40">
        <f>7/30/12</f>
        <v>1.9444444444444445E-2</v>
      </c>
      <c r="I54" s="14">
        <f t="shared" si="0"/>
        <v>40.195707222222225</v>
      </c>
      <c r="J54" s="3" t="s">
        <v>14</v>
      </c>
      <c r="K54" s="36" t="s">
        <v>51</v>
      </c>
      <c r="L54" s="40">
        <f>7/30/12</f>
        <v>1.9444444444444445E-2</v>
      </c>
      <c r="M54" s="14">
        <f t="shared" ref="M54:M56" si="1">($M$18+$M$25)*L54</f>
        <v>40.195707222222225</v>
      </c>
      <c r="N54" s="3" t="s">
        <v>14</v>
      </c>
      <c r="O54" s="36" t="s">
        <v>51</v>
      </c>
      <c r="P54" s="40">
        <f>7/30/12</f>
        <v>1.9444444444444445E-2</v>
      </c>
      <c r="Q54" s="14">
        <f>($Q$18+$Q$25)*P54</f>
        <v>40.195707222222225</v>
      </c>
    </row>
    <row r="55" spans="2:17" ht="30" x14ac:dyDescent="0.25">
      <c r="B55" s="3" t="s">
        <v>16</v>
      </c>
      <c r="C55" s="94" t="s">
        <v>169</v>
      </c>
      <c r="D55" s="40">
        <f>D54*D35</f>
        <v>7.1555555555555565E-3</v>
      </c>
      <c r="E55" s="14">
        <f>($E$18+$E$25)*D55</f>
        <v>14.79202025777778</v>
      </c>
      <c r="F55" s="3" t="s">
        <v>16</v>
      </c>
      <c r="G55" s="94" t="s">
        <v>169</v>
      </c>
      <c r="H55" s="40">
        <f>H54*H35</f>
        <v>7.1555555555555565E-3</v>
      </c>
      <c r="I55" s="14">
        <f t="shared" si="0"/>
        <v>14.79202025777778</v>
      </c>
      <c r="J55" s="3" t="s">
        <v>16</v>
      </c>
      <c r="K55" s="94" t="s">
        <v>169</v>
      </c>
      <c r="L55" s="40">
        <f>L54*L35</f>
        <v>7.1555555555555565E-3</v>
      </c>
      <c r="M55" s="14">
        <f t="shared" si="1"/>
        <v>14.79202025777778</v>
      </c>
      <c r="N55" s="3" t="s">
        <v>16</v>
      </c>
      <c r="O55" s="94" t="s">
        <v>169</v>
      </c>
      <c r="P55" s="40">
        <f>P54*P35</f>
        <v>7.1555555555555565E-3</v>
      </c>
      <c r="Q55" s="14">
        <f t="shared" ref="Q52:Q56" si="2">($Q$18+$Q$25)*P55</f>
        <v>14.79202025777778</v>
      </c>
    </row>
    <row r="56" spans="2:17" ht="15" x14ac:dyDescent="0.25">
      <c r="B56" s="3" t="s">
        <v>34</v>
      </c>
      <c r="C56" s="94" t="s">
        <v>180</v>
      </c>
      <c r="D56" s="109">
        <f>100%*8%*40%*(1+1/12*1/3+1/12)</f>
        <v>3.5555555555555549E-2</v>
      </c>
      <c r="E56" s="14">
        <f>($E$18+$E$25)*D56</f>
        <v>73.50072177777777</v>
      </c>
      <c r="F56" s="3" t="s">
        <v>34</v>
      </c>
      <c r="G56" s="94" t="s">
        <v>180</v>
      </c>
      <c r="H56" s="109">
        <f>100%*8%*40%*(1+1/12*1/3+1/12)</f>
        <v>3.5555555555555549E-2</v>
      </c>
      <c r="I56" s="14">
        <f>($I$18+$I$25)*H56</f>
        <v>73.50072177777777</v>
      </c>
      <c r="J56" s="3" t="s">
        <v>34</v>
      </c>
      <c r="K56" s="94" t="s">
        <v>180</v>
      </c>
      <c r="L56" s="109">
        <f>100%*8%*40%*(1+1/12*1/3+1/12)</f>
        <v>3.5555555555555549E-2</v>
      </c>
      <c r="M56" s="14">
        <f t="shared" si="1"/>
        <v>73.50072177777777</v>
      </c>
      <c r="N56" s="3" t="s">
        <v>34</v>
      </c>
      <c r="O56" s="94" t="s">
        <v>180</v>
      </c>
      <c r="P56" s="109">
        <f>100%*8%*40%*(1+1/12*1/3+1/12)</f>
        <v>3.5555555555555549E-2</v>
      </c>
      <c r="Q56" s="14">
        <f t="shared" si="2"/>
        <v>73.50072177777777</v>
      </c>
    </row>
    <row r="57" spans="2:17" ht="17.100000000000001" customHeight="1" x14ac:dyDescent="0.25">
      <c r="B57" s="148" t="s">
        <v>20</v>
      </c>
      <c r="C57" s="149"/>
      <c r="D57" s="150"/>
      <c r="E57" s="37">
        <f>SUM(E51:E56)</f>
        <v>141.74154815333333</v>
      </c>
      <c r="F57" s="148" t="s">
        <v>20</v>
      </c>
      <c r="G57" s="149"/>
      <c r="H57" s="150"/>
      <c r="I57" s="37">
        <f>SUM(I51:I56)</f>
        <v>141.74154815333333</v>
      </c>
      <c r="J57" s="148" t="s">
        <v>20</v>
      </c>
      <c r="K57" s="149"/>
      <c r="L57" s="150"/>
      <c r="M57" s="37">
        <f>SUM(M51:M56)</f>
        <v>141.74154815333333</v>
      </c>
      <c r="N57" s="148" t="s">
        <v>20</v>
      </c>
      <c r="O57" s="149"/>
      <c r="P57" s="150"/>
      <c r="Q57" s="37">
        <f>SUM(Q51:Q56)</f>
        <v>141.74154815333333</v>
      </c>
    </row>
    <row r="58" spans="2:17" ht="17.100000000000001" customHeight="1" x14ac:dyDescent="0.25">
      <c r="B58" s="41"/>
      <c r="C58" s="38"/>
      <c r="D58" s="39"/>
      <c r="E58" s="38"/>
      <c r="F58" s="41"/>
      <c r="G58" s="38"/>
      <c r="H58" s="39"/>
      <c r="I58" s="38"/>
      <c r="J58" s="41"/>
      <c r="K58" s="38"/>
      <c r="L58" s="39"/>
      <c r="M58" s="38"/>
      <c r="N58" s="41"/>
      <c r="O58" s="38"/>
      <c r="P58" s="39"/>
      <c r="Q58" s="38"/>
    </row>
    <row r="59" spans="2:17" ht="17.100000000000001" customHeight="1" x14ac:dyDescent="0.25">
      <c r="B59" s="139" t="s">
        <v>52</v>
      </c>
      <c r="C59" s="151"/>
      <c r="D59" s="151"/>
      <c r="E59" s="140"/>
      <c r="F59" s="139" t="s">
        <v>52</v>
      </c>
      <c r="G59" s="151"/>
      <c r="H59" s="151"/>
      <c r="I59" s="140"/>
      <c r="J59" s="139" t="s">
        <v>52</v>
      </c>
      <c r="K59" s="151"/>
      <c r="L59" s="151"/>
      <c r="M59" s="140"/>
      <c r="N59" s="139" t="s">
        <v>52</v>
      </c>
      <c r="O59" s="151"/>
      <c r="P59" s="151"/>
      <c r="Q59" s="140"/>
    </row>
    <row r="60" spans="2:17" ht="17.100000000000001" customHeight="1" x14ac:dyDescent="0.25">
      <c r="B60" s="76" t="s">
        <v>53</v>
      </c>
      <c r="C60" s="16"/>
      <c r="D60" s="91" t="s">
        <v>82</v>
      </c>
      <c r="E60" s="72" t="s">
        <v>7</v>
      </c>
      <c r="F60" s="76" t="s">
        <v>53</v>
      </c>
      <c r="G60" s="16"/>
      <c r="H60" s="91" t="s">
        <v>82</v>
      </c>
      <c r="I60" s="72" t="s">
        <v>7</v>
      </c>
      <c r="J60" s="76" t="s">
        <v>53</v>
      </c>
      <c r="K60" s="16"/>
      <c r="L60" s="91" t="s">
        <v>82</v>
      </c>
      <c r="M60" s="72" t="s">
        <v>7</v>
      </c>
      <c r="N60" s="76" t="s">
        <v>53</v>
      </c>
      <c r="O60" s="16"/>
      <c r="P60" s="91" t="s">
        <v>82</v>
      </c>
      <c r="Q60" s="72" t="s">
        <v>7</v>
      </c>
    </row>
    <row r="61" spans="2:17" ht="30" x14ac:dyDescent="0.25">
      <c r="B61" s="3" t="s">
        <v>8</v>
      </c>
      <c r="C61" s="104" t="s">
        <v>163</v>
      </c>
      <c r="D61" s="85">
        <f>(1/12+1/12+1/12/3)/12</f>
        <v>1.6203703703703703E-2</v>
      </c>
      <c r="E61" s="110">
        <f>(E18+E36)*D61</f>
        <v>40.371243733333337</v>
      </c>
      <c r="F61" s="3" t="s">
        <v>8</v>
      </c>
      <c r="G61" s="104" t="s">
        <v>163</v>
      </c>
      <c r="H61" s="85">
        <f>(1/12+1/12+1/12/3)/12</f>
        <v>1.6203703703703703E-2</v>
      </c>
      <c r="I61" s="110">
        <f>(I18+I36)*H61</f>
        <v>40.371243733333337</v>
      </c>
      <c r="J61" s="3" t="s">
        <v>8</v>
      </c>
      <c r="K61" s="104" t="s">
        <v>163</v>
      </c>
      <c r="L61" s="85">
        <f>(1/12+1/12+1/12/3)/12</f>
        <v>1.6203703703703703E-2</v>
      </c>
      <c r="M61" s="110">
        <f>(M18+M36)*L61</f>
        <v>40.371243733333337</v>
      </c>
      <c r="N61" s="3" t="s">
        <v>8</v>
      </c>
      <c r="O61" s="104" t="s">
        <v>163</v>
      </c>
      <c r="P61" s="85">
        <f>(1/12+1/12+1/12/3)/12</f>
        <v>1.6203703703703703E-2</v>
      </c>
      <c r="Q61" s="110">
        <f>(Q18+Q36)*P61</f>
        <v>40.371243733333337</v>
      </c>
    </row>
    <row r="62" spans="2:17" ht="17.100000000000001" customHeight="1" x14ac:dyDescent="0.25">
      <c r="B62" s="3" t="s">
        <v>10</v>
      </c>
      <c r="C62" s="104" t="s">
        <v>164</v>
      </c>
      <c r="D62" s="85">
        <f>(1/30/12)</f>
        <v>2.7777777777777779E-3</v>
      </c>
      <c r="E62" s="92">
        <f>E18*D62</f>
        <v>4.8076388888888895</v>
      </c>
      <c r="F62" s="3" t="s">
        <v>10</v>
      </c>
      <c r="G62" s="104" t="s">
        <v>164</v>
      </c>
      <c r="H62" s="85">
        <f>(1/30/12)</f>
        <v>2.7777777777777779E-3</v>
      </c>
      <c r="I62" s="92">
        <f>I18*H62</f>
        <v>4.8076388888888895</v>
      </c>
      <c r="J62" s="3" t="s">
        <v>10</v>
      </c>
      <c r="K62" s="104" t="s">
        <v>164</v>
      </c>
      <c r="L62" s="85">
        <f>(1/30/12)</f>
        <v>2.7777777777777779E-3</v>
      </c>
      <c r="M62" s="92">
        <f>M18*L62</f>
        <v>4.8076388888888895</v>
      </c>
      <c r="N62" s="3" t="s">
        <v>10</v>
      </c>
      <c r="O62" s="104" t="s">
        <v>164</v>
      </c>
      <c r="P62" s="85">
        <f>(1/30/12)</f>
        <v>2.7777777777777779E-3</v>
      </c>
      <c r="Q62" s="92">
        <f>Q18*P62</f>
        <v>4.8076388888888895</v>
      </c>
    </row>
    <row r="63" spans="2:17" ht="17.100000000000001" customHeight="1" x14ac:dyDescent="0.25">
      <c r="B63" s="3" t="s">
        <v>12</v>
      </c>
      <c r="C63" s="104" t="s">
        <v>165</v>
      </c>
      <c r="D63" s="85">
        <f>(5/30/12)*0.015</f>
        <v>2.0833333333333332E-4</v>
      </c>
      <c r="E63" s="92">
        <f>E18*D63</f>
        <v>0.36057291666666663</v>
      </c>
      <c r="F63" s="3" t="s">
        <v>12</v>
      </c>
      <c r="G63" s="104" t="s">
        <v>165</v>
      </c>
      <c r="H63" s="85">
        <f>(5/30/12)*0.015</f>
        <v>2.0833333333333332E-4</v>
      </c>
      <c r="I63" s="92">
        <f>I18*H63</f>
        <v>0.36057291666666663</v>
      </c>
      <c r="J63" s="3" t="s">
        <v>12</v>
      </c>
      <c r="K63" s="104" t="s">
        <v>165</v>
      </c>
      <c r="L63" s="85">
        <f>(5/30/12)*0.015</f>
        <v>2.0833333333333332E-4</v>
      </c>
      <c r="M63" s="92">
        <f>M18*L63</f>
        <v>0.36057291666666663</v>
      </c>
      <c r="N63" s="3" t="s">
        <v>12</v>
      </c>
      <c r="O63" s="104" t="s">
        <v>165</v>
      </c>
      <c r="P63" s="85">
        <f>(5/30/12)*0.015</f>
        <v>2.0833333333333332E-4</v>
      </c>
      <c r="Q63" s="92">
        <f>Q18*P63</f>
        <v>0.36057291666666663</v>
      </c>
    </row>
    <row r="64" spans="2:17" ht="30" x14ac:dyDescent="0.25">
      <c r="B64" s="3" t="s">
        <v>14</v>
      </c>
      <c r="C64" s="104" t="s">
        <v>166</v>
      </c>
      <c r="D64" s="85">
        <f>(1/12)*0.0178</f>
        <v>1.4833333333333332E-3</v>
      </c>
      <c r="E64" s="92">
        <f>(E18)*D64</f>
        <v>2.5672791666666663</v>
      </c>
      <c r="F64" s="3" t="s">
        <v>14</v>
      </c>
      <c r="G64" s="104" t="s">
        <v>166</v>
      </c>
      <c r="H64" s="85">
        <f>(1/12)*0.0178</f>
        <v>1.4833333333333332E-3</v>
      </c>
      <c r="I64" s="92">
        <f>(I18)*H64</f>
        <v>2.5672791666666663</v>
      </c>
      <c r="J64" s="3" t="s">
        <v>14</v>
      </c>
      <c r="K64" s="104" t="s">
        <v>166</v>
      </c>
      <c r="L64" s="85">
        <f>(1/12)*0.0178</f>
        <v>1.4833333333333332E-3</v>
      </c>
      <c r="M64" s="92">
        <f>(M18)*L64</f>
        <v>2.5672791666666663</v>
      </c>
      <c r="N64" s="3" t="s">
        <v>14</v>
      </c>
      <c r="O64" s="104" t="s">
        <v>166</v>
      </c>
      <c r="P64" s="85">
        <f>(1/12)*0.0178</f>
        <v>1.4833333333333332E-3</v>
      </c>
      <c r="Q64" s="92">
        <f>(Q18)*P64</f>
        <v>2.5672791666666663</v>
      </c>
    </row>
    <row r="65" spans="2:17" ht="17.100000000000001" customHeight="1" x14ac:dyDescent="0.25">
      <c r="B65" s="3" t="s">
        <v>16</v>
      </c>
      <c r="C65" s="104" t="s">
        <v>167</v>
      </c>
      <c r="D65" s="85">
        <f>11.11%*5.28%*50%</f>
        <v>2.9330399999999996E-3</v>
      </c>
      <c r="E65" s="92">
        <f>(E18+(1/12+1/12/3)/12+E36)*D65</f>
        <v>7.3076449027597929</v>
      </c>
      <c r="F65" s="3" t="s">
        <v>16</v>
      </c>
      <c r="G65" s="104" t="s">
        <v>167</v>
      </c>
      <c r="H65" s="85">
        <f>11.11%*5.28%*50%</f>
        <v>2.9330399999999996E-3</v>
      </c>
      <c r="I65" s="92">
        <f>(I18+(1/12+1/12/3)/12+I36)*H65</f>
        <v>7.3076449027597929</v>
      </c>
      <c r="J65" s="3" t="s">
        <v>16</v>
      </c>
      <c r="K65" s="104" t="s">
        <v>167</v>
      </c>
      <c r="L65" s="85">
        <f>11.11%*5.28%*50%</f>
        <v>2.9330399999999996E-3</v>
      </c>
      <c r="M65" s="92">
        <f>(M18+(1/12+1/12/3)/12+M36)*L65</f>
        <v>7.3076449027597929</v>
      </c>
      <c r="N65" s="3" t="s">
        <v>16</v>
      </c>
      <c r="O65" s="104" t="s">
        <v>167</v>
      </c>
      <c r="P65" s="85">
        <f>11.11%*5.28%*50%</f>
        <v>2.9330399999999996E-3</v>
      </c>
      <c r="Q65" s="92">
        <f>(Q18+(1/12+1/12/3)/12+Q36)*P65</f>
        <v>7.3076449027597929</v>
      </c>
    </row>
    <row r="66" spans="2:17" ht="17.100000000000001" customHeight="1" x14ac:dyDescent="0.25">
      <c r="B66" s="3" t="s">
        <v>34</v>
      </c>
      <c r="C66" s="104" t="s">
        <v>170</v>
      </c>
      <c r="D66" s="40">
        <v>0</v>
      </c>
      <c r="E66" s="92">
        <f t="shared" ref="E66" si="3">($E$18+$E$25)*D66</f>
        <v>0</v>
      </c>
      <c r="F66" s="3" t="s">
        <v>34</v>
      </c>
      <c r="G66" s="104" t="s">
        <v>170</v>
      </c>
      <c r="H66" s="40">
        <v>0</v>
      </c>
      <c r="I66" s="92">
        <f>($E$18+$E$25)*H66</f>
        <v>0</v>
      </c>
      <c r="J66" s="3" t="s">
        <v>34</v>
      </c>
      <c r="K66" s="104" t="s">
        <v>170</v>
      </c>
      <c r="L66" s="40">
        <v>0</v>
      </c>
      <c r="M66" s="92">
        <f t="shared" ref="M66" si="4">($E$18+$E$25)*L66</f>
        <v>0</v>
      </c>
      <c r="N66" s="3" t="s">
        <v>34</v>
      </c>
      <c r="O66" s="104" t="s">
        <v>170</v>
      </c>
      <c r="P66" s="40">
        <v>0</v>
      </c>
      <c r="Q66" s="92">
        <f t="shared" ref="Q66" si="5">($E$18+$E$25)*P66</f>
        <v>0</v>
      </c>
    </row>
    <row r="67" spans="2:17" ht="17.100000000000001" customHeight="1" x14ac:dyDescent="0.25">
      <c r="B67" s="3" t="s">
        <v>18</v>
      </c>
      <c r="C67" s="105" t="s">
        <v>168</v>
      </c>
      <c r="D67" s="86">
        <f>SUM(D61:D66)</f>
        <v>2.3606188148148147E-2</v>
      </c>
      <c r="E67" s="92"/>
      <c r="F67" s="3" t="s">
        <v>18</v>
      </c>
      <c r="G67" s="105" t="s">
        <v>168</v>
      </c>
      <c r="H67" s="86">
        <f>SUM(H61:H66)</f>
        <v>2.3606188148148147E-2</v>
      </c>
      <c r="I67" s="92"/>
      <c r="J67" s="3" t="s">
        <v>18</v>
      </c>
      <c r="K67" s="105" t="s">
        <v>168</v>
      </c>
      <c r="L67" s="86">
        <f>SUM(L61:L66)</f>
        <v>2.3606188148148147E-2</v>
      </c>
      <c r="M67" s="92"/>
      <c r="N67" s="3" t="s">
        <v>18</v>
      </c>
      <c r="O67" s="105" t="s">
        <v>168</v>
      </c>
      <c r="P67" s="86">
        <f>SUM(P61:P66)</f>
        <v>2.3606188148148147E-2</v>
      </c>
      <c r="Q67" s="92"/>
    </row>
    <row r="68" spans="2:17" ht="17.100000000000001" customHeight="1" x14ac:dyDescent="0.25">
      <c r="B68" s="148" t="s">
        <v>20</v>
      </c>
      <c r="C68" s="149"/>
      <c r="D68" s="150"/>
      <c r="E68" s="37">
        <f>SUM(E61:E67)</f>
        <v>55.41437960831535</v>
      </c>
      <c r="F68" s="148" t="s">
        <v>20</v>
      </c>
      <c r="G68" s="149"/>
      <c r="H68" s="150"/>
      <c r="I68" s="37">
        <f>SUM(I61:I67)</f>
        <v>55.41437960831535</v>
      </c>
      <c r="J68" s="148" t="s">
        <v>20</v>
      </c>
      <c r="K68" s="149"/>
      <c r="L68" s="150"/>
      <c r="M68" s="37">
        <f>SUM(M61:M67)</f>
        <v>55.41437960831535</v>
      </c>
      <c r="N68" s="148" t="s">
        <v>20</v>
      </c>
      <c r="O68" s="149"/>
      <c r="P68" s="150"/>
      <c r="Q68" s="37">
        <f>SUM(Q61:Q67)</f>
        <v>55.41437960831535</v>
      </c>
    </row>
    <row r="69" spans="2:17" ht="17.100000000000001" customHeight="1" x14ac:dyDescent="0.25">
      <c r="B69" s="152" t="s">
        <v>56</v>
      </c>
      <c r="C69" s="154"/>
      <c r="D69" s="74" t="s">
        <v>28</v>
      </c>
      <c r="E69" s="78" t="s">
        <v>80</v>
      </c>
      <c r="F69" s="152" t="s">
        <v>56</v>
      </c>
      <c r="G69" s="154"/>
      <c r="H69" s="74" t="s">
        <v>28</v>
      </c>
      <c r="I69" s="78" t="s">
        <v>80</v>
      </c>
      <c r="J69" s="152" t="s">
        <v>56</v>
      </c>
      <c r="K69" s="154"/>
      <c r="L69" s="74" t="s">
        <v>28</v>
      </c>
      <c r="M69" s="78" t="s">
        <v>80</v>
      </c>
      <c r="N69" s="152" t="s">
        <v>56</v>
      </c>
      <c r="O69" s="154"/>
      <c r="P69" s="74" t="s">
        <v>28</v>
      </c>
      <c r="Q69" s="78" t="s">
        <v>80</v>
      </c>
    </row>
    <row r="70" spans="2:17" ht="17.100000000000001" customHeight="1" x14ac:dyDescent="0.25">
      <c r="B70" s="42" t="s">
        <v>8</v>
      </c>
      <c r="C70" s="43" t="s">
        <v>81</v>
      </c>
      <c r="D70" s="43"/>
      <c r="E70" s="29">
        <v>0</v>
      </c>
      <c r="F70" s="42" t="s">
        <v>8</v>
      </c>
      <c r="G70" s="43" t="s">
        <v>81</v>
      </c>
      <c r="H70" s="43"/>
      <c r="I70" s="29">
        <v>0</v>
      </c>
      <c r="J70" s="42" t="s">
        <v>8</v>
      </c>
      <c r="K70" s="43" t="s">
        <v>81</v>
      </c>
      <c r="L70" s="43"/>
      <c r="M70" s="29">
        <v>0</v>
      </c>
      <c r="N70" s="42" t="s">
        <v>8</v>
      </c>
      <c r="O70" s="43" t="s">
        <v>81</v>
      </c>
      <c r="P70" s="43"/>
      <c r="Q70" s="29">
        <v>0</v>
      </c>
    </row>
    <row r="71" spans="2:17" ht="17.100000000000001" customHeight="1" x14ac:dyDescent="0.25">
      <c r="B71" s="148" t="s">
        <v>20</v>
      </c>
      <c r="C71" s="149"/>
      <c r="D71" s="149"/>
      <c r="E71" s="46"/>
      <c r="F71" s="148" t="s">
        <v>20</v>
      </c>
      <c r="G71" s="149"/>
      <c r="H71" s="149"/>
      <c r="I71" s="46"/>
      <c r="J71" s="148" t="s">
        <v>20</v>
      </c>
      <c r="K71" s="149"/>
      <c r="L71" s="149"/>
      <c r="M71" s="46"/>
      <c r="N71" s="148" t="s">
        <v>20</v>
      </c>
      <c r="O71" s="149"/>
      <c r="P71" s="149"/>
      <c r="Q71" s="46"/>
    </row>
    <row r="72" spans="2:17" ht="17.100000000000001" customHeight="1" x14ac:dyDescent="0.25">
      <c r="B72" s="152" t="s">
        <v>59</v>
      </c>
      <c r="C72" s="153"/>
      <c r="D72" s="154"/>
      <c r="E72" s="75" t="s">
        <v>80</v>
      </c>
      <c r="F72" s="152" t="s">
        <v>59</v>
      </c>
      <c r="G72" s="153"/>
      <c r="H72" s="154"/>
      <c r="I72" s="75" t="s">
        <v>80</v>
      </c>
      <c r="J72" s="152" t="s">
        <v>59</v>
      </c>
      <c r="K72" s="153"/>
      <c r="L72" s="154"/>
      <c r="M72" s="75" t="s">
        <v>80</v>
      </c>
      <c r="N72" s="152" t="s">
        <v>59</v>
      </c>
      <c r="O72" s="153"/>
      <c r="P72" s="154"/>
      <c r="Q72" s="75" t="s">
        <v>80</v>
      </c>
    </row>
    <row r="73" spans="2:17" ht="17.100000000000001" customHeight="1" x14ac:dyDescent="0.25">
      <c r="B73" s="42" t="s">
        <v>54</v>
      </c>
      <c r="C73" s="162" t="s">
        <v>55</v>
      </c>
      <c r="D73" s="163"/>
      <c r="E73" s="29">
        <f>E68</f>
        <v>55.41437960831535</v>
      </c>
      <c r="F73" s="42" t="s">
        <v>54</v>
      </c>
      <c r="G73" s="162" t="s">
        <v>55</v>
      </c>
      <c r="H73" s="163"/>
      <c r="I73" s="29">
        <f>I68</f>
        <v>55.41437960831535</v>
      </c>
      <c r="J73" s="42" t="s">
        <v>54</v>
      </c>
      <c r="K73" s="162" t="s">
        <v>55</v>
      </c>
      <c r="L73" s="163"/>
      <c r="M73" s="29">
        <f>M68</f>
        <v>55.41437960831535</v>
      </c>
      <c r="N73" s="42" t="s">
        <v>54</v>
      </c>
      <c r="O73" s="162" t="s">
        <v>55</v>
      </c>
      <c r="P73" s="163"/>
      <c r="Q73" s="29">
        <f>Q68</f>
        <v>55.41437960831535</v>
      </c>
    </row>
    <row r="74" spans="2:17" ht="17.100000000000001" customHeight="1" x14ac:dyDescent="0.25">
      <c r="B74" s="42" t="s">
        <v>57</v>
      </c>
      <c r="C74" s="162" t="s">
        <v>58</v>
      </c>
      <c r="D74" s="163"/>
      <c r="E74" s="29">
        <f>E70</f>
        <v>0</v>
      </c>
      <c r="F74" s="42" t="s">
        <v>57</v>
      </c>
      <c r="G74" s="162" t="s">
        <v>58</v>
      </c>
      <c r="H74" s="163"/>
      <c r="I74" s="29">
        <f>I70</f>
        <v>0</v>
      </c>
      <c r="J74" s="42" t="s">
        <v>57</v>
      </c>
      <c r="K74" s="162" t="s">
        <v>58</v>
      </c>
      <c r="L74" s="163"/>
      <c r="M74" s="29">
        <f>M70</f>
        <v>0</v>
      </c>
      <c r="N74" s="42" t="s">
        <v>57</v>
      </c>
      <c r="O74" s="162" t="s">
        <v>58</v>
      </c>
      <c r="P74" s="163"/>
      <c r="Q74" s="29">
        <f>Q70</f>
        <v>0</v>
      </c>
    </row>
    <row r="75" spans="2:17" ht="17.100000000000001" customHeight="1" x14ac:dyDescent="0.25">
      <c r="B75" s="148" t="s">
        <v>20</v>
      </c>
      <c r="C75" s="149"/>
      <c r="D75" s="150"/>
      <c r="E75" s="37">
        <f>SUM(E73:E74)</f>
        <v>55.41437960831535</v>
      </c>
      <c r="F75" s="148" t="s">
        <v>20</v>
      </c>
      <c r="G75" s="149"/>
      <c r="H75" s="150"/>
      <c r="I75" s="37">
        <f>SUM(I73:I74)</f>
        <v>55.41437960831535</v>
      </c>
      <c r="J75" s="148" t="s">
        <v>20</v>
      </c>
      <c r="K75" s="149"/>
      <c r="L75" s="150"/>
      <c r="M75" s="37">
        <f>SUM(M73:M74)</f>
        <v>55.41437960831535</v>
      </c>
      <c r="N75" s="148" t="s">
        <v>20</v>
      </c>
      <c r="O75" s="149"/>
      <c r="P75" s="150"/>
      <c r="Q75" s="37">
        <f>SUM(Q73:Q74)</f>
        <v>55.41437960831535</v>
      </c>
    </row>
    <row r="76" spans="2:17" ht="17.100000000000001" customHeight="1" x14ac:dyDescent="0.25">
      <c r="B76" s="38"/>
      <c r="C76" s="38"/>
      <c r="D76" s="39"/>
      <c r="E76" s="38"/>
      <c r="F76" s="38"/>
      <c r="G76" s="38"/>
      <c r="H76" s="39"/>
      <c r="I76" s="38"/>
      <c r="J76" s="38"/>
      <c r="K76" s="38"/>
      <c r="L76" s="39"/>
      <c r="M76" s="38"/>
      <c r="N76" s="38"/>
      <c r="O76" s="38"/>
      <c r="P76" s="39"/>
      <c r="Q76" s="38"/>
    </row>
    <row r="77" spans="2:17" ht="17.100000000000001" customHeight="1" x14ac:dyDescent="0.25">
      <c r="B77" s="139" t="s">
        <v>61</v>
      </c>
      <c r="C77" s="151"/>
      <c r="D77" s="140"/>
      <c r="E77" s="79" t="s">
        <v>7</v>
      </c>
      <c r="F77" s="139" t="s">
        <v>61</v>
      </c>
      <c r="G77" s="151"/>
      <c r="H77" s="140"/>
      <c r="I77" s="79" t="s">
        <v>7</v>
      </c>
      <c r="J77" s="139" t="s">
        <v>61</v>
      </c>
      <c r="K77" s="151"/>
      <c r="L77" s="140"/>
      <c r="M77" s="79" t="s">
        <v>7</v>
      </c>
      <c r="N77" s="139" t="s">
        <v>61</v>
      </c>
      <c r="O77" s="151"/>
      <c r="P77" s="140"/>
      <c r="Q77" s="79" t="s">
        <v>7</v>
      </c>
    </row>
    <row r="78" spans="2:17" ht="17.100000000000001" customHeight="1" x14ac:dyDescent="0.25">
      <c r="B78" s="3" t="s">
        <v>8</v>
      </c>
      <c r="C78" s="141" t="s">
        <v>88</v>
      </c>
      <c r="D78" s="142"/>
      <c r="E78" s="14">
        <f>'Uniformes e EPIs'!H14</f>
        <v>26.410555555555558</v>
      </c>
      <c r="F78" s="3" t="s">
        <v>8</v>
      </c>
      <c r="G78" s="141" t="s">
        <v>88</v>
      </c>
      <c r="H78" s="142"/>
      <c r="I78" s="14">
        <f>'Uniformes e EPIs'!H14</f>
        <v>26.410555555555558</v>
      </c>
      <c r="J78" s="3" t="s">
        <v>8</v>
      </c>
      <c r="K78" s="141" t="s">
        <v>88</v>
      </c>
      <c r="L78" s="142"/>
      <c r="M78" s="14">
        <f>'Uniformes e EPIs'!H14</f>
        <v>26.410555555555558</v>
      </c>
      <c r="N78" s="3" t="s">
        <v>8</v>
      </c>
      <c r="O78" s="141" t="s">
        <v>88</v>
      </c>
      <c r="P78" s="142"/>
      <c r="Q78" s="14">
        <f>'Uniformes e EPIs'!H14</f>
        <v>26.410555555555558</v>
      </c>
    </row>
    <row r="79" spans="2:17" ht="17.100000000000001" customHeight="1" x14ac:dyDescent="0.25">
      <c r="B79" s="3" t="s">
        <v>10</v>
      </c>
      <c r="C79" s="141" t="s">
        <v>73</v>
      </c>
      <c r="D79" s="142"/>
      <c r="E79" s="14">
        <f>Insumos!H42</f>
        <v>612.33038888888871</v>
      </c>
      <c r="F79" s="3" t="s">
        <v>10</v>
      </c>
      <c r="G79" s="141" t="s">
        <v>73</v>
      </c>
      <c r="H79" s="142"/>
      <c r="I79" s="14">
        <f>Insumos!P42</f>
        <v>704.46492063492053</v>
      </c>
      <c r="J79" s="3" t="s">
        <v>10</v>
      </c>
      <c r="K79" s="141" t="s">
        <v>73</v>
      </c>
      <c r="L79" s="142"/>
      <c r="M79" s="14">
        <f>Insumos!X42</f>
        <v>734.36540229885065</v>
      </c>
      <c r="N79" s="3" t="s">
        <v>10</v>
      </c>
      <c r="O79" s="141" t="s">
        <v>73</v>
      </c>
      <c r="P79" s="142"/>
      <c r="Q79" s="14">
        <f>Insumos!AF42</f>
        <v>591.23931372549021</v>
      </c>
    </row>
    <row r="80" spans="2:17" ht="17.100000000000001" customHeight="1" x14ac:dyDescent="0.25">
      <c r="B80" s="3" t="s">
        <v>12</v>
      </c>
      <c r="C80" s="141" t="s">
        <v>86</v>
      </c>
      <c r="D80" s="142"/>
      <c r="E80" s="14"/>
      <c r="F80" s="3" t="s">
        <v>12</v>
      </c>
      <c r="G80" s="141" t="s">
        <v>86</v>
      </c>
      <c r="H80" s="142"/>
      <c r="I80" s="14"/>
      <c r="J80" s="3" t="s">
        <v>12</v>
      </c>
      <c r="K80" s="141" t="s">
        <v>86</v>
      </c>
      <c r="L80" s="142"/>
      <c r="M80" s="14"/>
      <c r="N80" s="3" t="s">
        <v>12</v>
      </c>
      <c r="O80" s="141" t="s">
        <v>86</v>
      </c>
      <c r="P80" s="142"/>
      <c r="Q80" s="14"/>
    </row>
    <row r="81" spans="2:17" ht="17.100000000000001" customHeight="1" x14ac:dyDescent="0.25">
      <c r="B81" s="3" t="s">
        <v>14</v>
      </c>
      <c r="C81" s="141" t="s">
        <v>87</v>
      </c>
      <c r="D81" s="142"/>
      <c r="E81" s="14"/>
      <c r="F81" s="3" t="s">
        <v>14</v>
      </c>
      <c r="G81" s="141" t="s">
        <v>87</v>
      </c>
      <c r="H81" s="142"/>
      <c r="I81" s="14"/>
      <c r="J81" s="3" t="s">
        <v>14</v>
      </c>
      <c r="K81" s="141" t="s">
        <v>87</v>
      </c>
      <c r="L81" s="142"/>
      <c r="M81" s="14"/>
      <c r="N81" s="3" t="s">
        <v>14</v>
      </c>
      <c r="O81" s="141" t="s">
        <v>87</v>
      </c>
      <c r="P81" s="142"/>
      <c r="Q81" s="14"/>
    </row>
    <row r="82" spans="2:17" ht="17.100000000000001" customHeight="1" x14ac:dyDescent="0.25">
      <c r="B82" s="148" t="s">
        <v>20</v>
      </c>
      <c r="C82" s="149"/>
      <c r="D82" s="150"/>
      <c r="E82" s="37">
        <f>SUM(E78:E81)</f>
        <v>638.74094444444427</v>
      </c>
      <c r="F82" s="148" t="s">
        <v>20</v>
      </c>
      <c r="G82" s="149"/>
      <c r="H82" s="150"/>
      <c r="I82" s="37">
        <f>SUM(I78:I81)</f>
        <v>730.87547619047609</v>
      </c>
      <c r="J82" s="148" t="s">
        <v>20</v>
      </c>
      <c r="K82" s="149"/>
      <c r="L82" s="150"/>
      <c r="M82" s="37">
        <f>SUM(M78:M81)</f>
        <v>760.77595785440622</v>
      </c>
      <c r="N82" s="148" t="s">
        <v>20</v>
      </c>
      <c r="O82" s="149"/>
      <c r="P82" s="150"/>
      <c r="Q82" s="37">
        <f>SUM(Q78:Q81)</f>
        <v>617.64986928104577</v>
      </c>
    </row>
    <row r="83" spans="2:17" ht="17.100000000000001" customHeight="1" x14ac:dyDescent="0.25">
      <c r="B83" s="148" t="s">
        <v>83</v>
      </c>
      <c r="C83" s="149"/>
      <c r="D83" s="150"/>
      <c r="E83" s="37">
        <f>E82+E75+E57+E48+E18</f>
        <v>4320.9921426060928</v>
      </c>
      <c r="F83" s="148" t="s">
        <v>83</v>
      </c>
      <c r="G83" s="149"/>
      <c r="H83" s="150"/>
      <c r="I83" s="37">
        <f>I82+I75+I57+I48+I18</f>
        <v>4413.1266743521246</v>
      </c>
      <c r="J83" s="148" t="s">
        <v>83</v>
      </c>
      <c r="K83" s="149"/>
      <c r="L83" s="150"/>
      <c r="M83" s="37">
        <f>M82+M75+M57+M48+M18</f>
        <v>4443.0271560160545</v>
      </c>
      <c r="N83" s="148" t="s">
        <v>83</v>
      </c>
      <c r="O83" s="149"/>
      <c r="P83" s="150"/>
      <c r="Q83" s="37">
        <f>Q82+Q75+Q57+Q48+Q18</f>
        <v>4299.9010674426945</v>
      </c>
    </row>
    <row r="84" spans="2:17" ht="17.100000000000001" customHeight="1" x14ac:dyDescent="0.25">
      <c r="B84" s="47"/>
      <c r="C84" s="47"/>
      <c r="D84" s="48"/>
      <c r="E84" s="47"/>
      <c r="F84" s="47"/>
      <c r="G84" s="47"/>
      <c r="H84" s="48"/>
      <c r="I84" s="47"/>
      <c r="J84" s="47"/>
      <c r="K84" s="47"/>
      <c r="L84" s="48"/>
      <c r="M84" s="47"/>
      <c r="N84" s="47"/>
      <c r="O84" s="47"/>
      <c r="P84" s="48"/>
      <c r="Q84" s="47"/>
    </row>
    <row r="85" spans="2:17" ht="17.100000000000001" customHeight="1" x14ac:dyDescent="0.25">
      <c r="B85" s="139" t="s">
        <v>62</v>
      </c>
      <c r="C85" s="140"/>
      <c r="D85" s="83" t="s">
        <v>28</v>
      </c>
      <c r="E85" s="79" t="s">
        <v>7</v>
      </c>
      <c r="F85" s="139" t="s">
        <v>62</v>
      </c>
      <c r="G85" s="140"/>
      <c r="H85" s="83" t="s">
        <v>28</v>
      </c>
      <c r="I85" s="79" t="s">
        <v>7</v>
      </c>
      <c r="J85" s="139" t="s">
        <v>62</v>
      </c>
      <c r="K85" s="140"/>
      <c r="L85" s="83" t="s">
        <v>28</v>
      </c>
      <c r="M85" s="79" t="s">
        <v>7</v>
      </c>
      <c r="N85" s="139" t="s">
        <v>62</v>
      </c>
      <c r="O85" s="140"/>
      <c r="P85" s="83" t="s">
        <v>28</v>
      </c>
      <c r="Q85" s="79" t="s">
        <v>7</v>
      </c>
    </row>
    <row r="86" spans="2:17" ht="17.100000000000001" customHeight="1" x14ac:dyDescent="0.25">
      <c r="B86" s="3" t="s">
        <v>8</v>
      </c>
      <c r="C86" s="28" t="s">
        <v>65</v>
      </c>
      <c r="D86" s="40">
        <v>0.05</v>
      </c>
      <c r="E86" s="14">
        <f>E83*$D$86</f>
        <v>216.04960713030465</v>
      </c>
      <c r="F86" s="3" t="s">
        <v>8</v>
      </c>
      <c r="G86" s="28" t="s">
        <v>65</v>
      </c>
      <c r="H86" s="40">
        <v>0.05</v>
      </c>
      <c r="I86" s="14">
        <f>I83*$D$86</f>
        <v>220.65633371760623</v>
      </c>
      <c r="J86" s="3" t="s">
        <v>8</v>
      </c>
      <c r="K86" s="28" t="s">
        <v>65</v>
      </c>
      <c r="L86" s="40">
        <v>0.05</v>
      </c>
      <c r="M86" s="14">
        <f>M83*$D$86</f>
        <v>222.15135780080274</v>
      </c>
      <c r="N86" s="3" t="s">
        <v>8</v>
      </c>
      <c r="O86" s="28" t="s">
        <v>65</v>
      </c>
      <c r="P86" s="40">
        <v>0.05</v>
      </c>
      <c r="Q86" s="14">
        <f>Q83*$D$86</f>
        <v>214.99505337213475</v>
      </c>
    </row>
    <row r="87" spans="2:17" ht="17.100000000000001" customHeight="1" x14ac:dyDescent="0.25">
      <c r="B87" s="3" t="s">
        <v>10</v>
      </c>
      <c r="C87" s="28" t="s">
        <v>66</v>
      </c>
      <c r="D87" s="40">
        <v>0.1</v>
      </c>
      <c r="E87" s="14">
        <f>(E83+E86)*$D$87</f>
        <v>453.70417497363979</v>
      </c>
      <c r="F87" s="3" t="s">
        <v>10</v>
      </c>
      <c r="G87" s="28" t="s">
        <v>66</v>
      </c>
      <c r="H87" s="40">
        <v>0.1</v>
      </c>
      <c r="I87" s="14">
        <f>(I83+I86)*$D$87</f>
        <v>463.37830080697313</v>
      </c>
      <c r="J87" s="3" t="s">
        <v>10</v>
      </c>
      <c r="K87" s="28" t="s">
        <v>66</v>
      </c>
      <c r="L87" s="40">
        <v>0.1</v>
      </c>
      <c r="M87" s="14">
        <f>(M83+M86)*$D$87</f>
        <v>466.51785138168572</v>
      </c>
      <c r="N87" s="3" t="s">
        <v>10</v>
      </c>
      <c r="O87" s="28" t="s">
        <v>66</v>
      </c>
      <c r="P87" s="40">
        <v>0.1</v>
      </c>
      <c r="Q87" s="14">
        <f>(Q83+Q86)*$D$87</f>
        <v>451.48961208148296</v>
      </c>
    </row>
    <row r="88" spans="2:17" ht="17.100000000000001" customHeight="1" x14ac:dyDescent="0.25">
      <c r="B88" s="3" t="s">
        <v>12</v>
      </c>
      <c r="C88" s="28" t="s">
        <v>67</v>
      </c>
      <c r="D88" s="31">
        <f>SUM(D89:D91)</f>
        <v>0.14250000000000002</v>
      </c>
      <c r="E88" s="13"/>
      <c r="F88" s="3" t="s">
        <v>12</v>
      </c>
      <c r="G88" s="28" t="s">
        <v>67</v>
      </c>
      <c r="H88" s="31">
        <f>SUM(H89:H91)</f>
        <v>0.14250000000000002</v>
      </c>
      <c r="I88" s="13"/>
      <c r="J88" s="3" t="s">
        <v>12</v>
      </c>
      <c r="K88" s="28" t="s">
        <v>67</v>
      </c>
      <c r="L88" s="31">
        <f>SUM(L89:L91)</f>
        <v>0.14250000000000002</v>
      </c>
      <c r="M88" s="13"/>
      <c r="N88" s="3" t="s">
        <v>12</v>
      </c>
      <c r="O88" s="28" t="s">
        <v>67</v>
      </c>
      <c r="P88" s="31">
        <f>SUM(P89:P91)</f>
        <v>0.14250000000000002</v>
      </c>
      <c r="Q88" s="13"/>
    </row>
    <row r="89" spans="2:17" ht="17.100000000000001" customHeight="1" x14ac:dyDescent="0.25">
      <c r="B89" s="3" t="s">
        <v>155</v>
      </c>
      <c r="C89" s="28" t="s">
        <v>159</v>
      </c>
      <c r="D89" s="40">
        <v>1.6500000000000001E-2</v>
      </c>
      <c r="E89" s="14">
        <f>(E83+E86+E87)/(1-$D$88)*$D$89</f>
        <v>96.03184578159258</v>
      </c>
      <c r="F89" s="3" t="s">
        <v>155</v>
      </c>
      <c r="G89" s="28" t="s">
        <v>159</v>
      </c>
      <c r="H89" s="40">
        <v>1.6500000000000001E-2</v>
      </c>
      <c r="I89" s="14">
        <f>(I83+I86+I87)/(1-$H$88)*$H$89</f>
        <v>98.079488742233977</v>
      </c>
      <c r="J89" s="3" t="s">
        <v>155</v>
      </c>
      <c r="K89" s="28" t="s">
        <v>159</v>
      </c>
      <c r="L89" s="40">
        <v>1.6500000000000001E-2</v>
      </c>
      <c r="M89" s="14">
        <f>(M83+M86+M87)/(1-$L$88)*$L$89</f>
        <v>98.744011691867001</v>
      </c>
      <c r="N89" s="3" t="s">
        <v>155</v>
      </c>
      <c r="O89" s="28" t="s">
        <v>159</v>
      </c>
      <c r="P89" s="40">
        <v>1.6500000000000001E-2</v>
      </c>
      <c r="Q89" s="14">
        <f>(Q83+Q86+Q87)/(1-$P$88)*$P$89</f>
        <v>95.563107396838674</v>
      </c>
    </row>
    <row r="90" spans="2:17" ht="17.100000000000001" customHeight="1" x14ac:dyDescent="0.25">
      <c r="B90" s="3" t="s">
        <v>156</v>
      </c>
      <c r="C90" s="28" t="s">
        <v>160</v>
      </c>
      <c r="D90" s="40">
        <v>7.5999999999999998E-2</v>
      </c>
      <c r="E90" s="14">
        <f>(E83+E86+E87)/(1-$D$88)*$D$90</f>
        <v>442.32850178188096</v>
      </c>
      <c r="F90" s="3" t="s">
        <v>156</v>
      </c>
      <c r="G90" s="28" t="s">
        <v>160</v>
      </c>
      <c r="H90" s="40">
        <v>7.5999999999999998E-2</v>
      </c>
      <c r="I90" s="14">
        <f>(I83+I86+I87)/(1-$H$88)*$H$90</f>
        <v>451.76006935816861</v>
      </c>
      <c r="J90" s="3" t="s">
        <v>156</v>
      </c>
      <c r="K90" s="28" t="s">
        <v>160</v>
      </c>
      <c r="L90" s="40">
        <v>7.5999999999999998E-2</v>
      </c>
      <c r="M90" s="14">
        <f>(M83+M86+M87)/(1-$L$88)*$L$90</f>
        <v>454.82090233829649</v>
      </c>
      <c r="N90" s="3" t="s">
        <v>156</v>
      </c>
      <c r="O90" s="28" t="s">
        <v>160</v>
      </c>
      <c r="P90" s="40">
        <v>7.5999999999999998E-2</v>
      </c>
      <c r="Q90" s="14">
        <f>(Q83+Q86+Q87)/(1-$P$88)*$P$90</f>
        <v>440.16946437331751</v>
      </c>
    </row>
    <row r="91" spans="2:17" ht="17.100000000000001" customHeight="1" x14ac:dyDescent="0.25">
      <c r="B91" s="3" t="s">
        <v>157</v>
      </c>
      <c r="C91" s="28" t="s">
        <v>161</v>
      </c>
      <c r="D91" s="34">
        <v>0.05</v>
      </c>
      <c r="E91" s="14">
        <f>(E83+E86+E87)/(1-$D$88)*$D$91</f>
        <v>291.00559327755326</v>
      </c>
      <c r="F91" s="3" t="s">
        <v>157</v>
      </c>
      <c r="G91" s="28" t="s">
        <v>161</v>
      </c>
      <c r="H91" s="34">
        <v>0.05</v>
      </c>
      <c r="I91" s="14">
        <f>(I83+I86+I87)/(1-$H$88)*$H$91</f>
        <v>297.21057194616355</v>
      </c>
      <c r="J91" s="3" t="s">
        <v>157</v>
      </c>
      <c r="K91" s="28" t="s">
        <v>161</v>
      </c>
      <c r="L91" s="34">
        <v>0.05</v>
      </c>
      <c r="M91" s="14">
        <f>(M83+M86+M87)/(1-$L$88)*$L$91</f>
        <v>299.22427785414243</v>
      </c>
      <c r="N91" s="3" t="s">
        <v>157</v>
      </c>
      <c r="O91" s="28" t="s">
        <v>161</v>
      </c>
      <c r="P91" s="34">
        <v>0.05</v>
      </c>
      <c r="Q91" s="14">
        <f>(Q83+Q86+Q87)/(1-$P$88)*$P$91</f>
        <v>289.58517392981418</v>
      </c>
    </row>
    <row r="92" spans="2:17" ht="17.100000000000001" customHeight="1" x14ac:dyDescent="0.25">
      <c r="B92" s="148" t="s">
        <v>20</v>
      </c>
      <c r="C92" s="149"/>
      <c r="D92" s="150"/>
      <c r="E92" s="65">
        <f>SUM(E86:E91)</f>
        <v>1499.1197229449713</v>
      </c>
      <c r="F92" s="148" t="s">
        <v>20</v>
      </c>
      <c r="G92" s="149"/>
      <c r="H92" s="150"/>
      <c r="I92" s="65">
        <f>SUM(I86:I91)</f>
        <v>1531.0847645711453</v>
      </c>
      <c r="J92" s="148" t="s">
        <v>20</v>
      </c>
      <c r="K92" s="149"/>
      <c r="L92" s="150"/>
      <c r="M92" s="65">
        <f>SUM(M86:M91)</f>
        <v>1541.4584010667943</v>
      </c>
      <c r="N92" s="148" t="s">
        <v>20</v>
      </c>
      <c r="O92" s="149"/>
      <c r="P92" s="150"/>
      <c r="Q92" s="65">
        <f>SUM(Q86:Q91)</f>
        <v>1491.8024111535879</v>
      </c>
    </row>
    <row r="94" spans="2:17" ht="17.100000000000001" customHeight="1" x14ac:dyDescent="0.25">
      <c r="B94" s="139" t="s">
        <v>162</v>
      </c>
      <c r="C94" s="151"/>
      <c r="D94" s="140"/>
      <c r="E94" s="73" t="s">
        <v>7</v>
      </c>
      <c r="F94" s="139" t="s">
        <v>162</v>
      </c>
      <c r="G94" s="151"/>
      <c r="H94" s="140"/>
      <c r="I94" s="73" t="s">
        <v>7</v>
      </c>
      <c r="J94" s="139" t="s">
        <v>162</v>
      </c>
      <c r="K94" s="151"/>
      <c r="L94" s="140"/>
      <c r="M94" s="73" t="s">
        <v>7</v>
      </c>
      <c r="N94" s="139" t="s">
        <v>162</v>
      </c>
      <c r="O94" s="151"/>
      <c r="P94" s="140"/>
      <c r="Q94" s="73" t="s">
        <v>7</v>
      </c>
    </row>
    <row r="95" spans="2:17" ht="17.100000000000001" customHeight="1" x14ac:dyDescent="0.25">
      <c r="B95" s="3" t="s">
        <v>8</v>
      </c>
      <c r="C95" s="141" t="s">
        <v>5</v>
      </c>
      <c r="D95" s="142"/>
      <c r="E95" s="63">
        <f>E18</f>
        <v>1730.75</v>
      </c>
      <c r="F95" s="3" t="s">
        <v>8</v>
      </c>
      <c r="G95" s="141" t="s">
        <v>5</v>
      </c>
      <c r="H95" s="142"/>
      <c r="I95" s="63">
        <f>I18</f>
        <v>1730.75</v>
      </c>
      <c r="J95" s="3" t="s">
        <v>8</v>
      </c>
      <c r="K95" s="141" t="s">
        <v>5</v>
      </c>
      <c r="L95" s="142"/>
      <c r="M95" s="63">
        <f>M18</f>
        <v>1730.75</v>
      </c>
      <c r="N95" s="3" t="s">
        <v>8</v>
      </c>
      <c r="O95" s="141" t="s">
        <v>5</v>
      </c>
      <c r="P95" s="142"/>
      <c r="Q95" s="63">
        <f>Q18</f>
        <v>1730.75</v>
      </c>
    </row>
    <row r="96" spans="2:17" ht="17.100000000000001" customHeight="1" x14ac:dyDescent="0.25">
      <c r="B96" s="3" t="s">
        <v>10</v>
      </c>
      <c r="C96" s="141" t="s">
        <v>21</v>
      </c>
      <c r="D96" s="142"/>
      <c r="E96" s="63">
        <f>E48</f>
        <v>1754.3452704000001</v>
      </c>
      <c r="F96" s="3" t="s">
        <v>10</v>
      </c>
      <c r="G96" s="141" t="s">
        <v>21</v>
      </c>
      <c r="H96" s="142"/>
      <c r="I96" s="63">
        <f>I48</f>
        <v>1754.3452704000001</v>
      </c>
      <c r="J96" s="3" t="s">
        <v>10</v>
      </c>
      <c r="K96" s="141" t="s">
        <v>21</v>
      </c>
      <c r="L96" s="142"/>
      <c r="M96" s="63">
        <f>M48</f>
        <v>1754.3452704000001</v>
      </c>
      <c r="N96" s="3" t="s">
        <v>10</v>
      </c>
      <c r="O96" s="141" t="s">
        <v>21</v>
      </c>
      <c r="P96" s="142"/>
      <c r="Q96" s="63">
        <f>Q48</f>
        <v>1754.3452704000001</v>
      </c>
    </row>
    <row r="97" spans="2:17" ht="17.100000000000001" customHeight="1" x14ac:dyDescent="0.25">
      <c r="B97" s="3" t="s">
        <v>12</v>
      </c>
      <c r="C97" s="141" t="s">
        <v>47</v>
      </c>
      <c r="D97" s="142"/>
      <c r="E97" s="63">
        <f>E57</f>
        <v>141.74154815333333</v>
      </c>
      <c r="F97" s="3" t="s">
        <v>12</v>
      </c>
      <c r="G97" s="141" t="s">
        <v>47</v>
      </c>
      <c r="H97" s="142"/>
      <c r="I97" s="63">
        <f>I57</f>
        <v>141.74154815333333</v>
      </c>
      <c r="J97" s="3" t="s">
        <v>12</v>
      </c>
      <c r="K97" s="141" t="s">
        <v>47</v>
      </c>
      <c r="L97" s="142"/>
      <c r="M97" s="63">
        <f>M57</f>
        <v>141.74154815333333</v>
      </c>
      <c r="N97" s="3" t="s">
        <v>12</v>
      </c>
      <c r="O97" s="141" t="s">
        <v>47</v>
      </c>
      <c r="P97" s="142"/>
      <c r="Q97" s="63">
        <f>Q57</f>
        <v>141.74154815333333</v>
      </c>
    </row>
    <row r="98" spans="2:17" ht="17.100000000000001" customHeight="1" x14ac:dyDescent="0.25">
      <c r="B98" s="3" t="s">
        <v>14</v>
      </c>
      <c r="C98" s="141" t="s">
        <v>52</v>
      </c>
      <c r="D98" s="142"/>
      <c r="E98" s="63">
        <f>E68</f>
        <v>55.41437960831535</v>
      </c>
      <c r="F98" s="3" t="s">
        <v>14</v>
      </c>
      <c r="G98" s="141" t="s">
        <v>52</v>
      </c>
      <c r="H98" s="142"/>
      <c r="I98" s="63">
        <f>I68</f>
        <v>55.41437960831535</v>
      </c>
      <c r="J98" s="3" t="s">
        <v>14</v>
      </c>
      <c r="K98" s="141" t="s">
        <v>52</v>
      </c>
      <c r="L98" s="142"/>
      <c r="M98" s="63">
        <f>M68</f>
        <v>55.41437960831535</v>
      </c>
      <c r="N98" s="3" t="s">
        <v>14</v>
      </c>
      <c r="O98" s="141" t="s">
        <v>52</v>
      </c>
      <c r="P98" s="142"/>
      <c r="Q98" s="63">
        <f>Q68</f>
        <v>55.41437960831535</v>
      </c>
    </row>
    <row r="99" spans="2:17" ht="17.100000000000001" customHeight="1" x14ac:dyDescent="0.25">
      <c r="B99" s="3" t="s">
        <v>16</v>
      </c>
      <c r="C99" s="141" t="s">
        <v>61</v>
      </c>
      <c r="D99" s="142"/>
      <c r="E99" s="63">
        <f>E82</f>
        <v>638.74094444444427</v>
      </c>
      <c r="F99" s="3" t="s">
        <v>16</v>
      </c>
      <c r="G99" s="141" t="s">
        <v>61</v>
      </c>
      <c r="H99" s="142"/>
      <c r="I99" s="63">
        <f>I82</f>
        <v>730.87547619047609</v>
      </c>
      <c r="J99" s="3" t="s">
        <v>16</v>
      </c>
      <c r="K99" s="141" t="s">
        <v>61</v>
      </c>
      <c r="L99" s="142"/>
      <c r="M99" s="63">
        <f>M82</f>
        <v>760.77595785440622</v>
      </c>
      <c r="N99" s="3" t="s">
        <v>16</v>
      </c>
      <c r="O99" s="141" t="s">
        <v>61</v>
      </c>
      <c r="P99" s="142"/>
      <c r="Q99" s="63">
        <f>Q82</f>
        <v>617.64986928104577</v>
      </c>
    </row>
    <row r="100" spans="2:17" ht="17.100000000000001" customHeight="1" x14ac:dyDescent="0.25">
      <c r="B100" s="145" t="s">
        <v>158</v>
      </c>
      <c r="C100" s="146"/>
      <c r="D100" s="147"/>
      <c r="E100" s="54">
        <f>SUM(E95:E99)</f>
        <v>4320.9921426060937</v>
      </c>
      <c r="F100" s="145" t="s">
        <v>158</v>
      </c>
      <c r="G100" s="146"/>
      <c r="H100" s="147"/>
      <c r="I100" s="54">
        <f>SUM(I95:I99)</f>
        <v>4413.1266743521246</v>
      </c>
      <c r="J100" s="145" t="s">
        <v>158</v>
      </c>
      <c r="K100" s="146"/>
      <c r="L100" s="147"/>
      <c r="M100" s="54">
        <f>SUM(M95:M99)</f>
        <v>4443.0271560160554</v>
      </c>
      <c r="N100" s="145" t="s">
        <v>158</v>
      </c>
      <c r="O100" s="146"/>
      <c r="P100" s="147"/>
      <c r="Q100" s="54">
        <f>SUM(Q95:Q99)</f>
        <v>4299.9010674426945</v>
      </c>
    </row>
    <row r="101" spans="2:17" ht="17.100000000000001" customHeight="1" x14ac:dyDescent="0.25">
      <c r="B101" s="12" t="s">
        <v>34</v>
      </c>
      <c r="C101" s="143" t="s">
        <v>70</v>
      </c>
      <c r="D101" s="144"/>
      <c r="E101" s="63">
        <f>E92</f>
        <v>1499.1197229449713</v>
      </c>
      <c r="F101" s="12" t="s">
        <v>34</v>
      </c>
      <c r="G101" s="143" t="s">
        <v>70</v>
      </c>
      <c r="H101" s="144"/>
      <c r="I101" s="63">
        <f>I92</f>
        <v>1531.0847645711453</v>
      </c>
      <c r="J101" s="12" t="s">
        <v>34</v>
      </c>
      <c r="K101" s="143" t="s">
        <v>70</v>
      </c>
      <c r="L101" s="144"/>
      <c r="M101" s="63">
        <f>M92</f>
        <v>1541.4584010667943</v>
      </c>
      <c r="N101" s="12" t="s">
        <v>34</v>
      </c>
      <c r="O101" s="143" t="s">
        <v>70</v>
      </c>
      <c r="P101" s="144"/>
      <c r="Q101" s="63">
        <f>Q92</f>
        <v>1491.8024111535879</v>
      </c>
    </row>
    <row r="102" spans="2:17" ht="17.100000000000001" customHeight="1" x14ac:dyDescent="0.25">
      <c r="B102" s="145" t="s">
        <v>154</v>
      </c>
      <c r="C102" s="146"/>
      <c r="D102" s="147"/>
      <c r="E102" s="66">
        <f>SUM(E100,E101)</f>
        <v>5820.1118655510654</v>
      </c>
      <c r="F102" s="145" t="s">
        <v>154</v>
      </c>
      <c r="G102" s="146"/>
      <c r="H102" s="147"/>
      <c r="I102" s="66">
        <f>SUM(I100,I101)</f>
        <v>5944.2114389232702</v>
      </c>
      <c r="J102" s="145" t="s">
        <v>154</v>
      </c>
      <c r="K102" s="146"/>
      <c r="L102" s="147"/>
      <c r="M102" s="66">
        <f>SUM(M100,M101)</f>
        <v>5984.4855570828495</v>
      </c>
      <c r="N102" s="145" t="s">
        <v>154</v>
      </c>
      <c r="O102" s="146"/>
      <c r="P102" s="147"/>
      <c r="Q102" s="66">
        <f>SUM(Q100,Q101)</f>
        <v>5791.7034785962824</v>
      </c>
    </row>
    <row r="104" spans="2:17" ht="17.100000000000001" customHeight="1" x14ac:dyDescent="0.25">
      <c r="B104" s="55"/>
      <c r="F104" s="55"/>
      <c r="J104" s="55"/>
      <c r="N104" s="55"/>
    </row>
    <row r="105" spans="2:17" ht="17.100000000000001" customHeight="1" x14ac:dyDescent="0.25">
      <c r="F105" s="135"/>
      <c r="G105" s="89">
        <v>8.61</v>
      </c>
    </row>
    <row r="106" spans="2:17" ht="17.100000000000001" customHeight="1" x14ac:dyDescent="0.25">
      <c r="B106" s="56"/>
      <c r="C106" s="56"/>
      <c r="D106" s="56"/>
      <c r="F106" s="56"/>
      <c r="G106" s="56"/>
      <c r="H106" s="56"/>
      <c r="J106" s="56"/>
      <c r="K106" s="56"/>
      <c r="L106" s="56"/>
      <c r="N106" s="56"/>
      <c r="O106" s="56"/>
      <c r="P106" s="56"/>
    </row>
    <row r="108" spans="2:17" ht="17.100000000000001" customHeight="1" x14ac:dyDescent="0.25">
      <c r="B108" s="57"/>
      <c r="C108" s="58"/>
      <c r="D108" s="58"/>
      <c r="E108" s="58"/>
      <c r="F108" s="57"/>
      <c r="G108" s="58"/>
      <c r="H108" s="58"/>
      <c r="I108" s="58"/>
      <c r="J108" s="57"/>
      <c r="K108" s="58"/>
      <c r="L108" s="58"/>
      <c r="M108" s="58"/>
      <c r="N108" s="57"/>
      <c r="O108" s="58"/>
      <c r="P108" s="58"/>
      <c r="Q108" s="58"/>
    </row>
    <row r="109" spans="2:17" ht="17.100000000000001" customHeight="1" x14ac:dyDescent="0.25">
      <c r="B109" s="57"/>
      <c r="C109" s="58"/>
      <c r="D109" s="58"/>
      <c r="E109" s="58"/>
      <c r="F109" s="57"/>
      <c r="G109" s="58"/>
      <c r="H109" s="58"/>
      <c r="I109" s="58"/>
      <c r="J109" s="57"/>
      <c r="K109" s="58"/>
      <c r="L109" s="58"/>
      <c r="M109" s="58"/>
      <c r="N109" s="57"/>
      <c r="O109" s="58"/>
      <c r="P109" s="58"/>
      <c r="Q109" s="58"/>
    </row>
    <row r="110" spans="2:17" ht="17.100000000000001" customHeight="1" x14ac:dyDescent="0.25">
      <c r="B110" s="59"/>
      <c r="C110" s="60"/>
      <c r="D110" s="60"/>
      <c r="E110" s="60"/>
      <c r="F110" s="59"/>
      <c r="G110" s="60"/>
      <c r="H110" s="60"/>
      <c r="I110" s="60"/>
      <c r="J110" s="59"/>
      <c r="K110" s="60"/>
      <c r="L110" s="60"/>
      <c r="M110" s="60"/>
      <c r="N110" s="59"/>
      <c r="O110" s="60"/>
      <c r="P110" s="60"/>
      <c r="Q110" s="60"/>
    </row>
    <row r="111" spans="2:17" ht="17.100000000000001" customHeight="1" x14ac:dyDescent="0.25">
      <c r="B111" s="59"/>
      <c r="C111" s="60"/>
      <c r="D111" s="60"/>
      <c r="E111" s="60"/>
      <c r="F111" s="59"/>
      <c r="G111" s="60"/>
      <c r="H111" s="60"/>
      <c r="I111" s="60"/>
      <c r="J111" s="59"/>
      <c r="K111" s="60"/>
      <c r="L111" s="60"/>
      <c r="M111" s="60"/>
      <c r="N111" s="59"/>
      <c r="O111" s="60"/>
      <c r="P111" s="60"/>
      <c r="Q111" s="60"/>
    </row>
    <row r="112" spans="2:17" ht="17.100000000000001" customHeight="1" x14ac:dyDescent="0.25">
      <c r="B112" s="59"/>
      <c r="C112" s="60"/>
      <c r="D112" s="60"/>
      <c r="E112" s="60"/>
      <c r="F112" s="59"/>
      <c r="G112" s="60"/>
      <c r="H112" s="60"/>
      <c r="I112" s="60"/>
      <c r="J112" s="59"/>
      <c r="K112" s="60"/>
      <c r="L112" s="60"/>
      <c r="M112" s="60"/>
      <c r="N112" s="59"/>
      <c r="O112" s="60"/>
      <c r="P112" s="60"/>
      <c r="Q112" s="60"/>
    </row>
    <row r="113" spans="2:17" ht="17.100000000000001" customHeight="1" x14ac:dyDescent="0.25"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</row>
    <row r="115" spans="2:17" ht="17.100000000000001" customHeight="1" x14ac:dyDescent="0.25">
      <c r="B115" s="56"/>
      <c r="F115" s="56"/>
      <c r="J115" s="56"/>
      <c r="N115" s="56"/>
    </row>
    <row r="117" spans="2:17" ht="17.100000000000001" customHeight="1" x14ac:dyDescent="0.25">
      <c r="B117" s="55"/>
      <c r="F117" s="55"/>
      <c r="J117" s="55"/>
      <c r="N117" s="55"/>
    </row>
    <row r="119" spans="2:17" ht="17.100000000000001" customHeight="1" x14ac:dyDescent="0.25">
      <c r="B119" s="60"/>
      <c r="C119" s="57"/>
      <c r="D119" s="57"/>
      <c r="F119" s="60"/>
      <c r="G119" s="57"/>
      <c r="H119" s="57"/>
      <c r="J119" s="60"/>
      <c r="K119" s="57"/>
      <c r="L119" s="57"/>
      <c r="N119" s="60"/>
      <c r="O119" s="57"/>
      <c r="P119" s="57"/>
    </row>
    <row r="120" spans="2:17" ht="17.100000000000001" customHeight="1" x14ac:dyDescent="0.25">
      <c r="B120" s="60"/>
      <c r="C120" s="58"/>
      <c r="D120" s="60"/>
      <c r="F120" s="60"/>
      <c r="G120" s="58"/>
      <c r="H120" s="60"/>
      <c r="J120" s="60"/>
      <c r="K120" s="58"/>
      <c r="L120" s="60"/>
      <c r="N120" s="60"/>
      <c r="O120" s="58"/>
      <c r="P120" s="60"/>
    </row>
    <row r="121" spans="2:17" ht="17.100000000000001" customHeight="1" x14ac:dyDescent="0.25">
      <c r="B121" s="60"/>
      <c r="C121" s="59"/>
      <c r="D121" s="60"/>
      <c r="F121" s="60"/>
      <c r="G121" s="59"/>
      <c r="H121" s="60"/>
      <c r="J121" s="60"/>
      <c r="K121" s="59"/>
      <c r="L121" s="60"/>
      <c r="N121" s="60"/>
      <c r="O121" s="59"/>
      <c r="P121" s="60"/>
    </row>
    <row r="122" spans="2:17" ht="17.100000000000001" customHeight="1" x14ac:dyDescent="0.25">
      <c r="B122" s="60"/>
      <c r="C122" s="59"/>
      <c r="D122" s="60"/>
      <c r="F122" s="60"/>
      <c r="G122" s="59"/>
      <c r="H122" s="60"/>
      <c r="J122" s="60"/>
      <c r="K122" s="59"/>
      <c r="L122" s="60"/>
      <c r="N122" s="60"/>
      <c r="O122" s="59"/>
      <c r="P122" s="60"/>
    </row>
    <row r="123" spans="2:17" ht="17.100000000000001" customHeight="1" x14ac:dyDescent="0.25">
      <c r="B123" s="61"/>
      <c r="C123" s="59"/>
      <c r="D123" s="61"/>
      <c r="F123" s="61"/>
      <c r="G123" s="59"/>
      <c r="H123" s="61"/>
      <c r="J123" s="61"/>
      <c r="K123" s="59"/>
      <c r="L123" s="61"/>
      <c r="N123" s="61"/>
      <c r="O123" s="59"/>
      <c r="P123" s="61"/>
    </row>
    <row r="124" spans="2:17" ht="17.100000000000001" customHeight="1" x14ac:dyDescent="0.25">
      <c r="B124" s="61"/>
      <c r="C124" s="59"/>
      <c r="D124" s="61"/>
      <c r="F124" s="61"/>
      <c r="G124" s="59"/>
      <c r="H124" s="61"/>
      <c r="J124" s="61"/>
      <c r="K124" s="59"/>
      <c r="L124" s="61"/>
      <c r="N124" s="61"/>
      <c r="O124" s="59"/>
      <c r="P124" s="61"/>
    </row>
    <row r="125" spans="2:17" ht="17.100000000000001" customHeight="1" x14ac:dyDescent="0.25">
      <c r="B125" s="62"/>
      <c r="F125" s="62"/>
      <c r="J125" s="62"/>
      <c r="N125" s="62"/>
    </row>
    <row r="126" spans="2:17" ht="17.100000000000001" customHeight="1" x14ac:dyDescent="0.25">
      <c r="B126" s="62"/>
      <c r="F126" s="62"/>
      <c r="J126" s="62"/>
      <c r="N126" s="62"/>
    </row>
  </sheetData>
  <mergeCells count="184">
    <mergeCell ref="O81:P81"/>
    <mergeCell ref="N82:P82"/>
    <mergeCell ref="N83:P83"/>
    <mergeCell ref="O73:P73"/>
    <mergeCell ref="O74:P74"/>
    <mergeCell ref="N75:P75"/>
    <mergeCell ref="N77:P77"/>
    <mergeCell ref="O78:P78"/>
    <mergeCell ref="N102:P102"/>
    <mergeCell ref="O97:P97"/>
    <mergeCell ref="O98:P98"/>
    <mergeCell ref="O99:P99"/>
    <mergeCell ref="N100:P100"/>
    <mergeCell ref="O101:P101"/>
    <mergeCell ref="N85:O85"/>
    <mergeCell ref="N92:P92"/>
    <mergeCell ref="N94:P94"/>
    <mergeCell ref="O95:P95"/>
    <mergeCell ref="O96:P96"/>
    <mergeCell ref="N20:Q20"/>
    <mergeCell ref="N21:O21"/>
    <mergeCell ref="N25:P25"/>
    <mergeCell ref="N26:O26"/>
    <mergeCell ref="N36:P36"/>
    <mergeCell ref="O45:P45"/>
    <mergeCell ref="K97:L97"/>
    <mergeCell ref="K98:L98"/>
    <mergeCell ref="K99:L99"/>
    <mergeCell ref="J85:K85"/>
    <mergeCell ref="J92:L92"/>
    <mergeCell ref="J94:L94"/>
    <mergeCell ref="N59:Q59"/>
    <mergeCell ref="N68:P68"/>
    <mergeCell ref="N69:O69"/>
    <mergeCell ref="N71:P71"/>
    <mergeCell ref="N72:P72"/>
    <mergeCell ref="O46:P46"/>
    <mergeCell ref="O47:P47"/>
    <mergeCell ref="N48:P48"/>
    <mergeCell ref="N50:O50"/>
    <mergeCell ref="N57:P57"/>
    <mergeCell ref="O79:P79"/>
    <mergeCell ref="O80:P80"/>
    <mergeCell ref="N4:Q4"/>
    <mergeCell ref="O5:P5"/>
    <mergeCell ref="O6:P6"/>
    <mergeCell ref="O7:P7"/>
    <mergeCell ref="O8:P8"/>
    <mergeCell ref="O9:P9"/>
    <mergeCell ref="O10:P10"/>
    <mergeCell ref="N11:O11"/>
    <mergeCell ref="N18:P18"/>
    <mergeCell ref="K81:L81"/>
    <mergeCell ref="J82:L82"/>
    <mergeCell ref="J83:L83"/>
    <mergeCell ref="K73:L73"/>
    <mergeCell ref="K74:L74"/>
    <mergeCell ref="J75:L75"/>
    <mergeCell ref="J77:L77"/>
    <mergeCell ref="K78:L78"/>
    <mergeCell ref="J102:L102"/>
    <mergeCell ref="J100:L100"/>
    <mergeCell ref="K101:L101"/>
    <mergeCell ref="J57:L57"/>
    <mergeCell ref="F102:H102"/>
    <mergeCell ref="J4:M4"/>
    <mergeCell ref="K5:L5"/>
    <mergeCell ref="K6:L6"/>
    <mergeCell ref="K7:L7"/>
    <mergeCell ref="K8:L8"/>
    <mergeCell ref="K9:L9"/>
    <mergeCell ref="K10:L10"/>
    <mergeCell ref="J11:K11"/>
    <mergeCell ref="J18:L18"/>
    <mergeCell ref="J20:M20"/>
    <mergeCell ref="J21:K21"/>
    <mergeCell ref="J25:L25"/>
    <mergeCell ref="J26:K26"/>
    <mergeCell ref="J36:L36"/>
    <mergeCell ref="K45:L45"/>
    <mergeCell ref="F4:I4"/>
    <mergeCell ref="G5:H5"/>
    <mergeCell ref="G6:H6"/>
    <mergeCell ref="K95:L95"/>
    <mergeCell ref="K96:L96"/>
    <mergeCell ref="K79:L79"/>
    <mergeCell ref="K80:L80"/>
    <mergeCell ref="G7:H7"/>
    <mergeCell ref="G8:H8"/>
    <mergeCell ref="G9:H9"/>
    <mergeCell ref="G10:H10"/>
    <mergeCell ref="F11:G11"/>
    <mergeCell ref="F18:H18"/>
    <mergeCell ref="F20:I20"/>
    <mergeCell ref="F21:G21"/>
    <mergeCell ref="F25:H25"/>
    <mergeCell ref="G98:H98"/>
    <mergeCell ref="G99:H99"/>
    <mergeCell ref="F100:H100"/>
    <mergeCell ref="G101:H101"/>
    <mergeCell ref="F85:G85"/>
    <mergeCell ref="F92:H92"/>
    <mergeCell ref="F94:H94"/>
    <mergeCell ref="G95:H95"/>
    <mergeCell ref="G96:H96"/>
    <mergeCell ref="J59:M59"/>
    <mergeCell ref="J68:L68"/>
    <mergeCell ref="J69:K69"/>
    <mergeCell ref="J71:L71"/>
    <mergeCell ref="J72:L72"/>
    <mergeCell ref="F26:G26"/>
    <mergeCell ref="F36:H36"/>
    <mergeCell ref="G45:H45"/>
    <mergeCell ref="G97:H97"/>
    <mergeCell ref="G79:H79"/>
    <mergeCell ref="G80:H80"/>
    <mergeCell ref="G81:H81"/>
    <mergeCell ref="F82:H82"/>
    <mergeCell ref="F83:H83"/>
    <mergeCell ref="G73:H73"/>
    <mergeCell ref="G74:H74"/>
    <mergeCell ref="F75:H75"/>
    <mergeCell ref="F77:H77"/>
    <mergeCell ref="G78:H78"/>
    <mergeCell ref="F59:I59"/>
    <mergeCell ref="K46:L46"/>
    <mergeCell ref="K47:L47"/>
    <mergeCell ref="J48:L48"/>
    <mergeCell ref="J50:K50"/>
    <mergeCell ref="G46:H46"/>
    <mergeCell ref="G47:H47"/>
    <mergeCell ref="F48:H48"/>
    <mergeCell ref="F50:G50"/>
    <mergeCell ref="F57:H57"/>
    <mergeCell ref="B59:E59"/>
    <mergeCell ref="B57:D57"/>
    <mergeCell ref="C73:D73"/>
    <mergeCell ref="C74:D74"/>
    <mergeCell ref="B69:C69"/>
    <mergeCell ref="F68:H68"/>
    <mergeCell ref="F69:G69"/>
    <mergeCell ref="F71:H71"/>
    <mergeCell ref="F72:H72"/>
    <mergeCell ref="B102:D102"/>
    <mergeCell ref="B94:D94"/>
    <mergeCell ref="B83:D83"/>
    <mergeCell ref="C95:D95"/>
    <mergeCell ref="C96:D96"/>
    <mergeCell ref="C97:D97"/>
    <mergeCell ref="C98:D98"/>
    <mergeCell ref="B92:D92"/>
    <mergeCell ref="B4:E4"/>
    <mergeCell ref="B20:E20"/>
    <mergeCell ref="B21:C21"/>
    <mergeCell ref="C5:D5"/>
    <mergeCell ref="C6:D6"/>
    <mergeCell ref="C7:D7"/>
    <mergeCell ref="C8:D8"/>
    <mergeCell ref="C9:D9"/>
    <mergeCell ref="C10:D10"/>
    <mergeCell ref="B18:D18"/>
    <mergeCell ref="B11:C11"/>
    <mergeCell ref="C45:D45"/>
    <mergeCell ref="C46:D46"/>
    <mergeCell ref="C47:D47"/>
    <mergeCell ref="B26:C26"/>
    <mergeCell ref="B25:D25"/>
    <mergeCell ref="B36:D36"/>
    <mergeCell ref="B50:C50"/>
    <mergeCell ref="C99:D99"/>
    <mergeCell ref="C101:D101"/>
    <mergeCell ref="B100:D100"/>
    <mergeCell ref="B48:D48"/>
    <mergeCell ref="B82:D82"/>
    <mergeCell ref="B85:C85"/>
    <mergeCell ref="C78:D78"/>
    <mergeCell ref="C79:D79"/>
    <mergeCell ref="C80:D80"/>
    <mergeCell ref="C81:D81"/>
    <mergeCell ref="B77:D77"/>
    <mergeCell ref="B72:D72"/>
    <mergeCell ref="B68:D68"/>
    <mergeCell ref="B71:D71"/>
    <mergeCell ref="B75:D75"/>
  </mergeCells>
  <pageMargins left="0.25" right="0.25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B1:Q132"/>
  <sheetViews>
    <sheetView view="pageBreakPreview" topLeftCell="A70" zoomScale="80" zoomScaleNormal="115" zoomScaleSheetLayoutView="80" workbookViewId="0">
      <selection activeCell="I108" sqref="I108"/>
    </sheetView>
  </sheetViews>
  <sheetFormatPr defaultColWidth="8.85546875" defaultRowHeight="17.100000000000001" customHeight="1" x14ac:dyDescent="0.25"/>
  <cols>
    <col min="1" max="1" width="2.42578125" customWidth="1"/>
    <col min="2" max="2" width="15" bestFit="1" customWidth="1"/>
    <col min="3" max="3" width="45.42578125" customWidth="1"/>
    <col min="4" max="4" width="13.28515625" customWidth="1"/>
    <col min="5" max="5" width="14.140625" customWidth="1"/>
    <col min="6" max="6" width="15" bestFit="1" customWidth="1"/>
    <col min="7" max="7" width="45.42578125" customWidth="1"/>
    <col min="8" max="8" width="13.28515625" customWidth="1"/>
    <col min="9" max="9" width="14.140625" customWidth="1"/>
    <col min="10" max="10" width="15" bestFit="1" customWidth="1"/>
    <col min="11" max="11" width="45.42578125" customWidth="1"/>
    <col min="12" max="12" width="13.28515625" customWidth="1"/>
    <col min="13" max="13" width="14.140625" customWidth="1"/>
    <col min="14" max="14" width="15" bestFit="1" customWidth="1"/>
    <col min="15" max="15" width="45.42578125" customWidth="1"/>
    <col min="16" max="16" width="13.28515625" customWidth="1"/>
    <col min="17" max="17" width="14.140625" customWidth="1"/>
  </cols>
  <sheetData>
    <row r="1" spans="2:17" ht="17.100000000000001" customHeight="1" x14ac:dyDescent="0.25">
      <c r="B1" s="15" t="s">
        <v>145</v>
      </c>
      <c r="C1" s="15"/>
      <c r="D1" s="15" t="str">
        <f>'44H'!D1</f>
        <v>LOTE 1</v>
      </c>
      <c r="E1" s="15"/>
      <c r="F1" s="15" t="s">
        <v>145</v>
      </c>
      <c r="G1" s="15"/>
      <c r="H1" s="15" t="str">
        <f>'44H'!H1</f>
        <v>LOTE 2</v>
      </c>
      <c r="I1" s="15"/>
      <c r="J1" s="15" t="s">
        <v>145</v>
      </c>
      <c r="K1" s="15"/>
      <c r="L1" s="15" t="str">
        <f>'44H'!L1</f>
        <v>LOTE 3</v>
      </c>
      <c r="M1" s="15"/>
      <c r="N1" s="15" t="s">
        <v>145</v>
      </c>
      <c r="O1" s="15"/>
      <c r="P1" s="15" t="str">
        <f>'44H'!P1</f>
        <v>LOTE 4</v>
      </c>
      <c r="Q1" s="15"/>
    </row>
    <row r="2" spans="2:17" ht="17.100000000000001" customHeight="1" x14ac:dyDescent="0.25">
      <c r="B2" s="6" t="s">
        <v>77</v>
      </c>
      <c r="C2" s="6"/>
      <c r="D2" s="6"/>
      <c r="E2" s="6"/>
      <c r="F2" s="6" t="s">
        <v>77</v>
      </c>
      <c r="G2" s="6"/>
      <c r="H2" s="6"/>
      <c r="I2" s="6"/>
      <c r="J2" s="6" t="s">
        <v>77</v>
      </c>
      <c r="K2" s="6"/>
      <c r="L2" s="6"/>
      <c r="M2" s="6"/>
      <c r="N2" s="6" t="s">
        <v>77</v>
      </c>
      <c r="O2" s="6"/>
      <c r="P2" s="6"/>
      <c r="Q2" s="6"/>
    </row>
    <row r="4" spans="2:17" ht="17.100000000000001" customHeight="1" x14ac:dyDescent="0.25">
      <c r="B4" s="139" t="s">
        <v>0</v>
      </c>
      <c r="C4" s="151"/>
      <c r="D4" s="151"/>
      <c r="E4" s="140"/>
      <c r="F4" s="139" t="s">
        <v>0</v>
      </c>
      <c r="G4" s="151"/>
      <c r="H4" s="151"/>
      <c r="I4" s="140"/>
      <c r="J4" s="139" t="s">
        <v>0</v>
      </c>
      <c r="K4" s="151"/>
      <c r="L4" s="151"/>
      <c r="M4" s="140"/>
      <c r="N4" s="139" t="s">
        <v>0</v>
      </c>
      <c r="O4" s="151"/>
      <c r="P4" s="151"/>
      <c r="Q4" s="140"/>
    </row>
    <row r="5" spans="2:17" ht="60" x14ac:dyDescent="0.25">
      <c r="B5" s="3">
        <v>1</v>
      </c>
      <c r="C5" s="101" t="s">
        <v>1</v>
      </c>
      <c r="D5" s="13"/>
      <c r="E5" s="101" t="s">
        <v>171</v>
      </c>
      <c r="F5" s="3">
        <v>1</v>
      </c>
      <c r="G5" s="101" t="s">
        <v>1</v>
      </c>
      <c r="H5" s="13"/>
      <c r="I5" s="101" t="s">
        <v>171</v>
      </c>
      <c r="J5" s="3">
        <v>1</v>
      </c>
      <c r="K5" s="101" t="s">
        <v>1</v>
      </c>
      <c r="L5" s="13"/>
      <c r="M5" s="101" t="s">
        <v>171</v>
      </c>
      <c r="N5" s="3">
        <v>1</v>
      </c>
      <c r="O5" s="101" t="s">
        <v>1</v>
      </c>
      <c r="P5" s="13"/>
      <c r="Q5" s="101" t="s">
        <v>171</v>
      </c>
    </row>
    <row r="6" spans="2:17" ht="17.100000000000001" customHeight="1" x14ac:dyDescent="0.25">
      <c r="B6" s="3">
        <v>2</v>
      </c>
      <c r="C6" s="13" t="s">
        <v>2</v>
      </c>
      <c r="D6" s="13"/>
      <c r="E6" s="25">
        <v>1730.75</v>
      </c>
      <c r="F6" s="3">
        <v>2</v>
      </c>
      <c r="G6" s="13" t="s">
        <v>2</v>
      </c>
      <c r="H6" s="13"/>
      <c r="I6" s="25">
        <v>1730.75</v>
      </c>
      <c r="J6" s="3">
        <v>2</v>
      </c>
      <c r="K6" s="13" t="s">
        <v>2</v>
      </c>
      <c r="L6" s="13"/>
      <c r="M6" s="25">
        <v>1730.75</v>
      </c>
      <c r="N6" s="3">
        <v>2</v>
      </c>
      <c r="O6" s="13" t="s">
        <v>2</v>
      </c>
      <c r="P6" s="13"/>
      <c r="Q6" s="25">
        <v>1730.75</v>
      </c>
    </row>
    <row r="7" spans="2:17" ht="17.100000000000001" customHeight="1" x14ac:dyDescent="0.25">
      <c r="B7" s="3">
        <v>3</v>
      </c>
      <c r="C7" s="13" t="s">
        <v>3</v>
      </c>
      <c r="D7" s="13"/>
      <c r="E7" s="23" t="s">
        <v>175</v>
      </c>
      <c r="F7" s="3">
        <v>3</v>
      </c>
      <c r="G7" s="13" t="s">
        <v>3</v>
      </c>
      <c r="H7" s="13"/>
      <c r="I7" s="23" t="s">
        <v>175</v>
      </c>
      <c r="J7" s="3">
        <v>3</v>
      </c>
      <c r="K7" s="13" t="s">
        <v>3</v>
      </c>
      <c r="L7" s="13"/>
      <c r="M7" s="23" t="s">
        <v>175</v>
      </c>
      <c r="N7" s="3">
        <v>3</v>
      </c>
      <c r="O7" s="13" t="s">
        <v>3</v>
      </c>
      <c r="P7" s="13"/>
      <c r="Q7" s="23" t="s">
        <v>175</v>
      </c>
    </row>
    <row r="8" spans="2:17" ht="17.100000000000001" customHeight="1" x14ac:dyDescent="0.25">
      <c r="B8" s="3">
        <v>4</v>
      </c>
      <c r="C8" s="13" t="s">
        <v>4</v>
      </c>
      <c r="D8" s="13"/>
      <c r="E8" s="24">
        <v>45775</v>
      </c>
      <c r="F8" s="3">
        <v>4</v>
      </c>
      <c r="G8" s="13" t="s">
        <v>4</v>
      </c>
      <c r="H8" s="13"/>
      <c r="I8" s="24">
        <v>45775</v>
      </c>
      <c r="J8" s="3">
        <v>4</v>
      </c>
      <c r="K8" s="13" t="s">
        <v>4</v>
      </c>
      <c r="L8" s="13"/>
      <c r="M8" s="24">
        <v>45775</v>
      </c>
      <c r="N8" s="3">
        <v>4</v>
      </c>
      <c r="O8" s="13" t="s">
        <v>4</v>
      </c>
      <c r="P8" s="13"/>
      <c r="Q8" s="24">
        <v>45775</v>
      </c>
    </row>
    <row r="9" spans="2:17" ht="17.100000000000001" customHeight="1" x14ac:dyDescent="0.25">
      <c r="B9" s="3">
        <v>5</v>
      </c>
      <c r="C9" s="13" t="s">
        <v>78</v>
      </c>
      <c r="D9" s="13"/>
      <c r="E9" s="13">
        <v>30</v>
      </c>
      <c r="F9" s="3">
        <v>5</v>
      </c>
      <c r="G9" s="13" t="s">
        <v>78</v>
      </c>
      <c r="H9" s="13"/>
      <c r="I9" s="13">
        <v>30</v>
      </c>
      <c r="J9" s="3">
        <v>5</v>
      </c>
      <c r="K9" s="13" t="s">
        <v>78</v>
      </c>
      <c r="L9" s="13"/>
      <c r="M9" s="13">
        <v>30</v>
      </c>
      <c r="N9" s="3">
        <v>5</v>
      </c>
      <c r="O9" s="13" t="s">
        <v>78</v>
      </c>
      <c r="P9" s="13"/>
      <c r="Q9" s="13">
        <v>30</v>
      </c>
    </row>
    <row r="10" spans="2:17" ht="17.100000000000001" customHeight="1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ht="17.100000000000001" customHeight="1" x14ac:dyDescent="0.25">
      <c r="B11" s="139" t="s">
        <v>5</v>
      </c>
      <c r="C11" s="140"/>
      <c r="D11" s="71" t="s">
        <v>28</v>
      </c>
      <c r="E11" s="70" t="s">
        <v>7</v>
      </c>
      <c r="F11" s="139" t="s">
        <v>5</v>
      </c>
      <c r="G11" s="140"/>
      <c r="H11" s="71" t="s">
        <v>28</v>
      </c>
      <c r="I11" s="70" t="s">
        <v>7</v>
      </c>
      <c r="J11" s="139" t="s">
        <v>5</v>
      </c>
      <c r="K11" s="140"/>
      <c r="L11" s="71" t="s">
        <v>28</v>
      </c>
      <c r="M11" s="70" t="s">
        <v>7</v>
      </c>
      <c r="N11" s="139" t="s">
        <v>5</v>
      </c>
      <c r="O11" s="140"/>
      <c r="P11" s="71" t="s">
        <v>28</v>
      </c>
      <c r="Q11" s="70" t="s">
        <v>7</v>
      </c>
    </row>
    <row r="12" spans="2:17" ht="17.100000000000001" customHeight="1" x14ac:dyDescent="0.25">
      <c r="B12" s="3" t="s">
        <v>8</v>
      </c>
      <c r="C12" s="13" t="s">
        <v>9</v>
      </c>
      <c r="D12" s="13"/>
      <c r="E12" s="14">
        <f>E6</f>
        <v>1730.75</v>
      </c>
      <c r="F12" s="3" t="s">
        <v>8</v>
      </c>
      <c r="G12" s="13" t="s">
        <v>9</v>
      </c>
      <c r="H12" s="13"/>
      <c r="I12" s="14">
        <f>I6</f>
        <v>1730.75</v>
      </c>
      <c r="J12" s="3" t="s">
        <v>8</v>
      </c>
      <c r="K12" s="13" t="s">
        <v>9</v>
      </c>
      <c r="L12" s="13"/>
      <c r="M12" s="14">
        <f>M6</f>
        <v>1730.75</v>
      </c>
      <c r="N12" s="3" t="s">
        <v>8</v>
      </c>
      <c r="O12" s="13" t="s">
        <v>9</v>
      </c>
      <c r="P12" s="13"/>
      <c r="Q12" s="14">
        <f>Q6</f>
        <v>1730.75</v>
      </c>
    </row>
    <row r="13" spans="2:17" ht="17.100000000000001" customHeight="1" x14ac:dyDescent="0.25">
      <c r="B13" s="3" t="s">
        <v>10</v>
      </c>
      <c r="C13" s="13" t="s">
        <v>11</v>
      </c>
      <c r="D13" s="13"/>
      <c r="E13" s="14">
        <f>$E$12*D13</f>
        <v>0</v>
      </c>
      <c r="F13" s="3" t="s">
        <v>10</v>
      </c>
      <c r="G13" s="13" t="s">
        <v>11</v>
      </c>
      <c r="H13" s="13"/>
      <c r="I13" s="14">
        <f>$E$12*H13</f>
        <v>0</v>
      </c>
      <c r="J13" s="3" t="s">
        <v>10</v>
      </c>
      <c r="K13" s="13" t="s">
        <v>11</v>
      </c>
      <c r="L13" s="13"/>
      <c r="M13" s="14">
        <f>$E$12*L13</f>
        <v>0</v>
      </c>
      <c r="N13" s="3" t="s">
        <v>10</v>
      </c>
      <c r="O13" s="13" t="s">
        <v>11</v>
      </c>
      <c r="P13" s="13"/>
      <c r="Q13" s="14">
        <f>$E$12*P13</f>
        <v>0</v>
      </c>
    </row>
    <row r="14" spans="2:17" ht="17.100000000000001" customHeight="1" x14ac:dyDescent="0.25">
      <c r="B14" s="3" t="s">
        <v>12</v>
      </c>
      <c r="C14" s="13" t="s">
        <v>13</v>
      </c>
      <c r="D14" s="100">
        <v>0.4</v>
      </c>
      <c r="E14" s="14">
        <f>$E$12*D14</f>
        <v>692.30000000000007</v>
      </c>
      <c r="F14" s="3" t="s">
        <v>12</v>
      </c>
      <c r="G14" s="13" t="s">
        <v>13</v>
      </c>
      <c r="H14" s="100">
        <v>0.4</v>
      </c>
      <c r="I14" s="14">
        <f>$E$12*H14</f>
        <v>692.30000000000007</v>
      </c>
      <c r="J14" s="3" t="s">
        <v>12</v>
      </c>
      <c r="K14" s="13" t="s">
        <v>13</v>
      </c>
      <c r="L14" s="100">
        <v>0.4</v>
      </c>
      <c r="M14" s="14">
        <f>$E$12*L14</f>
        <v>692.30000000000007</v>
      </c>
      <c r="N14" s="3" t="s">
        <v>12</v>
      </c>
      <c r="O14" s="13" t="s">
        <v>13</v>
      </c>
      <c r="P14" s="100">
        <v>0.4</v>
      </c>
      <c r="Q14" s="14">
        <f>$E$12*P14</f>
        <v>692.30000000000007</v>
      </c>
    </row>
    <row r="15" spans="2:17" ht="17.100000000000001" customHeight="1" x14ac:dyDescent="0.25">
      <c r="B15" s="3" t="s">
        <v>14</v>
      </c>
      <c r="C15" s="13" t="s">
        <v>19</v>
      </c>
      <c r="D15" s="13"/>
      <c r="E15" s="14">
        <f>$E$12*D15</f>
        <v>0</v>
      </c>
      <c r="F15" s="3" t="s">
        <v>14</v>
      </c>
      <c r="G15" s="13" t="s">
        <v>19</v>
      </c>
      <c r="H15" s="13"/>
      <c r="I15" s="14">
        <f>$E$12*H15</f>
        <v>0</v>
      </c>
      <c r="J15" s="3" t="s">
        <v>14</v>
      </c>
      <c r="K15" s="13" t="s">
        <v>19</v>
      </c>
      <c r="L15" s="13"/>
      <c r="M15" s="14">
        <f>$E$12*L15</f>
        <v>0</v>
      </c>
      <c r="N15" s="3" t="s">
        <v>14</v>
      </c>
      <c r="O15" s="13" t="s">
        <v>19</v>
      </c>
      <c r="P15" s="13"/>
      <c r="Q15" s="14">
        <f>$E$12*P15</f>
        <v>0</v>
      </c>
    </row>
    <row r="16" spans="2:17" ht="17.100000000000001" customHeight="1" x14ac:dyDescent="0.25">
      <c r="B16" s="21" t="s">
        <v>20</v>
      </c>
      <c r="C16" s="21"/>
      <c r="D16" s="29"/>
      <c r="E16" s="29">
        <f>SUM(E12:E15)</f>
        <v>2423.0500000000002</v>
      </c>
      <c r="F16" s="21" t="s">
        <v>20</v>
      </c>
      <c r="G16" s="21"/>
      <c r="H16" s="29"/>
      <c r="I16" s="29">
        <f>SUM(I12:I15)</f>
        <v>2423.0500000000002</v>
      </c>
      <c r="J16" s="21" t="s">
        <v>20</v>
      </c>
      <c r="K16" s="21"/>
      <c r="L16" s="29"/>
      <c r="M16" s="29">
        <f>SUM(M12:M15)</f>
        <v>2423.0500000000002</v>
      </c>
      <c r="N16" s="21" t="s">
        <v>20</v>
      </c>
      <c r="O16" s="21"/>
      <c r="P16" s="29"/>
      <c r="Q16" s="29">
        <f>SUM(Q12:Q15)</f>
        <v>2423.0500000000002</v>
      </c>
    </row>
    <row r="17" spans="2:17" ht="17.100000000000001" customHeight="1" x14ac:dyDescent="0.25">
      <c r="B17" s="30"/>
      <c r="C17" s="30"/>
      <c r="D17" s="12"/>
      <c r="E17" s="12"/>
      <c r="F17" s="30"/>
      <c r="G17" s="30"/>
      <c r="H17" s="12"/>
      <c r="I17" s="12"/>
      <c r="J17" s="30"/>
      <c r="K17" s="30"/>
      <c r="L17" s="12"/>
      <c r="M17" s="12"/>
      <c r="N17" s="30"/>
      <c r="O17" s="30"/>
      <c r="P17" s="12"/>
      <c r="Q17" s="12"/>
    </row>
    <row r="18" spans="2:17" ht="17.100000000000001" customHeight="1" x14ac:dyDescent="0.25">
      <c r="B18" s="155" t="s">
        <v>21</v>
      </c>
      <c r="C18" s="155"/>
      <c r="D18" s="155"/>
      <c r="E18" s="155"/>
      <c r="F18" s="155" t="s">
        <v>21</v>
      </c>
      <c r="G18" s="155"/>
      <c r="H18" s="155"/>
      <c r="I18" s="155"/>
      <c r="J18" s="155" t="s">
        <v>21</v>
      </c>
      <c r="K18" s="155"/>
      <c r="L18" s="155"/>
      <c r="M18" s="155"/>
      <c r="N18" s="155" t="s">
        <v>21</v>
      </c>
      <c r="O18" s="155"/>
      <c r="P18" s="155"/>
      <c r="Q18" s="155"/>
    </row>
    <row r="19" spans="2:17" ht="17.100000000000001" customHeight="1" x14ac:dyDescent="0.25">
      <c r="B19" s="16" t="s">
        <v>22</v>
      </c>
      <c r="C19" s="16"/>
      <c r="D19" s="16"/>
      <c r="E19" s="16"/>
      <c r="F19" s="16" t="s">
        <v>22</v>
      </c>
      <c r="G19" s="16"/>
      <c r="H19" s="16"/>
      <c r="I19" s="16"/>
      <c r="J19" s="16" t="s">
        <v>22</v>
      </c>
      <c r="K19" s="16"/>
      <c r="L19" s="16"/>
      <c r="M19" s="16"/>
      <c r="N19" s="16" t="s">
        <v>22</v>
      </c>
      <c r="O19" s="16"/>
      <c r="P19" s="16"/>
      <c r="Q19" s="16"/>
    </row>
    <row r="20" spans="2:17" ht="17.100000000000001" customHeight="1" x14ac:dyDescent="0.25">
      <c r="B20" s="3" t="s">
        <v>23</v>
      </c>
      <c r="C20" s="28" t="s">
        <v>24</v>
      </c>
      <c r="D20" s="3" t="s">
        <v>28</v>
      </c>
      <c r="E20" s="13" t="s">
        <v>7</v>
      </c>
      <c r="F20" s="3" t="s">
        <v>23</v>
      </c>
      <c r="G20" s="28" t="s">
        <v>24</v>
      </c>
      <c r="H20" s="3" t="s">
        <v>28</v>
      </c>
      <c r="I20" s="13" t="s">
        <v>7</v>
      </c>
      <c r="J20" s="3" t="s">
        <v>23</v>
      </c>
      <c r="K20" s="28" t="s">
        <v>24</v>
      </c>
      <c r="L20" s="3" t="s">
        <v>28</v>
      </c>
      <c r="M20" s="13" t="s">
        <v>7</v>
      </c>
      <c r="N20" s="3" t="s">
        <v>23</v>
      </c>
      <c r="O20" s="28" t="s">
        <v>24</v>
      </c>
      <c r="P20" s="3" t="s">
        <v>28</v>
      </c>
      <c r="Q20" s="13" t="s">
        <v>7</v>
      </c>
    </row>
    <row r="21" spans="2:17" ht="17.100000000000001" customHeight="1" x14ac:dyDescent="0.25">
      <c r="B21" s="3" t="s">
        <v>8</v>
      </c>
      <c r="C21" s="13" t="s">
        <v>25</v>
      </c>
      <c r="D21" s="31">
        <v>8.3299999999999999E-2</v>
      </c>
      <c r="E21" s="14">
        <f>$E$16*D21</f>
        <v>201.84006500000001</v>
      </c>
      <c r="F21" s="3" t="s">
        <v>8</v>
      </c>
      <c r="G21" s="13" t="s">
        <v>25</v>
      </c>
      <c r="H21" s="31">
        <v>8.3299999999999999E-2</v>
      </c>
      <c r="I21" s="14">
        <f>$E$16*H21</f>
        <v>201.84006500000001</v>
      </c>
      <c r="J21" s="3" t="s">
        <v>8</v>
      </c>
      <c r="K21" s="13" t="s">
        <v>25</v>
      </c>
      <c r="L21" s="31">
        <v>8.3299999999999999E-2</v>
      </c>
      <c r="M21" s="14">
        <f>$E$16*L21</f>
        <v>201.84006500000001</v>
      </c>
      <c r="N21" s="3" t="s">
        <v>8</v>
      </c>
      <c r="O21" s="13" t="s">
        <v>25</v>
      </c>
      <c r="P21" s="31">
        <v>8.3299999999999999E-2</v>
      </c>
      <c r="Q21" s="14">
        <f>$E$16*P21</f>
        <v>201.84006500000001</v>
      </c>
    </row>
    <row r="22" spans="2:17" ht="17.100000000000001" customHeight="1" x14ac:dyDescent="0.25">
      <c r="B22" s="3" t="s">
        <v>10</v>
      </c>
      <c r="C22" s="13" t="s">
        <v>84</v>
      </c>
      <c r="D22" s="31">
        <v>8.3299999999999999E-2</v>
      </c>
      <c r="E22" s="14">
        <f>$E$16*D22</f>
        <v>201.84006500000001</v>
      </c>
      <c r="F22" s="3" t="s">
        <v>10</v>
      </c>
      <c r="G22" s="13" t="s">
        <v>84</v>
      </c>
      <c r="H22" s="31">
        <v>8.3299999999999999E-2</v>
      </c>
      <c r="I22" s="14">
        <f>$E$16*H22</f>
        <v>201.84006500000001</v>
      </c>
      <c r="J22" s="3" t="s">
        <v>10</v>
      </c>
      <c r="K22" s="13" t="s">
        <v>84</v>
      </c>
      <c r="L22" s="31">
        <v>8.3299999999999999E-2</v>
      </c>
      <c r="M22" s="14">
        <f>$E$16*L22</f>
        <v>201.84006500000001</v>
      </c>
      <c r="N22" s="3" t="s">
        <v>10</v>
      </c>
      <c r="O22" s="13" t="s">
        <v>84</v>
      </c>
      <c r="P22" s="31">
        <v>8.3299999999999999E-2</v>
      </c>
      <c r="Q22" s="14">
        <f>$E$16*P22</f>
        <v>201.84006500000001</v>
      </c>
    </row>
    <row r="23" spans="2:17" ht="17.100000000000001" customHeight="1" x14ac:dyDescent="0.25">
      <c r="B23" s="3" t="s">
        <v>12</v>
      </c>
      <c r="C23" s="13" t="s">
        <v>85</v>
      </c>
      <c r="D23" s="31">
        <v>2.7799999999999998E-2</v>
      </c>
      <c r="E23" s="14">
        <f>$E$16*D23</f>
        <v>67.360789999999994</v>
      </c>
      <c r="F23" s="3" t="s">
        <v>12</v>
      </c>
      <c r="G23" s="13" t="s">
        <v>85</v>
      </c>
      <c r="H23" s="31">
        <v>2.7799999999999998E-2</v>
      </c>
      <c r="I23" s="14">
        <f>$E$16*H23</f>
        <v>67.360789999999994</v>
      </c>
      <c r="J23" s="3" t="s">
        <v>12</v>
      </c>
      <c r="K23" s="13" t="s">
        <v>85</v>
      </c>
      <c r="L23" s="31">
        <v>2.7799999999999998E-2</v>
      </c>
      <c r="M23" s="14">
        <f>$E$16*L23</f>
        <v>67.360789999999994</v>
      </c>
      <c r="N23" s="3" t="s">
        <v>12</v>
      </c>
      <c r="O23" s="13" t="s">
        <v>85</v>
      </c>
      <c r="P23" s="31">
        <v>2.7799999999999998E-2</v>
      </c>
      <c r="Q23" s="14">
        <f>$E$16*P23</f>
        <v>67.360789999999994</v>
      </c>
    </row>
    <row r="24" spans="2:17" ht="17.100000000000001" customHeight="1" x14ac:dyDescent="0.25">
      <c r="B24" s="20" t="s">
        <v>20</v>
      </c>
      <c r="C24" s="20"/>
      <c r="D24" s="32"/>
      <c r="E24" s="14">
        <f>SUM(E21:E23)</f>
        <v>471.04092000000003</v>
      </c>
      <c r="F24" s="20" t="s">
        <v>20</v>
      </c>
      <c r="G24" s="20"/>
      <c r="H24" s="32"/>
      <c r="I24" s="14">
        <f>SUM(I21:I23)</f>
        <v>471.04092000000003</v>
      </c>
      <c r="J24" s="20" t="s">
        <v>20</v>
      </c>
      <c r="K24" s="20"/>
      <c r="L24" s="32"/>
      <c r="M24" s="14">
        <f>SUM(M21:M23)</f>
        <v>471.04092000000003</v>
      </c>
      <c r="N24" s="20" t="s">
        <v>20</v>
      </c>
      <c r="O24" s="20"/>
      <c r="P24" s="32"/>
      <c r="Q24" s="14">
        <f>SUM(Q21:Q23)</f>
        <v>471.04092000000003</v>
      </c>
    </row>
    <row r="25" spans="2:17" ht="17.100000000000001" customHeight="1" x14ac:dyDescent="0.25">
      <c r="B25" s="11" t="s">
        <v>26</v>
      </c>
      <c r="C25" s="11" t="s">
        <v>27</v>
      </c>
      <c r="D25" s="11" t="s">
        <v>28</v>
      </c>
      <c r="E25" s="16" t="s">
        <v>7</v>
      </c>
      <c r="F25" s="11" t="s">
        <v>26</v>
      </c>
      <c r="G25" s="11" t="s">
        <v>27</v>
      </c>
      <c r="H25" s="11" t="s">
        <v>28</v>
      </c>
      <c r="I25" s="16" t="s">
        <v>7</v>
      </c>
      <c r="J25" s="11" t="s">
        <v>26</v>
      </c>
      <c r="K25" s="11" t="s">
        <v>27</v>
      </c>
      <c r="L25" s="11" t="s">
        <v>28</v>
      </c>
      <c r="M25" s="16" t="s">
        <v>7</v>
      </c>
      <c r="N25" s="11" t="s">
        <v>26</v>
      </c>
      <c r="O25" s="11" t="s">
        <v>27</v>
      </c>
      <c r="P25" s="11" t="s">
        <v>28</v>
      </c>
      <c r="Q25" s="16" t="s">
        <v>7</v>
      </c>
    </row>
    <row r="26" spans="2:17" ht="17.100000000000001" customHeight="1" x14ac:dyDescent="0.25">
      <c r="B26" s="3" t="s">
        <v>8</v>
      </c>
      <c r="C26" s="3" t="s">
        <v>29</v>
      </c>
      <c r="D26" s="33">
        <v>0.2</v>
      </c>
      <c r="E26" s="12">
        <f>($E$24+$E$16)*$D$26</f>
        <v>578.81818400000009</v>
      </c>
      <c r="F26" s="3" t="s">
        <v>8</v>
      </c>
      <c r="G26" s="3" t="s">
        <v>29</v>
      </c>
      <c r="H26" s="33">
        <v>0.2</v>
      </c>
      <c r="I26" s="12">
        <f>($I$24+$I$16)*D26</f>
        <v>578.81818400000009</v>
      </c>
      <c r="J26" s="3" t="s">
        <v>8</v>
      </c>
      <c r="K26" s="3" t="s">
        <v>29</v>
      </c>
      <c r="L26" s="33">
        <v>0.2</v>
      </c>
      <c r="M26" s="12">
        <f>($M$16+$M$24)*L26</f>
        <v>578.81818400000009</v>
      </c>
      <c r="N26" s="3" t="s">
        <v>8</v>
      </c>
      <c r="O26" s="3" t="s">
        <v>29</v>
      </c>
      <c r="P26" s="33">
        <v>0.2</v>
      </c>
      <c r="Q26" s="12">
        <f>($Q$24+$Q$16)*P26</f>
        <v>578.81818400000009</v>
      </c>
    </row>
    <row r="27" spans="2:17" ht="17.100000000000001" customHeight="1" x14ac:dyDescent="0.25">
      <c r="B27" s="3" t="s">
        <v>10</v>
      </c>
      <c r="C27" s="3" t="s">
        <v>30</v>
      </c>
      <c r="D27" s="31">
        <v>2.5000000000000001E-2</v>
      </c>
      <c r="E27" s="12">
        <f>($E$24+E16)*D27</f>
        <v>72.352273000000011</v>
      </c>
      <c r="F27" s="3" t="s">
        <v>10</v>
      </c>
      <c r="G27" s="3" t="s">
        <v>30</v>
      </c>
      <c r="H27" s="31">
        <v>2.5000000000000001E-2</v>
      </c>
      <c r="I27" s="12">
        <f t="shared" ref="I27:I34" si="0">($I$24+$I$16)*D27</f>
        <v>72.352273000000011</v>
      </c>
      <c r="J27" s="3" t="s">
        <v>10</v>
      </c>
      <c r="K27" s="3" t="s">
        <v>30</v>
      </c>
      <c r="L27" s="31">
        <v>2.5000000000000001E-2</v>
      </c>
      <c r="M27" s="12">
        <f t="shared" ref="M27:M33" si="1">($M$16+$M$24)*L27</f>
        <v>72.352273000000011</v>
      </c>
      <c r="N27" s="3" t="s">
        <v>10</v>
      </c>
      <c r="O27" s="3" t="s">
        <v>30</v>
      </c>
      <c r="P27" s="31">
        <v>2.5000000000000001E-2</v>
      </c>
      <c r="Q27" s="12">
        <f t="shared" ref="Q27:Q34" si="2">($Q$24+$Q$16)*P27</f>
        <v>72.352273000000011</v>
      </c>
    </row>
    <row r="28" spans="2:17" ht="17.100000000000001" customHeight="1" x14ac:dyDescent="0.25">
      <c r="B28" s="3" t="s">
        <v>12</v>
      </c>
      <c r="C28" s="3" t="s">
        <v>31</v>
      </c>
      <c r="D28" s="40">
        <v>0.03</v>
      </c>
      <c r="E28" s="35">
        <f>($E$24+E16)*$D$28</f>
        <v>86.822727599999993</v>
      </c>
      <c r="F28" s="3" t="s">
        <v>12</v>
      </c>
      <c r="G28" s="3" t="s">
        <v>31</v>
      </c>
      <c r="H28" s="40">
        <v>0.03</v>
      </c>
      <c r="I28" s="12">
        <f t="shared" si="0"/>
        <v>86.822727599999993</v>
      </c>
      <c r="J28" s="3" t="s">
        <v>12</v>
      </c>
      <c r="K28" s="3" t="s">
        <v>31</v>
      </c>
      <c r="L28" s="40">
        <v>0.03</v>
      </c>
      <c r="M28" s="12">
        <f t="shared" si="1"/>
        <v>86.822727599999993</v>
      </c>
      <c r="N28" s="3" t="s">
        <v>12</v>
      </c>
      <c r="O28" s="3" t="s">
        <v>31</v>
      </c>
      <c r="P28" s="40">
        <v>0.03</v>
      </c>
      <c r="Q28" s="12">
        <f t="shared" si="2"/>
        <v>86.822727599999993</v>
      </c>
    </row>
    <row r="29" spans="2:17" ht="17.100000000000001" customHeight="1" x14ac:dyDescent="0.25">
      <c r="B29" s="3" t="s">
        <v>14</v>
      </c>
      <c r="C29" s="3" t="s">
        <v>32</v>
      </c>
      <c r="D29" s="31">
        <v>1.4999999999999999E-2</v>
      </c>
      <c r="E29" s="12">
        <f>($E$24+E16)*$D$29</f>
        <v>43.411363799999997</v>
      </c>
      <c r="F29" s="3" t="s">
        <v>14</v>
      </c>
      <c r="G29" s="3" t="s">
        <v>32</v>
      </c>
      <c r="H29" s="31">
        <v>1.4999999999999999E-2</v>
      </c>
      <c r="I29" s="12">
        <f t="shared" si="0"/>
        <v>43.411363799999997</v>
      </c>
      <c r="J29" s="3" t="s">
        <v>14</v>
      </c>
      <c r="K29" s="3" t="s">
        <v>32</v>
      </c>
      <c r="L29" s="31">
        <v>1.4999999999999999E-2</v>
      </c>
      <c r="M29" s="12">
        <f t="shared" si="1"/>
        <v>43.411363799999997</v>
      </c>
      <c r="N29" s="3" t="s">
        <v>14</v>
      </c>
      <c r="O29" s="3" t="s">
        <v>32</v>
      </c>
      <c r="P29" s="31">
        <v>1.4999999999999999E-2</v>
      </c>
      <c r="Q29" s="12">
        <f t="shared" si="2"/>
        <v>43.411363799999997</v>
      </c>
    </row>
    <row r="30" spans="2:17" ht="17.100000000000001" customHeight="1" x14ac:dyDescent="0.25">
      <c r="B30" s="3" t="s">
        <v>16</v>
      </c>
      <c r="C30" s="3" t="s">
        <v>33</v>
      </c>
      <c r="D30" s="33">
        <v>0.01</v>
      </c>
      <c r="E30" s="12">
        <f>($E$24+E16)*$D$30</f>
        <v>28.9409092</v>
      </c>
      <c r="F30" s="3" t="s">
        <v>16</v>
      </c>
      <c r="G30" s="3" t="s">
        <v>33</v>
      </c>
      <c r="H30" s="33">
        <v>0.01</v>
      </c>
      <c r="I30" s="12">
        <f t="shared" si="0"/>
        <v>28.9409092</v>
      </c>
      <c r="J30" s="3" t="s">
        <v>16</v>
      </c>
      <c r="K30" s="3" t="s">
        <v>33</v>
      </c>
      <c r="L30" s="33">
        <v>0.01</v>
      </c>
      <c r="M30" s="12">
        <f t="shared" si="1"/>
        <v>28.9409092</v>
      </c>
      <c r="N30" s="3" t="s">
        <v>16</v>
      </c>
      <c r="O30" s="3" t="s">
        <v>33</v>
      </c>
      <c r="P30" s="33">
        <v>0.01</v>
      </c>
      <c r="Q30" s="12">
        <f t="shared" si="2"/>
        <v>28.9409092</v>
      </c>
    </row>
    <row r="31" spans="2:17" ht="17.100000000000001" customHeight="1" x14ac:dyDescent="0.25">
      <c r="B31" s="3" t="s">
        <v>34</v>
      </c>
      <c r="C31" s="3" t="s">
        <v>35</v>
      </c>
      <c r="D31" s="31">
        <v>6.0000000000000001E-3</v>
      </c>
      <c r="E31" s="12">
        <f>($E$24+E16)*$D$31</f>
        <v>17.36454552</v>
      </c>
      <c r="F31" s="3" t="s">
        <v>34</v>
      </c>
      <c r="G31" s="3" t="s">
        <v>35</v>
      </c>
      <c r="H31" s="31">
        <v>6.0000000000000001E-3</v>
      </c>
      <c r="I31" s="12">
        <f t="shared" si="0"/>
        <v>17.36454552</v>
      </c>
      <c r="J31" s="3" t="s">
        <v>34</v>
      </c>
      <c r="K31" s="3" t="s">
        <v>35</v>
      </c>
      <c r="L31" s="31">
        <v>6.0000000000000001E-3</v>
      </c>
      <c r="M31" s="12">
        <f t="shared" si="1"/>
        <v>17.36454552</v>
      </c>
      <c r="N31" s="3" t="s">
        <v>34</v>
      </c>
      <c r="O31" s="3" t="s">
        <v>35</v>
      </c>
      <c r="P31" s="31">
        <v>6.0000000000000001E-3</v>
      </c>
      <c r="Q31" s="12">
        <f t="shared" si="2"/>
        <v>17.36454552</v>
      </c>
    </row>
    <row r="32" spans="2:17" ht="17.100000000000001" customHeight="1" x14ac:dyDescent="0.25">
      <c r="B32" s="3" t="s">
        <v>18</v>
      </c>
      <c r="C32" s="3" t="s">
        <v>36</v>
      </c>
      <c r="D32" s="31">
        <v>2E-3</v>
      </c>
      <c r="E32" s="12">
        <f>($E$24+E16)*$D$32</f>
        <v>5.78818184</v>
      </c>
      <c r="F32" s="3" t="s">
        <v>18</v>
      </c>
      <c r="G32" s="3" t="s">
        <v>36</v>
      </c>
      <c r="H32" s="31">
        <v>2E-3</v>
      </c>
      <c r="I32" s="12">
        <f t="shared" si="0"/>
        <v>5.78818184</v>
      </c>
      <c r="J32" s="3" t="s">
        <v>18</v>
      </c>
      <c r="K32" s="3" t="s">
        <v>36</v>
      </c>
      <c r="L32" s="31">
        <v>2E-3</v>
      </c>
      <c r="M32" s="12">
        <f t="shared" si="1"/>
        <v>5.78818184</v>
      </c>
      <c r="N32" s="3" t="s">
        <v>18</v>
      </c>
      <c r="O32" s="3" t="s">
        <v>36</v>
      </c>
      <c r="P32" s="31">
        <v>2E-3</v>
      </c>
      <c r="Q32" s="12">
        <f t="shared" si="2"/>
        <v>5.78818184</v>
      </c>
    </row>
    <row r="33" spans="2:17" ht="17.100000000000001" customHeight="1" x14ac:dyDescent="0.25">
      <c r="B33" s="3" t="s">
        <v>37</v>
      </c>
      <c r="C33" s="3" t="s">
        <v>38</v>
      </c>
      <c r="D33" s="33">
        <v>0.08</v>
      </c>
      <c r="E33" s="12">
        <f>($E$24+$E$16)*D33</f>
        <v>231.5272736</v>
      </c>
      <c r="F33" s="3" t="s">
        <v>37</v>
      </c>
      <c r="G33" s="3" t="s">
        <v>38</v>
      </c>
      <c r="H33" s="33">
        <v>0.08</v>
      </c>
      <c r="I33" s="12">
        <f t="shared" si="0"/>
        <v>231.5272736</v>
      </c>
      <c r="J33" s="3" t="s">
        <v>37</v>
      </c>
      <c r="K33" s="3" t="s">
        <v>38</v>
      </c>
      <c r="L33" s="33">
        <v>0.08</v>
      </c>
      <c r="M33" s="12">
        <f t="shared" si="1"/>
        <v>231.5272736</v>
      </c>
      <c r="N33" s="3" t="s">
        <v>37</v>
      </c>
      <c r="O33" s="3" t="s">
        <v>38</v>
      </c>
      <c r="P33" s="33">
        <v>0.08</v>
      </c>
      <c r="Q33" s="12">
        <f t="shared" si="2"/>
        <v>231.5272736</v>
      </c>
    </row>
    <row r="34" spans="2:17" ht="17.100000000000001" customHeight="1" x14ac:dyDescent="0.25">
      <c r="B34" s="20" t="s">
        <v>20</v>
      </c>
      <c r="C34" s="20"/>
      <c r="D34" s="98">
        <f>SUM(D26:D33)</f>
        <v>0.36800000000000005</v>
      </c>
      <c r="E34" s="12">
        <f>SUM(E26:E33)</f>
        <v>1065.0254585600001</v>
      </c>
      <c r="F34" s="20" t="s">
        <v>20</v>
      </c>
      <c r="G34" s="20"/>
      <c r="H34" s="98">
        <f>SUM(H26:H33)</f>
        <v>0.36800000000000005</v>
      </c>
      <c r="I34" s="12">
        <f t="shared" si="0"/>
        <v>1065.0254585600003</v>
      </c>
      <c r="J34" s="20" t="s">
        <v>20</v>
      </c>
      <c r="K34" s="20"/>
      <c r="L34" s="98">
        <f>SUM(L26:L33)</f>
        <v>0.36800000000000005</v>
      </c>
      <c r="M34" s="12">
        <f>SUM(M26:M33)</f>
        <v>1065.0254585600001</v>
      </c>
      <c r="N34" s="20" t="s">
        <v>20</v>
      </c>
      <c r="O34" s="20"/>
      <c r="P34" s="98">
        <f>SUM(P26:P33)</f>
        <v>0.36800000000000005</v>
      </c>
      <c r="Q34" s="12">
        <f t="shared" si="2"/>
        <v>1065.0254585600003</v>
      </c>
    </row>
    <row r="35" spans="2:17" ht="33" customHeight="1" x14ac:dyDescent="0.25">
      <c r="B35" s="164" t="s">
        <v>39</v>
      </c>
      <c r="C35" s="165"/>
      <c r="D35" s="165"/>
      <c r="E35" s="166"/>
      <c r="F35" s="164" t="s">
        <v>39</v>
      </c>
      <c r="G35" s="165"/>
      <c r="H35" s="165"/>
      <c r="I35" s="166"/>
      <c r="J35" s="164" t="s">
        <v>39</v>
      </c>
      <c r="K35" s="165"/>
      <c r="L35" s="165"/>
      <c r="M35" s="166"/>
      <c r="N35" s="164" t="s">
        <v>39</v>
      </c>
      <c r="O35" s="165"/>
      <c r="P35" s="165"/>
      <c r="Q35" s="166"/>
    </row>
    <row r="36" spans="2:17" ht="17.100000000000001" customHeight="1" x14ac:dyDescent="0.25">
      <c r="B36" s="16" t="s">
        <v>40</v>
      </c>
      <c r="C36" s="16"/>
      <c r="D36" s="16"/>
      <c r="E36" s="16"/>
      <c r="F36" s="16" t="s">
        <v>40</v>
      </c>
      <c r="G36" s="16"/>
      <c r="H36" s="16"/>
      <c r="I36" s="16"/>
      <c r="J36" s="16" t="s">
        <v>40</v>
      </c>
      <c r="K36" s="16"/>
      <c r="L36" s="16"/>
      <c r="M36" s="16"/>
      <c r="N36" s="16" t="s">
        <v>40</v>
      </c>
      <c r="O36" s="16"/>
      <c r="P36" s="16"/>
      <c r="Q36" s="16"/>
    </row>
    <row r="37" spans="2:17" ht="17.100000000000001" customHeight="1" x14ac:dyDescent="0.25">
      <c r="B37" s="3" t="s">
        <v>41</v>
      </c>
      <c r="C37" s="13" t="s">
        <v>42</v>
      </c>
      <c r="D37" s="13"/>
      <c r="E37" s="13" t="s">
        <v>7</v>
      </c>
      <c r="F37" s="3" t="s">
        <v>41</v>
      </c>
      <c r="G37" s="13" t="s">
        <v>42</v>
      </c>
      <c r="H37" s="13"/>
      <c r="I37" s="13" t="s">
        <v>7</v>
      </c>
      <c r="J37" s="3" t="s">
        <v>41</v>
      </c>
      <c r="K37" s="13" t="s">
        <v>42</v>
      </c>
      <c r="L37" s="13"/>
      <c r="M37" s="13" t="s">
        <v>7</v>
      </c>
      <c r="N37" s="3" t="s">
        <v>41</v>
      </c>
      <c r="O37" s="13" t="s">
        <v>42</v>
      </c>
      <c r="P37" s="13"/>
      <c r="Q37" s="13" t="s">
        <v>7</v>
      </c>
    </row>
    <row r="38" spans="2:17" ht="17.100000000000001" customHeight="1" x14ac:dyDescent="0.25">
      <c r="B38" s="3" t="s">
        <v>8</v>
      </c>
      <c r="C38" s="13" t="s">
        <v>43</v>
      </c>
      <c r="D38" s="35">
        <v>4.7</v>
      </c>
      <c r="E38" s="14">
        <f>D38*2*26-(E12*6%)</f>
        <v>140.55500000000001</v>
      </c>
      <c r="F38" s="3" t="s">
        <v>8</v>
      </c>
      <c r="G38" s="13" t="s">
        <v>43</v>
      </c>
      <c r="H38" s="35">
        <v>4.7</v>
      </c>
      <c r="I38" s="14">
        <f>H38*2*26-(I12*6%)</f>
        <v>140.55500000000001</v>
      </c>
      <c r="J38" s="3" t="s">
        <v>8</v>
      </c>
      <c r="K38" s="13" t="s">
        <v>43</v>
      </c>
      <c r="L38" s="35">
        <v>4.7</v>
      </c>
      <c r="M38" s="14">
        <f>L38*2*26-(M12*6%)</f>
        <v>140.55500000000001</v>
      </c>
      <c r="N38" s="3" t="s">
        <v>8</v>
      </c>
      <c r="O38" s="13" t="s">
        <v>43</v>
      </c>
      <c r="P38" s="35">
        <v>4.7</v>
      </c>
      <c r="Q38" s="14">
        <f>P38*2*26-(Q12*6%)</f>
        <v>140.55500000000001</v>
      </c>
    </row>
    <row r="39" spans="2:17" ht="17.100000000000001" customHeight="1" x14ac:dyDescent="0.25">
      <c r="B39" s="3" t="s">
        <v>10</v>
      </c>
      <c r="C39" s="13" t="s">
        <v>44</v>
      </c>
      <c r="D39" s="35">
        <v>25</v>
      </c>
      <c r="E39" s="14">
        <f>D39*22-(D39*22*10%)</f>
        <v>495</v>
      </c>
      <c r="F39" s="3" t="s">
        <v>10</v>
      </c>
      <c r="G39" s="13" t="s">
        <v>44</v>
      </c>
      <c r="H39" s="35">
        <v>25</v>
      </c>
      <c r="I39" s="14">
        <f>H39*22-(H39*22*10%)</f>
        <v>495</v>
      </c>
      <c r="J39" s="3" t="s">
        <v>10</v>
      </c>
      <c r="K39" s="13" t="s">
        <v>44</v>
      </c>
      <c r="L39" s="35">
        <v>25</v>
      </c>
      <c r="M39" s="14">
        <f>L39*22-(L39*22*10%)</f>
        <v>495</v>
      </c>
      <c r="N39" s="3" t="s">
        <v>10</v>
      </c>
      <c r="O39" s="13" t="s">
        <v>44</v>
      </c>
      <c r="P39" s="35">
        <v>25</v>
      </c>
      <c r="Q39" s="14">
        <f>P39*22-(P39*22*10%)</f>
        <v>495</v>
      </c>
    </row>
    <row r="40" spans="2:17" ht="17.100000000000001" customHeight="1" x14ac:dyDescent="0.25">
      <c r="B40" s="3" t="s">
        <v>12</v>
      </c>
      <c r="C40" s="13" t="s">
        <v>72</v>
      </c>
      <c r="D40" s="13"/>
      <c r="E40" s="25">
        <v>21.6</v>
      </c>
      <c r="F40" s="3" t="s">
        <v>12</v>
      </c>
      <c r="G40" s="13" t="s">
        <v>72</v>
      </c>
      <c r="H40" s="13"/>
      <c r="I40" s="25">
        <v>21.6</v>
      </c>
      <c r="J40" s="3" t="s">
        <v>12</v>
      </c>
      <c r="K40" s="13" t="s">
        <v>72</v>
      </c>
      <c r="L40" s="13"/>
      <c r="M40" s="25">
        <v>21.6</v>
      </c>
      <c r="N40" s="3" t="s">
        <v>12</v>
      </c>
      <c r="O40" s="13" t="s">
        <v>72</v>
      </c>
      <c r="P40" s="13"/>
      <c r="Q40" s="25">
        <v>21.6</v>
      </c>
    </row>
    <row r="41" spans="2:17" ht="17.100000000000001" customHeight="1" x14ac:dyDescent="0.25">
      <c r="B41" s="3" t="s">
        <v>14</v>
      </c>
      <c r="C41" s="13" t="s">
        <v>19</v>
      </c>
      <c r="D41" s="13"/>
      <c r="E41" s="13"/>
      <c r="F41" s="3" t="s">
        <v>14</v>
      </c>
      <c r="G41" s="13" t="s">
        <v>19</v>
      </c>
      <c r="H41" s="13"/>
      <c r="I41" s="13"/>
      <c r="J41" s="3" t="s">
        <v>14</v>
      </c>
      <c r="K41" s="13" t="s">
        <v>19</v>
      </c>
      <c r="L41" s="13"/>
      <c r="M41" s="13"/>
      <c r="N41" s="3" t="s">
        <v>14</v>
      </c>
      <c r="O41" s="13" t="s">
        <v>19</v>
      </c>
      <c r="P41" s="13"/>
      <c r="Q41" s="13"/>
    </row>
    <row r="42" spans="2:17" ht="17.100000000000001" customHeight="1" x14ac:dyDescent="0.25">
      <c r="B42" s="20" t="s">
        <v>20</v>
      </c>
      <c r="C42" s="20"/>
      <c r="D42" s="20"/>
      <c r="E42" s="14">
        <f>SUM(E38,E39,E40)</f>
        <v>657.15500000000009</v>
      </c>
      <c r="F42" s="20" t="s">
        <v>20</v>
      </c>
      <c r="G42" s="20"/>
      <c r="H42" s="20"/>
      <c r="I42" s="14">
        <f>SUM(I38,I39,I40)</f>
        <v>657.15500000000009</v>
      </c>
      <c r="J42" s="20" t="s">
        <v>20</v>
      </c>
      <c r="K42" s="20"/>
      <c r="L42" s="20"/>
      <c r="M42" s="14">
        <f>SUM(M38,M39,M40)</f>
        <v>657.15500000000009</v>
      </c>
      <c r="N42" s="20" t="s">
        <v>20</v>
      </c>
      <c r="O42" s="20"/>
      <c r="P42" s="20"/>
      <c r="Q42" s="14">
        <f>SUM(Q38,Q39,Q40)</f>
        <v>657.15500000000009</v>
      </c>
    </row>
    <row r="43" spans="2:17" ht="17.100000000000001" customHeight="1" x14ac:dyDescent="0.25">
      <c r="B43" s="17" t="s">
        <v>45</v>
      </c>
      <c r="C43" s="18"/>
      <c r="D43" s="18"/>
      <c r="E43" s="18"/>
      <c r="F43" s="17" t="s">
        <v>45</v>
      </c>
      <c r="G43" s="18"/>
      <c r="H43" s="18"/>
      <c r="I43" s="18"/>
      <c r="J43" s="17" t="s">
        <v>45</v>
      </c>
      <c r="K43" s="18"/>
      <c r="L43" s="18"/>
      <c r="M43" s="18"/>
      <c r="N43" s="17" t="s">
        <v>45</v>
      </c>
      <c r="O43" s="18"/>
      <c r="P43" s="18"/>
      <c r="Q43" s="18"/>
    </row>
    <row r="44" spans="2:17" ht="17.100000000000001" customHeight="1" x14ac:dyDescent="0.25">
      <c r="B44" s="3">
        <v>2</v>
      </c>
      <c r="C44" s="13" t="s">
        <v>46</v>
      </c>
      <c r="D44" s="13"/>
      <c r="E44" s="36" t="s">
        <v>7</v>
      </c>
      <c r="F44" s="3">
        <v>2</v>
      </c>
      <c r="G44" s="13" t="s">
        <v>46</v>
      </c>
      <c r="H44" s="13"/>
      <c r="I44" s="36" t="s">
        <v>7</v>
      </c>
      <c r="J44" s="3">
        <v>2</v>
      </c>
      <c r="K44" s="13" t="s">
        <v>46</v>
      </c>
      <c r="L44" s="13"/>
      <c r="M44" s="36" t="s">
        <v>7</v>
      </c>
      <c r="N44" s="3">
        <v>2</v>
      </c>
      <c r="O44" s="13" t="s">
        <v>46</v>
      </c>
      <c r="P44" s="13"/>
      <c r="Q44" s="36" t="s">
        <v>7</v>
      </c>
    </row>
    <row r="45" spans="2:17" ht="17.100000000000001" customHeight="1" x14ac:dyDescent="0.25">
      <c r="B45" s="3" t="s">
        <v>23</v>
      </c>
      <c r="C45" s="13" t="s">
        <v>24</v>
      </c>
      <c r="D45" s="13"/>
      <c r="E45" s="14">
        <f>E24</f>
        <v>471.04092000000003</v>
      </c>
      <c r="F45" s="3" t="s">
        <v>23</v>
      </c>
      <c r="G45" s="13" t="s">
        <v>24</v>
      </c>
      <c r="H45" s="13"/>
      <c r="I45" s="14">
        <f>I24</f>
        <v>471.04092000000003</v>
      </c>
      <c r="J45" s="3" t="s">
        <v>23</v>
      </c>
      <c r="K45" s="13" t="s">
        <v>24</v>
      </c>
      <c r="L45" s="13"/>
      <c r="M45" s="14">
        <f>M24</f>
        <v>471.04092000000003</v>
      </c>
      <c r="N45" s="3" t="s">
        <v>23</v>
      </c>
      <c r="O45" s="13" t="s">
        <v>24</v>
      </c>
      <c r="P45" s="13"/>
      <c r="Q45" s="14">
        <f>Q24</f>
        <v>471.04092000000003</v>
      </c>
    </row>
    <row r="46" spans="2:17" ht="17.100000000000001" customHeight="1" x14ac:dyDescent="0.25">
      <c r="B46" s="3" t="s">
        <v>26</v>
      </c>
      <c r="C46" s="13" t="s">
        <v>27</v>
      </c>
      <c r="D46" s="13"/>
      <c r="E46" s="14">
        <f>E34</f>
        <v>1065.0254585600001</v>
      </c>
      <c r="F46" s="3" t="s">
        <v>26</v>
      </c>
      <c r="G46" s="13" t="s">
        <v>27</v>
      </c>
      <c r="H46" s="13"/>
      <c r="I46" s="14">
        <f>I34</f>
        <v>1065.0254585600003</v>
      </c>
      <c r="J46" s="3" t="s">
        <v>26</v>
      </c>
      <c r="K46" s="13" t="s">
        <v>27</v>
      </c>
      <c r="L46" s="13"/>
      <c r="M46" s="14">
        <f>M34</f>
        <v>1065.0254585600001</v>
      </c>
      <c r="N46" s="3" t="s">
        <v>26</v>
      </c>
      <c r="O46" s="13" t="s">
        <v>27</v>
      </c>
      <c r="P46" s="13"/>
      <c r="Q46" s="14">
        <f>Q34</f>
        <v>1065.0254585600003</v>
      </c>
    </row>
    <row r="47" spans="2:17" ht="17.100000000000001" customHeight="1" x14ac:dyDescent="0.25">
      <c r="B47" s="3" t="s">
        <v>41</v>
      </c>
      <c r="C47" s="13" t="s">
        <v>42</v>
      </c>
      <c r="D47" s="13"/>
      <c r="E47" s="14">
        <f>E42</f>
        <v>657.15500000000009</v>
      </c>
      <c r="F47" s="3" t="s">
        <v>41</v>
      </c>
      <c r="G47" s="13" t="s">
        <v>42</v>
      </c>
      <c r="H47" s="13"/>
      <c r="I47" s="14">
        <f>I42</f>
        <v>657.15500000000009</v>
      </c>
      <c r="J47" s="3" t="s">
        <v>41</v>
      </c>
      <c r="K47" s="13" t="s">
        <v>42</v>
      </c>
      <c r="L47" s="13"/>
      <c r="M47" s="14">
        <f>M42</f>
        <v>657.15500000000009</v>
      </c>
      <c r="N47" s="3" t="s">
        <v>41</v>
      </c>
      <c r="O47" s="13" t="s">
        <v>42</v>
      </c>
      <c r="P47" s="13"/>
      <c r="Q47" s="14">
        <f>Q42</f>
        <v>657.15500000000009</v>
      </c>
    </row>
    <row r="48" spans="2:17" ht="17.100000000000001" customHeight="1" x14ac:dyDescent="0.25">
      <c r="B48" s="21" t="s">
        <v>20</v>
      </c>
      <c r="C48" s="21"/>
      <c r="D48" s="21"/>
      <c r="E48" s="37">
        <f>SUM(E45:E47)</f>
        <v>2193.2213785600002</v>
      </c>
      <c r="F48" s="21" t="s">
        <v>20</v>
      </c>
      <c r="G48" s="21"/>
      <c r="H48" s="21"/>
      <c r="I48" s="37">
        <f>SUM(I45:I47)</f>
        <v>2193.2213785600006</v>
      </c>
      <c r="J48" s="21" t="s">
        <v>20</v>
      </c>
      <c r="K48" s="21"/>
      <c r="L48" s="21"/>
      <c r="M48" s="37">
        <f>SUM(M45:M47)</f>
        <v>2193.2213785600002</v>
      </c>
      <c r="N48" s="21" t="s">
        <v>20</v>
      </c>
      <c r="O48" s="21"/>
      <c r="P48" s="21"/>
      <c r="Q48" s="37">
        <f>SUM(Q45:Q47)</f>
        <v>2193.2213785600006</v>
      </c>
    </row>
    <row r="49" spans="2:17" ht="17.100000000000001" customHeight="1" x14ac:dyDescent="0.25">
      <c r="B49" s="38"/>
      <c r="C49" s="38"/>
      <c r="D49" s="39"/>
      <c r="E49" s="38"/>
      <c r="F49" s="38"/>
      <c r="G49" s="38"/>
      <c r="H49" s="39"/>
      <c r="I49" s="38"/>
      <c r="J49" s="38"/>
      <c r="K49" s="38"/>
      <c r="L49" s="39"/>
      <c r="M49" s="38"/>
      <c r="N49" s="38"/>
      <c r="O49" s="38"/>
      <c r="P49" s="39"/>
      <c r="Q49" s="38"/>
    </row>
    <row r="50" spans="2:17" ht="17.100000000000001" customHeight="1" x14ac:dyDescent="0.25">
      <c r="B50" s="139" t="s">
        <v>47</v>
      </c>
      <c r="C50" s="140"/>
      <c r="D50" s="83" t="s">
        <v>28</v>
      </c>
      <c r="E50" s="79" t="s">
        <v>7</v>
      </c>
      <c r="F50" s="139" t="s">
        <v>47</v>
      </c>
      <c r="G50" s="140"/>
      <c r="H50" s="83" t="s">
        <v>28</v>
      </c>
      <c r="I50" s="79" t="s">
        <v>7</v>
      </c>
      <c r="J50" s="139" t="s">
        <v>47</v>
      </c>
      <c r="K50" s="140"/>
      <c r="L50" s="83" t="s">
        <v>28</v>
      </c>
      <c r="M50" s="79" t="s">
        <v>7</v>
      </c>
      <c r="N50" s="139" t="s">
        <v>47</v>
      </c>
      <c r="O50" s="140"/>
      <c r="P50" s="83" t="s">
        <v>28</v>
      </c>
      <c r="Q50" s="79" t="s">
        <v>7</v>
      </c>
    </row>
    <row r="51" spans="2:17" ht="17.100000000000001" customHeight="1" x14ac:dyDescent="0.25">
      <c r="B51" s="3">
        <v>3</v>
      </c>
      <c r="C51" s="3" t="s">
        <v>48</v>
      </c>
      <c r="D51" s="3" t="s">
        <v>28</v>
      </c>
      <c r="E51" s="13" t="s">
        <v>7</v>
      </c>
      <c r="F51" s="3">
        <v>3</v>
      </c>
      <c r="G51" s="3" t="s">
        <v>48</v>
      </c>
      <c r="H51" s="3" t="s">
        <v>28</v>
      </c>
      <c r="I51" s="13" t="s">
        <v>7</v>
      </c>
      <c r="J51" s="3">
        <v>3</v>
      </c>
      <c r="K51" s="3" t="s">
        <v>48</v>
      </c>
      <c r="L51" s="3" t="s">
        <v>28</v>
      </c>
      <c r="M51" s="13" t="s">
        <v>7</v>
      </c>
      <c r="N51" s="3">
        <v>3</v>
      </c>
      <c r="O51" s="3" t="s">
        <v>48</v>
      </c>
      <c r="P51" s="3" t="s">
        <v>28</v>
      </c>
      <c r="Q51" s="13" t="s">
        <v>7</v>
      </c>
    </row>
    <row r="52" spans="2:17" ht="17.100000000000001" customHeight="1" x14ac:dyDescent="0.25">
      <c r="B52" s="3" t="s">
        <v>8</v>
      </c>
      <c r="C52" s="36" t="s">
        <v>49</v>
      </c>
      <c r="D52" s="40">
        <f>5%/12</f>
        <v>4.1666666666666666E-3</v>
      </c>
      <c r="E52" s="14">
        <f>($E$16+$E$24)*D52</f>
        <v>12.058712166666666</v>
      </c>
      <c r="F52" s="3" t="s">
        <v>8</v>
      </c>
      <c r="G52" s="36" t="s">
        <v>49</v>
      </c>
      <c r="H52" s="40">
        <f>5%/12</f>
        <v>4.1666666666666666E-3</v>
      </c>
      <c r="I52" s="14">
        <f>($I$16+$I$24)*H52</f>
        <v>12.058712166666666</v>
      </c>
      <c r="J52" s="3" t="s">
        <v>8</v>
      </c>
      <c r="K52" s="36" t="s">
        <v>49</v>
      </c>
      <c r="L52" s="40">
        <f>5%/12</f>
        <v>4.1666666666666666E-3</v>
      </c>
      <c r="M52" s="14">
        <f>($M$16+$M$24)*L52</f>
        <v>12.058712166666666</v>
      </c>
      <c r="N52" s="3" t="s">
        <v>8</v>
      </c>
      <c r="O52" s="36" t="s">
        <v>49</v>
      </c>
      <c r="P52" s="40">
        <f>5%/12</f>
        <v>4.1666666666666666E-3</v>
      </c>
      <c r="Q52" s="14">
        <f>($Q$16+$Q$24)*P52</f>
        <v>12.058712166666666</v>
      </c>
    </row>
    <row r="53" spans="2:17" ht="17.100000000000001" customHeight="1" x14ac:dyDescent="0.25">
      <c r="B53" s="3" t="s">
        <v>10</v>
      </c>
      <c r="C53" s="36" t="s">
        <v>50</v>
      </c>
      <c r="D53" s="40">
        <f>D52*D33</f>
        <v>3.3333333333333332E-4</v>
      </c>
      <c r="E53" s="14">
        <f>($E$16+$E$24)*D53</f>
        <v>0.96469697333333337</v>
      </c>
      <c r="F53" s="3" t="s">
        <v>10</v>
      </c>
      <c r="G53" s="36" t="s">
        <v>50</v>
      </c>
      <c r="H53" s="40">
        <f>H52*H33</f>
        <v>3.3333333333333332E-4</v>
      </c>
      <c r="I53" s="14">
        <f t="shared" ref="I53:I57" si="3">($I$16+$I$24)*H53</f>
        <v>0.96469697333333337</v>
      </c>
      <c r="J53" s="3" t="s">
        <v>10</v>
      </c>
      <c r="K53" s="36" t="s">
        <v>50</v>
      </c>
      <c r="L53" s="40">
        <f>L52*L33</f>
        <v>3.3333333333333332E-4</v>
      </c>
      <c r="M53" s="14">
        <f t="shared" ref="M53:M56" si="4">($M$16+$M$24)*L53</f>
        <v>0.96469697333333337</v>
      </c>
      <c r="N53" s="3" t="s">
        <v>10</v>
      </c>
      <c r="O53" s="36" t="s">
        <v>50</v>
      </c>
      <c r="P53" s="40">
        <f>P52*P33</f>
        <v>3.3333333333333332E-4</v>
      </c>
      <c r="Q53" s="14">
        <f t="shared" ref="Q53:Q57" si="5">($Q$16+$Q$24)*P53</f>
        <v>0.96469697333333337</v>
      </c>
    </row>
    <row r="54" spans="2:17" ht="17.100000000000001" customHeight="1" x14ac:dyDescent="0.25">
      <c r="B54" s="3" t="s">
        <v>12</v>
      </c>
      <c r="C54" s="36" t="s">
        <v>179</v>
      </c>
      <c r="D54" s="40">
        <f>(1+2/12+(1/3*1/12))*0.08*0.4*0.05</f>
        <v>1.9111111111111115E-3</v>
      </c>
      <c r="E54" s="14">
        <f>(E16+E24)*D54</f>
        <v>5.5309293137777793</v>
      </c>
      <c r="F54" s="3" t="s">
        <v>12</v>
      </c>
      <c r="G54" s="36" t="s">
        <v>179</v>
      </c>
      <c r="H54" s="40">
        <f>(1+2/12+(1/3*1/12))*0.08*0.4*0.05</f>
        <v>1.9111111111111115E-3</v>
      </c>
      <c r="I54" s="14">
        <f>(I16+I24)*H54</f>
        <v>5.5309293137777793</v>
      </c>
      <c r="J54" s="3" t="s">
        <v>12</v>
      </c>
      <c r="K54" s="36" t="s">
        <v>179</v>
      </c>
      <c r="L54" s="40">
        <f>(1+2/12+(1/3*1/12))*0.08*0.4*0.05</f>
        <v>1.9111111111111115E-3</v>
      </c>
      <c r="M54" s="14">
        <f>(M16+M24)*L54</f>
        <v>5.5309293137777793</v>
      </c>
      <c r="N54" s="3" t="s">
        <v>12</v>
      </c>
      <c r="O54" s="36" t="s">
        <v>179</v>
      </c>
      <c r="P54" s="40">
        <f>(1+2/12+(1/3*1/12))*0.08*0.4*0.05</f>
        <v>1.9111111111111115E-3</v>
      </c>
      <c r="Q54" s="14">
        <f>(Q16+Q24)*P54</f>
        <v>5.5309293137777793</v>
      </c>
    </row>
    <row r="55" spans="2:17" ht="17.100000000000001" customHeight="1" x14ac:dyDescent="0.25">
      <c r="B55" s="3" t="s">
        <v>14</v>
      </c>
      <c r="C55" s="36" t="s">
        <v>51</v>
      </c>
      <c r="D55" s="40">
        <f>7/30/12</f>
        <v>1.9444444444444445E-2</v>
      </c>
      <c r="E55" s="14">
        <f>($E$16+$E$24)*D55</f>
        <v>56.273990111111111</v>
      </c>
      <c r="F55" s="3" t="s">
        <v>14</v>
      </c>
      <c r="G55" s="36" t="s">
        <v>51</v>
      </c>
      <c r="H55" s="40">
        <f>7/30/12</f>
        <v>1.9444444444444445E-2</v>
      </c>
      <c r="I55" s="14">
        <f t="shared" si="3"/>
        <v>56.273990111111111</v>
      </c>
      <c r="J55" s="3" t="s">
        <v>14</v>
      </c>
      <c r="K55" s="36" t="s">
        <v>51</v>
      </c>
      <c r="L55" s="40">
        <f>7/30/12</f>
        <v>1.9444444444444445E-2</v>
      </c>
      <c r="M55" s="14">
        <f t="shared" si="4"/>
        <v>56.273990111111111</v>
      </c>
      <c r="N55" s="3" t="s">
        <v>14</v>
      </c>
      <c r="O55" s="36" t="s">
        <v>51</v>
      </c>
      <c r="P55" s="40">
        <f>7/30/12</f>
        <v>1.9444444444444445E-2</v>
      </c>
      <c r="Q55" s="14">
        <f t="shared" si="5"/>
        <v>56.273990111111111</v>
      </c>
    </row>
    <row r="56" spans="2:17" ht="22.5" customHeight="1" x14ac:dyDescent="0.25">
      <c r="B56" s="3" t="s">
        <v>16</v>
      </c>
      <c r="C56" s="94" t="s">
        <v>169</v>
      </c>
      <c r="D56" s="40">
        <f>D55*D34</f>
        <v>7.1555555555555565E-3</v>
      </c>
      <c r="E56" s="14">
        <f>($E$16+$E$24)*D56</f>
        <v>20.708828360888891</v>
      </c>
      <c r="F56" s="3" t="s">
        <v>16</v>
      </c>
      <c r="G56" s="94" t="s">
        <v>169</v>
      </c>
      <c r="H56" s="40">
        <f>H55*H34</f>
        <v>7.1555555555555565E-3</v>
      </c>
      <c r="I56" s="14">
        <f t="shared" si="3"/>
        <v>20.708828360888891</v>
      </c>
      <c r="J56" s="3" t="s">
        <v>16</v>
      </c>
      <c r="K56" s="94" t="s">
        <v>169</v>
      </c>
      <c r="L56" s="40">
        <f>L55*L34</f>
        <v>7.1555555555555565E-3</v>
      </c>
      <c r="M56" s="14">
        <f t="shared" si="4"/>
        <v>20.708828360888891</v>
      </c>
      <c r="N56" s="3" t="s">
        <v>16</v>
      </c>
      <c r="O56" s="94" t="s">
        <v>169</v>
      </c>
      <c r="P56" s="40">
        <f>P55*P34</f>
        <v>7.1555555555555565E-3</v>
      </c>
      <c r="Q56" s="14">
        <f t="shared" si="5"/>
        <v>20.708828360888891</v>
      </c>
    </row>
    <row r="57" spans="2:17" ht="17.100000000000001" customHeight="1" x14ac:dyDescent="0.25">
      <c r="B57" s="3" t="s">
        <v>34</v>
      </c>
      <c r="C57" s="94" t="s">
        <v>180</v>
      </c>
      <c r="D57" s="109">
        <f>100%*8%*40%*(1+1/12*1/3+1/12)</f>
        <v>3.5555555555555549E-2</v>
      </c>
      <c r="E57" s="14">
        <f>($E$16+$E$24)*D57</f>
        <v>102.90101048888887</v>
      </c>
      <c r="F57" s="3" t="s">
        <v>34</v>
      </c>
      <c r="G57" s="94" t="s">
        <v>180</v>
      </c>
      <c r="H57" s="109">
        <f>100%*8%*40%*(1+1/12*1/3+1/12)</f>
        <v>3.5555555555555549E-2</v>
      </c>
      <c r="I57" s="14">
        <f t="shared" si="3"/>
        <v>102.90101048888887</v>
      </c>
      <c r="J57" s="3" t="s">
        <v>34</v>
      </c>
      <c r="K57" s="94" t="s">
        <v>180</v>
      </c>
      <c r="L57" s="109">
        <f>100%*8%*40%*(1+1/12*1/3+1/12)</f>
        <v>3.5555555555555549E-2</v>
      </c>
      <c r="M57" s="14">
        <f>($M$16+$M$24)*L57</f>
        <v>102.90101048888887</v>
      </c>
      <c r="N57" s="3" t="s">
        <v>34</v>
      </c>
      <c r="O57" s="94" t="s">
        <v>180</v>
      </c>
      <c r="P57" s="109">
        <f>100%*8%*40%*(1+1/12*1/3+1/12)</f>
        <v>3.5555555555555549E-2</v>
      </c>
      <c r="Q57" s="14">
        <f t="shared" si="5"/>
        <v>102.90101048888887</v>
      </c>
    </row>
    <row r="58" spans="2:17" ht="17.100000000000001" customHeight="1" x14ac:dyDescent="0.25">
      <c r="B58" s="21" t="s">
        <v>20</v>
      </c>
      <c r="C58" s="21"/>
      <c r="D58" s="21"/>
      <c r="E58" s="37">
        <f>SUM(E52:E57)</f>
        <v>198.43816741466665</v>
      </c>
      <c r="F58" s="21" t="s">
        <v>20</v>
      </c>
      <c r="G58" s="21"/>
      <c r="H58" s="21"/>
      <c r="I58" s="37">
        <f>SUM(I52:I57)</f>
        <v>198.43816741466665</v>
      </c>
      <c r="J58" s="21" t="s">
        <v>20</v>
      </c>
      <c r="K58" s="21"/>
      <c r="L58" s="21"/>
      <c r="M58" s="37">
        <f>SUM(M52:M57)</f>
        <v>198.43816741466665</v>
      </c>
      <c r="N58" s="21" t="s">
        <v>20</v>
      </c>
      <c r="O58" s="21"/>
      <c r="P58" s="21"/>
      <c r="Q58" s="37">
        <f>SUM(Q52:Q57)</f>
        <v>198.43816741466665</v>
      </c>
    </row>
    <row r="59" spans="2:17" ht="17.100000000000001" customHeight="1" x14ac:dyDescent="0.25">
      <c r="B59" s="41"/>
      <c r="C59" s="38"/>
      <c r="D59" s="39"/>
      <c r="E59" s="38"/>
      <c r="F59" s="41"/>
      <c r="G59" s="38"/>
      <c r="H59" s="39"/>
      <c r="I59" s="38"/>
      <c r="J59" s="41"/>
      <c r="K59" s="38"/>
      <c r="L59" s="39"/>
      <c r="M59" s="38"/>
      <c r="N59" s="41"/>
      <c r="O59" s="38"/>
      <c r="P59" s="39"/>
      <c r="Q59" s="38"/>
    </row>
    <row r="60" spans="2:17" ht="17.100000000000001" customHeight="1" x14ac:dyDescent="0.25">
      <c r="B60" s="139" t="s">
        <v>52</v>
      </c>
      <c r="C60" s="151"/>
      <c r="D60" s="151"/>
      <c r="E60" s="140"/>
      <c r="F60" s="139" t="s">
        <v>52</v>
      </c>
      <c r="G60" s="151"/>
      <c r="H60" s="151"/>
      <c r="I60" s="140"/>
      <c r="J60" s="139" t="s">
        <v>52</v>
      </c>
      <c r="K60" s="151"/>
      <c r="L60" s="151"/>
      <c r="M60" s="140"/>
      <c r="N60" s="139" t="s">
        <v>52</v>
      </c>
      <c r="O60" s="151"/>
      <c r="P60" s="151"/>
      <c r="Q60" s="140"/>
    </row>
    <row r="61" spans="2:17" ht="17.100000000000001" customHeight="1" x14ac:dyDescent="0.25">
      <c r="B61" s="16" t="s">
        <v>53</v>
      </c>
      <c r="C61" s="16"/>
      <c r="D61" s="16"/>
      <c r="E61" s="16"/>
      <c r="F61" s="16" t="s">
        <v>53</v>
      </c>
      <c r="G61" s="16"/>
      <c r="H61" s="16"/>
      <c r="I61" s="16"/>
      <c r="J61" s="16" t="s">
        <v>53</v>
      </c>
      <c r="K61" s="16"/>
      <c r="L61" s="16"/>
      <c r="M61" s="16"/>
      <c r="N61" s="16" t="s">
        <v>53</v>
      </c>
      <c r="O61" s="16"/>
      <c r="P61" s="16"/>
      <c r="Q61" s="16"/>
    </row>
    <row r="62" spans="2:17" ht="17.100000000000001" customHeight="1" x14ac:dyDescent="0.25">
      <c r="B62" s="3" t="s">
        <v>54</v>
      </c>
      <c r="C62" s="3" t="s">
        <v>55</v>
      </c>
      <c r="D62" s="32" t="s">
        <v>82</v>
      </c>
      <c r="E62" s="13" t="s">
        <v>7</v>
      </c>
      <c r="F62" s="3" t="s">
        <v>54</v>
      </c>
      <c r="G62" s="3" t="s">
        <v>55</v>
      </c>
      <c r="H62" s="32" t="s">
        <v>82</v>
      </c>
      <c r="I62" s="13" t="s">
        <v>7</v>
      </c>
      <c r="J62" s="3" t="s">
        <v>54</v>
      </c>
      <c r="K62" s="3" t="s">
        <v>55</v>
      </c>
      <c r="L62" s="32" t="s">
        <v>82</v>
      </c>
      <c r="M62" s="13" t="s">
        <v>7</v>
      </c>
      <c r="N62" s="3" t="s">
        <v>54</v>
      </c>
      <c r="O62" s="3" t="s">
        <v>55</v>
      </c>
      <c r="P62" s="32" t="s">
        <v>82</v>
      </c>
      <c r="Q62" s="13" t="s">
        <v>7</v>
      </c>
    </row>
    <row r="63" spans="2:17" ht="17.100000000000001" customHeight="1" x14ac:dyDescent="0.25">
      <c r="B63" s="3" t="s">
        <v>8</v>
      </c>
      <c r="C63" s="67" t="s">
        <v>163</v>
      </c>
      <c r="D63" s="85">
        <f>(1/12+1/12+1/12/3)/12</f>
        <v>1.6203703703703703E-2</v>
      </c>
      <c r="E63" s="110">
        <f>(E16+E34)*D63</f>
        <v>56.519741226666667</v>
      </c>
      <c r="F63" s="3" t="s">
        <v>8</v>
      </c>
      <c r="G63" s="67" t="s">
        <v>163</v>
      </c>
      <c r="H63" s="85">
        <f>(1/12+1/12+1/12/3)/12</f>
        <v>1.6203703703703703E-2</v>
      </c>
      <c r="I63" s="110">
        <f>(I16+I34)*H63</f>
        <v>56.519741226666675</v>
      </c>
      <c r="J63" s="3" t="s">
        <v>8</v>
      </c>
      <c r="K63" s="67" t="s">
        <v>163</v>
      </c>
      <c r="L63" s="85">
        <f>(1/12+1/12+1/12/3)/12</f>
        <v>1.6203703703703703E-2</v>
      </c>
      <c r="M63" s="110">
        <f>(M16+M34)*L63</f>
        <v>56.519741226666667</v>
      </c>
      <c r="N63" s="3" t="s">
        <v>8</v>
      </c>
      <c r="O63" s="67" t="s">
        <v>163</v>
      </c>
      <c r="P63" s="85">
        <f>(1/12+1/12+1/12/3)/12</f>
        <v>1.6203703703703703E-2</v>
      </c>
      <c r="Q63" s="110">
        <f>(Q16+Q34)*P63</f>
        <v>56.519741226666675</v>
      </c>
    </row>
    <row r="64" spans="2:17" ht="17.100000000000001" customHeight="1" x14ac:dyDescent="0.25">
      <c r="B64" s="3" t="s">
        <v>10</v>
      </c>
      <c r="C64" s="67" t="s">
        <v>164</v>
      </c>
      <c r="D64" s="85">
        <f>(1/30/12)</f>
        <v>2.7777777777777779E-3</v>
      </c>
      <c r="E64" s="92">
        <f>E16*D64</f>
        <v>6.7306944444444454</v>
      </c>
      <c r="F64" s="3" t="s">
        <v>10</v>
      </c>
      <c r="G64" s="67" t="s">
        <v>164</v>
      </c>
      <c r="H64" s="85">
        <f>(1/30/12)</f>
        <v>2.7777777777777779E-3</v>
      </c>
      <c r="I64" s="92">
        <f>I16*H64</f>
        <v>6.7306944444444454</v>
      </c>
      <c r="J64" s="3" t="s">
        <v>10</v>
      </c>
      <c r="K64" s="67" t="s">
        <v>164</v>
      </c>
      <c r="L64" s="85">
        <f>(1/30/12)</f>
        <v>2.7777777777777779E-3</v>
      </c>
      <c r="M64" s="92">
        <f>M16*L64</f>
        <v>6.7306944444444454</v>
      </c>
      <c r="N64" s="3" t="s">
        <v>10</v>
      </c>
      <c r="O64" s="67" t="s">
        <v>164</v>
      </c>
      <c r="P64" s="85">
        <f>(1/30/12)</f>
        <v>2.7777777777777779E-3</v>
      </c>
      <c r="Q64" s="92">
        <f>Q16*P64</f>
        <v>6.7306944444444454</v>
      </c>
    </row>
    <row r="65" spans="2:17" ht="17.100000000000001" customHeight="1" x14ac:dyDescent="0.25">
      <c r="B65" s="3" t="s">
        <v>12</v>
      </c>
      <c r="C65" s="67" t="s">
        <v>165</v>
      </c>
      <c r="D65" s="85">
        <f>(5/30/12)*0.015</f>
        <v>2.0833333333333332E-4</v>
      </c>
      <c r="E65" s="92">
        <f>E16*D65</f>
        <v>0.50480208333333332</v>
      </c>
      <c r="F65" s="3" t="s">
        <v>12</v>
      </c>
      <c r="G65" s="67" t="s">
        <v>165</v>
      </c>
      <c r="H65" s="85">
        <f>(5/30/12)*0.015</f>
        <v>2.0833333333333332E-4</v>
      </c>
      <c r="I65" s="92">
        <f>($E$16+$E$24)*H65</f>
        <v>0.60293560833333326</v>
      </c>
      <c r="J65" s="3" t="s">
        <v>12</v>
      </c>
      <c r="K65" s="67" t="s">
        <v>165</v>
      </c>
      <c r="L65" s="85">
        <f>(5/30/12)*0.015</f>
        <v>2.0833333333333332E-4</v>
      </c>
      <c r="M65" s="92">
        <f>($E$16+$E$24)*L65</f>
        <v>0.60293560833333326</v>
      </c>
      <c r="N65" s="3" t="s">
        <v>12</v>
      </c>
      <c r="O65" s="67" t="s">
        <v>165</v>
      </c>
      <c r="P65" s="85">
        <f>(5/30/12)*0.015</f>
        <v>2.0833333333333332E-4</v>
      </c>
      <c r="Q65" s="92">
        <f>($E$16+$E$24)*P65</f>
        <v>0.60293560833333326</v>
      </c>
    </row>
    <row r="66" spans="2:17" ht="17.100000000000001" customHeight="1" x14ac:dyDescent="0.25">
      <c r="B66" s="3" t="s">
        <v>14</v>
      </c>
      <c r="C66" s="67" t="s">
        <v>166</v>
      </c>
      <c r="D66" s="85">
        <f>(1/12)*0.0178</f>
        <v>1.4833333333333332E-3</v>
      </c>
      <c r="E66" s="92">
        <f>E16*D66</f>
        <v>3.5941908333333332</v>
      </c>
      <c r="F66" s="3" t="s">
        <v>14</v>
      </c>
      <c r="G66" s="67" t="s">
        <v>166</v>
      </c>
      <c r="H66" s="85">
        <f>(1/12)*0.0178</f>
        <v>1.4833333333333332E-3</v>
      </c>
      <c r="I66" s="92">
        <f>I16*H66</f>
        <v>3.5941908333333332</v>
      </c>
      <c r="J66" s="3" t="s">
        <v>14</v>
      </c>
      <c r="K66" s="67" t="s">
        <v>166</v>
      </c>
      <c r="L66" s="85">
        <f>(1/12)*0.0178</f>
        <v>1.4833333333333332E-3</v>
      </c>
      <c r="M66" s="92">
        <f>M16*L66</f>
        <v>3.5941908333333332</v>
      </c>
      <c r="N66" s="3" t="s">
        <v>14</v>
      </c>
      <c r="O66" s="67" t="s">
        <v>166</v>
      </c>
      <c r="P66" s="85">
        <f>(1/12)*0.0178</f>
        <v>1.4833333333333332E-3</v>
      </c>
      <c r="Q66" s="92">
        <f>Q16*P66</f>
        <v>3.5941908333333332</v>
      </c>
    </row>
    <row r="67" spans="2:17" ht="17.100000000000001" customHeight="1" x14ac:dyDescent="0.25">
      <c r="B67" s="3" t="s">
        <v>16</v>
      </c>
      <c r="C67" s="67" t="s">
        <v>167</v>
      </c>
      <c r="D67" s="85">
        <f>11.11%*5.28%*50%</f>
        <v>2.9330399999999996E-3</v>
      </c>
      <c r="E67" s="92">
        <f>(E16+(1/12+1/12/3)/12+E34)*D67</f>
        <v>10.230692000752599</v>
      </c>
      <c r="F67" s="3" t="s">
        <v>16</v>
      </c>
      <c r="G67" s="67" t="s">
        <v>167</v>
      </c>
      <c r="H67" s="85">
        <f>11.11%*5.28%*50%</f>
        <v>2.9330399999999996E-3</v>
      </c>
      <c r="I67" s="92">
        <f>(I16+(1/12+1/12/3)/12+I34)*H67</f>
        <v>10.230692000752601</v>
      </c>
      <c r="J67" s="3" t="s">
        <v>16</v>
      </c>
      <c r="K67" s="67" t="s">
        <v>167</v>
      </c>
      <c r="L67" s="85">
        <f>11.11%*5.28%*50%</f>
        <v>2.9330399999999996E-3</v>
      </c>
      <c r="M67" s="92">
        <f>(M16+(1/12+1/12/3)/12+M34)*L67</f>
        <v>10.230692000752599</v>
      </c>
      <c r="N67" s="3" t="s">
        <v>16</v>
      </c>
      <c r="O67" s="67" t="s">
        <v>167</v>
      </c>
      <c r="P67" s="85">
        <f>11.11%*5.28%*50%</f>
        <v>2.9330399999999996E-3</v>
      </c>
      <c r="Q67" s="92">
        <f>(Q16+(1/12+1/12/3)/12+Q34)*P67</f>
        <v>10.230692000752601</v>
      </c>
    </row>
    <row r="68" spans="2:17" ht="17.100000000000001" customHeight="1" x14ac:dyDescent="0.25">
      <c r="B68" s="3" t="s">
        <v>34</v>
      </c>
      <c r="C68" s="67" t="s">
        <v>170</v>
      </c>
      <c r="D68" s="40"/>
      <c r="E68" s="92"/>
      <c r="F68" s="3" t="s">
        <v>34</v>
      </c>
      <c r="G68" s="67" t="s">
        <v>170</v>
      </c>
      <c r="H68" s="40"/>
      <c r="I68" s="92"/>
      <c r="J68" s="3" t="s">
        <v>34</v>
      </c>
      <c r="K68" s="67" t="s">
        <v>170</v>
      </c>
      <c r="L68" s="40"/>
      <c r="M68" s="92"/>
      <c r="N68" s="3" t="s">
        <v>34</v>
      </c>
      <c r="O68" s="67" t="s">
        <v>170</v>
      </c>
      <c r="P68" s="40"/>
      <c r="Q68" s="92"/>
    </row>
    <row r="69" spans="2:17" ht="17.100000000000001" customHeight="1" x14ac:dyDescent="0.25">
      <c r="B69" s="3" t="s">
        <v>18</v>
      </c>
      <c r="C69" s="84" t="s">
        <v>168</v>
      </c>
      <c r="D69" s="86">
        <f>SUM(D63:D68)</f>
        <v>2.3606188148148147E-2</v>
      </c>
      <c r="E69" s="92"/>
      <c r="F69" s="3" t="s">
        <v>18</v>
      </c>
      <c r="G69" s="84" t="s">
        <v>168</v>
      </c>
      <c r="H69" s="86">
        <f>SUM(H63:H68)</f>
        <v>2.3606188148148147E-2</v>
      </c>
      <c r="I69" s="92"/>
      <c r="J69" s="3" t="s">
        <v>18</v>
      </c>
      <c r="K69" s="84" t="s">
        <v>168</v>
      </c>
      <c r="L69" s="86">
        <f>SUM(L63:L68)</f>
        <v>2.3606188148148147E-2</v>
      </c>
      <c r="M69" s="92"/>
      <c r="N69" s="3" t="s">
        <v>18</v>
      </c>
      <c r="O69" s="84" t="s">
        <v>168</v>
      </c>
      <c r="P69" s="86">
        <f>SUM(P63:P68)</f>
        <v>2.3606188148148147E-2</v>
      </c>
      <c r="Q69" s="92"/>
    </row>
    <row r="70" spans="2:17" ht="17.100000000000001" customHeight="1" x14ac:dyDescent="0.25">
      <c r="B70" s="21" t="s">
        <v>20</v>
      </c>
      <c r="C70" s="21"/>
      <c r="D70" s="21"/>
      <c r="E70" s="37">
        <f>SUM(E63:E69)</f>
        <v>77.580120588530377</v>
      </c>
      <c r="F70" s="21" t="s">
        <v>20</v>
      </c>
      <c r="G70" s="21"/>
      <c r="H70" s="21"/>
      <c r="I70" s="37">
        <f>SUM(I63:I69)</f>
        <v>77.678254113530386</v>
      </c>
      <c r="J70" s="21" t="s">
        <v>20</v>
      </c>
      <c r="K70" s="21"/>
      <c r="L70" s="21"/>
      <c r="M70" s="37">
        <f>SUM(M63:M69)</f>
        <v>77.678254113530372</v>
      </c>
      <c r="N70" s="21" t="s">
        <v>20</v>
      </c>
      <c r="O70" s="21"/>
      <c r="P70" s="21"/>
      <c r="Q70" s="37">
        <f>SUM(Q63:Q69)</f>
        <v>77.678254113530386</v>
      </c>
    </row>
    <row r="71" spans="2:17" ht="17.100000000000001" customHeight="1" x14ac:dyDescent="0.25">
      <c r="B71" s="19" t="s">
        <v>56</v>
      </c>
      <c r="C71" s="19"/>
      <c r="D71" s="19"/>
      <c r="E71" s="93"/>
      <c r="F71" s="19" t="s">
        <v>56</v>
      </c>
      <c r="G71" s="19"/>
      <c r="H71" s="19"/>
      <c r="I71" s="93"/>
      <c r="J71" s="19" t="s">
        <v>56</v>
      </c>
      <c r="K71" s="19"/>
      <c r="L71" s="19"/>
      <c r="M71" s="93"/>
      <c r="N71" s="19" t="s">
        <v>56</v>
      </c>
      <c r="O71" s="19"/>
      <c r="P71" s="19"/>
      <c r="Q71" s="93"/>
    </row>
    <row r="72" spans="2:17" ht="17.100000000000001" customHeight="1" x14ac:dyDescent="0.25">
      <c r="B72" s="42" t="s">
        <v>57</v>
      </c>
      <c r="C72" s="42" t="s">
        <v>79</v>
      </c>
      <c r="D72" s="29" t="s">
        <v>80</v>
      </c>
      <c r="E72" s="29"/>
      <c r="F72" s="42" t="s">
        <v>57</v>
      </c>
      <c r="G72" s="42" t="s">
        <v>79</v>
      </c>
      <c r="H72" s="29" t="s">
        <v>80</v>
      </c>
      <c r="I72" s="29"/>
      <c r="J72" s="42" t="s">
        <v>57</v>
      </c>
      <c r="K72" s="42" t="s">
        <v>79</v>
      </c>
      <c r="L72" s="29" t="s">
        <v>80</v>
      </c>
      <c r="M72" s="29"/>
      <c r="N72" s="42" t="s">
        <v>57</v>
      </c>
      <c r="O72" s="42" t="s">
        <v>79</v>
      </c>
      <c r="P72" s="29" t="s">
        <v>80</v>
      </c>
      <c r="Q72" s="29"/>
    </row>
    <row r="73" spans="2:17" ht="17.100000000000001" customHeight="1" x14ac:dyDescent="0.25">
      <c r="B73" s="42" t="s">
        <v>8</v>
      </c>
      <c r="C73" s="43" t="s">
        <v>81</v>
      </c>
      <c r="D73" s="43"/>
      <c r="E73" s="29">
        <v>0</v>
      </c>
      <c r="F73" s="42" t="s">
        <v>8</v>
      </c>
      <c r="G73" s="43" t="s">
        <v>81</v>
      </c>
      <c r="H73" s="43"/>
      <c r="I73" s="29">
        <v>0</v>
      </c>
      <c r="J73" s="42" t="s">
        <v>8</v>
      </c>
      <c r="K73" s="43" t="s">
        <v>81</v>
      </c>
      <c r="L73" s="43"/>
      <c r="M73" s="29">
        <v>0</v>
      </c>
      <c r="N73" s="42" t="s">
        <v>8</v>
      </c>
      <c r="O73" s="43" t="s">
        <v>81</v>
      </c>
      <c r="P73" s="43"/>
      <c r="Q73" s="29">
        <v>0</v>
      </c>
    </row>
    <row r="74" spans="2:17" ht="17.100000000000001" customHeight="1" x14ac:dyDescent="0.25">
      <c r="B74" s="44" t="s">
        <v>20</v>
      </c>
      <c r="C74" s="45"/>
      <c r="D74" s="45"/>
      <c r="E74" s="46"/>
      <c r="F74" s="44" t="s">
        <v>20</v>
      </c>
      <c r="G74" s="45"/>
      <c r="H74" s="45"/>
      <c r="I74" s="46"/>
      <c r="J74" s="44" t="s">
        <v>20</v>
      </c>
      <c r="K74" s="45"/>
      <c r="L74" s="45"/>
      <c r="M74" s="46"/>
      <c r="N74" s="44" t="s">
        <v>20</v>
      </c>
      <c r="O74" s="45"/>
      <c r="P74" s="45"/>
      <c r="Q74" s="46"/>
    </row>
    <row r="75" spans="2:17" ht="17.100000000000001" customHeight="1" x14ac:dyDescent="0.25">
      <c r="B75" s="19" t="s">
        <v>59</v>
      </c>
      <c r="C75" s="19"/>
      <c r="D75" s="19"/>
      <c r="E75" s="19"/>
      <c r="F75" s="19" t="s">
        <v>59</v>
      </c>
      <c r="G75" s="19"/>
      <c r="H75" s="19"/>
      <c r="I75" s="19"/>
      <c r="J75" s="19" t="s">
        <v>59</v>
      </c>
      <c r="K75" s="19"/>
      <c r="L75" s="19"/>
      <c r="M75" s="19"/>
      <c r="N75" s="19" t="s">
        <v>59</v>
      </c>
      <c r="O75" s="19"/>
      <c r="P75" s="19"/>
      <c r="Q75" s="19"/>
    </row>
    <row r="76" spans="2:17" ht="17.100000000000001" customHeight="1" x14ac:dyDescent="0.25">
      <c r="B76" s="42">
        <v>4</v>
      </c>
      <c r="C76" s="43" t="s">
        <v>60</v>
      </c>
      <c r="D76" s="43"/>
      <c r="E76" s="43" t="s">
        <v>80</v>
      </c>
      <c r="F76" s="42">
        <v>4</v>
      </c>
      <c r="G76" s="43" t="s">
        <v>60</v>
      </c>
      <c r="H76" s="43"/>
      <c r="I76" s="43" t="s">
        <v>80</v>
      </c>
      <c r="J76" s="42">
        <v>4</v>
      </c>
      <c r="K76" s="43" t="s">
        <v>60</v>
      </c>
      <c r="L76" s="43"/>
      <c r="M76" s="43" t="s">
        <v>80</v>
      </c>
      <c r="N76" s="42">
        <v>4</v>
      </c>
      <c r="O76" s="43" t="s">
        <v>60</v>
      </c>
      <c r="P76" s="43"/>
      <c r="Q76" s="43" t="s">
        <v>80</v>
      </c>
    </row>
    <row r="77" spans="2:17" ht="17.100000000000001" customHeight="1" x14ac:dyDescent="0.25">
      <c r="B77" s="42" t="s">
        <v>54</v>
      </c>
      <c r="C77" s="43" t="s">
        <v>55</v>
      </c>
      <c r="D77" s="43"/>
      <c r="E77" s="29">
        <f>E70</f>
        <v>77.580120588530377</v>
      </c>
      <c r="F77" s="42" t="s">
        <v>54</v>
      </c>
      <c r="G77" s="43" t="s">
        <v>55</v>
      </c>
      <c r="H77" s="43"/>
      <c r="I77" s="29">
        <f>I70</f>
        <v>77.678254113530386</v>
      </c>
      <c r="J77" s="42" t="s">
        <v>54</v>
      </c>
      <c r="K77" s="43" t="s">
        <v>55</v>
      </c>
      <c r="L77" s="43"/>
      <c r="M77" s="29">
        <f>M70</f>
        <v>77.678254113530372</v>
      </c>
      <c r="N77" s="42" t="s">
        <v>54</v>
      </c>
      <c r="O77" s="43" t="s">
        <v>55</v>
      </c>
      <c r="P77" s="43"/>
      <c r="Q77" s="29">
        <f>Q70</f>
        <v>77.678254113530386</v>
      </c>
    </row>
    <row r="78" spans="2:17" ht="17.100000000000001" customHeight="1" x14ac:dyDescent="0.25">
      <c r="B78" s="42" t="s">
        <v>57</v>
      </c>
      <c r="C78" s="43" t="s">
        <v>58</v>
      </c>
      <c r="D78" s="43"/>
      <c r="E78" s="29">
        <f>E73</f>
        <v>0</v>
      </c>
      <c r="F78" s="42" t="s">
        <v>57</v>
      </c>
      <c r="G78" s="43" t="s">
        <v>58</v>
      </c>
      <c r="H78" s="43"/>
      <c r="I78" s="29">
        <f>I73</f>
        <v>0</v>
      </c>
      <c r="J78" s="42" t="s">
        <v>57</v>
      </c>
      <c r="K78" s="43" t="s">
        <v>58</v>
      </c>
      <c r="L78" s="43"/>
      <c r="M78" s="29">
        <f>M73</f>
        <v>0</v>
      </c>
      <c r="N78" s="42" t="s">
        <v>57</v>
      </c>
      <c r="O78" s="43" t="s">
        <v>58</v>
      </c>
      <c r="P78" s="43"/>
      <c r="Q78" s="29">
        <f>Q73</f>
        <v>0</v>
      </c>
    </row>
    <row r="79" spans="2:17" ht="17.100000000000001" customHeight="1" x14ac:dyDescent="0.25">
      <c r="B79" s="21" t="s">
        <v>20</v>
      </c>
      <c r="C79" s="21"/>
      <c r="D79" s="21"/>
      <c r="E79" s="37">
        <f>SUM(E77:E78)</f>
        <v>77.580120588530377</v>
      </c>
      <c r="F79" s="21" t="s">
        <v>20</v>
      </c>
      <c r="G79" s="21"/>
      <c r="H79" s="21"/>
      <c r="I79" s="37">
        <f>SUM(I77:I78)</f>
        <v>77.678254113530386</v>
      </c>
      <c r="J79" s="21" t="s">
        <v>20</v>
      </c>
      <c r="K79" s="21"/>
      <c r="L79" s="21"/>
      <c r="M79" s="37">
        <f>SUM(M77:M78)</f>
        <v>77.678254113530372</v>
      </c>
      <c r="N79" s="21" t="s">
        <v>20</v>
      </c>
      <c r="O79" s="21"/>
      <c r="P79" s="21"/>
      <c r="Q79" s="37">
        <f>SUM(Q77:Q78)</f>
        <v>77.678254113530386</v>
      </c>
    </row>
    <row r="80" spans="2:17" ht="17.100000000000001" customHeight="1" x14ac:dyDescent="0.25">
      <c r="B80" s="38"/>
      <c r="C80" s="38"/>
      <c r="D80" s="39"/>
      <c r="E80" s="38"/>
      <c r="F80" s="38"/>
      <c r="G80" s="38"/>
      <c r="H80" s="39"/>
      <c r="I80" s="38"/>
      <c r="J80" s="38"/>
      <c r="K80" s="38"/>
      <c r="L80" s="39"/>
      <c r="M80" s="38"/>
      <c r="N80" s="38"/>
      <c r="O80" s="38"/>
      <c r="P80" s="39"/>
      <c r="Q80" s="38"/>
    </row>
    <row r="81" spans="2:17" ht="17.100000000000001" customHeight="1" x14ac:dyDescent="0.25">
      <c r="B81" s="139" t="s">
        <v>61</v>
      </c>
      <c r="C81" s="151"/>
      <c r="D81" s="140"/>
      <c r="E81" s="79" t="s">
        <v>7</v>
      </c>
      <c r="F81" s="139" t="s">
        <v>61</v>
      </c>
      <c r="G81" s="151"/>
      <c r="H81" s="140"/>
      <c r="I81" s="79" t="s">
        <v>7</v>
      </c>
      <c r="J81" s="139" t="s">
        <v>61</v>
      </c>
      <c r="K81" s="151"/>
      <c r="L81" s="140"/>
      <c r="M81" s="79" t="s">
        <v>7</v>
      </c>
      <c r="N81" s="139" t="s">
        <v>61</v>
      </c>
      <c r="O81" s="151"/>
      <c r="P81" s="140"/>
      <c r="Q81" s="79" t="s">
        <v>7</v>
      </c>
    </row>
    <row r="82" spans="2:17" ht="17.100000000000001" customHeight="1" x14ac:dyDescent="0.25">
      <c r="B82" s="3" t="s">
        <v>8</v>
      </c>
      <c r="C82" s="141" t="s">
        <v>88</v>
      </c>
      <c r="D82" s="142"/>
      <c r="E82" s="14">
        <f>'Uniformes e EPIs'!H14</f>
        <v>26.410555555555558</v>
      </c>
      <c r="F82" s="3" t="s">
        <v>8</v>
      </c>
      <c r="G82" s="141" t="s">
        <v>88</v>
      </c>
      <c r="H82" s="142"/>
      <c r="I82" s="14">
        <f>'Uniformes e EPIs'!H14</f>
        <v>26.410555555555558</v>
      </c>
      <c r="J82" s="3" t="s">
        <v>8</v>
      </c>
      <c r="K82" s="141" t="s">
        <v>88</v>
      </c>
      <c r="L82" s="142"/>
      <c r="M82" s="14">
        <f>'Uniformes e EPIs'!H14</f>
        <v>26.410555555555558</v>
      </c>
      <c r="N82" s="3" t="s">
        <v>8</v>
      </c>
      <c r="O82" s="141" t="s">
        <v>88</v>
      </c>
      <c r="P82" s="142"/>
      <c r="Q82" s="14">
        <f>'Uniformes e EPIs'!H14</f>
        <v>26.410555555555558</v>
      </c>
    </row>
    <row r="83" spans="2:17" ht="17.100000000000001" customHeight="1" x14ac:dyDescent="0.25">
      <c r="B83" s="3" t="s">
        <v>10</v>
      </c>
      <c r="C83" s="141" t="s">
        <v>73</v>
      </c>
      <c r="D83" s="142"/>
      <c r="E83" s="14">
        <f>Insumos!H42</f>
        <v>612.33038888888871</v>
      </c>
      <c r="F83" s="3" t="s">
        <v>10</v>
      </c>
      <c r="G83" s="141" t="s">
        <v>73</v>
      </c>
      <c r="H83" s="142"/>
      <c r="I83" s="14">
        <f>Insumos!P42</f>
        <v>704.46492063492053</v>
      </c>
      <c r="J83" s="3" t="s">
        <v>10</v>
      </c>
      <c r="K83" s="141" t="s">
        <v>73</v>
      </c>
      <c r="L83" s="142"/>
      <c r="M83" s="14">
        <f>Insumos!X42</f>
        <v>734.36540229885065</v>
      </c>
      <c r="N83" s="3" t="s">
        <v>10</v>
      </c>
      <c r="O83" s="141" t="s">
        <v>73</v>
      </c>
      <c r="P83" s="142"/>
      <c r="Q83" s="14">
        <f>Insumos!AF42</f>
        <v>591.23931372549021</v>
      </c>
    </row>
    <row r="84" spans="2:17" ht="17.100000000000001" customHeight="1" x14ac:dyDescent="0.25">
      <c r="B84" s="3" t="s">
        <v>12</v>
      </c>
      <c r="C84" s="141" t="s">
        <v>86</v>
      </c>
      <c r="D84" s="142"/>
      <c r="E84" s="14"/>
      <c r="F84" s="3" t="s">
        <v>12</v>
      </c>
      <c r="G84" s="141" t="s">
        <v>86</v>
      </c>
      <c r="H84" s="142"/>
      <c r="I84" s="14"/>
      <c r="J84" s="3" t="s">
        <v>12</v>
      </c>
      <c r="K84" s="141" t="s">
        <v>86</v>
      </c>
      <c r="L84" s="142"/>
      <c r="M84" s="14"/>
      <c r="N84" s="3" t="s">
        <v>12</v>
      </c>
      <c r="O84" s="141" t="s">
        <v>86</v>
      </c>
      <c r="P84" s="142"/>
      <c r="Q84" s="14"/>
    </row>
    <row r="85" spans="2:17" ht="17.100000000000001" customHeight="1" x14ac:dyDescent="0.25">
      <c r="B85" s="3" t="s">
        <v>14</v>
      </c>
      <c r="C85" s="141" t="s">
        <v>87</v>
      </c>
      <c r="D85" s="142"/>
      <c r="E85" s="14"/>
      <c r="F85" s="3" t="s">
        <v>14</v>
      </c>
      <c r="G85" s="141" t="s">
        <v>87</v>
      </c>
      <c r="H85" s="142"/>
      <c r="I85" s="14"/>
      <c r="J85" s="3" t="s">
        <v>14</v>
      </c>
      <c r="K85" s="141" t="s">
        <v>87</v>
      </c>
      <c r="L85" s="142"/>
      <c r="M85" s="14"/>
      <c r="N85" s="3" t="s">
        <v>14</v>
      </c>
      <c r="O85" s="141" t="s">
        <v>87</v>
      </c>
      <c r="P85" s="142"/>
      <c r="Q85" s="14"/>
    </row>
    <row r="86" spans="2:17" ht="17.100000000000001" customHeight="1" x14ac:dyDescent="0.25">
      <c r="B86" s="21" t="s">
        <v>20</v>
      </c>
      <c r="C86" s="148"/>
      <c r="D86" s="150"/>
      <c r="E86" s="37">
        <f>SUM(E82:E85)</f>
        <v>638.74094444444427</v>
      </c>
      <c r="F86" s="21" t="s">
        <v>20</v>
      </c>
      <c r="G86" s="148"/>
      <c r="H86" s="150"/>
      <c r="I86" s="37">
        <f>SUM(I82:I85)</f>
        <v>730.87547619047609</v>
      </c>
      <c r="J86" s="21" t="s">
        <v>20</v>
      </c>
      <c r="K86" s="148"/>
      <c r="L86" s="150"/>
      <c r="M86" s="37">
        <f>SUM(M82:M85)</f>
        <v>760.77595785440622</v>
      </c>
      <c r="N86" s="21" t="s">
        <v>20</v>
      </c>
      <c r="O86" s="148"/>
      <c r="P86" s="150"/>
      <c r="Q86" s="37">
        <f>SUM(Q82:Q85)</f>
        <v>617.64986928104577</v>
      </c>
    </row>
    <row r="87" spans="2:17" ht="17.100000000000001" customHeight="1" x14ac:dyDescent="0.25">
      <c r="B87" s="148" t="s">
        <v>83</v>
      </c>
      <c r="C87" s="149"/>
      <c r="D87" s="150"/>
      <c r="E87" s="37">
        <f>E86+E79+E58+E48+E16</f>
        <v>5531.0306110076417</v>
      </c>
      <c r="F87" s="148" t="s">
        <v>83</v>
      </c>
      <c r="G87" s="149"/>
      <c r="H87" s="150"/>
      <c r="I87" s="37">
        <f>I86+I79+I58+I48+I16</f>
        <v>5623.2632762786743</v>
      </c>
      <c r="J87" s="148" t="s">
        <v>83</v>
      </c>
      <c r="K87" s="149"/>
      <c r="L87" s="150"/>
      <c r="M87" s="37">
        <f>M86+M79+M58+M48+M16</f>
        <v>5653.1637579426033</v>
      </c>
      <c r="N87" s="148" t="s">
        <v>83</v>
      </c>
      <c r="O87" s="149"/>
      <c r="P87" s="150"/>
      <c r="Q87" s="37">
        <f>Q86+Q79+Q58+Q48+Q16</f>
        <v>5510.0376693692433</v>
      </c>
    </row>
    <row r="88" spans="2:17" ht="17.100000000000001" customHeight="1" x14ac:dyDescent="0.25">
      <c r="B88" s="47"/>
      <c r="C88" s="47"/>
      <c r="D88" s="48"/>
      <c r="E88" s="47"/>
      <c r="F88" s="47"/>
      <c r="G88" s="47"/>
      <c r="H88" s="48"/>
      <c r="I88" s="47"/>
      <c r="J88" s="47"/>
      <c r="K88" s="47"/>
      <c r="L88" s="48"/>
      <c r="M88" s="47"/>
      <c r="N88" s="47"/>
      <c r="O88" s="47"/>
      <c r="P88" s="48"/>
      <c r="Q88" s="47"/>
    </row>
    <row r="89" spans="2:17" ht="17.100000000000001" customHeight="1" x14ac:dyDescent="0.25">
      <c r="B89" s="139" t="s">
        <v>62</v>
      </c>
      <c r="C89" s="140"/>
      <c r="D89" s="83" t="s">
        <v>28</v>
      </c>
      <c r="E89" s="79" t="s">
        <v>7</v>
      </c>
      <c r="F89" s="139" t="s">
        <v>62</v>
      </c>
      <c r="G89" s="140"/>
      <c r="H89" s="83" t="s">
        <v>28</v>
      </c>
      <c r="I89" s="79" t="s">
        <v>7</v>
      </c>
      <c r="J89" s="139" t="s">
        <v>62</v>
      </c>
      <c r="K89" s="140"/>
      <c r="L89" s="83" t="s">
        <v>28</v>
      </c>
      <c r="M89" s="79" t="s">
        <v>7</v>
      </c>
      <c r="N89" s="139" t="s">
        <v>62</v>
      </c>
      <c r="O89" s="140"/>
      <c r="P89" s="83" t="s">
        <v>28</v>
      </c>
      <c r="Q89" s="79" t="s">
        <v>7</v>
      </c>
    </row>
    <row r="90" spans="2:17" ht="17.100000000000001" customHeight="1" x14ac:dyDescent="0.25">
      <c r="B90" s="3" t="s">
        <v>8</v>
      </c>
      <c r="C90" s="3" t="s">
        <v>65</v>
      </c>
      <c r="D90" s="40">
        <v>0.05</v>
      </c>
      <c r="E90" s="14">
        <f>E87*$D$90</f>
        <v>276.5515305503821</v>
      </c>
      <c r="F90" s="3" t="s">
        <v>8</v>
      </c>
      <c r="G90" s="3" t="s">
        <v>65</v>
      </c>
      <c r="H90" s="40">
        <v>0.05</v>
      </c>
      <c r="I90" s="14">
        <f>I87*$D$90</f>
        <v>281.16316381393375</v>
      </c>
      <c r="J90" s="3" t="s">
        <v>8</v>
      </c>
      <c r="K90" s="3" t="s">
        <v>65</v>
      </c>
      <c r="L90" s="40">
        <v>0.05</v>
      </c>
      <c r="M90" s="14">
        <f>M87*$D$90</f>
        <v>282.65818789713018</v>
      </c>
      <c r="N90" s="3" t="s">
        <v>8</v>
      </c>
      <c r="O90" s="3" t="s">
        <v>65</v>
      </c>
      <c r="P90" s="40">
        <v>0.05</v>
      </c>
      <c r="Q90" s="14">
        <f>Q87*$D$90</f>
        <v>275.50188346846215</v>
      </c>
    </row>
    <row r="91" spans="2:17" ht="17.100000000000001" customHeight="1" x14ac:dyDescent="0.25">
      <c r="B91" s="3" t="s">
        <v>10</v>
      </c>
      <c r="C91" s="3" t="s">
        <v>66</v>
      </c>
      <c r="D91" s="40">
        <v>0.1</v>
      </c>
      <c r="E91" s="14">
        <f>(E87+E90)*$D$91</f>
        <v>580.75821415580242</v>
      </c>
      <c r="F91" s="3" t="s">
        <v>10</v>
      </c>
      <c r="G91" s="3" t="s">
        <v>66</v>
      </c>
      <c r="H91" s="40">
        <v>0.1</v>
      </c>
      <c r="I91" s="14">
        <f>(I87+I90)*$D$91</f>
        <v>590.44264400926079</v>
      </c>
      <c r="J91" s="3" t="s">
        <v>10</v>
      </c>
      <c r="K91" s="3" t="s">
        <v>66</v>
      </c>
      <c r="L91" s="40">
        <v>0.1</v>
      </c>
      <c r="M91" s="14">
        <f>(M87+M90)*$D$91</f>
        <v>593.58219458397332</v>
      </c>
      <c r="N91" s="3" t="s">
        <v>10</v>
      </c>
      <c r="O91" s="3" t="s">
        <v>66</v>
      </c>
      <c r="P91" s="40">
        <v>0.1</v>
      </c>
      <c r="Q91" s="14">
        <f>(Q87+Q90)*$D$91</f>
        <v>578.55395528377062</v>
      </c>
    </row>
    <row r="92" spans="2:17" ht="17.100000000000001" customHeight="1" x14ac:dyDescent="0.25">
      <c r="B92" s="3" t="s">
        <v>12</v>
      </c>
      <c r="C92" s="3" t="s">
        <v>67</v>
      </c>
      <c r="D92" s="31">
        <f>SUM(D93:D95)</f>
        <v>0.14250000000000002</v>
      </c>
      <c r="E92" s="13"/>
      <c r="F92" s="3" t="s">
        <v>12</v>
      </c>
      <c r="G92" s="3" t="s">
        <v>67</v>
      </c>
      <c r="H92" s="31">
        <f>SUM(H93:H95)</f>
        <v>0.14250000000000002</v>
      </c>
      <c r="I92" s="13"/>
      <c r="J92" s="3" t="s">
        <v>12</v>
      </c>
      <c r="K92" s="3" t="s">
        <v>67</v>
      </c>
      <c r="L92" s="31">
        <f>SUM(L93:L95)</f>
        <v>0.14250000000000002</v>
      </c>
      <c r="M92" s="13"/>
      <c r="N92" s="3" t="s">
        <v>12</v>
      </c>
      <c r="O92" s="3" t="s">
        <v>67</v>
      </c>
      <c r="P92" s="31">
        <f>SUM(P93:P95)</f>
        <v>0.14250000000000002</v>
      </c>
      <c r="Q92" s="13"/>
    </row>
    <row r="93" spans="2:17" ht="17.100000000000001" customHeight="1" x14ac:dyDescent="0.25">
      <c r="B93" s="3"/>
      <c r="C93" s="3" t="s">
        <v>74</v>
      </c>
      <c r="D93" s="40">
        <v>1.6500000000000001E-2</v>
      </c>
      <c r="E93" s="14">
        <f>(E87+E90+E91)/(1-$D$92)*$D$93</f>
        <v>122.92433337525148</v>
      </c>
      <c r="F93" s="3"/>
      <c r="G93" s="3" t="s">
        <v>74</v>
      </c>
      <c r="H93" s="40">
        <v>1.6500000000000001E-2</v>
      </c>
      <c r="I93" s="14">
        <f>(I87+I90+I91)/(1-$D$92)*$D$93</f>
        <v>124.9741573034179</v>
      </c>
      <c r="J93" s="3"/>
      <c r="K93" s="3" t="s">
        <v>74</v>
      </c>
      <c r="L93" s="40">
        <v>1.6500000000000001E-2</v>
      </c>
      <c r="M93" s="14">
        <f>(M87+M90+M91)/(1-$D$92)*$D$93</f>
        <v>125.63868025305094</v>
      </c>
      <c r="N93" s="3"/>
      <c r="O93" s="3" t="s">
        <v>74</v>
      </c>
      <c r="P93" s="40">
        <v>1.6500000000000001E-2</v>
      </c>
      <c r="Q93" s="14">
        <f>(Q87+Q90+Q91)/(1-$D$92)*$D$93</f>
        <v>122.45777595802259</v>
      </c>
    </row>
    <row r="94" spans="2:17" ht="17.100000000000001" customHeight="1" x14ac:dyDescent="0.25">
      <c r="B94" s="3"/>
      <c r="C94" s="3" t="s">
        <v>75</v>
      </c>
      <c r="D94" s="40">
        <v>7.5999999999999998E-2</v>
      </c>
      <c r="E94" s="14">
        <f>(E87+E90+E91)/(1-$D$92)*$D$94</f>
        <v>566.19692948600675</v>
      </c>
      <c r="F94" s="3"/>
      <c r="G94" s="3" t="s">
        <v>75</v>
      </c>
      <c r="H94" s="40">
        <v>7.5999999999999998E-2</v>
      </c>
      <c r="I94" s="14">
        <f>(I87+I90+I91)/(1-$D$92)*$D$94</f>
        <v>575.63854273089453</v>
      </c>
      <c r="J94" s="3"/>
      <c r="K94" s="3" t="s">
        <v>75</v>
      </c>
      <c r="L94" s="40">
        <v>7.5999999999999998E-2</v>
      </c>
      <c r="M94" s="14">
        <f>(M87+M90+M91)/(1-$D$92)*$D$94</f>
        <v>578.69937571102253</v>
      </c>
      <c r="N94" s="3"/>
      <c r="O94" s="3" t="s">
        <v>75</v>
      </c>
      <c r="P94" s="40">
        <v>7.5999999999999998E-2</v>
      </c>
      <c r="Q94" s="14">
        <f>(Q87+Q90+Q91)/(1-$D$92)*$D$94</f>
        <v>564.04793774604343</v>
      </c>
    </row>
    <row r="95" spans="2:17" ht="17.100000000000001" customHeight="1" x14ac:dyDescent="0.25">
      <c r="B95" s="3"/>
      <c r="C95" s="3" t="s">
        <v>76</v>
      </c>
      <c r="D95" s="34">
        <v>0.05</v>
      </c>
      <c r="E95" s="14">
        <f>(E87+E90+E91)/(1-$D$92)*$D$95</f>
        <v>372.49797992500453</v>
      </c>
      <c r="F95" s="3"/>
      <c r="G95" s="3" t="s">
        <v>76</v>
      </c>
      <c r="H95" s="34">
        <v>0.05</v>
      </c>
      <c r="I95" s="14">
        <f>(I87+I90+I91)/(1-$D$92)*$D$95</f>
        <v>378.70956758611487</v>
      </c>
      <c r="J95" s="3"/>
      <c r="K95" s="3" t="s">
        <v>76</v>
      </c>
      <c r="L95" s="34">
        <v>0.05</v>
      </c>
      <c r="M95" s="14">
        <f>(M87+M90+M91)/(1-$D$92)*$D$95</f>
        <v>380.72327349409375</v>
      </c>
      <c r="N95" s="3"/>
      <c r="O95" s="3" t="s">
        <v>76</v>
      </c>
      <c r="P95" s="34">
        <v>0.05</v>
      </c>
      <c r="Q95" s="14">
        <f>(Q87+Q90+Q91)/(1-$D$92)*$D$95</f>
        <v>371.08416956976544</v>
      </c>
    </row>
    <row r="96" spans="2:17" ht="17.100000000000001" customHeight="1" x14ac:dyDescent="0.25">
      <c r="B96" s="21" t="s">
        <v>20</v>
      </c>
      <c r="C96" s="21"/>
      <c r="D96" s="49"/>
      <c r="E96" s="50">
        <f>SUM(E90:E95)</f>
        <v>1918.9289874924475</v>
      </c>
      <c r="F96" s="21" t="s">
        <v>20</v>
      </c>
      <c r="G96" s="21"/>
      <c r="H96" s="49"/>
      <c r="I96" s="50">
        <f>SUM(I90:I95)</f>
        <v>1950.9280754436218</v>
      </c>
      <c r="J96" s="21" t="s">
        <v>20</v>
      </c>
      <c r="K96" s="21"/>
      <c r="L96" s="49"/>
      <c r="M96" s="50">
        <f>SUM(M90:M95)</f>
        <v>1961.3017119392707</v>
      </c>
      <c r="N96" s="21" t="s">
        <v>20</v>
      </c>
      <c r="O96" s="21"/>
      <c r="P96" s="49"/>
      <c r="Q96" s="50">
        <f>SUM(Q90:Q95)</f>
        <v>1911.6457220260643</v>
      </c>
    </row>
    <row r="99" spans="2:17" ht="17.100000000000001" customHeight="1" x14ac:dyDescent="0.25">
      <c r="B99" s="20" t="s">
        <v>68</v>
      </c>
      <c r="C99" s="20"/>
      <c r="D99" s="20"/>
      <c r="E99" s="20"/>
      <c r="F99" s="20" t="s">
        <v>68</v>
      </c>
      <c r="G99" s="20"/>
      <c r="H99" s="20"/>
      <c r="I99" s="20"/>
      <c r="J99" s="20" t="s">
        <v>68</v>
      </c>
      <c r="K99" s="20"/>
      <c r="L99" s="20"/>
      <c r="M99" s="20"/>
      <c r="N99" s="20" t="s">
        <v>68</v>
      </c>
      <c r="O99" s="20"/>
      <c r="P99" s="20"/>
      <c r="Q99" s="20"/>
    </row>
    <row r="100" spans="2:17" ht="17.100000000000001" customHeight="1" x14ac:dyDescent="0.25">
      <c r="B100" s="139" t="s">
        <v>162</v>
      </c>
      <c r="C100" s="151"/>
      <c r="D100" s="140"/>
      <c r="E100" s="73" t="s">
        <v>7</v>
      </c>
      <c r="F100" s="139" t="s">
        <v>162</v>
      </c>
      <c r="G100" s="151"/>
      <c r="H100" s="140"/>
      <c r="I100" s="73" t="s">
        <v>7</v>
      </c>
      <c r="J100" s="139" t="s">
        <v>162</v>
      </c>
      <c r="K100" s="151"/>
      <c r="L100" s="140"/>
      <c r="M100" s="73" t="s">
        <v>7</v>
      </c>
      <c r="N100" s="139" t="s">
        <v>162</v>
      </c>
      <c r="O100" s="151"/>
      <c r="P100" s="140"/>
      <c r="Q100" s="73" t="s">
        <v>7</v>
      </c>
    </row>
    <row r="101" spans="2:17" ht="17.100000000000001" customHeight="1" x14ac:dyDescent="0.25">
      <c r="B101" s="51" t="s">
        <v>8</v>
      </c>
      <c r="C101" s="141" t="s">
        <v>5</v>
      </c>
      <c r="D101" s="142"/>
      <c r="E101" s="12">
        <f>E16</f>
        <v>2423.0500000000002</v>
      </c>
      <c r="F101" s="51" t="s">
        <v>8</v>
      </c>
      <c r="G101" s="141" t="s">
        <v>5</v>
      </c>
      <c r="H101" s="142"/>
      <c r="I101" s="12">
        <f>I16</f>
        <v>2423.0500000000002</v>
      </c>
      <c r="J101" s="51" t="s">
        <v>8</v>
      </c>
      <c r="K101" s="141" t="s">
        <v>5</v>
      </c>
      <c r="L101" s="142"/>
      <c r="M101" s="12">
        <f>M16</f>
        <v>2423.0500000000002</v>
      </c>
      <c r="N101" s="51" t="s">
        <v>8</v>
      </c>
      <c r="O101" s="141" t="s">
        <v>5</v>
      </c>
      <c r="P101" s="142"/>
      <c r="Q101" s="12">
        <f>Q16</f>
        <v>2423.0500000000002</v>
      </c>
    </row>
    <row r="102" spans="2:17" ht="17.100000000000001" customHeight="1" x14ac:dyDescent="0.25">
      <c r="B102" s="3" t="s">
        <v>10</v>
      </c>
      <c r="C102" s="141" t="s">
        <v>21</v>
      </c>
      <c r="D102" s="142"/>
      <c r="E102" s="12">
        <f>E48</f>
        <v>2193.2213785600002</v>
      </c>
      <c r="F102" s="3" t="s">
        <v>10</v>
      </c>
      <c r="G102" s="141" t="s">
        <v>21</v>
      </c>
      <c r="H102" s="142"/>
      <c r="I102" s="12">
        <f>I48</f>
        <v>2193.2213785600006</v>
      </c>
      <c r="J102" s="3" t="s">
        <v>10</v>
      </c>
      <c r="K102" s="141" t="s">
        <v>21</v>
      </c>
      <c r="L102" s="142"/>
      <c r="M102" s="12">
        <f>M48</f>
        <v>2193.2213785600002</v>
      </c>
      <c r="N102" s="3" t="s">
        <v>10</v>
      </c>
      <c r="O102" s="141" t="s">
        <v>21</v>
      </c>
      <c r="P102" s="142"/>
      <c r="Q102" s="12">
        <f>Q48</f>
        <v>2193.2213785600006</v>
      </c>
    </row>
    <row r="103" spans="2:17" ht="17.100000000000001" customHeight="1" x14ac:dyDescent="0.25">
      <c r="B103" s="3" t="s">
        <v>12</v>
      </c>
      <c r="C103" s="141" t="s">
        <v>47</v>
      </c>
      <c r="D103" s="142"/>
      <c r="E103" s="12">
        <f>E58</f>
        <v>198.43816741466665</v>
      </c>
      <c r="F103" s="3" t="s">
        <v>12</v>
      </c>
      <c r="G103" s="141" t="s">
        <v>47</v>
      </c>
      <c r="H103" s="142"/>
      <c r="I103" s="12">
        <f>I58</f>
        <v>198.43816741466665</v>
      </c>
      <c r="J103" s="3" t="s">
        <v>12</v>
      </c>
      <c r="K103" s="141" t="s">
        <v>47</v>
      </c>
      <c r="L103" s="142"/>
      <c r="M103" s="12">
        <f>M58</f>
        <v>198.43816741466665</v>
      </c>
      <c r="N103" s="3" t="s">
        <v>12</v>
      </c>
      <c r="O103" s="141" t="s">
        <v>47</v>
      </c>
      <c r="P103" s="142"/>
      <c r="Q103" s="12">
        <f>Q58</f>
        <v>198.43816741466665</v>
      </c>
    </row>
    <row r="104" spans="2:17" ht="17.100000000000001" customHeight="1" x14ac:dyDescent="0.25">
      <c r="B104" s="3" t="s">
        <v>14</v>
      </c>
      <c r="C104" s="141" t="s">
        <v>52</v>
      </c>
      <c r="D104" s="142"/>
      <c r="E104" s="12">
        <f>E70</f>
        <v>77.580120588530377</v>
      </c>
      <c r="F104" s="3" t="s">
        <v>14</v>
      </c>
      <c r="G104" s="141" t="s">
        <v>52</v>
      </c>
      <c r="H104" s="142"/>
      <c r="I104" s="12">
        <f>I70</f>
        <v>77.678254113530386</v>
      </c>
      <c r="J104" s="3" t="s">
        <v>14</v>
      </c>
      <c r="K104" s="141" t="s">
        <v>52</v>
      </c>
      <c r="L104" s="142"/>
      <c r="M104" s="12">
        <f>M70</f>
        <v>77.678254113530372</v>
      </c>
      <c r="N104" s="3" t="s">
        <v>14</v>
      </c>
      <c r="O104" s="141" t="s">
        <v>52</v>
      </c>
      <c r="P104" s="142"/>
      <c r="Q104" s="12">
        <f>Q70</f>
        <v>77.678254113530386</v>
      </c>
    </row>
    <row r="105" spans="2:17" ht="17.100000000000001" customHeight="1" x14ac:dyDescent="0.25">
      <c r="B105" s="3" t="s">
        <v>16</v>
      </c>
      <c r="C105" s="141" t="s">
        <v>61</v>
      </c>
      <c r="D105" s="142"/>
      <c r="E105" s="12">
        <f>E86</f>
        <v>638.74094444444427</v>
      </c>
      <c r="F105" s="3" t="s">
        <v>16</v>
      </c>
      <c r="G105" s="141" t="s">
        <v>61</v>
      </c>
      <c r="H105" s="142"/>
      <c r="I105" s="12">
        <f>I86</f>
        <v>730.87547619047609</v>
      </c>
      <c r="J105" s="3" t="s">
        <v>16</v>
      </c>
      <c r="K105" s="141" t="s">
        <v>61</v>
      </c>
      <c r="L105" s="142"/>
      <c r="M105" s="12">
        <f>M86</f>
        <v>760.77595785440622</v>
      </c>
      <c r="N105" s="3" t="s">
        <v>16</v>
      </c>
      <c r="O105" s="141" t="s">
        <v>61</v>
      </c>
      <c r="P105" s="142"/>
      <c r="Q105" s="12">
        <f>Q86</f>
        <v>617.64986928104577</v>
      </c>
    </row>
    <row r="106" spans="2:17" ht="17.100000000000001" customHeight="1" x14ac:dyDescent="0.25">
      <c r="B106" s="145" t="s">
        <v>69</v>
      </c>
      <c r="C106" s="146"/>
      <c r="D106" s="147"/>
      <c r="E106" s="54">
        <f>SUM(E101:E105)</f>
        <v>5531.0306110076417</v>
      </c>
      <c r="F106" s="145" t="s">
        <v>69</v>
      </c>
      <c r="G106" s="146"/>
      <c r="H106" s="147"/>
      <c r="I106" s="54">
        <f>SUM(I101:I105)</f>
        <v>5623.2632762786743</v>
      </c>
      <c r="J106" s="145" t="s">
        <v>69</v>
      </c>
      <c r="K106" s="146"/>
      <c r="L106" s="147"/>
      <c r="M106" s="54">
        <f>SUM(M101:M105)</f>
        <v>5653.1637579426051</v>
      </c>
      <c r="N106" s="145" t="s">
        <v>69</v>
      </c>
      <c r="O106" s="146"/>
      <c r="P106" s="147"/>
      <c r="Q106" s="54">
        <f>SUM(Q101:Q105)</f>
        <v>5510.0376693692442</v>
      </c>
    </row>
    <row r="107" spans="2:17" ht="17.100000000000001" customHeight="1" x14ac:dyDescent="0.25">
      <c r="B107" s="12" t="s">
        <v>34</v>
      </c>
      <c r="C107" s="143" t="s">
        <v>70</v>
      </c>
      <c r="D107" s="144"/>
      <c r="E107" s="12">
        <f>E96</f>
        <v>1918.9289874924475</v>
      </c>
      <c r="F107" s="12" t="s">
        <v>34</v>
      </c>
      <c r="G107" s="143" t="s">
        <v>70</v>
      </c>
      <c r="H107" s="144"/>
      <c r="I107" s="12">
        <f>I96</f>
        <v>1950.9280754436218</v>
      </c>
      <c r="J107" s="12" t="s">
        <v>34</v>
      </c>
      <c r="K107" s="143" t="s">
        <v>70</v>
      </c>
      <c r="L107" s="144"/>
      <c r="M107" s="12">
        <f>M96</f>
        <v>1961.3017119392707</v>
      </c>
      <c r="N107" s="12" t="s">
        <v>34</v>
      </c>
      <c r="O107" s="143" t="s">
        <v>70</v>
      </c>
      <c r="P107" s="144"/>
      <c r="Q107" s="12">
        <f>Q96</f>
        <v>1911.6457220260643</v>
      </c>
    </row>
    <row r="108" spans="2:17" ht="17.100000000000001" customHeight="1" x14ac:dyDescent="0.25">
      <c r="B108" s="22" t="s">
        <v>173</v>
      </c>
      <c r="C108" s="52"/>
      <c r="D108" s="53"/>
      <c r="E108" s="54">
        <f>SUM(E106,E107)</f>
        <v>7449.9595985000888</v>
      </c>
      <c r="F108" s="22" t="s">
        <v>173</v>
      </c>
      <c r="G108" s="52"/>
      <c r="H108" s="53"/>
      <c r="I108" s="54">
        <f>SUM(I106,I107)</f>
        <v>7574.1913517222965</v>
      </c>
      <c r="J108" s="22" t="s">
        <v>173</v>
      </c>
      <c r="K108" s="52"/>
      <c r="L108" s="53"/>
      <c r="M108" s="54">
        <f>SUM(M106,M107)</f>
        <v>7614.4654698818758</v>
      </c>
      <c r="N108" s="22" t="s">
        <v>173</v>
      </c>
      <c r="O108" s="52"/>
      <c r="P108" s="53"/>
      <c r="Q108" s="54">
        <f>SUM(Q106,Q107)</f>
        <v>7421.6833913953087</v>
      </c>
    </row>
    <row r="110" spans="2:17" ht="17.100000000000001" customHeight="1" x14ac:dyDescent="0.25">
      <c r="B110" s="55"/>
      <c r="F110" s="55"/>
      <c r="J110" s="55"/>
      <c r="N110" s="55"/>
    </row>
    <row r="112" spans="2:17" ht="17.100000000000001" customHeight="1" x14ac:dyDescent="0.25">
      <c r="B112" s="56"/>
      <c r="C112" s="56"/>
      <c r="D112" s="56"/>
      <c r="F112" s="56"/>
      <c r="G112" s="56"/>
      <c r="H112" s="56"/>
      <c r="J112" s="56"/>
      <c r="K112" s="56"/>
      <c r="L112" s="56"/>
      <c r="N112" s="56"/>
      <c r="O112" s="56"/>
      <c r="P112" s="56"/>
    </row>
    <row r="114" spans="2:17" ht="17.100000000000001" customHeight="1" x14ac:dyDescent="0.25">
      <c r="B114" s="57"/>
      <c r="C114" s="58"/>
      <c r="D114" s="58"/>
      <c r="E114" s="58"/>
      <c r="F114" s="57"/>
      <c r="G114" s="58"/>
      <c r="H114" s="58"/>
      <c r="I114" s="58"/>
      <c r="J114" s="57"/>
      <c r="K114" s="58"/>
      <c r="L114" s="58"/>
      <c r="M114" s="58"/>
      <c r="N114" s="57"/>
      <c r="O114" s="58"/>
      <c r="P114" s="58"/>
      <c r="Q114" s="58"/>
    </row>
    <row r="115" spans="2:17" ht="17.100000000000001" customHeight="1" x14ac:dyDescent="0.25">
      <c r="B115" s="57"/>
      <c r="C115" s="58"/>
      <c r="D115" s="58"/>
      <c r="E115" s="58"/>
      <c r="F115" s="57"/>
      <c r="G115" s="58"/>
      <c r="H115" s="58"/>
      <c r="I115" s="58"/>
      <c r="J115" s="57"/>
      <c r="K115" s="58"/>
      <c r="L115" s="58"/>
      <c r="M115" s="58"/>
      <c r="N115" s="57"/>
      <c r="O115" s="58"/>
      <c r="P115" s="58"/>
      <c r="Q115" s="58"/>
    </row>
    <row r="116" spans="2:17" ht="17.100000000000001" customHeight="1" x14ac:dyDescent="0.25">
      <c r="B116" s="59"/>
      <c r="C116" s="60"/>
      <c r="D116" s="60"/>
      <c r="E116" s="60"/>
      <c r="F116" s="59"/>
      <c r="G116" s="60"/>
      <c r="H116" s="60"/>
      <c r="I116" s="60"/>
      <c r="J116" s="59"/>
      <c r="K116" s="60"/>
      <c r="L116" s="60"/>
      <c r="M116" s="60"/>
      <c r="N116" s="59"/>
      <c r="O116" s="60"/>
      <c r="P116" s="60"/>
      <c r="Q116" s="60"/>
    </row>
    <row r="117" spans="2:17" ht="17.100000000000001" customHeight="1" x14ac:dyDescent="0.25">
      <c r="B117" s="59"/>
      <c r="C117" s="60"/>
      <c r="D117" s="60"/>
      <c r="E117" s="60"/>
      <c r="F117" s="59"/>
      <c r="G117" s="60"/>
      <c r="H117" s="60"/>
      <c r="I117" s="60"/>
      <c r="J117" s="59"/>
      <c r="K117" s="60"/>
      <c r="L117" s="60"/>
      <c r="M117" s="60"/>
      <c r="N117" s="59"/>
      <c r="O117" s="60"/>
      <c r="P117" s="60"/>
      <c r="Q117" s="60"/>
    </row>
    <row r="118" spans="2:17" ht="17.100000000000001" customHeight="1" x14ac:dyDescent="0.25">
      <c r="B118" s="59"/>
      <c r="C118" s="60"/>
      <c r="D118" s="60"/>
      <c r="E118" s="60"/>
      <c r="F118" s="59"/>
      <c r="G118" s="60"/>
      <c r="H118" s="60"/>
      <c r="I118" s="60"/>
      <c r="J118" s="59"/>
      <c r="K118" s="60"/>
      <c r="L118" s="60"/>
      <c r="M118" s="60"/>
      <c r="N118" s="59"/>
      <c r="O118" s="60"/>
      <c r="P118" s="60"/>
      <c r="Q118" s="60"/>
    </row>
    <row r="119" spans="2:17" ht="17.100000000000001" customHeight="1" x14ac:dyDescent="0.25"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</row>
    <row r="121" spans="2:17" ht="17.100000000000001" customHeight="1" x14ac:dyDescent="0.25">
      <c r="B121" s="56"/>
      <c r="F121" s="56"/>
      <c r="J121" s="56"/>
      <c r="N121" s="56"/>
    </row>
    <row r="123" spans="2:17" ht="17.100000000000001" customHeight="1" x14ac:dyDescent="0.25">
      <c r="B123" s="55"/>
      <c r="F123" s="55"/>
      <c r="J123" s="55"/>
      <c r="N123" s="55"/>
    </row>
    <row r="125" spans="2:17" ht="17.100000000000001" customHeight="1" x14ac:dyDescent="0.25">
      <c r="B125" s="60"/>
      <c r="C125" s="57"/>
      <c r="D125" s="57"/>
      <c r="F125" s="60"/>
      <c r="G125" s="57"/>
      <c r="H125" s="57"/>
      <c r="J125" s="60"/>
      <c r="K125" s="57"/>
      <c r="L125" s="57"/>
      <c r="N125" s="60"/>
      <c r="O125" s="57"/>
      <c r="P125" s="57"/>
    </row>
    <row r="126" spans="2:17" ht="17.100000000000001" customHeight="1" x14ac:dyDescent="0.25">
      <c r="B126" s="60"/>
      <c r="C126" s="58"/>
      <c r="D126" s="60"/>
      <c r="F126" s="60"/>
      <c r="G126" s="58"/>
      <c r="H126" s="60"/>
      <c r="J126" s="60"/>
      <c r="K126" s="58"/>
      <c r="L126" s="60"/>
      <c r="N126" s="60"/>
      <c r="O126" s="58"/>
      <c r="P126" s="60"/>
    </row>
    <row r="127" spans="2:17" ht="17.100000000000001" customHeight="1" x14ac:dyDescent="0.25">
      <c r="B127" s="60"/>
      <c r="C127" s="59"/>
      <c r="D127" s="60"/>
      <c r="F127" s="60"/>
      <c r="G127" s="59"/>
      <c r="H127" s="60"/>
      <c r="J127" s="60"/>
      <c r="K127" s="59"/>
      <c r="L127" s="60"/>
      <c r="N127" s="60"/>
      <c r="O127" s="59"/>
      <c r="P127" s="60"/>
    </row>
    <row r="128" spans="2:17" ht="17.100000000000001" customHeight="1" x14ac:dyDescent="0.25">
      <c r="B128" s="60"/>
      <c r="C128" s="59"/>
      <c r="D128" s="60"/>
      <c r="F128" s="60"/>
      <c r="G128" s="59"/>
      <c r="H128" s="60"/>
      <c r="J128" s="60"/>
      <c r="K128" s="59"/>
      <c r="L128" s="60"/>
      <c r="N128" s="60"/>
      <c r="O128" s="59"/>
      <c r="P128" s="60"/>
    </row>
    <row r="129" spans="2:16" ht="17.100000000000001" customHeight="1" x14ac:dyDescent="0.25">
      <c r="B129" s="61"/>
      <c r="C129" s="59"/>
      <c r="D129" s="61"/>
      <c r="F129" s="61"/>
      <c r="G129" s="59"/>
      <c r="H129" s="61"/>
      <c r="J129" s="61"/>
      <c r="K129" s="59"/>
      <c r="L129" s="61"/>
      <c r="N129" s="61"/>
      <c r="O129" s="59"/>
      <c r="P129" s="61"/>
    </row>
    <row r="130" spans="2:16" ht="17.100000000000001" customHeight="1" x14ac:dyDescent="0.25">
      <c r="B130" s="61"/>
      <c r="C130" s="59"/>
      <c r="D130" s="61"/>
      <c r="F130" s="61"/>
      <c r="G130" s="59"/>
      <c r="H130" s="61"/>
      <c r="J130" s="61"/>
      <c r="K130" s="59"/>
      <c r="L130" s="61"/>
      <c r="N130" s="61"/>
      <c r="O130" s="59"/>
      <c r="P130" s="61"/>
    </row>
    <row r="131" spans="2:16" ht="17.100000000000001" customHeight="1" x14ac:dyDescent="0.25">
      <c r="B131" s="62"/>
      <c r="F131" s="62"/>
      <c r="J131" s="62"/>
      <c r="N131" s="62"/>
    </row>
    <row r="132" spans="2:16" ht="17.100000000000001" customHeight="1" x14ac:dyDescent="0.25">
      <c r="B132" s="62"/>
      <c r="F132" s="62"/>
      <c r="J132" s="62"/>
      <c r="N132" s="62"/>
    </row>
  </sheetData>
  <mergeCells count="88">
    <mergeCell ref="O104:P104"/>
    <mergeCell ref="O105:P105"/>
    <mergeCell ref="N106:P106"/>
    <mergeCell ref="O107:P107"/>
    <mergeCell ref="N89:O89"/>
    <mergeCell ref="N100:P100"/>
    <mergeCell ref="O101:P101"/>
    <mergeCell ref="O102:P102"/>
    <mergeCell ref="O103:P103"/>
    <mergeCell ref="K105:L105"/>
    <mergeCell ref="J106:L106"/>
    <mergeCell ref="K107:L107"/>
    <mergeCell ref="N4:Q4"/>
    <mergeCell ref="N11:O11"/>
    <mergeCell ref="N18:Q18"/>
    <mergeCell ref="N35:Q35"/>
    <mergeCell ref="N50:O50"/>
    <mergeCell ref="N60:Q60"/>
    <mergeCell ref="N81:P81"/>
    <mergeCell ref="O82:P82"/>
    <mergeCell ref="O83:P83"/>
    <mergeCell ref="O84:P84"/>
    <mergeCell ref="O85:P85"/>
    <mergeCell ref="O86:P86"/>
    <mergeCell ref="N87:P87"/>
    <mergeCell ref="J100:L100"/>
    <mergeCell ref="K101:L101"/>
    <mergeCell ref="K102:L102"/>
    <mergeCell ref="K103:L103"/>
    <mergeCell ref="K104:L104"/>
    <mergeCell ref="F106:H106"/>
    <mergeCell ref="G107:H107"/>
    <mergeCell ref="J4:M4"/>
    <mergeCell ref="J11:K11"/>
    <mergeCell ref="J18:M18"/>
    <mergeCell ref="J35:M35"/>
    <mergeCell ref="J50:K50"/>
    <mergeCell ref="J60:M60"/>
    <mergeCell ref="J81:L81"/>
    <mergeCell ref="K82:L82"/>
    <mergeCell ref="K83:L83"/>
    <mergeCell ref="K84:L84"/>
    <mergeCell ref="K85:L85"/>
    <mergeCell ref="K86:L86"/>
    <mergeCell ref="J87:L87"/>
    <mergeCell ref="J89:K89"/>
    <mergeCell ref="G101:H101"/>
    <mergeCell ref="G102:H102"/>
    <mergeCell ref="G103:H103"/>
    <mergeCell ref="G104:H104"/>
    <mergeCell ref="G105:H105"/>
    <mergeCell ref="G85:H85"/>
    <mergeCell ref="G86:H86"/>
    <mergeCell ref="F87:H87"/>
    <mergeCell ref="F89:G89"/>
    <mergeCell ref="F100:H100"/>
    <mergeCell ref="F60:I60"/>
    <mergeCell ref="F81:H81"/>
    <mergeCell ref="G82:H82"/>
    <mergeCell ref="G83:H83"/>
    <mergeCell ref="G84:H84"/>
    <mergeCell ref="F4:I4"/>
    <mergeCell ref="F11:G11"/>
    <mergeCell ref="F18:I18"/>
    <mergeCell ref="F35:I35"/>
    <mergeCell ref="F50:G50"/>
    <mergeCell ref="B35:E35"/>
    <mergeCell ref="B4:E4"/>
    <mergeCell ref="B11:C11"/>
    <mergeCell ref="B18:E18"/>
    <mergeCell ref="B50:C50"/>
    <mergeCell ref="B60:E60"/>
    <mergeCell ref="B81:D81"/>
    <mergeCell ref="C82:D82"/>
    <mergeCell ref="C83:D83"/>
    <mergeCell ref="C84:D84"/>
    <mergeCell ref="C85:D85"/>
    <mergeCell ref="B89:C89"/>
    <mergeCell ref="B100:D100"/>
    <mergeCell ref="C101:D101"/>
    <mergeCell ref="C107:D107"/>
    <mergeCell ref="B106:D106"/>
    <mergeCell ref="C86:D86"/>
    <mergeCell ref="B87:D87"/>
    <mergeCell ref="C102:D102"/>
    <mergeCell ref="C103:D103"/>
    <mergeCell ref="C104:D104"/>
    <mergeCell ref="C105:D105"/>
  </mergeCells>
  <pageMargins left="0.25" right="0.25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B1:Q133"/>
  <sheetViews>
    <sheetView view="pageBreakPreview" topLeftCell="A61" zoomScale="70" zoomScaleNormal="115" zoomScaleSheetLayoutView="70" workbookViewId="0">
      <selection activeCell="I94" sqref="I94"/>
    </sheetView>
  </sheetViews>
  <sheetFormatPr defaultColWidth="8.85546875" defaultRowHeight="17.100000000000001" customHeight="1" x14ac:dyDescent="0.25"/>
  <cols>
    <col min="1" max="1" width="2.42578125" customWidth="1"/>
    <col min="2" max="2" width="15" bestFit="1" customWidth="1"/>
    <col min="3" max="3" width="48.7109375" customWidth="1"/>
    <col min="4" max="4" width="13.28515625" customWidth="1"/>
    <col min="5" max="5" width="15.85546875" customWidth="1"/>
    <col min="6" max="6" width="15" bestFit="1" customWidth="1"/>
    <col min="7" max="7" width="48.7109375" customWidth="1"/>
    <col min="8" max="8" width="13.28515625" customWidth="1"/>
    <col min="9" max="9" width="15.85546875" customWidth="1"/>
    <col min="10" max="10" width="15" bestFit="1" customWidth="1"/>
    <col min="11" max="11" width="48.7109375" customWidth="1"/>
    <col min="12" max="12" width="13.28515625" customWidth="1"/>
    <col min="13" max="13" width="15.85546875" customWidth="1"/>
    <col min="14" max="14" width="15" bestFit="1" customWidth="1"/>
    <col min="15" max="15" width="48.7109375" customWidth="1"/>
    <col min="16" max="16" width="13.28515625" customWidth="1"/>
    <col min="17" max="17" width="15.85546875" customWidth="1"/>
  </cols>
  <sheetData>
    <row r="1" spans="2:17" ht="17.100000000000001" customHeight="1" x14ac:dyDescent="0.25">
      <c r="B1" s="15" t="s">
        <v>145</v>
      </c>
      <c r="C1" s="15"/>
      <c r="D1" s="15" t="str">
        <f>'44H'!D1</f>
        <v>LOTE 1</v>
      </c>
      <c r="E1" s="15"/>
      <c r="F1" s="15" t="s">
        <v>145</v>
      </c>
      <c r="G1" s="15"/>
      <c r="H1" s="15" t="str">
        <f>'44H'!H1</f>
        <v>LOTE 2</v>
      </c>
      <c r="I1" s="15"/>
      <c r="J1" s="15" t="s">
        <v>145</v>
      </c>
      <c r="K1" s="15"/>
      <c r="L1" s="15" t="str">
        <f>'44H'!L1</f>
        <v>LOTE 3</v>
      </c>
      <c r="M1" s="15"/>
      <c r="N1" s="15" t="s">
        <v>145</v>
      </c>
      <c r="O1" s="15"/>
      <c r="P1" s="15" t="str">
        <f>'44H'!P1</f>
        <v>LOTE 4</v>
      </c>
      <c r="Q1" s="15"/>
    </row>
    <row r="2" spans="2:17" ht="17.100000000000001" customHeight="1" x14ac:dyDescent="0.25">
      <c r="B2" s="6" t="s">
        <v>77</v>
      </c>
      <c r="C2" s="6"/>
      <c r="D2" s="6"/>
      <c r="E2" s="6"/>
      <c r="F2" s="6" t="s">
        <v>77</v>
      </c>
      <c r="G2" s="6"/>
      <c r="H2" s="6"/>
      <c r="I2" s="6"/>
      <c r="J2" s="6" t="s">
        <v>77</v>
      </c>
      <c r="K2" s="6"/>
      <c r="L2" s="6"/>
      <c r="M2" s="6"/>
      <c r="N2" s="6" t="s">
        <v>77</v>
      </c>
      <c r="O2" s="6"/>
      <c r="P2" s="6"/>
      <c r="Q2" s="6"/>
    </row>
    <row r="4" spans="2:17" ht="17.100000000000001" customHeight="1" x14ac:dyDescent="0.25">
      <c r="B4" s="139" t="s">
        <v>0</v>
      </c>
      <c r="C4" s="151"/>
      <c r="D4" s="151"/>
      <c r="E4" s="140"/>
      <c r="F4" s="139" t="s">
        <v>0</v>
      </c>
      <c r="G4" s="151"/>
      <c r="H4" s="151"/>
      <c r="I4" s="140"/>
      <c r="J4" s="139" t="s">
        <v>0</v>
      </c>
      <c r="K4" s="151"/>
      <c r="L4" s="151"/>
      <c r="M4" s="140"/>
      <c r="N4" s="139" t="s">
        <v>0</v>
      </c>
      <c r="O4" s="151"/>
      <c r="P4" s="151"/>
      <c r="Q4" s="140"/>
    </row>
    <row r="5" spans="2:17" ht="17.100000000000001" customHeight="1" x14ac:dyDescent="0.25">
      <c r="B5" s="3">
        <v>1</v>
      </c>
      <c r="C5" s="13" t="s">
        <v>1</v>
      </c>
      <c r="D5" s="13"/>
      <c r="E5" s="13" t="s">
        <v>146</v>
      </c>
      <c r="F5" s="3">
        <v>1</v>
      </c>
      <c r="G5" s="13" t="s">
        <v>1</v>
      </c>
      <c r="H5" s="13"/>
      <c r="I5" s="13" t="s">
        <v>146</v>
      </c>
      <c r="J5" s="3">
        <v>1</v>
      </c>
      <c r="K5" s="13" t="s">
        <v>1</v>
      </c>
      <c r="L5" s="13"/>
      <c r="M5" s="13" t="s">
        <v>146</v>
      </c>
      <c r="N5" s="3">
        <v>1</v>
      </c>
      <c r="O5" s="13" t="s">
        <v>1</v>
      </c>
      <c r="P5" s="13"/>
      <c r="Q5" s="13" t="s">
        <v>146</v>
      </c>
    </row>
    <row r="6" spans="2:17" ht="17.100000000000001" customHeight="1" x14ac:dyDescent="0.25">
      <c r="B6" s="3">
        <v>2</v>
      </c>
      <c r="C6" s="13" t="s">
        <v>2</v>
      </c>
      <c r="D6" s="13"/>
      <c r="E6" s="25">
        <v>2161.4499999999998</v>
      </c>
      <c r="F6" s="3">
        <v>2</v>
      </c>
      <c r="G6" s="13" t="s">
        <v>2</v>
      </c>
      <c r="H6" s="13"/>
      <c r="I6" s="25">
        <v>2161.4499999999998</v>
      </c>
      <c r="J6" s="3">
        <v>2</v>
      </c>
      <c r="K6" s="13" t="s">
        <v>2</v>
      </c>
      <c r="L6" s="13"/>
      <c r="M6" s="25">
        <v>2161.4499999999998</v>
      </c>
      <c r="N6" s="3">
        <v>2</v>
      </c>
      <c r="O6" s="13" t="s">
        <v>2</v>
      </c>
      <c r="P6" s="13"/>
      <c r="Q6" s="25">
        <v>2161.4499999999998</v>
      </c>
    </row>
    <row r="7" spans="2:17" ht="17.100000000000001" customHeight="1" x14ac:dyDescent="0.25">
      <c r="B7" s="3">
        <v>3</v>
      </c>
      <c r="C7" s="13" t="s">
        <v>3</v>
      </c>
      <c r="D7" s="13"/>
      <c r="E7" s="23" t="s">
        <v>146</v>
      </c>
      <c r="F7" s="3">
        <v>3</v>
      </c>
      <c r="G7" s="13" t="s">
        <v>3</v>
      </c>
      <c r="H7" s="13"/>
      <c r="I7" s="23" t="s">
        <v>146</v>
      </c>
      <c r="J7" s="3">
        <v>3</v>
      </c>
      <c r="K7" s="13" t="s">
        <v>3</v>
      </c>
      <c r="L7" s="13"/>
      <c r="M7" s="23" t="s">
        <v>146</v>
      </c>
      <c r="N7" s="3">
        <v>3</v>
      </c>
      <c r="O7" s="13" t="s">
        <v>3</v>
      </c>
      <c r="P7" s="13"/>
      <c r="Q7" s="23" t="s">
        <v>146</v>
      </c>
    </row>
    <row r="8" spans="2:17" ht="17.100000000000001" customHeight="1" x14ac:dyDescent="0.25">
      <c r="B8" s="3">
        <v>4</v>
      </c>
      <c r="C8" s="13" t="s">
        <v>4</v>
      </c>
      <c r="D8" s="13"/>
      <c r="E8" s="24">
        <v>45775</v>
      </c>
      <c r="F8" s="3">
        <v>4</v>
      </c>
      <c r="G8" s="13" t="s">
        <v>4</v>
      </c>
      <c r="H8" s="13"/>
      <c r="I8" s="24">
        <v>45775</v>
      </c>
      <c r="J8" s="3">
        <v>4</v>
      </c>
      <c r="K8" s="13" t="s">
        <v>4</v>
      </c>
      <c r="L8" s="13"/>
      <c r="M8" s="24">
        <v>45775</v>
      </c>
      <c r="N8" s="3">
        <v>4</v>
      </c>
      <c r="O8" s="13" t="s">
        <v>4</v>
      </c>
      <c r="P8" s="13"/>
      <c r="Q8" s="24">
        <v>45775</v>
      </c>
    </row>
    <row r="9" spans="2:17" ht="17.100000000000001" customHeight="1" x14ac:dyDescent="0.25">
      <c r="B9" s="3">
        <v>5</v>
      </c>
      <c r="C9" s="13" t="s">
        <v>78</v>
      </c>
      <c r="D9" s="13"/>
      <c r="E9" s="99">
        <v>30</v>
      </c>
      <c r="F9" s="3">
        <v>5</v>
      </c>
      <c r="G9" s="13" t="s">
        <v>78</v>
      </c>
      <c r="H9" s="13"/>
      <c r="I9" s="99">
        <v>30</v>
      </c>
      <c r="J9" s="3">
        <v>5</v>
      </c>
      <c r="K9" s="13" t="s">
        <v>78</v>
      </c>
      <c r="L9" s="13"/>
      <c r="M9" s="99">
        <v>30</v>
      </c>
      <c r="N9" s="3">
        <v>5</v>
      </c>
      <c r="O9" s="13" t="s">
        <v>78</v>
      </c>
      <c r="P9" s="13"/>
      <c r="Q9" s="99">
        <v>30</v>
      </c>
    </row>
    <row r="10" spans="2:17" ht="17.100000000000001" customHeight="1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ht="17.100000000000001" customHeight="1" x14ac:dyDescent="0.25">
      <c r="B11" s="139" t="s">
        <v>5</v>
      </c>
      <c r="C11" s="140"/>
      <c r="D11" s="71" t="s">
        <v>28</v>
      </c>
      <c r="E11" s="70" t="s">
        <v>7</v>
      </c>
      <c r="F11" s="139" t="s">
        <v>5</v>
      </c>
      <c r="G11" s="140"/>
      <c r="H11" s="71" t="s">
        <v>28</v>
      </c>
      <c r="I11" s="70" t="s">
        <v>7</v>
      </c>
      <c r="J11" s="139" t="s">
        <v>5</v>
      </c>
      <c r="K11" s="140"/>
      <c r="L11" s="71" t="s">
        <v>28</v>
      </c>
      <c r="M11" s="70" t="s">
        <v>7</v>
      </c>
      <c r="N11" s="139" t="s">
        <v>5</v>
      </c>
      <c r="O11" s="140"/>
      <c r="P11" s="71" t="s">
        <v>28</v>
      </c>
      <c r="Q11" s="70" t="s">
        <v>7</v>
      </c>
    </row>
    <row r="12" spans="2:17" ht="17.100000000000001" customHeight="1" x14ac:dyDescent="0.25">
      <c r="B12" s="3">
        <v>1</v>
      </c>
      <c r="C12" s="28" t="s">
        <v>6</v>
      </c>
      <c r="D12" s="13"/>
      <c r="E12" s="13" t="s">
        <v>7</v>
      </c>
      <c r="F12" s="3">
        <v>1</v>
      </c>
      <c r="G12" s="28" t="s">
        <v>6</v>
      </c>
      <c r="H12" s="13"/>
      <c r="I12" s="13" t="s">
        <v>7</v>
      </c>
      <c r="J12" s="3">
        <v>1</v>
      </c>
      <c r="K12" s="28" t="s">
        <v>6</v>
      </c>
      <c r="L12" s="13"/>
      <c r="M12" s="13" t="s">
        <v>7</v>
      </c>
      <c r="N12" s="3">
        <v>1</v>
      </c>
      <c r="O12" s="28" t="s">
        <v>6</v>
      </c>
      <c r="P12" s="13"/>
      <c r="Q12" s="13" t="s">
        <v>7</v>
      </c>
    </row>
    <row r="13" spans="2:17" ht="17.100000000000001" customHeight="1" x14ac:dyDescent="0.25">
      <c r="B13" s="3" t="s">
        <v>8</v>
      </c>
      <c r="C13" s="13" t="s">
        <v>9</v>
      </c>
      <c r="D13" s="13"/>
      <c r="E13" s="14">
        <f>E6</f>
        <v>2161.4499999999998</v>
      </c>
      <c r="F13" s="3" t="s">
        <v>8</v>
      </c>
      <c r="G13" s="13" t="s">
        <v>9</v>
      </c>
      <c r="H13" s="13"/>
      <c r="I13" s="14">
        <f>I6</f>
        <v>2161.4499999999998</v>
      </c>
      <c r="J13" s="3" t="s">
        <v>8</v>
      </c>
      <c r="K13" s="13" t="s">
        <v>9</v>
      </c>
      <c r="L13" s="13"/>
      <c r="M13" s="14">
        <f>M6</f>
        <v>2161.4499999999998</v>
      </c>
      <c r="N13" s="3" t="s">
        <v>8</v>
      </c>
      <c r="O13" s="13" t="s">
        <v>9</v>
      </c>
      <c r="P13" s="13"/>
      <c r="Q13" s="14">
        <f>Q6</f>
        <v>2161.4499999999998</v>
      </c>
    </row>
    <row r="14" spans="2:17" ht="17.100000000000001" customHeight="1" x14ac:dyDescent="0.25">
      <c r="B14" s="3" t="s">
        <v>10</v>
      </c>
      <c r="C14" s="13" t="s">
        <v>172</v>
      </c>
      <c r="D14" s="13"/>
      <c r="E14" s="25"/>
      <c r="F14" s="3" t="s">
        <v>10</v>
      </c>
      <c r="G14" s="13" t="s">
        <v>172</v>
      </c>
      <c r="H14" s="13"/>
      <c r="I14" s="25"/>
      <c r="J14" s="3" t="s">
        <v>10</v>
      </c>
      <c r="K14" s="13" t="s">
        <v>172</v>
      </c>
      <c r="L14" s="13"/>
      <c r="M14" s="25">
        <f>'44H'!M6*25%</f>
        <v>432.6875</v>
      </c>
      <c r="N14" s="3" t="s">
        <v>10</v>
      </c>
      <c r="O14" s="13" t="s">
        <v>172</v>
      </c>
      <c r="P14" s="13"/>
      <c r="Q14" s="25">
        <f>'44H'!Q6*25%</f>
        <v>432.6875</v>
      </c>
    </row>
    <row r="15" spans="2:17" ht="17.100000000000001" customHeight="1" x14ac:dyDescent="0.25">
      <c r="B15" s="3" t="s">
        <v>12</v>
      </c>
      <c r="C15" s="13" t="s">
        <v>174</v>
      </c>
      <c r="D15" s="13"/>
      <c r="E15" s="25"/>
      <c r="F15" s="3" t="s">
        <v>12</v>
      </c>
      <c r="G15" s="13" t="s">
        <v>174</v>
      </c>
      <c r="H15" s="13"/>
      <c r="I15" s="25"/>
      <c r="J15" s="3" t="s">
        <v>12</v>
      </c>
      <c r="K15" s="13" t="s">
        <v>174</v>
      </c>
      <c r="L15" s="13"/>
      <c r="M15" s="25"/>
      <c r="N15" s="3" t="s">
        <v>12</v>
      </c>
      <c r="O15" s="13" t="s">
        <v>174</v>
      </c>
      <c r="P15" s="13"/>
      <c r="Q15" s="25"/>
    </row>
    <row r="16" spans="2:17" ht="17.100000000000001" customHeight="1" x14ac:dyDescent="0.25">
      <c r="B16" s="21" t="s">
        <v>20</v>
      </c>
      <c r="C16" s="21"/>
      <c r="D16" s="29"/>
      <c r="E16" s="29">
        <f>SUM(E13:E14)</f>
        <v>2161.4499999999998</v>
      </c>
      <c r="F16" s="21" t="s">
        <v>20</v>
      </c>
      <c r="G16" s="21"/>
      <c r="H16" s="29"/>
      <c r="I16" s="29">
        <f>SUM(I13:I14)</f>
        <v>2161.4499999999998</v>
      </c>
      <c r="J16" s="21" t="s">
        <v>20</v>
      </c>
      <c r="K16" s="21"/>
      <c r="L16" s="29"/>
      <c r="M16" s="29">
        <f>SUM(M13:M14)</f>
        <v>2594.1374999999998</v>
      </c>
      <c r="N16" s="21" t="s">
        <v>20</v>
      </c>
      <c r="O16" s="21"/>
      <c r="P16" s="29"/>
      <c r="Q16" s="29">
        <f>SUM(Q13:Q14)</f>
        <v>2594.1374999999998</v>
      </c>
    </row>
    <row r="17" spans="2:17" ht="17.100000000000001" customHeight="1" x14ac:dyDescent="0.25">
      <c r="B17" s="30"/>
      <c r="C17" s="30"/>
      <c r="D17" s="12"/>
      <c r="E17" s="12"/>
      <c r="F17" s="30"/>
      <c r="G17" s="30"/>
      <c r="H17" s="12"/>
      <c r="I17" s="12"/>
      <c r="J17" s="30"/>
      <c r="K17" s="30"/>
      <c r="L17" s="12"/>
      <c r="M17" s="12"/>
      <c r="N17" s="30"/>
      <c r="O17" s="30"/>
      <c r="P17" s="12"/>
      <c r="Q17" s="12"/>
    </row>
    <row r="18" spans="2:17" ht="17.100000000000001" customHeight="1" x14ac:dyDescent="0.25">
      <c r="B18" s="155" t="s">
        <v>21</v>
      </c>
      <c r="C18" s="155"/>
      <c r="D18" s="155"/>
      <c r="E18" s="155"/>
      <c r="F18" s="155" t="s">
        <v>21</v>
      </c>
      <c r="G18" s="155"/>
      <c r="H18" s="155"/>
      <c r="I18" s="155"/>
      <c r="J18" s="155" t="s">
        <v>21</v>
      </c>
      <c r="K18" s="155"/>
      <c r="L18" s="155"/>
      <c r="M18" s="155"/>
      <c r="N18" s="155" t="s">
        <v>21</v>
      </c>
      <c r="O18" s="155"/>
      <c r="P18" s="155"/>
      <c r="Q18" s="155"/>
    </row>
    <row r="19" spans="2:17" ht="17.100000000000001" customHeight="1" x14ac:dyDescent="0.25">
      <c r="B19" s="16" t="s">
        <v>22</v>
      </c>
      <c r="C19" s="16"/>
      <c r="D19" s="16"/>
      <c r="E19" s="16"/>
      <c r="F19" s="16" t="s">
        <v>22</v>
      </c>
      <c r="G19" s="16"/>
      <c r="H19" s="16"/>
      <c r="I19" s="16"/>
      <c r="J19" s="16" t="s">
        <v>22</v>
      </c>
      <c r="K19" s="16"/>
      <c r="L19" s="16"/>
      <c r="M19" s="16"/>
      <c r="N19" s="16" t="s">
        <v>22</v>
      </c>
      <c r="O19" s="16"/>
      <c r="P19" s="16"/>
      <c r="Q19" s="16"/>
    </row>
    <row r="20" spans="2:17" ht="17.100000000000001" customHeight="1" x14ac:dyDescent="0.25">
      <c r="B20" s="3" t="s">
        <v>23</v>
      </c>
      <c r="C20" s="28" t="s">
        <v>24</v>
      </c>
      <c r="D20" s="3" t="s">
        <v>28</v>
      </c>
      <c r="E20" s="13" t="s">
        <v>7</v>
      </c>
      <c r="F20" s="3" t="s">
        <v>23</v>
      </c>
      <c r="G20" s="28" t="s">
        <v>24</v>
      </c>
      <c r="H20" s="3" t="s">
        <v>28</v>
      </c>
      <c r="I20" s="13" t="s">
        <v>7</v>
      </c>
      <c r="J20" s="3" t="s">
        <v>23</v>
      </c>
      <c r="K20" s="28" t="s">
        <v>24</v>
      </c>
      <c r="L20" s="3" t="s">
        <v>28</v>
      </c>
      <c r="M20" s="13" t="s">
        <v>7</v>
      </c>
      <c r="N20" s="3" t="s">
        <v>23</v>
      </c>
      <c r="O20" s="28" t="s">
        <v>24</v>
      </c>
      <c r="P20" s="3" t="s">
        <v>28</v>
      </c>
      <c r="Q20" s="13" t="s">
        <v>7</v>
      </c>
    </row>
    <row r="21" spans="2:17" ht="17.100000000000001" customHeight="1" x14ac:dyDescent="0.25">
      <c r="B21" s="3" t="s">
        <v>8</v>
      </c>
      <c r="C21" s="13" t="s">
        <v>25</v>
      </c>
      <c r="D21" s="31">
        <v>8.3299999999999999E-2</v>
      </c>
      <c r="E21" s="14">
        <f>$E$16*D21</f>
        <v>180.04878499999998</v>
      </c>
      <c r="F21" s="3" t="s">
        <v>8</v>
      </c>
      <c r="G21" s="13" t="s">
        <v>25</v>
      </c>
      <c r="H21" s="31">
        <v>8.3299999999999999E-2</v>
      </c>
      <c r="I21" s="14">
        <f>$E$16*H21</f>
        <v>180.04878499999998</v>
      </c>
      <c r="J21" s="3" t="s">
        <v>8</v>
      </c>
      <c r="K21" s="13" t="s">
        <v>25</v>
      </c>
      <c r="L21" s="31">
        <v>8.3299999999999999E-2</v>
      </c>
      <c r="M21" s="14">
        <f>$M$16*L21</f>
        <v>216.09165374999998</v>
      </c>
      <c r="N21" s="3" t="s">
        <v>8</v>
      </c>
      <c r="O21" s="13" t="s">
        <v>25</v>
      </c>
      <c r="P21" s="31">
        <v>8.3299999999999999E-2</v>
      </c>
      <c r="Q21" s="14">
        <f>$Q$16*P21</f>
        <v>216.09165374999998</v>
      </c>
    </row>
    <row r="22" spans="2:17" ht="17.100000000000001" customHeight="1" x14ac:dyDescent="0.25">
      <c r="B22" s="3" t="s">
        <v>10</v>
      </c>
      <c r="C22" s="13" t="s">
        <v>84</v>
      </c>
      <c r="D22" s="31">
        <v>8.3299999999999999E-2</v>
      </c>
      <c r="E22" s="14">
        <f>$E$16*D22</f>
        <v>180.04878499999998</v>
      </c>
      <c r="F22" s="3" t="s">
        <v>10</v>
      </c>
      <c r="G22" s="13" t="s">
        <v>84</v>
      </c>
      <c r="H22" s="31">
        <v>8.3299999999999999E-2</v>
      </c>
      <c r="I22" s="14">
        <f>$E$16*H22</f>
        <v>180.04878499999998</v>
      </c>
      <c r="J22" s="3" t="s">
        <v>10</v>
      </c>
      <c r="K22" s="13" t="s">
        <v>84</v>
      </c>
      <c r="L22" s="31">
        <v>8.3299999999999999E-2</v>
      </c>
      <c r="M22" s="14">
        <f>$M$16*L22</f>
        <v>216.09165374999998</v>
      </c>
      <c r="N22" s="3" t="s">
        <v>10</v>
      </c>
      <c r="O22" s="13" t="s">
        <v>84</v>
      </c>
      <c r="P22" s="31">
        <v>8.3299999999999999E-2</v>
      </c>
      <c r="Q22" s="14">
        <f>$Q$16*P22</f>
        <v>216.09165374999998</v>
      </c>
    </row>
    <row r="23" spans="2:17" ht="17.100000000000001" customHeight="1" x14ac:dyDescent="0.25">
      <c r="B23" s="3" t="s">
        <v>12</v>
      </c>
      <c r="C23" s="13" t="s">
        <v>85</v>
      </c>
      <c r="D23" s="31">
        <v>2.7799999999999998E-2</v>
      </c>
      <c r="E23" s="14">
        <f>$E$16*D23</f>
        <v>60.088309999999993</v>
      </c>
      <c r="F23" s="3" t="s">
        <v>12</v>
      </c>
      <c r="G23" s="13" t="s">
        <v>85</v>
      </c>
      <c r="H23" s="31">
        <v>2.7799999999999998E-2</v>
      </c>
      <c r="I23" s="14">
        <f>$E$16*H23</f>
        <v>60.088309999999993</v>
      </c>
      <c r="J23" s="3" t="s">
        <v>12</v>
      </c>
      <c r="K23" s="13" t="s">
        <v>85</v>
      </c>
      <c r="L23" s="31">
        <v>2.7799999999999998E-2</v>
      </c>
      <c r="M23" s="14">
        <f>$M$16*L23</f>
        <v>72.11702249999999</v>
      </c>
      <c r="N23" s="3" t="s">
        <v>12</v>
      </c>
      <c r="O23" s="13" t="s">
        <v>85</v>
      </c>
      <c r="P23" s="31">
        <v>2.7799999999999998E-2</v>
      </c>
      <c r="Q23" s="14">
        <f>$Q$16*P23</f>
        <v>72.11702249999999</v>
      </c>
    </row>
    <row r="24" spans="2:17" ht="17.100000000000001" customHeight="1" x14ac:dyDescent="0.25">
      <c r="B24" s="20" t="s">
        <v>20</v>
      </c>
      <c r="C24" s="20"/>
      <c r="D24" s="32"/>
      <c r="E24" s="14">
        <f>SUM(E21:E23)</f>
        <v>420.18587999999994</v>
      </c>
      <c r="F24" s="20" t="s">
        <v>20</v>
      </c>
      <c r="G24" s="20"/>
      <c r="H24" s="32"/>
      <c r="I24" s="14">
        <f>SUM(I21:I23)</f>
        <v>420.18587999999994</v>
      </c>
      <c r="J24" s="20" t="s">
        <v>20</v>
      </c>
      <c r="K24" s="20"/>
      <c r="L24" s="32"/>
      <c r="M24" s="14">
        <f>SUM(M21:M23)</f>
        <v>504.30032999999992</v>
      </c>
      <c r="N24" s="20" t="s">
        <v>20</v>
      </c>
      <c r="O24" s="20"/>
      <c r="P24" s="32"/>
      <c r="Q24" s="14">
        <f>SUM(Q21:Q23)</f>
        <v>504.30032999999992</v>
      </c>
    </row>
    <row r="25" spans="2:17" ht="17.100000000000001" customHeight="1" x14ac:dyDescent="0.25">
      <c r="B25" s="11" t="s">
        <v>26</v>
      </c>
      <c r="C25" s="11" t="s">
        <v>27</v>
      </c>
      <c r="D25" s="11" t="s">
        <v>28</v>
      </c>
      <c r="E25" s="16" t="s">
        <v>7</v>
      </c>
      <c r="F25" s="11" t="s">
        <v>26</v>
      </c>
      <c r="G25" s="11" t="s">
        <v>27</v>
      </c>
      <c r="H25" s="11" t="s">
        <v>28</v>
      </c>
      <c r="I25" s="16" t="s">
        <v>7</v>
      </c>
      <c r="J25" s="11" t="s">
        <v>26</v>
      </c>
      <c r="K25" s="11" t="s">
        <v>27</v>
      </c>
      <c r="L25" s="11" t="s">
        <v>28</v>
      </c>
      <c r="M25" s="16" t="s">
        <v>7</v>
      </c>
      <c r="N25" s="11" t="s">
        <v>26</v>
      </c>
      <c r="O25" s="11" t="s">
        <v>27</v>
      </c>
      <c r="P25" s="11" t="s">
        <v>28</v>
      </c>
      <c r="Q25" s="16" t="s">
        <v>7</v>
      </c>
    </row>
    <row r="26" spans="2:17" ht="17.100000000000001" customHeight="1" x14ac:dyDescent="0.25">
      <c r="B26" s="3" t="s">
        <v>8</v>
      </c>
      <c r="C26" s="3" t="s">
        <v>29</v>
      </c>
      <c r="D26" s="33">
        <v>0.2</v>
      </c>
      <c r="E26" s="12">
        <f>($E$24+$E$16)*$D$26</f>
        <v>516.32717600000001</v>
      </c>
      <c r="F26" s="3" t="s">
        <v>8</v>
      </c>
      <c r="G26" s="3" t="s">
        <v>29</v>
      </c>
      <c r="H26" s="33">
        <v>0.2</v>
      </c>
      <c r="I26" s="12">
        <f>($E$24+$E$16)*$D$26</f>
        <v>516.32717600000001</v>
      </c>
      <c r="J26" s="3" t="s">
        <v>8</v>
      </c>
      <c r="K26" s="3" t="s">
        <v>29</v>
      </c>
      <c r="L26" s="33">
        <v>0.2</v>
      </c>
      <c r="M26" s="12">
        <f>($M$16+$M$24)*D26</f>
        <v>619.68756600000006</v>
      </c>
      <c r="N26" s="3" t="s">
        <v>8</v>
      </c>
      <c r="O26" s="3" t="s">
        <v>29</v>
      </c>
      <c r="P26" s="33">
        <v>0.2</v>
      </c>
      <c r="Q26" s="12">
        <f>($Q$16+$Q$24)*P26</f>
        <v>619.68756600000006</v>
      </c>
    </row>
    <row r="27" spans="2:17" ht="17.100000000000001" customHeight="1" x14ac:dyDescent="0.25">
      <c r="B27" s="3" t="s">
        <v>10</v>
      </c>
      <c r="C27" s="3" t="s">
        <v>30</v>
      </c>
      <c r="D27" s="31">
        <v>2.5000000000000001E-2</v>
      </c>
      <c r="E27" s="12">
        <f>($E$24+E16)*D27</f>
        <v>64.540897000000001</v>
      </c>
      <c r="F27" s="3" t="s">
        <v>10</v>
      </c>
      <c r="G27" s="3" t="s">
        <v>30</v>
      </c>
      <c r="H27" s="31">
        <v>2.5000000000000001E-2</v>
      </c>
      <c r="I27" s="12">
        <f>($E$24+I16)*H27</f>
        <v>64.540897000000001</v>
      </c>
      <c r="J27" s="3" t="s">
        <v>10</v>
      </c>
      <c r="K27" s="3" t="s">
        <v>30</v>
      </c>
      <c r="L27" s="31">
        <v>2.5000000000000001E-2</v>
      </c>
      <c r="M27" s="12">
        <f>($M$16+$M$24)*D27</f>
        <v>77.460945750000008</v>
      </c>
      <c r="N27" s="3" t="s">
        <v>10</v>
      </c>
      <c r="O27" s="3" t="s">
        <v>30</v>
      </c>
      <c r="P27" s="31">
        <v>2.5000000000000001E-2</v>
      </c>
      <c r="Q27" s="12">
        <f t="shared" ref="Q27:Q33" si="0">($Q$16+$Q$24)*P27</f>
        <v>77.460945750000008</v>
      </c>
    </row>
    <row r="28" spans="2:17" ht="17.100000000000001" customHeight="1" x14ac:dyDescent="0.25">
      <c r="B28" s="3" t="s">
        <v>12</v>
      </c>
      <c r="C28" s="3" t="s">
        <v>31</v>
      </c>
      <c r="D28" s="40">
        <v>0.03</v>
      </c>
      <c r="E28" s="35">
        <f>($E$24+E16)*$D$28</f>
        <v>77.449076399999996</v>
      </c>
      <c r="F28" s="3" t="s">
        <v>12</v>
      </c>
      <c r="G28" s="3" t="s">
        <v>31</v>
      </c>
      <c r="H28" s="40">
        <v>0.03</v>
      </c>
      <c r="I28" s="35">
        <f>($E$24+I16)*$D$28</f>
        <v>77.449076399999996</v>
      </c>
      <c r="J28" s="3" t="s">
        <v>12</v>
      </c>
      <c r="K28" s="3" t="s">
        <v>31</v>
      </c>
      <c r="L28" s="40">
        <v>0.03</v>
      </c>
      <c r="M28" s="108">
        <f t="shared" ref="M28:M33" si="1">($M$16+$M$24)*D28</f>
        <v>92.953134899999995</v>
      </c>
      <c r="N28" s="3" t="s">
        <v>12</v>
      </c>
      <c r="O28" s="3" t="s">
        <v>31</v>
      </c>
      <c r="P28" s="40">
        <v>0.03</v>
      </c>
      <c r="Q28" s="35">
        <f t="shared" si="0"/>
        <v>92.953134899999995</v>
      </c>
    </row>
    <row r="29" spans="2:17" ht="17.100000000000001" customHeight="1" x14ac:dyDescent="0.25">
      <c r="B29" s="3" t="s">
        <v>14</v>
      </c>
      <c r="C29" s="3" t="s">
        <v>32</v>
      </c>
      <c r="D29" s="31">
        <v>1.4999999999999999E-2</v>
      </c>
      <c r="E29" s="12">
        <f>($E$24+E16)*$D$29</f>
        <v>38.724538199999998</v>
      </c>
      <c r="F29" s="3" t="s">
        <v>14</v>
      </c>
      <c r="G29" s="3" t="s">
        <v>32</v>
      </c>
      <c r="H29" s="31">
        <v>1.4999999999999999E-2</v>
      </c>
      <c r="I29" s="12">
        <f>($E$24+I16)*$D$29</f>
        <v>38.724538199999998</v>
      </c>
      <c r="J29" s="3" t="s">
        <v>14</v>
      </c>
      <c r="K29" s="3" t="s">
        <v>32</v>
      </c>
      <c r="L29" s="31">
        <v>1.4999999999999999E-2</v>
      </c>
      <c r="M29" s="12">
        <f t="shared" si="1"/>
        <v>46.476567449999997</v>
      </c>
      <c r="N29" s="3" t="s">
        <v>14</v>
      </c>
      <c r="O29" s="3" t="s">
        <v>32</v>
      </c>
      <c r="P29" s="31">
        <v>1.4999999999999999E-2</v>
      </c>
      <c r="Q29" s="12">
        <f t="shared" si="0"/>
        <v>46.476567449999997</v>
      </c>
    </row>
    <row r="30" spans="2:17" ht="17.100000000000001" customHeight="1" x14ac:dyDescent="0.25">
      <c r="B30" s="3" t="s">
        <v>16</v>
      </c>
      <c r="C30" s="3" t="s">
        <v>33</v>
      </c>
      <c r="D30" s="33">
        <v>0.01</v>
      </c>
      <c r="E30" s="12">
        <f>($E$24+E16)*$D$30</f>
        <v>25.8163588</v>
      </c>
      <c r="F30" s="3" t="s">
        <v>16</v>
      </c>
      <c r="G30" s="3" t="s">
        <v>33</v>
      </c>
      <c r="H30" s="33">
        <v>0.01</v>
      </c>
      <c r="I30" s="12">
        <f>($E$24+I16)*$D$30</f>
        <v>25.8163588</v>
      </c>
      <c r="J30" s="3" t="s">
        <v>16</v>
      </c>
      <c r="K30" s="3" t="s">
        <v>33</v>
      </c>
      <c r="L30" s="33">
        <v>0.01</v>
      </c>
      <c r="M30" s="12">
        <f t="shared" si="1"/>
        <v>30.984378299999999</v>
      </c>
      <c r="N30" s="3" t="s">
        <v>16</v>
      </c>
      <c r="O30" s="3" t="s">
        <v>33</v>
      </c>
      <c r="P30" s="33">
        <v>0.01</v>
      </c>
      <c r="Q30" s="12">
        <f t="shared" si="0"/>
        <v>30.984378299999999</v>
      </c>
    </row>
    <row r="31" spans="2:17" ht="17.100000000000001" customHeight="1" x14ac:dyDescent="0.25">
      <c r="B31" s="3" t="s">
        <v>34</v>
      </c>
      <c r="C31" s="3" t="s">
        <v>35</v>
      </c>
      <c r="D31" s="31">
        <v>6.0000000000000001E-3</v>
      </c>
      <c r="E31" s="12">
        <f>($E$24+E16)*$D$31</f>
        <v>15.489815279999998</v>
      </c>
      <c r="F31" s="3" t="s">
        <v>34</v>
      </c>
      <c r="G31" s="3" t="s">
        <v>35</v>
      </c>
      <c r="H31" s="31">
        <v>6.0000000000000001E-3</v>
      </c>
      <c r="I31" s="12">
        <f>($E$24+I16)*$D$31</f>
        <v>15.489815279999998</v>
      </c>
      <c r="J31" s="3" t="s">
        <v>34</v>
      </c>
      <c r="K31" s="3" t="s">
        <v>35</v>
      </c>
      <c r="L31" s="31">
        <v>6.0000000000000001E-3</v>
      </c>
      <c r="M31" s="12">
        <f t="shared" si="1"/>
        <v>18.59062698</v>
      </c>
      <c r="N31" s="3" t="s">
        <v>34</v>
      </c>
      <c r="O31" s="3" t="s">
        <v>35</v>
      </c>
      <c r="P31" s="31">
        <v>6.0000000000000001E-3</v>
      </c>
      <c r="Q31" s="12">
        <f t="shared" si="0"/>
        <v>18.59062698</v>
      </c>
    </row>
    <row r="32" spans="2:17" ht="17.100000000000001" customHeight="1" x14ac:dyDescent="0.25">
      <c r="B32" s="3" t="s">
        <v>18</v>
      </c>
      <c r="C32" s="3" t="s">
        <v>36</v>
      </c>
      <c r="D32" s="31">
        <v>2E-3</v>
      </c>
      <c r="E32" s="12">
        <f>($E$24+E16)*$D$32</f>
        <v>5.1632717599999998</v>
      </c>
      <c r="F32" s="3" t="s">
        <v>18</v>
      </c>
      <c r="G32" s="3" t="s">
        <v>36</v>
      </c>
      <c r="H32" s="31">
        <v>2E-3</v>
      </c>
      <c r="I32" s="12">
        <f>($E$24+I16)*$D$32</f>
        <v>5.1632717599999998</v>
      </c>
      <c r="J32" s="3" t="s">
        <v>18</v>
      </c>
      <c r="K32" s="3" t="s">
        <v>36</v>
      </c>
      <c r="L32" s="31">
        <v>2E-3</v>
      </c>
      <c r="M32" s="12">
        <f t="shared" si="1"/>
        <v>6.1968756599999999</v>
      </c>
      <c r="N32" s="3" t="s">
        <v>18</v>
      </c>
      <c r="O32" s="3" t="s">
        <v>36</v>
      </c>
      <c r="P32" s="31">
        <v>2E-3</v>
      </c>
      <c r="Q32" s="12">
        <f t="shared" si="0"/>
        <v>6.1968756599999999</v>
      </c>
    </row>
    <row r="33" spans="2:17" ht="17.100000000000001" customHeight="1" x14ac:dyDescent="0.25">
      <c r="B33" s="3" t="s">
        <v>37</v>
      </c>
      <c r="C33" s="3" t="s">
        <v>38</v>
      </c>
      <c r="D33" s="33">
        <v>0.08</v>
      </c>
      <c r="E33" s="12">
        <f>($E$24+$E$16)*D33</f>
        <v>206.5308704</v>
      </c>
      <c r="F33" s="3" t="s">
        <v>37</v>
      </c>
      <c r="G33" s="3" t="s">
        <v>38</v>
      </c>
      <c r="H33" s="33">
        <v>0.08</v>
      </c>
      <c r="I33" s="12">
        <f>($E$24+$E$16)*H33</f>
        <v>206.5308704</v>
      </c>
      <c r="J33" s="3" t="s">
        <v>37</v>
      </c>
      <c r="K33" s="3" t="s">
        <v>38</v>
      </c>
      <c r="L33" s="33">
        <v>0.08</v>
      </c>
      <c r="M33" s="12">
        <f t="shared" si="1"/>
        <v>247.8750264</v>
      </c>
      <c r="N33" s="3" t="s">
        <v>37</v>
      </c>
      <c r="O33" s="3" t="s">
        <v>38</v>
      </c>
      <c r="P33" s="33">
        <v>0.08</v>
      </c>
      <c r="Q33" s="12">
        <f t="shared" si="0"/>
        <v>247.8750264</v>
      </c>
    </row>
    <row r="34" spans="2:17" ht="17.100000000000001" customHeight="1" x14ac:dyDescent="0.25">
      <c r="B34" s="20" t="s">
        <v>20</v>
      </c>
      <c r="C34" s="20"/>
      <c r="D34" s="98">
        <f>SUM(D26:D33)</f>
        <v>0.36800000000000005</v>
      </c>
      <c r="E34" s="12">
        <f>SUM(E26:E33)</f>
        <v>950.04200384000001</v>
      </c>
      <c r="F34" s="20" t="s">
        <v>20</v>
      </c>
      <c r="G34" s="20"/>
      <c r="H34" s="98">
        <f>SUM(H26:H33)</f>
        <v>0.36800000000000005</v>
      </c>
      <c r="I34" s="12">
        <f>SUM(I26:I33)</f>
        <v>950.04200384000001</v>
      </c>
      <c r="J34" s="20" t="s">
        <v>20</v>
      </c>
      <c r="K34" s="20"/>
      <c r="L34" s="98">
        <f>SUM(L26:L33)</f>
        <v>0.36800000000000005</v>
      </c>
      <c r="M34" s="12">
        <f>SUM(M26:M33)</f>
        <v>1140.2251214400001</v>
      </c>
      <c r="N34" s="20" t="s">
        <v>20</v>
      </c>
      <c r="O34" s="20"/>
      <c r="P34" s="98">
        <f>SUM(P26:P33)</f>
        <v>0.36800000000000005</v>
      </c>
      <c r="Q34" s="12">
        <f>SUM(Q26:Q33)</f>
        <v>1140.2251214400001</v>
      </c>
    </row>
    <row r="35" spans="2:17" ht="33" customHeight="1" x14ac:dyDescent="0.25">
      <c r="B35" s="164" t="s">
        <v>39</v>
      </c>
      <c r="C35" s="165"/>
      <c r="D35" s="165"/>
      <c r="E35" s="166"/>
      <c r="F35" s="164" t="s">
        <v>39</v>
      </c>
      <c r="G35" s="165"/>
      <c r="H35" s="165"/>
      <c r="I35" s="166"/>
      <c r="J35" s="164" t="s">
        <v>39</v>
      </c>
      <c r="K35" s="165"/>
      <c r="L35" s="165"/>
      <c r="M35" s="166"/>
      <c r="N35" s="164" t="s">
        <v>39</v>
      </c>
      <c r="O35" s="165"/>
      <c r="P35" s="165"/>
      <c r="Q35" s="166"/>
    </row>
    <row r="36" spans="2:17" ht="17.100000000000001" customHeight="1" x14ac:dyDescent="0.25">
      <c r="B36" s="16" t="s">
        <v>40</v>
      </c>
      <c r="C36" s="16"/>
      <c r="D36" s="16"/>
      <c r="E36" s="16"/>
      <c r="F36" s="16" t="s">
        <v>40</v>
      </c>
      <c r="G36" s="16"/>
      <c r="H36" s="16"/>
      <c r="I36" s="16"/>
      <c r="J36" s="16" t="s">
        <v>40</v>
      </c>
      <c r="K36" s="16"/>
      <c r="L36" s="16"/>
      <c r="M36" s="16"/>
      <c r="N36" s="16" t="s">
        <v>40</v>
      </c>
      <c r="O36" s="16"/>
      <c r="P36" s="16"/>
      <c r="Q36" s="16"/>
    </row>
    <row r="37" spans="2:17" ht="17.100000000000001" customHeight="1" x14ac:dyDescent="0.25">
      <c r="B37" s="3" t="s">
        <v>41</v>
      </c>
      <c r="C37" s="13" t="s">
        <v>42</v>
      </c>
      <c r="D37" s="13"/>
      <c r="E37" s="13" t="s">
        <v>7</v>
      </c>
      <c r="F37" s="3" t="s">
        <v>41</v>
      </c>
      <c r="G37" s="13" t="s">
        <v>42</v>
      </c>
      <c r="H37" s="13"/>
      <c r="I37" s="13" t="s">
        <v>7</v>
      </c>
      <c r="J37" s="3" t="s">
        <v>41</v>
      </c>
      <c r="K37" s="13" t="s">
        <v>42</v>
      </c>
      <c r="L37" s="13"/>
      <c r="M37" s="13" t="s">
        <v>7</v>
      </c>
      <c r="N37" s="3" t="s">
        <v>41</v>
      </c>
      <c r="O37" s="13" t="s">
        <v>42</v>
      </c>
      <c r="P37" s="13"/>
      <c r="Q37" s="13" t="s">
        <v>7</v>
      </c>
    </row>
    <row r="38" spans="2:17" ht="17.100000000000001" customHeight="1" x14ac:dyDescent="0.25">
      <c r="B38" s="3" t="s">
        <v>8</v>
      </c>
      <c r="C38" s="13" t="s">
        <v>43</v>
      </c>
      <c r="D38" s="35">
        <v>4.7</v>
      </c>
      <c r="E38" s="14">
        <f>D38*2*26-(E13*6%)</f>
        <v>114.71300000000002</v>
      </c>
      <c r="F38" s="3" t="s">
        <v>8</v>
      </c>
      <c r="G38" s="13" t="s">
        <v>43</v>
      </c>
      <c r="H38" s="35">
        <v>4.7</v>
      </c>
      <c r="I38" s="14">
        <f>H38*2*26-(I13*6%)</f>
        <v>114.71300000000002</v>
      </c>
      <c r="J38" s="3" t="s">
        <v>8</v>
      </c>
      <c r="K38" s="13" t="s">
        <v>43</v>
      </c>
      <c r="L38" s="35">
        <v>4.7</v>
      </c>
      <c r="M38" s="14">
        <f>L38*2*26-(M13*6%)</f>
        <v>114.71300000000002</v>
      </c>
      <c r="N38" s="3" t="s">
        <v>8</v>
      </c>
      <c r="O38" s="13" t="s">
        <v>43</v>
      </c>
      <c r="P38" s="35">
        <v>4.7</v>
      </c>
      <c r="Q38" s="14">
        <f>P38*2*26-(Q13*6%)</f>
        <v>114.71300000000002</v>
      </c>
    </row>
    <row r="39" spans="2:17" ht="17.100000000000001" customHeight="1" x14ac:dyDescent="0.25">
      <c r="B39" s="3" t="s">
        <v>10</v>
      </c>
      <c r="C39" s="13" t="s">
        <v>44</v>
      </c>
      <c r="D39" s="35">
        <v>25</v>
      </c>
      <c r="E39" s="14">
        <f>D39*22-(D39*22*10%)</f>
        <v>495</v>
      </c>
      <c r="F39" s="3" t="s">
        <v>10</v>
      </c>
      <c r="G39" s="13" t="s">
        <v>44</v>
      </c>
      <c r="H39" s="35">
        <v>25</v>
      </c>
      <c r="I39" s="14">
        <f>H39*22-(H39*22*10%)</f>
        <v>495</v>
      </c>
      <c r="J39" s="3" t="s">
        <v>10</v>
      </c>
      <c r="K39" s="13" t="s">
        <v>44</v>
      </c>
      <c r="L39" s="35">
        <v>25</v>
      </c>
      <c r="M39" s="14">
        <f>L39*22-(L39*22*10%)</f>
        <v>495</v>
      </c>
      <c r="N39" s="3" t="s">
        <v>10</v>
      </c>
      <c r="O39" s="13" t="s">
        <v>44</v>
      </c>
      <c r="P39" s="35">
        <v>25</v>
      </c>
      <c r="Q39" s="14">
        <f>P39*22-(P39*22*10%)</f>
        <v>495</v>
      </c>
    </row>
    <row r="40" spans="2:17" ht="17.100000000000001" customHeight="1" x14ac:dyDescent="0.25">
      <c r="B40" s="3" t="s">
        <v>12</v>
      </c>
      <c r="C40" s="13" t="s">
        <v>72</v>
      </c>
      <c r="D40" s="13"/>
      <c r="E40" s="25">
        <v>21.6</v>
      </c>
      <c r="F40" s="3" t="s">
        <v>12</v>
      </c>
      <c r="G40" s="13" t="s">
        <v>72</v>
      </c>
      <c r="H40" s="13"/>
      <c r="I40" s="25">
        <v>21.6</v>
      </c>
      <c r="J40" s="3" t="s">
        <v>12</v>
      </c>
      <c r="K40" s="13" t="s">
        <v>72</v>
      </c>
      <c r="L40" s="13"/>
      <c r="M40" s="25">
        <v>21.6</v>
      </c>
      <c r="N40" s="3" t="s">
        <v>12</v>
      </c>
      <c r="O40" s="13" t="s">
        <v>72</v>
      </c>
      <c r="P40" s="13"/>
      <c r="Q40" s="25">
        <v>21.6</v>
      </c>
    </row>
    <row r="41" spans="2:17" ht="17.100000000000001" customHeight="1" x14ac:dyDescent="0.25">
      <c r="B41" s="3" t="s">
        <v>14</v>
      </c>
      <c r="C41" s="13" t="s">
        <v>19</v>
      </c>
      <c r="D41" s="13"/>
      <c r="E41" s="13"/>
      <c r="F41" s="3" t="s">
        <v>14</v>
      </c>
      <c r="G41" s="13" t="s">
        <v>19</v>
      </c>
      <c r="H41" s="13"/>
      <c r="I41" s="13"/>
      <c r="J41" s="3" t="s">
        <v>14</v>
      </c>
      <c r="K41" s="13" t="s">
        <v>19</v>
      </c>
      <c r="L41" s="13"/>
      <c r="M41" s="13"/>
      <c r="N41" s="3" t="s">
        <v>14</v>
      </c>
      <c r="O41" s="13" t="s">
        <v>19</v>
      </c>
      <c r="P41" s="13"/>
      <c r="Q41" s="13"/>
    </row>
    <row r="42" spans="2:17" ht="17.100000000000001" customHeight="1" x14ac:dyDescent="0.25">
      <c r="B42" s="20" t="s">
        <v>20</v>
      </c>
      <c r="C42" s="20"/>
      <c r="D42" s="20"/>
      <c r="E42" s="14">
        <f>SUM(E38,E39,E40)</f>
        <v>631.31299999999999</v>
      </c>
      <c r="F42" s="20" t="s">
        <v>20</v>
      </c>
      <c r="G42" s="20"/>
      <c r="H42" s="20"/>
      <c r="I42" s="14">
        <f>SUM(I38,I39,I40)</f>
        <v>631.31299999999999</v>
      </c>
      <c r="J42" s="20" t="s">
        <v>20</v>
      </c>
      <c r="K42" s="20"/>
      <c r="L42" s="20"/>
      <c r="M42" s="14">
        <f>SUM(M38,M39,M40)</f>
        <v>631.31299999999999</v>
      </c>
      <c r="N42" s="20" t="s">
        <v>20</v>
      </c>
      <c r="O42" s="20"/>
      <c r="P42" s="20"/>
      <c r="Q42" s="14">
        <f>SUM(Q38,Q39,Q40)</f>
        <v>631.31299999999999</v>
      </c>
    </row>
    <row r="43" spans="2:17" ht="17.100000000000001" customHeight="1" x14ac:dyDescent="0.25">
      <c r="B43" s="17" t="s">
        <v>45</v>
      </c>
      <c r="C43" s="18"/>
      <c r="D43" s="18"/>
      <c r="E43" s="18"/>
      <c r="F43" s="17" t="s">
        <v>45</v>
      </c>
      <c r="G43" s="18"/>
      <c r="H43" s="18"/>
      <c r="I43" s="18"/>
      <c r="J43" s="17" t="s">
        <v>45</v>
      </c>
      <c r="K43" s="18"/>
      <c r="L43" s="18"/>
      <c r="M43" s="18"/>
      <c r="N43" s="17" t="s">
        <v>45</v>
      </c>
      <c r="O43" s="18"/>
      <c r="P43" s="18"/>
      <c r="Q43" s="18"/>
    </row>
    <row r="44" spans="2:17" ht="17.100000000000001" customHeight="1" x14ac:dyDescent="0.25">
      <c r="B44" s="3">
        <v>2</v>
      </c>
      <c r="C44" s="13" t="s">
        <v>46</v>
      </c>
      <c r="D44" s="13"/>
      <c r="E44" s="36" t="s">
        <v>7</v>
      </c>
      <c r="F44" s="3">
        <v>2</v>
      </c>
      <c r="G44" s="13" t="s">
        <v>46</v>
      </c>
      <c r="H44" s="13"/>
      <c r="I44" s="36" t="s">
        <v>7</v>
      </c>
      <c r="J44" s="3">
        <v>2</v>
      </c>
      <c r="K44" s="13" t="s">
        <v>46</v>
      </c>
      <c r="L44" s="13"/>
      <c r="M44" s="36" t="s">
        <v>7</v>
      </c>
      <c r="N44" s="3">
        <v>2</v>
      </c>
      <c r="O44" s="13" t="s">
        <v>46</v>
      </c>
      <c r="P44" s="13"/>
      <c r="Q44" s="36" t="s">
        <v>7</v>
      </c>
    </row>
    <row r="45" spans="2:17" ht="17.100000000000001" customHeight="1" x14ac:dyDescent="0.25">
      <c r="B45" s="3" t="s">
        <v>23</v>
      </c>
      <c r="C45" s="13" t="s">
        <v>24</v>
      </c>
      <c r="D45" s="13"/>
      <c r="E45" s="14">
        <f>E24</f>
        <v>420.18587999999994</v>
      </c>
      <c r="F45" s="3" t="s">
        <v>23</v>
      </c>
      <c r="G45" s="13" t="s">
        <v>24</v>
      </c>
      <c r="H45" s="13"/>
      <c r="I45" s="14">
        <f>I24</f>
        <v>420.18587999999994</v>
      </c>
      <c r="J45" s="3" t="s">
        <v>23</v>
      </c>
      <c r="K45" s="13" t="s">
        <v>24</v>
      </c>
      <c r="L45" s="13"/>
      <c r="M45" s="14">
        <f>M24</f>
        <v>504.30032999999992</v>
      </c>
      <c r="N45" s="3" t="s">
        <v>23</v>
      </c>
      <c r="O45" s="13" t="s">
        <v>24</v>
      </c>
      <c r="P45" s="13"/>
      <c r="Q45" s="14">
        <f>Q24</f>
        <v>504.30032999999992</v>
      </c>
    </row>
    <row r="46" spans="2:17" ht="17.100000000000001" customHeight="1" x14ac:dyDescent="0.25">
      <c r="B46" s="3" t="s">
        <v>26</v>
      </c>
      <c r="C46" s="13" t="s">
        <v>27</v>
      </c>
      <c r="D46" s="13"/>
      <c r="E46" s="14">
        <f>E34</f>
        <v>950.04200384000001</v>
      </c>
      <c r="F46" s="3" t="s">
        <v>26</v>
      </c>
      <c r="G46" s="13" t="s">
        <v>27</v>
      </c>
      <c r="H46" s="13"/>
      <c r="I46" s="14">
        <f>I34</f>
        <v>950.04200384000001</v>
      </c>
      <c r="J46" s="3" t="s">
        <v>26</v>
      </c>
      <c r="K46" s="13" t="s">
        <v>27</v>
      </c>
      <c r="L46" s="13"/>
      <c r="M46" s="14">
        <f>M34</f>
        <v>1140.2251214400001</v>
      </c>
      <c r="N46" s="3" t="s">
        <v>26</v>
      </c>
      <c r="O46" s="13" t="s">
        <v>27</v>
      </c>
      <c r="P46" s="13"/>
      <c r="Q46" s="14">
        <f>Q34</f>
        <v>1140.2251214400001</v>
      </c>
    </row>
    <row r="47" spans="2:17" ht="17.100000000000001" customHeight="1" x14ac:dyDescent="0.25">
      <c r="B47" s="3" t="s">
        <v>41</v>
      </c>
      <c r="C47" s="13" t="s">
        <v>42</v>
      </c>
      <c r="D47" s="13"/>
      <c r="E47" s="14">
        <f>E42</f>
        <v>631.31299999999999</v>
      </c>
      <c r="F47" s="3" t="s">
        <v>41</v>
      </c>
      <c r="G47" s="13" t="s">
        <v>42</v>
      </c>
      <c r="H47" s="13"/>
      <c r="I47" s="14">
        <f>I42</f>
        <v>631.31299999999999</v>
      </c>
      <c r="J47" s="3" t="s">
        <v>41</v>
      </c>
      <c r="K47" s="13" t="s">
        <v>42</v>
      </c>
      <c r="L47" s="13"/>
      <c r="M47" s="14">
        <f>M42</f>
        <v>631.31299999999999</v>
      </c>
      <c r="N47" s="3" t="s">
        <v>41</v>
      </c>
      <c r="O47" s="13" t="s">
        <v>42</v>
      </c>
      <c r="P47" s="13"/>
      <c r="Q47" s="14">
        <f>Q42</f>
        <v>631.31299999999999</v>
      </c>
    </row>
    <row r="48" spans="2:17" ht="17.100000000000001" customHeight="1" x14ac:dyDescent="0.25">
      <c r="B48" s="21" t="s">
        <v>20</v>
      </c>
      <c r="C48" s="21"/>
      <c r="D48" s="21"/>
      <c r="E48" s="37">
        <f>SUM(E45:E47)</f>
        <v>2001.5408838399999</v>
      </c>
      <c r="F48" s="21" t="s">
        <v>20</v>
      </c>
      <c r="G48" s="21"/>
      <c r="H48" s="21"/>
      <c r="I48" s="37">
        <f>SUM(I45:I47)</f>
        <v>2001.5408838399999</v>
      </c>
      <c r="J48" s="21" t="s">
        <v>20</v>
      </c>
      <c r="K48" s="21"/>
      <c r="L48" s="21"/>
      <c r="M48" s="37">
        <f>SUM(M45:M47)</f>
        <v>2275.83845144</v>
      </c>
      <c r="N48" s="21" t="s">
        <v>20</v>
      </c>
      <c r="O48" s="21"/>
      <c r="P48" s="21"/>
      <c r="Q48" s="37">
        <f>SUM(Q45:Q47)</f>
        <v>2275.83845144</v>
      </c>
    </row>
    <row r="49" spans="2:17" ht="17.100000000000001" customHeight="1" x14ac:dyDescent="0.25">
      <c r="B49" s="38"/>
      <c r="C49" s="38"/>
      <c r="D49" s="39"/>
      <c r="E49" s="38"/>
      <c r="F49" s="38"/>
      <c r="G49" s="38"/>
      <c r="H49" s="39"/>
      <c r="I49" s="38"/>
      <c r="J49" s="38"/>
      <c r="K49" s="38"/>
      <c r="L49" s="39"/>
      <c r="M49" s="38"/>
      <c r="N49" s="38"/>
      <c r="O49" s="38"/>
      <c r="P49" s="39"/>
      <c r="Q49" s="38"/>
    </row>
    <row r="50" spans="2:17" ht="17.100000000000001" customHeight="1" x14ac:dyDescent="0.25">
      <c r="B50" s="139" t="s">
        <v>47</v>
      </c>
      <c r="C50" s="140"/>
      <c r="D50" s="83" t="s">
        <v>28</v>
      </c>
      <c r="E50" s="79" t="s">
        <v>7</v>
      </c>
      <c r="F50" s="139" t="s">
        <v>47</v>
      </c>
      <c r="G50" s="140"/>
      <c r="H50" s="83" t="s">
        <v>28</v>
      </c>
      <c r="I50" s="79" t="s">
        <v>7</v>
      </c>
      <c r="J50" s="139" t="s">
        <v>47</v>
      </c>
      <c r="K50" s="140"/>
      <c r="L50" s="83" t="s">
        <v>28</v>
      </c>
      <c r="M50" s="79" t="s">
        <v>7</v>
      </c>
      <c r="N50" s="139" t="s">
        <v>47</v>
      </c>
      <c r="O50" s="140"/>
      <c r="P50" s="83" t="s">
        <v>28</v>
      </c>
      <c r="Q50" s="79" t="s">
        <v>7</v>
      </c>
    </row>
    <row r="51" spans="2:17" ht="17.100000000000001" customHeight="1" x14ac:dyDescent="0.25">
      <c r="B51" s="3">
        <v>3</v>
      </c>
      <c r="C51" s="3" t="s">
        <v>48</v>
      </c>
      <c r="D51" s="3" t="s">
        <v>28</v>
      </c>
      <c r="E51" s="13" t="s">
        <v>7</v>
      </c>
      <c r="F51" s="3">
        <v>3</v>
      </c>
      <c r="G51" s="3" t="s">
        <v>48</v>
      </c>
      <c r="H51" s="3" t="s">
        <v>28</v>
      </c>
      <c r="I51" s="13" t="s">
        <v>7</v>
      </c>
      <c r="J51" s="3">
        <v>3</v>
      </c>
      <c r="K51" s="3" t="s">
        <v>48</v>
      </c>
      <c r="L51" s="3" t="s">
        <v>28</v>
      </c>
      <c r="M51" s="13" t="s">
        <v>7</v>
      </c>
      <c r="N51" s="3">
        <v>3</v>
      </c>
      <c r="O51" s="3" t="s">
        <v>48</v>
      </c>
      <c r="P51" s="3" t="s">
        <v>28</v>
      </c>
      <c r="Q51" s="13" t="s">
        <v>7</v>
      </c>
    </row>
    <row r="52" spans="2:17" ht="17.100000000000001" customHeight="1" x14ac:dyDescent="0.25">
      <c r="B52" s="3" t="s">
        <v>8</v>
      </c>
      <c r="C52" s="36" t="s">
        <v>49</v>
      </c>
      <c r="D52" s="40">
        <f>5%/12</f>
        <v>4.1666666666666666E-3</v>
      </c>
      <c r="E52" s="14">
        <f>($E$16+$E$24)*D52</f>
        <v>10.756816166666665</v>
      </c>
      <c r="F52" s="3" t="s">
        <v>8</v>
      </c>
      <c r="G52" s="36" t="s">
        <v>49</v>
      </c>
      <c r="H52" s="40">
        <f>5%/12</f>
        <v>4.1666666666666666E-3</v>
      </c>
      <c r="I52" s="14">
        <f>($I$16+$I$24)*H52</f>
        <v>10.756816166666665</v>
      </c>
      <c r="J52" s="3" t="s">
        <v>8</v>
      </c>
      <c r="K52" s="36" t="s">
        <v>49</v>
      </c>
      <c r="L52" s="40">
        <f>5%/12</f>
        <v>4.1666666666666666E-3</v>
      </c>
      <c r="M52" s="14">
        <f>($M$16+$M$24)*L52</f>
        <v>12.910157624999998</v>
      </c>
      <c r="N52" s="3" t="s">
        <v>8</v>
      </c>
      <c r="O52" s="36" t="s">
        <v>49</v>
      </c>
      <c r="P52" s="40">
        <f>5%/12</f>
        <v>4.1666666666666666E-3</v>
      </c>
      <c r="Q52" s="14">
        <f>($Q$16+$Q$24)*P52</f>
        <v>12.910157624999998</v>
      </c>
    </row>
    <row r="53" spans="2:17" ht="17.100000000000001" customHeight="1" x14ac:dyDescent="0.25">
      <c r="B53" s="3" t="s">
        <v>10</v>
      </c>
      <c r="C53" s="36" t="s">
        <v>50</v>
      </c>
      <c r="D53" s="40">
        <f>D52*D33</f>
        <v>3.3333333333333332E-4</v>
      </c>
      <c r="E53" s="14">
        <f>($E$16+$E$24)*D53</f>
        <v>0.86054529333333329</v>
      </c>
      <c r="F53" s="3" t="s">
        <v>10</v>
      </c>
      <c r="G53" s="36" t="s">
        <v>50</v>
      </c>
      <c r="H53" s="40">
        <f>H52*H33</f>
        <v>3.3333333333333332E-4</v>
      </c>
      <c r="I53" s="14">
        <f t="shared" ref="I53:I55" si="2">($I$16+$I$24)*H53</f>
        <v>0.86054529333333329</v>
      </c>
      <c r="J53" s="3" t="s">
        <v>10</v>
      </c>
      <c r="K53" s="36" t="s">
        <v>50</v>
      </c>
      <c r="L53" s="40">
        <f>L52*L33</f>
        <v>3.3333333333333332E-4</v>
      </c>
      <c r="M53" s="14">
        <f t="shared" ref="M53:M57" si="3">($M$16+$M$24)*L53</f>
        <v>1.0328126099999999</v>
      </c>
      <c r="N53" s="3" t="s">
        <v>10</v>
      </c>
      <c r="O53" s="36" t="s">
        <v>50</v>
      </c>
      <c r="P53" s="40">
        <f>P52*P33</f>
        <v>3.3333333333333332E-4</v>
      </c>
      <c r="Q53" s="14">
        <f t="shared" ref="Q53:Q56" si="4">($Q$16+$Q$24)*P53</f>
        <v>1.0328126099999999</v>
      </c>
    </row>
    <row r="54" spans="2:17" ht="17.100000000000001" customHeight="1" x14ac:dyDescent="0.25">
      <c r="B54" s="3" t="s">
        <v>12</v>
      </c>
      <c r="C54" s="36" t="s">
        <v>179</v>
      </c>
      <c r="D54" s="40">
        <f>(1+2/12+(1/3*1/12))*0.08*0.4*0.05</f>
        <v>1.9111111111111115E-3</v>
      </c>
      <c r="E54" s="14">
        <f>(E16+E24)*D54</f>
        <v>4.933793015111112</v>
      </c>
      <c r="F54" s="3" t="s">
        <v>12</v>
      </c>
      <c r="G54" s="36" t="s">
        <v>179</v>
      </c>
      <c r="H54" s="40">
        <f>(1+2/12+(1/3*1/12))*0.08*0.4*0.05</f>
        <v>1.9111111111111115E-3</v>
      </c>
      <c r="I54" s="14">
        <f>(I16+I24)*H54</f>
        <v>4.933793015111112</v>
      </c>
      <c r="J54" s="3" t="s">
        <v>12</v>
      </c>
      <c r="K54" s="36" t="s">
        <v>179</v>
      </c>
      <c r="L54" s="40">
        <f>(1+2/12+(1/3*1/12))*0.08*0.4*0.05</f>
        <v>1.9111111111111115E-3</v>
      </c>
      <c r="M54" s="14">
        <f>(M16+M24)*L54</f>
        <v>5.921458964000001</v>
      </c>
      <c r="N54" s="3" t="s">
        <v>12</v>
      </c>
      <c r="O54" s="36" t="s">
        <v>179</v>
      </c>
      <c r="P54" s="40">
        <f>(1+2/12+(1/3*1/12))*0.08*0.4*0.05</f>
        <v>1.9111111111111115E-3</v>
      </c>
      <c r="Q54" s="14">
        <f>(Q16+Q24)*P54</f>
        <v>5.921458964000001</v>
      </c>
    </row>
    <row r="55" spans="2:17" ht="17.100000000000001" customHeight="1" x14ac:dyDescent="0.25">
      <c r="B55" s="3" t="s">
        <v>14</v>
      </c>
      <c r="C55" s="36" t="s">
        <v>51</v>
      </c>
      <c r="D55" s="40">
        <f>7/30/12</f>
        <v>1.9444444444444445E-2</v>
      </c>
      <c r="E55" s="14">
        <f>($E$16+$E$24)*D55</f>
        <v>50.198475444444441</v>
      </c>
      <c r="F55" s="3" t="s">
        <v>14</v>
      </c>
      <c r="G55" s="36" t="s">
        <v>51</v>
      </c>
      <c r="H55" s="40">
        <f>7/30/12</f>
        <v>1.9444444444444445E-2</v>
      </c>
      <c r="I55" s="14">
        <f t="shared" si="2"/>
        <v>50.198475444444441</v>
      </c>
      <c r="J55" s="3" t="s">
        <v>14</v>
      </c>
      <c r="K55" s="36" t="s">
        <v>51</v>
      </c>
      <c r="L55" s="40">
        <f>7/30/12</f>
        <v>1.9444444444444445E-2</v>
      </c>
      <c r="M55" s="14">
        <f t="shared" si="3"/>
        <v>60.24740225</v>
      </c>
      <c r="N55" s="3" t="s">
        <v>14</v>
      </c>
      <c r="O55" s="36" t="s">
        <v>51</v>
      </c>
      <c r="P55" s="40">
        <f>7/30/12</f>
        <v>1.9444444444444445E-2</v>
      </c>
      <c r="Q55" s="14">
        <f t="shared" si="4"/>
        <v>60.24740225</v>
      </c>
    </row>
    <row r="56" spans="2:17" ht="30" x14ac:dyDescent="0.25">
      <c r="B56" s="3" t="s">
        <v>16</v>
      </c>
      <c r="C56" s="94" t="s">
        <v>169</v>
      </c>
      <c r="D56" s="40">
        <f>D55*D34</f>
        <v>7.1555555555555565E-3</v>
      </c>
      <c r="E56" s="14">
        <f>($E$16+$E$24)*D56</f>
        <v>18.473038963555556</v>
      </c>
      <c r="F56" s="3" t="s">
        <v>16</v>
      </c>
      <c r="G56" s="94" t="s">
        <v>169</v>
      </c>
      <c r="H56" s="40">
        <f>H55*H34</f>
        <v>7.1555555555555565E-3</v>
      </c>
      <c r="I56" s="14">
        <f>($I$16+$I$24)*H56</f>
        <v>18.473038963555556</v>
      </c>
      <c r="J56" s="3" t="s">
        <v>16</v>
      </c>
      <c r="K56" s="94" t="s">
        <v>169</v>
      </c>
      <c r="L56" s="40">
        <f>L55*L34</f>
        <v>7.1555555555555565E-3</v>
      </c>
      <c r="M56" s="14">
        <f t="shared" si="3"/>
        <v>22.171044028000001</v>
      </c>
      <c r="N56" s="3" t="s">
        <v>16</v>
      </c>
      <c r="O56" s="94" t="s">
        <v>169</v>
      </c>
      <c r="P56" s="40">
        <f>P55*P34</f>
        <v>7.1555555555555565E-3</v>
      </c>
      <c r="Q56" s="14">
        <f t="shared" si="4"/>
        <v>22.171044028000001</v>
      </c>
    </row>
    <row r="57" spans="2:17" ht="17.100000000000001" customHeight="1" x14ac:dyDescent="0.25">
      <c r="B57" s="3" t="s">
        <v>34</v>
      </c>
      <c r="C57" s="94" t="s">
        <v>180</v>
      </c>
      <c r="D57" s="109">
        <f>100%*8%*40%*(1+1/12*1/3+1/12)</f>
        <v>3.5555555555555549E-2</v>
      </c>
      <c r="E57" s="14">
        <f>($E$16+$E$24)*D57</f>
        <v>91.791497955555528</v>
      </c>
      <c r="F57" s="3" t="s">
        <v>34</v>
      </c>
      <c r="G57" s="94" t="s">
        <v>180</v>
      </c>
      <c r="H57" s="109">
        <f>100%*8%*40%*(1+1/12*1/3+1/12)</f>
        <v>3.5555555555555549E-2</v>
      </c>
      <c r="I57" s="14">
        <f>($I$16+$I$24)*H57</f>
        <v>91.791497955555528</v>
      </c>
      <c r="J57" s="3" t="s">
        <v>34</v>
      </c>
      <c r="K57" s="94" t="s">
        <v>180</v>
      </c>
      <c r="L57" s="109">
        <f>100%*8%*40%*(1+1/12*1/3+1/12)</f>
        <v>3.5555555555555549E-2</v>
      </c>
      <c r="M57" s="14">
        <f t="shared" si="3"/>
        <v>110.16667839999997</v>
      </c>
      <c r="N57" s="3" t="s">
        <v>34</v>
      </c>
      <c r="O57" s="94" t="s">
        <v>180</v>
      </c>
      <c r="P57" s="109">
        <f>100%*8%*40%*(1+1/12*1/3+1/12)</f>
        <v>3.5555555555555549E-2</v>
      </c>
      <c r="Q57" s="14">
        <f>($Q$16+$Q$24)*P57</f>
        <v>110.16667839999997</v>
      </c>
    </row>
    <row r="58" spans="2:17" ht="17.100000000000001" customHeight="1" x14ac:dyDescent="0.25">
      <c r="B58" s="21" t="s">
        <v>20</v>
      </c>
      <c r="C58" s="21"/>
      <c r="D58" s="21"/>
      <c r="E58" s="37">
        <f>SUM(E52:E57)</f>
        <v>177.01416683866665</v>
      </c>
      <c r="F58" s="21" t="s">
        <v>20</v>
      </c>
      <c r="G58" s="21"/>
      <c r="H58" s="21"/>
      <c r="I58" s="37">
        <f>SUM(I52:I57)</f>
        <v>177.01416683866665</v>
      </c>
      <c r="J58" s="21" t="s">
        <v>20</v>
      </c>
      <c r="K58" s="21"/>
      <c r="L58" s="21"/>
      <c r="M58" s="37">
        <f>SUM(M52:M57)</f>
        <v>212.44955387699997</v>
      </c>
      <c r="N58" s="21" t="s">
        <v>20</v>
      </c>
      <c r="O58" s="21"/>
      <c r="P58" s="21"/>
      <c r="Q58" s="37">
        <f>SUM(Q52:Q57)</f>
        <v>212.44955387699997</v>
      </c>
    </row>
    <row r="59" spans="2:17" ht="17.100000000000001" customHeight="1" x14ac:dyDescent="0.25">
      <c r="B59" s="41"/>
      <c r="C59" s="38"/>
      <c r="D59" s="39"/>
      <c r="E59" s="38"/>
      <c r="F59" s="41"/>
      <c r="G59" s="38"/>
      <c r="H59" s="39"/>
      <c r="I59" s="38"/>
      <c r="J59" s="41"/>
      <c r="K59" s="38"/>
      <c r="L59" s="39"/>
      <c r="M59" s="38"/>
      <c r="N59" s="41"/>
      <c r="O59" s="38"/>
      <c r="P59" s="39"/>
      <c r="Q59" s="38"/>
    </row>
    <row r="60" spans="2:17" ht="17.100000000000001" customHeight="1" x14ac:dyDescent="0.25">
      <c r="B60" s="139" t="s">
        <v>52</v>
      </c>
      <c r="C60" s="151"/>
      <c r="D60" s="151"/>
      <c r="E60" s="140"/>
      <c r="F60" s="139" t="s">
        <v>52</v>
      </c>
      <c r="G60" s="151"/>
      <c r="H60" s="151"/>
      <c r="I60" s="140"/>
      <c r="J60" s="139" t="s">
        <v>52</v>
      </c>
      <c r="K60" s="151"/>
      <c r="L60" s="151"/>
      <c r="M60" s="140"/>
      <c r="N60" s="139" t="s">
        <v>52</v>
      </c>
      <c r="O60" s="151"/>
      <c r="P60" s="151"/>
      <c r="Q60" s="140"/>
    </row>
    <row r="61" spans="2:17" ht="17.100000000000001" customHeight="1" x14ac:dyDescent="0.25">
      <c r="B61" s="16" t="s">
        <v>53</v>
      </c>
      <c r="C61" s="16"/>
      <c r="D61" s="16"/>
      <c r="E61" s="16"/>
      <c r="F61" s="16" t="s">
        <v>53</v>
      </c>
      <c r="G61" s="16"/>
      <c r="H61" s="16"/>
      <c r="I61" s="16"/>
      <c r="J61" s="16" t="s">
        <v>53</v>
      </c>
      <c r="K61" s="16"/>
      <c r="L61" s="16"/>
      <c r="M61" s="16"/>
      <c r="N61" s="16" t="s">
        <v>53</v>
      </c>
      <c r="O61" s="16"/>
      <c r="P61" s="16"/>
      <c r="Q61" s="16"/>
    </row>
    <row r="62" spans="2:17" ht="17.100000000000001" customHeight="1" x14ac:dyDescent="0.25">
      <c r="B62" s="3" t="s">
        <v>54</v>
      </c>
      <c r="C62" s="106" t="s">
        <v>55</v>
      </c>
      <c r="D62" s="32" t="s">
        <v>82</v>
      </c>
      <c r="E62" s="13" t="s">
        <v>7</v>
      </c>
      <c r="F62" s="3" t="s">
        <v>54</v>
      </c>
      <c r="G62" s="106" t="s">
        <v>55</v>
      </c>
      <c r="H62" s="32" t="s">
        <v>82</v>
      </c>
      <c r="I62" s="13" t="s">
        <v>7</v>
      </c>
      <c r="J62" s="3" t="s">
        <v>54</v>
      </c>
      <c r="K62" s="106" t="s">
        <v>55</v>
      </c>
      <c r="L62" s="32" t="s">
        <v>82</v>
      </c>
      <c r="M62" s="13" t="s">
        <v>7</v>
      </c>
      <c r="N62" s="3" t="s">
        <v>54</v>
      </c>
      <c r="O62" s="106" t="s">
        <v>55</v>
      </c>
      <c r="P62" s="32" t="s">
        <v>82</v>
      </c>
      <c r="Q62" s="13" t="s">
        <v>7</v>
      </c>
    </row>
    <row r="63" spans="2:17" ht="30" x14ac:dyDescent="0.25">
      <c r="B63" s="3" t="s">
        <v>8</v>
      </c>
      <c r="C63" s="104" t="s">
        <v>163</v>
      </c>
      <c r="D63" s="85">
        <f>(1/12+1/12+1/12/3)/12</f>
        <v>1.6203703703703703E-2</v>
      </c>
      <c r="E63" s="110">
        <f>(E16+E34)*D63</f>
        <v>50.417694506666656</v>
      </c>
      <c r="F63" s="3" t="s">
        <v>8</v>
      </c>
      <c r="G63" s="104" t="s">
        <v>163</v>
      </c>
      <c r="H63" s="85">
        <f>(1/12+1/12+1/12/3)/12</f>
        <v>1.6203703703703703E-2</v>
      </c>
      <c r="I63" s="110">
        <f>(I16+I34)*H63</f>
        <v>50.417694506666656</v>
      </c>
      <c r="J63" s="3" t="s">
        <v>8</v>
      </c>
      <c r="K63" s="104" t="s">
        <v>163</v>
      </c>
      <c r="L63" s="85">
        <f>(1/12+1/12+1/12/3)/12</f>
        <v>1.6203703703703703E-2</v>
      </c>
      <c r="M63" s="110">
        <f>(M16+M34)*L63</f>
        <v>60.510505439999996</v>
      </c>
      <c r="N63" s="3" t="s">
        <v>8</v>
      </c>
      <c r="O63" s="104" t="s">
        <v>163</v>
      </c>
      <c r="P63" s="85">
        <f>(1/12+1/12+1/12/3)/12</f>
        <v>1.6203703703703703E-2</v>
      </c>
      <c r="Q63" s="110">
        <f>(Q16+Q34)*P63</f>
        <v>60.510505439999996</v>
      </c>
    </row>
    <row r="64" spans="2:17" ht="17.100000000000001" customHeight="1" x14ac:dyDescent="0.25">
      <c r="B64" s="3" t="s">
        <v>10</v>
      </c>
      <c r="C64" s="104" t="s">
        <v>164</v>
      </c>
      <c r="D64" s="85">
        <f>(1/30/12)</f>
        <v>2.7777777777777779E-3</v>
      </c>
      <c r="E64" s="92">
        <f>E16*D64</f>
        <v>6.0040277777777771</v>
      </c>
      <c r="F64" s="3" t="s">
        <v>10</v>
      </c>
      <c r="G64" s="104" t="s">
        <v>164</v>
      </c>
      <c r="H64" s="85">
        <f>(1/30/12)</f>
        <v>2.7777777777777779E-3</v>
      </c>
      <c r="I64" s="92">
        <f>I16*H64</f>
        <v>6.0040277777777771</v>
      </c>
      <c r="J64" s="3" t="s">
        <v>10</v>
      </c>
      <c r="K64" s="104" t="s">
        <v>164</v>
      </c>
      <c r="L64" s="85">
        <f>(1/30/12)</f>
        <v>2.7777777777777779E-3</v>
      </c>
      <c r="M64" s="92">
        <f>M16*L64</f>
        <v>7.2059375000000001</v>
      </c>
      <c r="N64" s="3" t="s">
        <v>10</v>
      </c>
      <c r="O64" s="104" t="s">
        <v>164</v>
      </c>
      <c r="P64" s="85">
        <f>(1/30/12)</f>
        <v>2.7777777777777779E-3</v>
      </c>
      <c r="Q64" s="92">
        <f>Q16*P64</f>
        <v>7.2059375000000001</v>
      </c>
    </row>
    <row r="65" spans="2:17" ht="17.100000000000001" customHeight="1" x14ac:dyDescent="0.25">
      <c r="B65" s="3" t="s">
        <v>12</v>
      </c>
      <c r="C65" s="104" t="s">
        <v>165</v>
      </c>
      <c r="D65" s="85">
        <f>(5/30/12)*0.015</f>
        <v>2.0833333333333332E-4</v>
      </c>
      <c r="E65" s="92">
        <f t="shared" ref="E65" si="5">($E$16+$E$24)*D65</f>
        <v>0.53784080833333325</v>
      </c>
      <c r="F65" s="3" t="s">
        <v>12</v>
      </c>
      <c r="G65" s="104" t="s">
        <v>165</v>
      </c>
      <c r="H65" s="85">
        <f>(5/30/12)*0.015</f>
        <v>2.0833333333333332E-4</v>
      </c>
      <c r="I65" s="92">
        <f t="shared" ref="I65" si="6">($E$16+$E$24)*H65</f>
        <v>0.53784080833333325</v>
      </c>
      <c r="J65" s="3" t="s">
        <v>12</v>
      </c>
      <c r="K65" s="104" t="s">
        <v>165</v>
      </c>
      <c r="L65" s="85">
        <f>(5/30/12)*0.015</f>
        <v>2.0833333333333332E-4</v>
      </c>
      <c r="M65" s="92">
        <f t="shared" ref="M65" si="7">($E$16+$E$24)*L65</f>
        <v>0.53784080833333325</v>
      </c>
      <c r="N65" s="3" t="s">
        <v>12</v>
      </c>
      <c r="O65" s="104" t="s">
        <v>165</v>
      </c>
      <c r="P65" s="85">
        <f>(5/30/12)*0.015</f>
        <v>2.0833333333333332E-4</v>
      </c>
      <c r="Q65" s="92">
        <f t="shared" ref="Q65" si="8">($E$16+$E$24)*P65</f>
        <v>0.53784080833333325</v>
      </c>
    </row>
    <row r="66" spans="2:17" ht="30" x14ac:dyDescent="0.25">
      <c r="B66" s="3" t="s">
        <v>14</v>
      </c>
      <c r="C66" s="104" t="s">
        <v>166</v>
      </c>
      <c r="D66" s="85">
        <f>(1/12)*0.0178</f>
        <v>1.4833333333333332E-3</v>
      </c>
      <c r="E66" s="92">
        <f>E16*D66</f>
        <v>3.2061508333333331</v>
      </c>
      <c r="F66" s="3" t="s">
        <v>14</v>
      </c>
      <c r="G66" s="104" t="s">
        <v>166</v>
      </c>
      <c r="H66" s="85">
        <f>(1/12)*0.0178</f>
        <v>1.4833333333333332E-3</v>
      </c>
      <c r="I66" s="92">
        <f>I16*H66</f>
        <v>3.2061508333333331</v>
      </c>
      <c r="J66" s="3" t="s">
        <v>14</v>
      </c>
      <c r="K66" s="104" t="s">
        <v>166</v>
      </c>
      <c r="L66" s="85">
        <f>(1/12)*0.0178</f>
        <v>1.4833333333333332E-3</v>
      </c>
      <c r="M66" s="92">
        <f>M16*L66</f>
        <v>3.8479706249999994</v>
      </c>
      <c r="N66" s="3" t="s">
        <v>14</v>
      </c>
      <c r="O66" s="104" t="s">
        <v>166</v>
      </c>
      <c r="P66" s="85">
        <f>(1/12)*0.0178</f>
        <v>1.4833333333333332E-3</v>
      </c>
      <c r="Q66" s="92">
        <f>Q16*P66</f>
        <v>3.8479706249999994</v>
      </c>
    </row>
    <row r="67" spans="2:17" ht="17.100000000000001" customHeight="1" x14ac:dyDescent="0.25">
      <c r="B67" s="3" t="s">
        <v>16</v>
      </c>
      <c r="C67" s="104" t="s">
        <v>167</v>
      </c>
      <c r="D67" s="85">
        <f>11.11%*5.28%*50%</f>
        <v>2.9330399999999996E-3</v>
      </c>
      <c r="E67" s="92">
        <f>(E16+(1/12+1/12/3)/12+E34)*D67</f>
        <v>9.1261576647206493</v>
      </c>
      <c r="F67" s="3" t="s">
        <v>16</v>
      </c>
      <c r="G67" s="104" t="s">
        <v>167</v>
      </c>
      <c r="H67" s="85">
        <f>11.11%*5.28%*50%</f>
        <v>2.9330399999999996E-3</v>
      </c>
      <c r="I67" s="92">
        <f>(I16+(1/12+1/12/3)/12+I34)*H67</f>
        <v>9.1261576647206493</v>
      </c>
      <c r="J67" s="3" t="s">
        <v>16</v>
      </c>
      <c r="K67" s="104" t="s">
        <v>167</v>
      </c>
      <c r="L67" s="85">
        <f>11.11%*5.28%*50%</f>
        <v>2.9330399999999996E-3</v>
      </c>
      <c r="M67" s="92">
        <f>(M16+(1/12+1/12/3)/12+M34)*L67</f>
        <v>10.953062100966154</v>
      </c>
      <c r="N67" s="3" t="s">
        <v>16</v>
      </c>
      <c r="O67" s="104" t="s">
        <v>167</v>
      </c>
      <c r="P67" s="85">
        <f>11.11%*5.28%*50%</f>
        <v>2.9330399999999996E-3</v>
      </c>
      <c r="Q67" s="92">
        <f>(Q16+(1/12+1/12/3)/12+Q34)*P67</f>
        <v>10.953062100966154</v>
      </c>
    </row>
    <row r="68" spans="2:17" ht="17.100000000000001" customHeight="1" x14ac:dyDescent="0.25">
      <c r="B68" s="3" t="s">
        <v>34</v>
      </c>
      <c r="C68" s="104" t="s">
        <v>170</v>
      </c>
      <c r="D68" s="40">
        <v>0</v>
      </c>
      <c r="E68" s="92">
        <f>($E$16+$E$24)*D68</f>
        <v>0</v>
      </c>
      <c r="F68" s="3" t="s">
        <v>34</v>
      </c>
      <c r="G68" s="104" t="s">
        <v>170</v>
      </c>
      <c r="H68" s="40">
        <v>0</v>
      </c>
      <c r="I68" s="92">
        <f t="shared" ref="I68" si="9">($E$16+$E$24)*H68</f>
        <v>0</v>
      </c>
      <c r="J68" s="3" t="s">
        <v>34</v>
      </c>
      <c r="K68" s="104" t="s">
        <v>170</v>
      </c>
      <c r="L68" s="40">
        <v>0</v>
      </c>
      <c r="M68" s="92">
        <f t="shared" ref="M68" si="10">($E$16+$E$24)*L68</f>
        <v>0</v>
      </c>
      <c r="N68" s="3" t="s">
        <v>34</v>
      </c>
      <c r="O68" s="104" t="s">
        <v>170</v>
      </c>
      <c r="P68" s="40">
        <v>0</v>
      </c>
      <c r="Q68" s="92">
        <f t="shared" ref="Q68" si="11">($E$16+$E$24)*P68</f>
        <v>0</v>
      </c>
    </row>
    <row r="69" spans="2:17" ht="17.100000000000001" customHeight="1" x14ac:dyDescent="0.25">
      <c r="B69" s="3" t="s">
        <v>18</v>
      </c>
      <c r="C69" s="105" t="s">
        <v>168</v>
      </c>
      <c r="D69" s="86">
        <f>SUM(D63:D68)</f>
        <v>2.3606188148148147E-2</v>
      </c>
      <c r="E69" s="92"/>
      <c r="F69" s="3" t="s">
        <v>18</v>
      </c>
      <c r="G69" s="105" t="s">
        <v>168</v>
      </c>
      <c r="H69" s="86">
        <f>SUM(H63:H68)</f>
        <v>2.3606188148148147E-2</v>
      </c>
      <c r="I69" s="92"/>
      <c r="J69" s="3" t="s">
        <v>18</v>
      </c>
      <c r="K69" s="105" t="s">
        <v>168</v>
      </c>
      <c r="L69" s="86">
        <f>SUM(L63:L68)</f>
        <v>2.3606188148148147E-2</v>
      </c>
      <c r="M69" s="92"/>
      <c r="N69" s="3" t="s">
        <v>18</v>
      </c>
      <c r="O69" s="105" t="s">
        <v>168</v>
      </c>
      <c r="P69" s="86">
        <f>SUM(P63:P68)</f>
        <v>2.3606188148148147E-2</v>
      </c>
      <c r="Q69" s="92"/>
    </row>
    <row r="70" spans="2:17" ht="17.100000000000001" customHeight="1" x14ac:dyDescent="0.25">
      <c r="B70" s="21" t="s">
        <v>20</v>
      </c>
      <c r="C70" s="21"/>
      <c r="D70" s="21"/>
      <c r="E70" s="37">
        <f>SUM(E63:E69)</f>
        <v>69.291871590831747</v>
      </c>
      <c r="F70" s="21" t="s">
        <v>20</v>
      </c>
      <c r="G70" s="21"/>
      <c r="H70" s="21"/>
      <c r="I70" s="37">
        <f>SUM(I63:I69)</f>
        <v>69.291871590831747</v>
      </c>
      <c r="J70" s="21" t="s">
        <v>20</v>
      </c>
      <c r="K70" s="21"/>
      <c r="L70" s="21"/>
      <c r="M70" s="37">
        <f>SUM(M63:M69)</f>
        <v>83.055316474299474</v>
      </c>
      <c r="N70" s="21" t="s">
        <v>20</v>
      </c>
      <c r="O70" s="21"/>
      <c r="P70" s="21"/>
      <c r="Q70" s="37">
        <f>SUM(Q63:Q69)</f>
        <v>83.055316474299474</v>
      </c>
    </row>
    <row r="71" spans="2:17" ht="17.100000000000001" customHeight="1" x14ac:dyDescent="0.25">
      <c r="B71" s="19" t="s">
        <v>56</v>
      </c>
      <c r="C71" s="19"/>
      <c r="D71" s="19"/>
      <c r="E71" s="19"/>
      <c r="F71" s="19" t="s">
        <v>56</v>
      </c>
      <c r="G71" s="19"/>
      <c r="H71" s="19"/>
      <c r="I71" s="19"/>
      <c r="J71" s="19" t="s">
        <v>56</v>
      </c>
      <c r="K71" s="19"/>
      <c r="L71" s="19"/>
      <c r="M71" s="19"/>
      <c r="N71" s="19" t="s">
        <v>56</v>
      </c>
      <c r="O71" s="19"/>
      <c r="P71" s="19"/>
      <c r="Q71" s="19"/>
    </row>
    <row r="72" spans="2:17" ht="17.100000000000001" customHeight="1" x14ac:dyDescent="0.25">
      <c r="B72" s="42" t="s">
        <v>57</v>
      </c>
      <c r="C72" s="42" t="s">
        <v>79</v>
      </c>
      <c r="D72" s="29" t="s">
        <v>80</v>
      </c>
      <c r="E72" s="29"/>
      <c r="F72" s="42" t="s">
        <v>57</v>
      </c>
      <c r="G72" s="42" t="s">
        <v>79</v>
      </c>
      <c r="H72" s="29" t="s">
        <v>80</v>
      </c>
      <c r="I72" s="29"/>
      <c r="J72" s="42" t="s">
        <v>57</v>
      </c>
      <c r="K72" s="42" t="s">
        <v>79</v>
      </c>
      <c r="L72" s="29" t="s">
        <v>80</v>
      </c>
      <c r="M72" s="29"/>
      <c r="N72" s="42" t="s">
        <v>57</v>
      </c>
      <c r="O72" s="42" t="s">
        <v>79</v>
      </c>
      <c r="P72" s="29" t="s">
        <v>80</v>
      </c>
      <c r="Q72" s="29"/>
    </row>
    <row r="73" spans="2:17" ht="17.100000000000001" customHeight="1" x14ac:dyDescent="0.25">
      <c r="B73" s="42" t="s">
        <v>8</v>
      </c>
      <c r="C73" s="43" t="s">
        <v>81</v>
      </c>
      <c r="D73" s="43"/>
      <c r="E73" s="29">
        <v>0</v>
      </c>
      <c r="F73" s="42" t="s">
        <v>8</v>
      </c>
      <c r="G73" s="43" t="s">
        <v>81</v>
      </c>
      <c r="H73" s="43"/>
      <c r="I73" s="29">
        <v>0</v>
      </c>
      <c r="J73" s="42" t="s">
        <v>8</v>
      </c>
      <c r="K73" s="43" t="s">
        <v>81</v>
      </c>
      <c r="L73" s="43"/>
      <c r="M73" s="29">
        <v>0</v>
      </c>
      <c r="N73" s="42" t="s">
        <v>8</v>
      </c>
      <c r="O73" s="43" t="s">
        <v>81</v>
      </c>
      <c r="P73" s="43"/>
      <c r="Q73" s="29">
        <v>0</v>
      </c>
    </row>
    <row r="74" spans="2:17" ht="17.100000000000001" customHeight="1" x14ac:dyDescent="0.25">
      <c r="B74" s="44" t="s">
        <v>20</v>
      </c>
      <c r="C74" s="45"/>
      <c r="D74" s="45"/>
      <c r="E74" s="46"/>
      <c r="F74" s="44" t="s">
        <v>20</v>
      </c>
      <c r="G74" s="45"/>
      <c r="H74" s="45"/>
      <c r="I74" s="46"/>
      <c r="J74" s="44" t="s">
        <v>20</v>
      </c>
      <c r="K74" s="45"/>
      <c r="L74" s="45"/>
      <c r="M74" s="46"/>
      <c r="N74" s="44" t="s">
        <v>20</v>
      </c>
      <c r="O74" s="45"/>
      <c r="P74" s="45"/>
      <c r="Q74" s="46"/>
    </row>
    <row r="75" spans="2:17" ht="17.100000000000001" customHeight="1" x14ac:dyDescent="0.25">
      <c r="B75" s="19" t="s">
        <v>59</v>
      </c>
      <c r="C75" s="19"/>
      <c r="D75" s="19"/>
      <c r="E75" s="19"/>
      <c r="F75" s="19" t="s">
        <v>59</v>
      </c>
      <c r="G75" s="19"/>
      <c r="H75" s="19"/>
      <c r="I75" s="19"/>
      <c r="J75" s="19" t="s">
        <v>59</v>
      </c>
      <c r="K75" s="19"/>
      <c r="L75" s="19"/>
      <c r="M75" s="19"/>
      <c r="N75" s="19" t="s">
        <v>59</v>
      </c>
      <c r="O75" s="19"/>
      <c r="P75" s="19"/>
      <c r="Q75" s="19"/>
    </row>
    <row r="76" spans="2:17" ht="17.100000000000001" customHeight="1" x14ac:dyDescent="0.25">
      <c r="B76" s="42">
        <v>4</v>
      </c>
      <c r="C76" s="43" t="s">
        <v>60</v>
      </c>
      <c r="D76" s="43"/>
      <c r="E76" s="43" t="s">
        <v>80</v>
      </c>
      <c r="F76" s="42">
        <v>4</v>
      </c>
      <c r="G76" s="43" t="s">
        <v>60</v>
      </c>
      <c r="H76" s="43"/>
      <c r="I76" s="43" t="s">
        <v>80</v>
      </c>
      <c r="J76" s="42">
        <v>4</v>
      </c>
      <c r="K76" s="43" t="s">
        <v>60</v>
      </c>
      <c r="L76" s="43"/>
      <c r="M76" s="43" t="s">
        <v>80</v>
      </c>
      <c r="N76" s="42">
        <v>4</v>
      </c>
      <c r="O76" s="43" t="s">
        <v>60</v>
      </c>
      <c r="P76" s="43"/>
      <c r="Q76" s="43" t="s">
        <v>80</v>
      </c>
    </row>
    <row r="77" spans="2:17" ht="17.100000000000001" customHeight="1" x14ac:dyDescent="0.25">
      <c r="B77" s="42" t="s">
        <v>54</v>
      </c>
      <c r="C77" s="43" t="s">
        <v>55</v>
      </c>
      <c r="D77" s="43"/>
      <c r="E77" s="29">
        <f>E70</f>
        <v>69.291871590831747</v>
      </c>
      <c r="F77" s="42" t="s">
        <v>54</v>
      </c>
      <c r="G77" s="43" t="s">
        <v>55</v>
      </c>
      <c r="H77" s="43"/>
      <c r="I77" s="29">
        <f>I70</f>
        <v>69.291871590831747</v>
      </c>
      <c r="J77" s="42" t="s">
        <v>54</v>
      </c>
      <c r="K77" s="43" t="s">
        <v>55</v>
      </c>
      <c r="L77" s="43"/>
      <c r="M77" s="29">
        <f>M70</f>
        <v>83.055316474299474</v>
      </c>
      <c r="N77" s="42" t="s">
        <v>54</v>
      </c>
      <c r="O77" s="43" t="s">
        <v>55</v>
      </c>
      <c r="P77" s="43"/>
      <c r="Q77" s="29">
        <f>Q70</f>
        <v>83.055316474299474</v>
      </c>
    </row>
    <row r="78" spans="2:17" ht="17.100000000000001" customHeight="1" x14ac:dyDescent="0.25">
      <c r="B78" s="42" t="s">
        <v>57</v>
      </c>
      <c r="C78" s="43" t="s">
        <v>58</v>
      </c>
      <c r="D78" s="43"/>
      <c r="E78" s="29">
        <f>E73</f>
        <v>0</v>
      </c>
      <c r="F78" s="42" t="s">
        <v>57</v>
      </c>
      <c r="G78" s="43" t="s">
        <v>58</v>
      </c>
      <c r="H78" s="43"/>
      <c r="I78" s="29">
        <f>I73</f>
        <v>0</v>
      </c>
      <c r="J78" s="42" t="s">
        <v>57</v>
      </c>
      <c r="K78" s="43" t="s">
        <v>58</v>
      </c>
      <c r="L78" s="43"/>
      <c r="M78" s="29">
        <f>M73</f>
        <v>0</v>
      </c>
      <c r="N78" s="42" t="s">
        <v>57</v>
      </c>
      <c r="O78" s="43" t="s">
        <v>58</v>
      </c>
      <c r="P78" s="43"/>
      <c r="Q78" s="29">
        <f>Q73</f>
        <v>0</v>
      </c>
    </row>
    <row r="79" spans="2:17" ht="17.100000000000001" customHeight="1" x14ac:dyDescent="0.25">
      <c r="B79" s="21" t="s">
        <v>20</v>
      </c>
      <c r="C79" s="21"/>
      <c r="D79" s="21"/>
      <c r="E79" s="37">
        <f>SUM(E77:E78)</f>
        <v>69.291871590831747</v>
      </c>
      <c r="F79" s="21" t="s">
        <v>20</v>
      </c>
      <c r="G79" s="21"/>
      <c r="H79" s="21"/>
      <c r="I79" s="37">
        <f>SUM(I77:I78)</f>
        <v>69.291871590831747</v>
      </c>
      <c r="J79" s="21" t="s">
        <v>20</v>
      </c>
      <c r="K79" s="21"/>
      <c r="L79" s="21"/>
      <c r="M79" s="37">
        <f>SUM(M77:M78)</f>
        <v>83.055316474299474</v>
      </c>
      <c r="N79" s="21" t="s">
        <v>20</v>
      </c>
      <c r="O79" s="21"/>
      <c r="P79" s="21"/>
      <c r="Q79" s="37">
        <f>SUM(Q77:Q78)</f>
        <v>83.055316474299474</v>
      </c>
    </row>
    <row r="80" spans="2:17" ht="17.100000000000001" customHeight="1" x14ac:dyDescent="0.25">
      <c r="B80" s="38"/>
      <c r="C80" s="38"/>
      <c r="D80" s="39"/>
      <c r="E80" s="38"/>
      <c r="F80" s="38"/>
      <c r="G80" s="38"/>
      <c r="H80" s="39"/>
      <c r="I80" s="38"/>
      <c r="J80" s="38"/>
      <c r="K80" s="38"/>
      <c r="L80" s="39"/>
      <c r="M80" s="38"/>
      <c r="N80" s="38"/>
      <c r="O80" s="38"/>
      <c r="P80" s="39"/>
      <c r="Q80" s="38"/>
    </row>
    <row r="81" spans="2:17" ht="17.100000000000001" customHeight="1" x14ac:dyDescent="0.25">
      <c r="B81" s="139" t="s">
        <v>61</v>
      </c>
      <c r="C81" s="151"/>
      <c r="D81" s="140"/>
      <c r="E81" s="79" t="s">
        <v>7</v>
      </c>
      <c r="F81" s="139" t="s">
        <v>61</v>
      </c>
      <c r="G81" s="151"/>
      <c r="H81" s="140"/>
      <c r="I81" s="79" t="s">
        <v>7</v>
      </c>
      <c r="J81" s="139" t="s">
        <v>61</v>
      </c>
      <c r="K81" s="151"/>
      <c r="L81" s="140"/>
      <c r="M81" s="79" t="s">
        <v>7</v>
      </c>
      <c r="N81" s="139" t="s">
        <v>61</v>
      </c>
      <c r="O81" s="151"/>
      <c r="P81" s="140"/>
      <c r="Q81" s="79" t="s">
        <v>7</v>
      </c>
    </row>
    <row r="82" spans="2:17" ht="17.100000000000001" customHeight="1" x14ac:dyDescent="0.25">
      <c r="B82" s="3" t="s">
        <v>8</v>
      </c>
      <c r="C82" s="141" t="s">
        <v>88</v>
      </c>
      <c r="D82" s="142"/>
      <c r="E82" s="14">
        <f>'Uniformes e EPIs'!H21</f>
        <v>13.888888888888891</v>
      </c>
      <c r="F82" s="3" t="s">
        <v>8</v>
      </c>
      <c r="G82" s="141" t="s">
        <v>88</v>
      </c>
      <c r="H82" s="142"/>
      <c r="I82" s="14">
        <f>'Uniformes e EPIs'!H21</f>
        <v>13.888888888888891</v>
      </c>
      <c r="J82" s="3" t="s">
        <v>8</v>
      </c>
      <c r="K82" s="141" t="s">
        <v>88</v>
      </c>
      <c r="L82" s="142"/>
      <c r="M82" s="14">
        <f>'Uniformes e EPIs'!H21</f>
        <v>13.888888888888891</v>
      </c>
      <c r="N82" s="3" t="s">
        <v>8</v>
      </c>
      <c r="O82" s="141" t="s">
        <v>88</v>
      </c>
      <c r="P82" s="142"/>
      <c r="Q82" s="14">
        <f>'Uniformes e EPIs'!H21</f>
        <v>13.888888888888891</v>
      </c>
    </row>
    <row r="83" spans="2:17" ht="17.100000000000001" customHeight="1" x14ac:dyDescent="0.25">
      <c r="B83" s="3" t="s">
        <v>10</v>
      </c>
      <c r="C83" s="141" t="s">
        <v>73</v>
      </c>
      <c r="D83" s="142"/>
      <c r="E83" s="14"/>
      <c r="F83" s="3" t="s">
        <v>10</v>
      </c>
      <c r="G83" s="141" t="s">
        <v>73</v>
      </c>
      <c r="H83" s="142"/>
      <c r="I83" s="14"/>
      <c r="J83" s="3" t="s">
        <v>10</v>
      </c>
      <c r="K83" s="141" t="s">
        <v>73</v>
      </c>
      <c r="L83" s="142"/>
      <c r="M83" s="14"/>
      <c r="N83" s="3" t="s">
        <v>10</v>
      </c>
      <c r="O83" s="141" t="s">
        <v>73</v>
      </c>
      <c r="P83" s="142"/>
      <c r="Q83" s="14"/>
    </row>
    <row r="84" spans="2:17" ht="17.100000000000001" customHeight="1" x14ac:dyDescent="0.25">
      <c r="B84" s="3" t="s">
        <v>12</v>
      </c>
      <c r="C84" s="141" t="s">
        <v>86</v>
      </c>
      <c r="D84" s="142"/>
      <c r="E84" s="14"/>
      <c r="F84" s="3" t="s">
        <v>12</v>
      </c>
      <c r="G84" s="141" t="s">
        <v>86</v>
      </c>
      <c r="H84" s="142"/>
      <c r="I84" s="14"/>
      <c r="J84" s="3" t="s">
        <v>12</v>
      </c>
      <c r="K84" s="141" t="s">
        <v>86</v>
      </c>
      <c r="L84" s="142"/>
      <c r="M84" s="14"/>
      <c r="N84" s="3" t="s">
        <v>12</v>
      </c>
      <c r="O84" s="141" t="s">
        <v>86</v>
      </c>
      <c r="P84" s="142"/>
      <c r="Q84" s="14"/>
    </row>
    <row r="85" spans="2:17" ht="17.100000000000001" customHeight="1" x14ac:dyDescent="0.25">
      <c r="B85" s="3" t="s">
        <v>14</v>
      </c>
      <c r="C85" s="141" t="s">
        <v>87</v>
      </c>
      <c r="D85" s="142"/>
      <c r="E85" s="14"/>
      <c r="F85" s="3" t="s">
        <v>14</v>
      </c>
      <c r="G85" s="141" t="s">
        <v>87</v>
      </c>
      <c r="H85" s="142"/>
      <c r="I85" s="14"/>
      <c r="J85" s="3" t="s">
        <v>14</v>
      </c>
      <c r="K85" s="141" t="s">
        <v>87</v>
      </c>
      <c r="L85" s="142"/>
      <c r="M85" s="14"/>
      <c r="N85" s="3" t="s">
        <v>14</v>
      </c>
      <c r="O85" s="141" t="s">
        <v>87</v>
      </c>
      <c r="P85" s="142"/>
      <c r="Q85" s="14"/>
    </row>
    <row r="86" spans="2:17" ht="17.100000000000001" customHeight="1" x14ac:dyDescent="0.25">
      <c r="B86" s="21" t="s">
        <v>20</v>
      </c>
      <c r="C86" s="167"/>
      <c r="D86" s="168"/>
      <c r="E86" s="37">
        <f>SUM(E82:E85)</f>
        <v>13.888888888888891</v>
      </c>
      <c r="F86" s="21" t="s">
        <v>20</v>
      </c>
      <c r="G86" s="167"/>
      <c r="H86" s="168"/>
      <c r="I86" s="37">
        <f>SUM(I82:I85)</f>
        <v>13.888888888888891</v>
      </c>
      <c r="J86" s="21" t="s">
        <v>20</v>
      </c>
      <c r="K86" s="167"/>
      <c r="L86" s="168"/>
      <c r="M86" s="37">
        <f>SUM(M82:M85)</f>
        <v>13.888888888888891</v>
      </c>
      <c r="N86" s="21" t="s">
        <v>20</v>
      </c>
      <c r="O86" s="167"/>
      <c r="P86" s="168"/>
      <c r="Q86" s="37">
        <f>SUM(Q82:Q85)</f>
        <v>13.888888888888891</v>
      </c>
    </row>
    <row r="87" spans="2:17" ht="17.100000000000001" customHeight="1" x14ac:dyDescent="0.25">
      <c r="B87" s="148" t="s">
        <v>83</v>
      </c>
      <c r="C87" s="149"/>
      <c r="D87" s="150"/>
      <c r="E87" s="37">
        <f>E86+E79+E58+E48+E16</f>
        <v>4423.185811158387</v>
      </c>
      <c r="F87" s="148" t="s">
        <v>83</v>
      </c>
      <c r="G87" s="149"/>
      <c r="H87" s="150"/>
      <c r="I87" s="37">
        <f>I86+I79+I58+I48+I16</f>
        <v>4423.185811158387</v>
      </c>
      <c r="J87" s="148" t="s">
        <v>83</v>
      </c>
      <c r="K87" s="149"/>
      <c r="L87" s="150"/>
      <c r="M87" s="37">
        <f>M86+M79+M58+M48+M16</f>
        <v>5179.3697106801883</v>
      </c>
      <c r="N87" s="148" t="s">
        <v>83</v>
      </c>
      <c r="O87" s="149"/>
      <c r="P87" s="150"/>
      <c r="Q87" s="37">
        <f>Q86+Q79+Q58+Q48+Q16</f>
        <v>5179.3697106801883</v>
      </c>
    </row>
    <row r="88" spans="2:17" ht="17.100000000000001" customHeight="1" x14ac:dyDescent="0.25">
      <c r="B88" s="47"/>
      <c r="C88" s="47"/>
      <c r="D88" s="48"/>
      <c r="E88" s="47"/>
      <c r="F88" s="47"/>
      <c r="G88" s="47"/>
      <c r="H88" s="48"/>
      <c r="I88" s="47"/>
      <c r="J88" s="47"/>
      <c r="K88" s="47"/>
      <c r="L88" s="48"/>
      <c r="M88" s="47"/>
      <c r="N88" s="47"/>
      <c r="O88" s="47"/>
      <c r="P88" s="48"/>
      <c r="Q88" s="47"/>
    </row>
    <row r="89" spans="2:17" ht="17.100000000000001" customHeight="1" x14ac:dyDescent="0.25">
      <c r="B89" s="139" t="s">
        <v>62</v>
      </c>
      <c r="C89" s="140"/>
      <c r="D89" s="83" t="s">
        <v>28</v>
      </c>
      <c r="E89" s="79" t="s">
        <v>7</v>
      </c>
      <c r="F89" s="139" t="s">
        <v>62</v>
      </c>
      <c r="G89" s="140"/>
      <c r="H89" s="83" t="s">
        <v>28</v>
      </c>
      <c r="I89" s="79" t="s">
        <v>7</v>
      </c>
      <c r="J89" s="139" t="s">
        <v>62</v>
      </c>
      <c r="K89" s="140"/>
      <c r="L89" s="83" t="s">
        <v>28</v>
      </c>
      <c r="M89" s="79" t="s">
        <v>7</v>
      </c>
      <c r="N89" s="139" t="s">
        <v>62</v>
      </c>
      <c r="O89" s="140"/>
      <c r="P89" s="83" t="s">
        <v>28</v>
      </c>
      <c r="Q89" s="79" t="s">
        <v>7</v>
      </c>
    </row>
    <row r="90" spans="2:17" ht="17.100000000000001" customHeight="1" x14ac:dyDescent="0.25">
      <c r="B90" s="30">
        <v>6</v>
      </c>
      <c r="C90" s="30" t="s">
        <v>63</v>
      </c>
      <c r="D90" s="20" t="s">
        <v>64</v>
      </c>
      <c r="E90" s="20" t="s">
        <v>7</v>
      </c>
      <c r="F90" s="30">
        <v>6</v>
      </c>
      <c r="G90" s="30" t="s">
        <v>63</v>
      </c>
      <c r="H90" s="20" t="s">
        <v>64</v>
      </c>
      <c r="I90" s="20" t="s">
        <v>7</v>
      </c>
      <c r="J90" s="30">
        <v>6</v>
      </c>
      <c r="K90" s="30" t="s">
        <v>63</v>
      </c>
      <c r="L90" s="20" t="s">
        <v>64</v>
      </c>
      <c r="M90" s="20" t="s">
        <v>7</v>
      </c>
      <c r="N90" s="30">
        <v>6</v>
      </c>
      <c r="O90" s="30" t="s">
        <v>63</v>
      </c>
      <c r="P90" s="20" t="s">
        <v>64</v>
      </c>
      <c r="Q90" s="20" t="s">
        <v>7</v>
      </c>
    </row>
    <row r="91" spans="2:17" ht="17.100000000000001" customHeight="1" x14ac:dyDescent="0.25">
      <c r="B91" s="3" t="s">
        <v>8</v>
      </c>
      <c r="C91" s="3" t="s">
        <v>65</v>
      </c>
      <c r="D91" s="40">
        <v>0.05</v>
      </c>
      <c r="E91" s="14">
        <f>E87*$D$91</f>
        <v>221.15929055791935</v>
      </c>
      <c r="F91" s="3" t="s">
        <v>8</v>
      </c>
      <c r="G91" s="3" t="s">
        <v>65</v>
      </c>
      <c r="H91" s="40">
        <v>0.05</v>
      </c>
      <c r="I91" s="14">
        <f>I87*$D$91</f>
        <v>221.15929055791935</v>
      </c>
      <c r="J91" s="3" t="s">
        <v>8</v>
      </c>
      <c r="K91" s="3" t="s">
        <v>65</v>
      </c>
      <c r="L91" s="40">
        <v>0.05</v>
      </c>
      <c r="M91" s="14">
        <f>M87*$D$91</f>
        <v>258.9684855340094</v>
      </c>
      <c r="N91" s="3" t="s">
        <v>8</v>
      </c>
      <c r="O91" s="3" t="s">
        <v>65</v>
      </c>
      <c r="P91" s="40">
        <v>0.05</v>
      </c>
      <c r="Q91" s="14">
        <f>Q87*$D$91</f>
        <v>258.9684855340094</v>
      </c>
    </row>
    <row r="92" spans="2:17" ht="17.100000000000001" customHeight="1" x14ac:dyDescent="0.25">
      <c r="B92" s="3" t="s">
        <v>10</v>
      </c>
      <c r="C92" s="3" t="s">
        <v>66</v>
      </c>
      <c r="D92" s="40">
        <v>0.1</v>
      </c>
      <c r="E92" s="14">
        <f>(E87+E91)*$D$92</f>
        <v>464.43451017163062</v>
      </c>
      <c r="F92" s="3" t="s">
        <v>10</v>
      </c>
      <c r="G92" s="3" t="s">
        <v>66</v>
      </c>
      <c r="H92" s="40">
        <v>0.1</v>
      </c>
      <c r="I92" s="14">
        <f>(I87+I91)*$D$92</f>
        <v>464.43451017163062</v>
      </c>
      <c r="J92" s="3" t="s">
        <v>10</v>
      </c>
      <c r="K92" s="3" t="s">
        <v>66</v>
      </c>
      <c r="L92" s="40">
        <v>0.1</v>
      </c>
      <c r="M92" s="14">
        <f>(M87+M91)*$D$92</f>
        <v>543.83381962141982</v>
      </c>
      <c r="N92" s="3" t="s">
        <v>10</v>
      </c>
      <c r="O92" s="3" t="s">
        <v>66</v>
      </c>
      <c r="P92" s="40">
        <v>0.1</v>
      </c>
      <c r="Q92" s="14">
        <f>(Q87+Q91)*$D$92</f>
        <v>543.83381962141982</v>
      </c>
    </row>
    <row r="93" spans="2:17" ht="17.100000000000001" customHeight="1" x14ac:dyDescent="0.25">
      <c r="B93" s="3" t="s">
        <v>12</v>
      </c>
      <c r="C93" s="3" t="s">
        <v>67</v>
      </c>
      <c r="D93" s="31">
        <f>SUM(D94:D96)</f>
        <v>0.14250000000000002</v>
      </c>
      <c r="E93" s="13"/>
      <c r="F93" s="3" t="s">
        <v>12</v>
      </c>
      <c r="G93" s="3" t="s">
        <v>67</v>
      </c>
      <c r="H93" s="31">
        <f>SUM(H94:H96)</f>
        <v>0.14250000000000002</v>
      </c>
      <c r="I93" s="13"/>
      <c r="J93" s="3" t="s">
        <v>12</v>
      </c>
      <c r="K93" s="3" t="s">
        <v>67</v>
      </c>
      <c r="L93" s="31">
        <f>SUM(L94:L96)</f>
        <v>0.14250000000000002</v>
      </c>
      <c r="M93" s="13"/>
      <c r="N93" s="3" t="s">
        <v>12</v>
      </c>
      <c r="O93" s="3" t="s">
        <v>67</v>
      </c>
      <c r="P93" s="31">
        <f>SUM(P94:P96)</f>
        <v>0.14250000000000002</v>
      </c>
      <c r="Q93" s="13"/>
    </row>
    <row r="94" spans="2:17" ht="17.100000000000001" customHeight="1" x14ac:dyDescent="0.25">
      <c r="B94" s="3"/>
      <c r="C94" s="3" t="s">
        <v>74</v>
      </c>
      <c r="D94" s="40">
        <v>1.6500000000000001E-2</v>
      </c>
      <c r="E94" s="14">
        <f>(E87+E91+E92)/(1-$D$93)*$D$94</f>
        <v>98.303047925540497</v>
      </c>
      <c r="F94" s="3"/>
      <c r="G94" s="3" t="s">
        <v>74</v>
      </c>
      <c r="H94" s="40">
        <v>1.6500000000000001E-2</v>
      </c>
      <c r="I94" s="14">
        <f>(I87+I91+I92)/(1-$D$93)*$D$94</f>
        <v>98.303047925540497</v>
      </c>
      <c r="J94" s="3"/>
      <c r="K94" s="3" t="s">
        <v>74</v>
      </c>
      <c r="L94" s="40">
        <v>1.6500000000000001E-2</v>
      </c>
      <c r="M94" s="14">
        <f>(M87+M91+M92)/(1-$D$93)*$D$94</f>
        <v>115.10884928430053</v>
      </c>
      <c r="N94" s="3"/>
      <c r="O94" s="3" t="s">
        <v>74</v>
      </c>
      <c r="P94" s="40">
        <v>1.6500000000000001E-2</v>
      </c>
      <c r="Q94" s="14">
        <f>(Q87+Q91+Q92)/(1-$D$93)*$D$94</f>
        <v>115.10884928430053</v>
      </c>
    </row>
    <row r="95" spans="2:17" ht="17.100000000000001" customHeight="1" x14ac:dyDescent="0.25">
      <c r="B95" s="3"/>
      <c r="C95" s="3" t="s">
        <v>75</v>
      </c>
      <c r="D95" s="40">
        <v>7.5999999999999998E-2</v>
      </c>
      <c r="E95" s="14">
        <f>(E87+E91+E92)/(1-$D$93)*$D$95</f>
        <v>452.7897965055198</v>
      </c>
      <c r="F95" s="3"/>
      <c r="G95" s="3" t="s">
        <v>75</v>
      </c>
      <c r="H95" s="40">
        <v>7.5999999999999998E-2</v>
      </c>
      <c r="I95" s="14">
        <f>(I87+I91+I92)/(1-$D$93)*$D$95</f>
        <v>452.7897965055198</v>
      </c>
      <c r="J95" s="3"/>
      <c r="K95" s="3" t="s">
        <v>75</v>
      </c>
      <c r="L95" s="40">
        <v>7.5999999999999998E-2</v>
      </c>
      <c r="M95" s="14">
        <f>(M87+M91+M92)/(1-$D$93)*$D$95</f>
        <v>530.19833609738419</v>
      </c>
      <c r="N95" s="3"/>
      <c r="O95" s="3" t="s">
        <v>75</v>
      </c>
      <c r="P95" s="40">
        <v>7.5999999999999998E-2</v>
      </c>
      <c r="Q95" s="14">
        <f>(Q87+Q91+Q92)/(1-$D$93)*$D$95</f>
        <v>530.19833609738419</v>
      </c>
    </row>
    <row r="96" spans="2:17" ht="17.100000000000001" customHeight="1" x14ac:dyDescent="0.25">
      <c r="B96" s="3"/>
      <c r="C96" s="3" t="s">
        <v>76</v>
      </c>
      <c r="D96" s="34">
        <v>0.05</v>
      </c>
      <c r="E96" s="14">
        <f>(E87+E91+E92)/(1-$D$93)*$D$96</f>
        <v>297.88802401678936</v>
      </c>
      <c r="F96" s="3"/>
      <c r="G96" s="3" t="s">
        <v>76</v>
      </c>
      <c r="H96" s="34">
        <v>0.05</v>
      </c>
      <c r="I96" s="14">
        <f>(I87+I91+I92)/(1-$D$93)*$D$96</f>
        <v>297.88802401678936</v>
      </c>
      <c r="J96" s="3"/>
      <c r="K96" s="3" t="s">
        <v>76</v>
      </c>
      <c r="L96" s="34">
        <v>0.05</v>
      </c>
      <c r="M96" s="14">
        <f>(M87+M91+M92)/(1-$D$93)*$D$96</f>
        <v>348.81469480091073</v>
      </c>
      <c r="N96" s="3"/>
      <c r="O96" s="3" t="s">
        <v>76</v>
      </c>
      <c r="P96" s="34">
        <v>0.05</v>
      </c>
      <c r="Q96" s="14">
        <f>(Q87+Q91+Q92)/(1-$D$93)*$D$96</f>
        <v>348.81469480091073</v>
      </c>
    </row>
    <row r="97" spans="2:17" ht="17.100000000000001" customHeight="1" x14ac:dyDescent="0.25">
      <c r="B97" s="21" t="s">
        <v>20</v>
      </c>
      <c r="C97" s="21"/>
      <c r="D97" s="49"/>
      <c r="E97" s="50">
        <f>SUM(E91:E96)</f>
        <v>1534.5746691773995</v>
      </c>
      <c r="F97" s="21" t="s">
        <v>20</v>
      </c>
      <c r="G97" s="21"/>
      <c r="H97" s="49"/>
      <c r="I97" s="50">
        <f>SUM(I91:I96)</f>
        <v>1534.5746691773995</v>
      </c>
      <c r="J97" s="21" t="s">
        <v>20</v>
      </c>
      <c r="K97" s="21"/>
      <c r="L97" s="49"/>
      <c r="M97" s="50">
        <f>SUM(M91:M96)</f>
        <v>1796.9241853380245</v>
      </c>
      <c r="N97" s="21" t="s">
        <v>20</v>
      </c>
      <c r="O97" s="21"/>
      <c r="P97" s="49"/>
      <c r="Q97" s="50">
        <f>SUM(Q91:Q96)</f>
        <v>1796.9241853380245</v>
      </c>
    </row>
    <row r="100" spans="2:17" ht="17.100000000000001" customHeight="1" x14ac:dyDescent="0.25">
      <c r="B100" s="20" t="s">
        <v>68</v>
      </c>
      <c r="C100" s="20"/>
      <c r="D100" s="20"/>
      <c r="E100" s="20"/>
      <c r="F100" s="20" t="s">
        <v>68</v>
      </c>
      <c r="G100" s="20"/>
      <c r="H100" s="20"/>
      <c r="I100" s="20"/>
      <c r="J100" s="20" t="s">
        <v>68</v>
      </c>
      <c r="K100" s="20"/>
      <c r="L100" s="20"/>
      <c r="M100" s="20"/>
      <c r="N100" s="20" t="s">
        <v>68</v>
      </c>
      <c r="O100" s="20"/>
      <c r="P100" s="20"/>
      <c r="Q100" s="20"/>
    </row>
    <row r="101" spans="2:17" ht="17.100000000000001" customHeight="1" x14ac:dyDescent="0.25">
      <c r="B101" s="139" t="s">
        <v>162</v>
      </c>
      <c r="C101" s="151"/>
      <c r="D101" s="140"/>
      <c r="E101" s="73" t="s">
        <v>7</v>
      </c>
      <c r="F101" s="139" t="s">
        <v>162</v>
      </c>
      <c r="G101" s="151"/>
      <c r="H101" s="140"/>
      <c r="I101" s="73" t="s">
        <v>7</v>
      </c>
      <c r="J101" s="139" t="s">
        <v>162</v>
      </c>
      <c r="K101" s="151"/>
      <c r="L101" s="140"/>
      <c r="M101" s="73" t="s">
        <v>7</v>
      </c>
      <c r="N101" s="139" t="s">
        <v>162</v>
      </c>
      <c r="O101" s="151"/>
      <c r="P101" s="140"/>
      <c r="Q101" s="73" t="s">
        <v>7</v>
      </c>
    </row>
    <row r="102" spans="2:17" ht="17.100000000000001" customHeight="1" x14ac:dyDescent="0.25">
      <c r="B102" s="51" t="s">
        <v>8</v>
      </c>
      <c r="C102" s="141" t="s">
        <v>5</v>
      </c>
      <c r="D102" s="142"/>
      <c r="E102" s="12">
        <f>E16</f>
        <v>2161.4499999999998</v>
      </c>
      <c r="F102" s="51" t="s">
        <v>8</v>
      </c>
      <c r="G102" s="141" t="s">
        <v>5</v>
      </c>
      <c r="H102" s="142"/>
      <c r="I102" s="12">
        <f>I16</f>
        <v>2161.4499999999998</v>
      </c>
      <c r="J102" s="51" t="s">
        <v>8</v>
      </c>
      <c r="K102" s="141" t="s">
        <v>5</v>
      </c>
      <c r="L102" s="142"/>
      <c r="M102" s="12">
        <f>M16</f>
        <v>2594.1374999999998</v>
      </c>
      <c r="N102" s="51" t="s">
        <v>8</v>
      </c>
      <c r="O102" s="141" t="s">
        <v>5</v>
      </c>
      <c r="P102" s="142"/>
      <c r="Q102" s="12">
        <f>Q16</f>
        <v>2594.1374999999998</v>
      </c>
    </row>
    <row r="103" spans="2:17" ht="17.100000000000001" customHeight="1" x14ac:dyDescent="0.25">
      <c r="B103" s="3" t="s">
        <v>10</v>
      </c>
      <c r="C103" s="141" t="s">
        <v>21</v>
      </c>
      <c r="D103" s="142"/>
      <c r="E103" s="12">
        <f>E48</f>
        <v>2001.5408838399999</v>
      </c>
      <c r="F103" s="3" t="s">
        <v>10</v>
      </c>
      <c r="G103" s="141" t="s">
        <v>21</v>
      </c>
      <c r="H103" s="142"/>
      <c r="I103" s="12">
        <f>I48</f>
        <v>2001.5408838399999</v>
      </c>
      <c r="J103" s="3" t="s">
        <v>10</v>
      </c>
      <c r="K103" s="141" t="s">
        <v>21</v>
      </c>
      <c r="L103" s="142"/>
      <c r="M103" s="12">
        <f>M48</f>
        <v>2275.83845144</v>
      </c>
      <c r="N103" s="3" t="s">
        <v>10</v>
      </c>
      <c r="O103" s="141" t="s">
        <v>21</v>
      </c>
      <c r="P103" s="142"/>
      <c r="Q103" s="12">
        <f>Q48</f>
        <v>2275.83845144</v>
      </c>
    </row>
    <row r="104" spans="2:17" ht="17.100000000000001" customHeight="1" x14ac:dyDescent="0.25">
      <c r="B104" s="3" t="s">
        <v>12</v>
      </c>
      <c r="C104" s="141" t="s">
        <v>47</v>
      </c>
      <c r="D104" s="142"/>
      <c r="E104" s="12">
        <f>E58</f>
        <v>177.01416683866665</v>
      </c>
      <c r="F104" s="3" t="s">
        <v>12</v>
      </c>
      <c r="G104" s="141" t="s">
        <v>47</v>
      </c>
      <c r="H104" s="142"/>
      <c r="I104" s="12">
        <f>I58</f>
        <v>177.01416683866665</v>
      </c>
      <c r="J104" s="3" t="s">
        <v>12</v>
      </c>
      <c r="K104" s="141" t="s">
        <v>47</v>
      </c>
      <c r="L104" s="142"/>
      <c r="M104" s="12">
        <f>M58</f>
        <v>212.44955387699997</v>
      </c>
      <c r="N104" s="3" t="s">
        <v>12</v>
      </c>
      <c r="O104" s="141" t="s">
        <v>47</v>
      </c>
      <c r="P104" s="142"/>
      <c r="Q104" s="12">
        <f>Q58</f>
        <v>212.44955387699997</v>
      </c>
    </row>
    <row r="105" spans="2:17" ht="17.100000000000001" customHeight="1" x14ac:dyDescent="0.25">
      <c r="B105" s="3" t="s">
        <v>14</v>
      </c>
      <c r="C105" s="141" t="s">
        <v>52</v>
      </c>
      <c r="D105" s="142"/>
      <c r="E105" s="12">
        <f>E70</f>
        <v>69.291871590831747</v>
      </c>
      <c r="F105" s="3" t="s">
        <v>14</v>
      </c>
      <c r="G105" s="141" t="s">
        <v>52</v>
      </c>
      <c r="H105" s="142"/>
      <c r="I105" s="12">
        <f>I70</f>
        <v>69.291871590831747</v>
      </c>
      <c r="J105" s="3" t="s">
        <v>14</v>
      </c>
      <c r="K105" s="141" t="s">
        <v>52</v>
      </c>
      <c r="L105" s="142"/>
      <c r="M105" s="12">
        <f>M70</f>
        <v>83.055316474299474</v>
      </c>
      <c r="N105" s="3" t="s">
        <v>14</v>
      </c>
      <c r="O105" s="141" t="s">
        <v>52</v>
      </c>
      <c r="P105" s="142"/>
      <c r="Q105" s="12">
        <f>Q70</f>
        <v>83.055316474299474</v>
      </c>
    </row>
    <row r="106" spans="2:17" ht="17.100000000000001" customHeight="1" x14ac:dyDescent="0.25">
      <c r="B106" s="3" t="s">
        <v>16</v>
      </c>
      <c r="C106" s="141" t="s">
        <v>61</v>
      </c>
      <c r="D106" s="142"/>
      <c r="E106" s="12">
        <f>E86</f>
        <v>13.888888888888891</v>
      </c>
      <c r="F106" s="3" t="s">
        <v>16</v>
      </c>
      <c r="G106" s="141" t="s">
        <v>61</v>
      </c>
      <c r="H106" s="142"/>
      <c r="I106" s="12">
        <f>I86</f>
        <v>13.888888888888891</v>
      </c>
      <c r="J106" s="3" t="s">
        <v>16</v>
      </c>
      <c r="K106" s="141" t="s">
        <v>61</v>
      </c>
      <c r="L106" s="142"/>
      <c r="M106" s="12">
        <f>M86</f>
        <v>13.888888888888891</v>
      </c>
      <c r="N106" s="3" t="s">
        <v>16</v>
      </c>
      <c r="O106" s="141" t="s">
        <v>61</v>
      </c>
      <c r="P106" s="142"/>
      <c r="Q106" s="12">
        <f>Q86</f>
        <v>13.888888888888891</v>
      </c>
    </row>
    <row r="107" spans="2:17" ht="17.100000000000001" customHeight="1" x14ac:dyDescent="0.25">
      <c r="B107" s="145" t="s">
        <v>69</v>
      </c>
      <c r="C107" s="146"/>
      <c r="D107" s="147"/>
      <c r="E107" s="54">
        <f>SUM(E102:E106)</f>
        <v>4423.185811158387</v>
      </c>
      <c r="F107" s="145" t="s">
        <v>69</v>
      </c>
      <c r="G107" s="146"/>
      <c r="H107" s="147"/>
      <c r="I107" s="54">
        <f>SUM(I102:I106)</f>
        <v>4423.185811158387</v>
      </c>
      <c r="J107" s="145" t="s">
        <v>69</v>
      </c>
      <c r="K107" s="146"/>
      <c r="L107" s="147"/>
      <c r="M107" s="54">
        <f>SUM(M102:M106)</f>
        <v>5179.3697106801874</v>
      </c>
      <c r="N107" s="145" t="s">
        <v>69</v>
      </c>
      <c r="O107" s="146"/>
      <c r="P107" s="147"/>
      <c r="Q107" s="54">
        <f>SUM(Q102:Q106)</f>
        <v>5179.3697106801874</v>
      </c>
    </row>
    <row r="108" spans="2:17" ht="17.100000000000001" customHeight="1" x14ac:dyDescent="0.25">
      <c r="B108" s="12" t="s">
        <v>34</v>
      </c>
      <c r="C108" s="143" t="s">
        <v>70</v>
      </c>
      <c r="D108" s="144"/>
      <c r="E108" s="12">
        <f>E97</f>
        <v>1534.5746691773995</v>
      </c>
      <c r="F108" s="12" t="s">
        <v>34</v>
      </c>
      <c r="G108" s="143" t="s">
        <v>70</v>
      </c>
      <c r="H108" s="144"/>
      <c r="I108" s="12">
        <f>I97</f>
        <v>1534.5746691773995</v>
      </c>
      <c r="J108" s="12" t="s">
        <v>34</v>
      </c>
      <c r="K108" s="143" t="s">
        <v>70</v>
      </c>
      <c r="L108" s="144"/>
      <c r="M108" s="12">
        <f>M97</f>
        <v>1796.9241853380245</v>
      </c>
      <c r="N108" s="12" t="s">
        <v>34</v>
      </c>
      <c r="O108" s="143" t="s">
        <v>70</v>
      </c>
      <c r="P108" s="144"/>
      <c r="Q108" s="12">
        <f>Q97</f>
        <v>1796.9241853380245</v>
      </c>
    </row>
    <row r="109" spans="2:17" ht="17.100000000000001" customHeight="1" x14ac:dyDescent="0.25">
      <c r="B109" s="22" t="s">
        <v>71</v>
      </c>
      <c r="C109" s="52"/>
      <c r="D109" s="53"/>
      <c r="E109" s="54">
        <f>SUM(E107,E108)</f>
        <v>5957.7604803357863</v>
      </c>
      <c r="F109" s="22" t="s">
        <v>71</v>
      </c>
      <c r="G109" s="52"/>
      <c r="H109" s="53"/>
      <c r="I109" s="54">
        <f>SUM(I107,I108)</f>
        <v>5957.7604803357863</v>
      </c>
      <c r="J109" s="22" t="s">
        <v>71</v>
      </c>
      <c r="K109" s="52"/>
      <c r="L109" s="53"/>
      <c r="M109" s="54">
        <f>SUM(M107,M108)</f>
        <v>6976.2938960182119</v>
      </c>
      <c r="N109" s="22" t="s">
        <v>71</v>
      </c>
      <c r="O109" s="52"/>
      <c r="P109" s="53"/>
      <c r="Q109" s="54">
        <f>SUM(Q107,Q108)</f>
        <v>6976.2938960182119</v>
      </c>
    </row>
    <row r="111" spans="2:17" ht="17.100000000000001" customHeight="1" x14ac:dyDescent="0.25">
      <c r="B111" s="55"/>
      <c r="F111" s="55"/>
      <c r="J111" s="55"/>
      <c r="N111" s="55"/>
    </row>
    <row r="113" spans="2:17" ht="17.100000000000001" customHeight="1" x14ac:dyDescent="0.25">
      <c r="B113" s="56"/>
      <c r="C113" s="56"/>
      <c r="D113" s="56"/>
      <c r="F113" s="56"/>
      <c r="G113" s="56"/>
      <c r="H113" s="56"/>
      <c r="J113" s="56"/>
      <c r="K113" s="56"/>
      <c r="L113" s="56"/>
      <c r="N113" s="56"/>
      <c r="O113" s="56"/>
      <c r="P113" s="56"/>
    </row>
    <row r="115" spans="2:17" ht="17.100000000000001" customHeight="1" x14ac:dyDescent="0.25">
      <c r="B115" s="57"/>
      <c r="C115" s="58"/>
      <c r="D115" s="58"/>
      <c r="E115" s="58"/>
      <c r="F115" s="57"/>
      <c r="G115" s="58"/>
      <c r="H115" s="58"/>
      <c r="I115" s="58"/>
      <c r="J115" s="57"/>
      <c r="K115" s="58"/>
      <c r="L115" s="58"/>
      <c r="M115" s="58"/>
      <c r="N115" s="57"/>
      <c r="O115" s="58"/>
      <c r="P115" s="58"/>
      <c r="Q115" s="58"/>
    </row>
    <row r="116" spans="2:17" ht="17.100000000000001" customHeight="1" x14ac:dyDescent="0.25">
      <c r="B116" s="57"/>
      <c r="C116" s="58"/>
      <c r="D116" s="58"/>
      <c r="E116" s="58"/>
      <c r="F116" s="57"/>
      <c r="G116" s="58"/>
      <c r="H116" s="58"/>
      <c r="I116" s="58"/>
      <c r="J116" s="57"/>
      <c r="K116" s="58"/>
      <c r="L116" s="58"/>
      <c r="M116" s="58"/>
      <c r="N116" s="57"/>
      <c r="O116" s="58"/>
      <c r="P116" s="58"/>
      <c r="Q116" s="58"/>
    </row>
    <row r="117" spans="2:17" ht="17.100000000000001" customHeight="1" x14ac:dyDescent="0.25">
      <c r="B117" s="59"/>
      <c r="C117" s="60"/>
      <c r="D117" s="60"/>
      <c r="E117" s="60"/>
      <c r="F117" s="59"/>
      <c r="G117" s="60"/>
      <c r="H117" s="60"/>
      <c r="I117" s="60"/>
      <c r="J117" s="59"/>
      <c r="K117" s="60"/>
      <c r="L117" s="60"/>
      <c r="M117" s="60"/>
      <c r="N117" s="59"/>
      <c r="O117" s="60"/>
      <c r="P117" s="60"/>
      <c r="Q117" s="60"/>
    </row>
    <row r="118" spans="2:17" ht="17.100000000000001" customHeight="1" x14ac:dyDescent="0.25">
      <c r="B118" s="59"/>
      <c r="C118" s="60"/>
      <c r="D118" s="60"/>
      <c r="E118" s="60"/>
      <c r="F118" s="59"/>
      <c r="G118" s="60"/>
      <c r="H118" s="60"/>
      <c r="I118" s="60"/>
      <c r="J118" s="59"/>
      <c r="K118" s="60"/>
      <c r="L118" s="60"/>
      <c r="M118" s="60"/>
      <c r="N118" s="59"/>
      <c r="O118" s="60"/>
      <c r="P118" s="60"/>
      <c r="Q118" s="60"/>
    </row>
    <row r="119" spans="2:17" ht="17.100000000000001" customHeight="1" x14ac:dyDescent="0.25">
      <c r="B119" s="59"/>
      <c r="C119" s="60"/>
      <c r="D119" s="60"/>
      <c r="E119" s="60"/>
      <c r="F119" s="59"/>
      <c r="G119" s="60"/>
      <c r="H119" s="60"/>
      <c r="I119" s="60"/>
      <c r="J119" s="59"/>
      <c r="K119" s="60"/>
      <c r="L119" s="60"/>
      <c r="M119" s="60"/>
      <c r="N119" s="59"/>
      <c r="O119" s="60"/>
      <c r="P119" s="60"/>
      <c r="Q119" s="60"/>
    </row>
    <row r="120" spans="2:17" ht="17.100000000000001" customHeight="1" x14ac:dyDescent="0.25"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</row>
    <row r="122" spans="2:17" ht="17.100000000000001" customHeight="1" x14ac:dyDescent="0.25">
      <c r="B122" s="56"/>
      <c r="F122" s="56"/>
      <c r="J122" s="56"/>
      <c r="N122" s="56"/>
    </row>
    <row r="124" spans="2:17" ht="17.100000000000001" customHeight="1" x14ac:dyDescent="0.25">
      <c r="B124" s="55"/>
      <c r="F124" s="55"/>
      <c r="J124" s="55"/>
      <c r="N124" s="55"/>
    </row>
    <row r="126" spans="2:17" ht="17.100000000000001" customHeight="1" x14ac:dyDescent="0.25">
      <c r="B126" s="60"/>
      <c r="C126" s="57"/>
      <c r="D126" s="57"/>
      <c r="F126" s="60"/>
      <c r="G126" s="57"/>
      <c r="H126" s="57"/>
      <c r="J126" s="60"/>
      <c r="K126" s="57"/>
      <c r="L126" s="57"/>
      <c r="N126" s="60"/>
      <c r="O126" s="57"/>
      <c r="P126" s="57"/>
    </row>
    <row r="127" spans="2:17" ht="17.100000000000001" customHeight="1" x14ac:dyDescent="0.25">
      <c r="B127" s="60"/>
      <c r="C127" s="58"/>
      <c r="D127" s="60"/>
      <c r="F127" s="60"/>
      <c r="G127" s="58"/>
      <c r="H127" s="60"/>
      <c r="J127" s="60"/>
      <c r="K127" s="58"/>
      <c r="L127" s="60"/>
      <c r="N127" s="60"/>
      <c r="O127" s="58"/>
      <c r="P127" s="60"/>
    </row>
    <row r="128" spans="2:17" ht="17.100000000000001" customHeight="1" x14ac:dyDescent="0.25">
      <c r="B128" s="60"/>
      <c r="C128" s="59"/>
      <c r="D128" s="60"/>
      <c r="F128" s="60"/>
      <c r="G128" s="59"/>
      <c r="H128" s="60"/>
      <c r="J128" s="60"/>
      <c r="K128" s="59"/>
      <c r="L128" s="60"/>
      <c r="N128" s="60"/>
      <c r="O128" s="59"/>
      <c r="P128" s="60"/>
    </row>
    <row r="129" spans="2:16" ht="17.100000000000001" customHeight="1" x14ac:dyDescent="0.25">
      <c r="B129" s="60"/>
      <c r="C129" s="59"/>
      <c r="D129" s="60"/>
      <c r="F129" s="60"/>
      <c r="G129" s="59"/>
      <c r="H129" s="60"/>
      <c r="J129" s="60"/>
      <c r="K129" s="59"/>
      <c r="L129" s="60"/>
      <c r="N129" s="60"/>
      <c r="O129" s="59"/>
      <c r="P129" s="60"/>
    </row>
    <row r="130" spans="2:16" ht="17.100000000000001" customHeight="1" x14ac:dyDescent="0.25">
      <c r="B130" s="61"/>
      <c r="C130" s="59"/>
      <c r="D130" s="61"/>
      <c r="F130" s="61"/>
      <c r="G130" s="59"/>
      <c r="H130" s="61"/>
      <c r="J130" s="61"/>
      <c r="K130" s="59"/>
      <c r="L130" s="61"/>
      <c r="N130" s="61"/>
      <c r="O130" s="59"/>
      <c r="P130" s="61"/>
    </row>
    <row r="131" spans="2:16" ht="17.100000000000001" customHeight="1" x14ac:dyDescent="0.25">
      <c r="B131" s="61"/>
      <c r="C131" s="59"/>
      <c r="D131" s="61"/>
      <c r="F131" s="61"/>
      <c r="G131" s="59"/>
      <c r="H131" s="61"/>
      <c r="J131" s="61"/>
      <c r="K131" s="59"/>
      <c r="L131" s="61"/>
      <c r="N131" s="61"/>
      <c r="O131" s="59"/>
      <c r="P131" s="61"/>
    </row>
    <row r="132" spans="2:16" ht="17.100000000000001" customHeight="1" x14ac:dyDescent="0.25">
      <c r="B132" s="62"/>
      <c r="F132" s="62"/>
      <c r="J132" s="62"/>
      <c r="N132" s="62"/>
    </row>
    <row r="133" spans="2:16" ht="17.100000000000001" customHeight="1" x14ac:dyDescent="0.25">
      <c r="B133" s="62"/>
      <c r="F133" s="62"/>
      <c r="J133" s="62"/>
      <c r="N133" s="62"/>
    </row>
  </sheetData>
  <mergeCells count="88">
    <mergeCell ref="O105:P105"/>
    <mergeCell ref="O106:P106"/>
    <mergeCell ref="N107:P107"/>
    <mergeCell ref="O108:P108"/>
    <mergeCell ref="N89:O89"/>
    <mergeCell ref="N101:P101"/>
    <mergeCell ref="O102:P102"/>
    <mergeCell ref="O103:P103"/>
    <mergeCell ref="O104:P104"/>
    <mergeCell ref="K106:L106"/>
    <mergeCell ref="J107:L107"/>
    <mergeCell ref="K108:L108"/>
    <mergeCell ref="N4:Q4"/>
    <mergeCell ref="N11:O11"/>
    <mergeCell ref="N18:Q18"/>
    <mergeCell ref="N35:Q35"/>
    <mergeCell ref="N50:O50"/>
    <mergeCell ref="N60:Q60"/>
    <mergeCell ref="N81:P81"/>
    <mergeCell ref="O82:P82"/>
    <mergeCell ref="O83:P83"/>
    <mergeCell ref="O84:P84"/>
    <mergeCell ref="O85:P85"/>
    <mergeCell ref="O86:P86"/>
    <mergeCell ref="N87:P87"/>
    <mergeCell ref="J101:L101"/>
    <mergeCell ref="K102:L102"/>
    <mergeCell ref="K103:L103"/>
    <mergeCell ref="K104:L104"/>
    <mergeCell ref="K105:L105"/>
    <mergeCell ref="F107:H107"/>
    <mergeCell ref="G108:H108"/>
    <mergeCell ref="J4:M4"/>
    <mergeCell ref="J11:K11"/>
    <mergeCell ref="J18:M18"/>
    <mergeCell ref="J35:M35"/>
    <mergeCell ref="J50:K50"/>
    <mergeCell ref="J60:M60"/>
    <mergeCell ref="J81:L81"/>
    <mergeCell ref="K82:L82"/>
    <mergeCell ref="K83:L83"/>
    <mergeCell ref="K84:L84"/>
    <mergeCell ref="K85:L85"/>
    <mergeCell ref="K86:L86"/>
    <mergeCell ref="J87:L87"/>
    <mergeCell ref="J89:K89"/>
    <mergeCell ref="G102:H102"/>
    <mergeCell ref="G103:H103"/>
    <mergeCell ref="G104:H104"/>
    <mergeCell ref="G105:H105"/>
    <mergeCell ref="G106:H106"/>
    <mergeCell ref="G85:H85"/>
    <mergeCell ref="G86:H86"/>
    <mergeCell ref="F87:H87"/>
    <mergeCell ref="F89:G89"/>
    <mergeCell ref="F101:H101"/>
    <mergeCell ref="F60:I60"/>
    <mergeCell ref="F81:H81"/>
    <mergeCell ref="G82:H82"/>
    <mergeCell ref="G83:H83"/>
    <mergeCell ref="G84:H84"/>
    <mergeCell ref="F4:I4"/>
    <mergeCell ref="F11:G11"/>
    <mergeCell ref="F18:I18"/>
    <mergeCell ref="F35:I35"/>
    <mergeCell ref="F50:G50"/>
    <mergeCell ref="B35:E35"/>
    <mergeCell ref="B4:E4"/>
    <mergeCell ref="B11:C11"/>
    <mergeCell ref="B18:E18"/>
    <mergeCell ref="B50:C50"/>
    <mergeCell ref="C85:D85"/>
    <mergeCell ref="C86:D86"/>
    <mergeCell ref="B87:D87"/>
    <mergeCell ref="B89:C89"/>
    <mergeCell ref="B60:E60"/>
    <mergeCell ref="B81:D81"/>
    <mergeCell ref="C82:D82"/>
    <mergeCell ref="C83:D83"/>
    <mergeCell ref="C84:D84"/>
    <mergeCell ref="C106:D106"/>
    <mergeCell ref="B107:D107"/>
    <mergeCell ref="C108:D108"/>
    <mergeCell ref="B101:D101"/>
    <mergeCell ref="C102:D102"/>
    <mergeCell ref="C103:D103"/>
    <mergeCell ref="C104:D104"/>
    <mergeCell ref="C105:D105"/>
  </mergeCell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/>
  <dimension ref="B1:H21"/>
  <sheetViews>
    <sheetView topLeftCell="A8" zoomScale="125" zoomScaleNormal="125" workbookViewId="0">
      <selection activeCell="L19" sqref="L19"/>
    </sheetView>
  </sheetViews>
  <sheetFormatPr defaultColWidth="8.85546875" defaultRowHeight="15" x14ac:dyDescent="0.25"/>
  <cols>
    <col min="1" max="1" width="9" customWidth="1"/>
    <col min="2" max="2" width="44.85546875" bestFit="1" customWidth="1"/>
    <col min="3" max="3" width="11.42578125" bestFit="1" customWidth="1"/>
    <col min="4" max="4" width="12" customWidth="1"/>
    <col min="7" max="7" width="9.28515625" bestFit="1" customWidth="1"/>
    <col min="8" max="8" width="12.140625" bestFit="1" customWidth="1"/>
  </cols>
  <sheetData>
    <row r="1" spans="2:8" ht="15.75" x14ac:dyDescent="0.25">
      <c r="B1" s="15" t="s">
        <v>145</v>
      </c>
      <c r="C1" s="15"/>
    </row>
    <row r="2" spans="2:8" x14ac:dyDescent="0.25">
      <c r="B2" s="6" t="s">
        <v>77</v>
      </c>
    </row>
    <row r="4" spans="2:8" ht="53.1" customHeight="1" x14ac:dyDescent="0.25">
      <c r="B4" s="4" t="s">
        <v>89</v>
      </c>
      <c r="C4" s="4" t="s">
        <v>90</v>
      </c>
      <c r="D4" s="111" t="s">
        <v>188</v>
      </c>
      <c r="E4" s="111" t="s">
        <v>189</v>
      </c>
      <c r="F4" s="111" t="s">
        <v>190</v>
      </c>
      <c r="G4" s="111" t="s">
        <v>191</v>
      </c>
      <c r="H4" s="112" t="s">
        <v>192</v>
      </c>
    </row>
    <row r="5" spans="2:8" ht="15.95" customHeight="1" x14ac:dyDescent="0.25">
      <c r="B5" s="175" t="str">
        <f>'44H'!E5</f>
        <v>Servente 44h</v>
      </c>
      <c r="C5" s="176"/>
      <c r="D5" s="176"/>
      <c r="E5" s="176"/>
      <c r="F5" s="176"/>
      <c r="G5" s="176"/>
      <c r="H5" s="177"/>
    </row>
    <row r="6" spans="2:8" ht="39.950000000000003" customHeight="1" x14ac:dyDescent="0.25">
      <c r="B6" s="3" t="s">
        <v>91</v>
      </c>
      <c r="C6" s="1">
        <v>1</v>
      </c>
      <c r="D6" s="113">
        <v>13.73</v>
      </c>
      <c r="E6" s="113">
        <v>13.4</v>
      </c>
      <c r="F6" s="113">
        <v>23.48</v>
      </c>
      <c r="G6" s="115">
        <f>AVERAGE(D6:F6)</f>
        <v>16.87</v>
      </c>
      <c r="H6" s="113">
        <f>G6*C6</f>
        <v>16.87</v>
      </c>
    </row>
    <row r="7" spans="2:8" ht="39.950000000000003" customHeight="1" x14ac:dyDescent="0.25">
      <c r="B7" s="3" t="s">
        <v>181</v>
      </c>
      <c r="C7" s="1">
        <v>2</v>
      </c>
      <c r="D7" s="113">
        <v>16.2</v>
      </c>
      <c r="E7" s="113">
        <v>19</v>
      </c>
      <c r="F7" s="113">
        <v>23.55</v>
      </c>
      <c r="G7" s="115">
        <f t="shared" ref="G7:G12" si="0">AVERAGE(D7:F7)</f>
        <v>19.583333333333332</v>
      </c>
      <c r="H7" s="113">
        <f t="shared" ref="H7:H12" si="1">G7*C7</f>
        <v>39.166666666666664</v>
      </c>
    </row>
    <row r="8" spans="2:8" ht="39.950000000000003" customHeight="1" x14ac:dyDescent="0.25">
      <c r="B8" s="3" t="s">
        <v>182</v>
      </c>
      <c r="C8" s="1">
        <v>1</v>
      </c>
      <c r="D8" s="113">
        <v>4.3499999999999996</v>
      </c>
      <c r="E8" s="113">
        <v>6.49</v>
      </c>
      <c r="F8" s="113">
        <v>8.9</v>
      </c>
      <c r="G8" s="115">
        <f t="shared" si="0"/>
        <v>6.580000000000001</v>
      </c>
      <c r="H8" s="113">
        <f t="shared" si="1"/>
        <v>6.580000000000001</v>
      </c>
    </row>
    <row r="9" spans="2:8" ht="39.950000000000003" customHeight="1" x14ac:dyDescent="0.25">
      <c r="B9" s="3" t="s">
        <v>183</v>
      </c>
      <c r="C9" s="1">
        <v>1</v>
      </c>
      <c r="D9" s="113">
        <v>39.89</v>
      </c>
      <c r="E9" s="113">
        <v>31.1</v>
      </c>
      <c r="F9" s="113">
        <v>33.32</v>
      </c>
      <c r="G9" s="115">
        <f t="shared" si="0"/>
        <v>34.770000000000003</v>
      </c>
      <c r="H9" s="113">
        <f t="shared" si="1"/>
        <v>34.770000000000003</v>
      </c>
    </row>
    <row r="10" spans="2:8" ht="39.950000000000003" customHeight="1" x14ac:dyDescent="0.25">
      <c r="B10" s="3" t="s">
        <v>184</v>
      </c>
      <c r="C10" s="1">
        <v>2</v>
      </c>
      <c r="D10" s="113">
        <v>30.87</v>
      </c>
      <c r="E10" s="113">
        <v>46.16</v>
      </c>
      <c r="F10" s="113">
        <v>48.76</v>
      </c>
      <c r="G10" s="115">
        <f t="shared" si="0"/>
        <v>41.93</v>
      </c>
      <c r="H10" s="113">
        <f t="shared" si="1"/>
        <v>83.86</v>
      </c>
    </row>
    <row r="11" spans="2:8" ht="39.950000000000003" customHeight="1" x14ac:dyDescent="0.25">
      <c r="B11" s="3" t="s">
        <v>185</v>
      </c>
      <c r="C11" s="1">
        <v>2</v>
      </c>
      <c r="D11" s="113">
        <v>58.75</v>
      </c>
      <c r="E11" s="113">
        <v>60</v>
      </c>
      <c r="F11" s="113">
        <v>34.369999999999997</v>
      </c>
      <c r="G11" s="115">
        <f t="shared" si="0"/>
        <v>51.04</v>
      </c>
      <c r="H11" s="113">
        <f t="shared" si="1"/>
        <v>102.08</v>
      </c>
    </row>
    <row r="12" spans="2:8" ht="39.950000000000003" customHeight="1" x14ac:dyDescent="0.25">
      <c r="B12" s="3" t="s">
        <v>186</v>
      </c>
      <c r="C12" s="1">
        <v>2</v>
      </c>
      <c r="D12" s="113">
        <v>14.6</v>
      </c>
      <c r="E12" s="113">
        <v>16.899999999999999</v>
      </c>
      <c r="F12" s="113">
        <v>18.899999999999999</v>
      </c>
      <c r="G12" s="115">
        <f t="shared" si="0"/>
        <v>16.8</v>
      </c>
      <c r="H12" s="113">
        <f t="shared" si="1"/>
        <v>33.6</v>
      </c>
    </row>
    <row r="13" spans="2:8" ht="15.95" customHeight="1" x14ac:dyDescent="0.25">
      <c r="B13" s="169" t="s">
        <v>93</v>
      </c>
      <c r="C13" s="170"/>
      <c r="D13" s="170"/>
      <c r="E13" s="170"/>
      <c r="F13" s="170"/>
      <c r="G13" s="171"/>
      <c r="H13" s="114">
        <f>+SUM(H6:H12)</f>
        <v>316.92666666666668</v>
      </c>
    </row>
    <row r="14" spans="2:8" ht="15.95" customHeight="1" x14ac:dyDescent="0.25">
      <c r="B14" s="172" t="s">
        <v>147</v>
      </c>
      <c r="C14" s="173"/>
      <c r="D14" s="173"/>
      <c r="E14" s="173"/>
      <c r="F14" s="173"/>
      <c r="G14" s="174"/>
      <c r="H14" s="116">
        <f>H13/12</f>
        <v>26.410555555555558</v>
      </c>
    </row>
    <row r="15" spans="2:8" ht="24.95" customHeight="1" x14ac:dyDescent="0.25">
      <c r="B15" s="117"/>
      <c r="C15" s="117"/>
      <c r="D15" s="118"/>
    </row>
    <row r="16" spans="2:8" ht="15.95" customHeight="1" x14ac:dyDescent="0.25">
      <c r="B16" s="178" t="s">
        <v>94</v>
      </c>
      <c r="C16" s="178"/>
      <c r="D16" s="178"/>
      <c r="E16" s="178"/>
      <c r="F16" s="178"/>
      <c r="G16" s="178"/>
      <c r="H16" s="178"/>
    </row>
    <row r="17" spans="2:8" ht="45" x14ac:dyDescent="0.25">
      <c r="B17" s="4"/>
      <c r="C17" s="4" t="s">
        <v>90</v>
      </c>
      <c r="D17" s="111" t="s">
        <v>188</v>
      </c>
      <c r="E17" s="111" t="s">
        <v>189</v>
      </c>
      <c r="F17" s="111" t="s">
        <v>190</v>
      </c>
      <c r="G17" s="111" t="s">
        <v>191</v>
      </c>
      <c r="H17" s="112" t="s">
        <v>192</v>
      </c>
    </row>
    <row r="18" spans="2:8" ht="45" x14ac:dyDescent="0.25">
      <c r="B18" s="5" t="s">
        <v>92</v>
      </c>
      <c r="C18" s="1">
        <v>2</v>
      </c>
      <c r="D18" s="113">
        <v>37</v>
      </c>
      <c r="E18" s="113">
        <v>27</v>
      </c>
      <c r="F18" s="113">
        <v>33</v>
      </c>
      <c r="G18" s="115">
        <f>AVERAGE(D18:F18)</f>
        <v>32.333333333333336</v>
      </c>
      <c r="H18" s="113">
        <f>G18*C18</f>
        <v>64.666666666666671</v>
      </c>
    </row>
    <row r="19" spans="2:8" ht="39.950000000000003" customHeight="1" x14ac:dyDescent="0.25">
      <c r="B19" s="5" t="s">
        <v>187</v>
      </c>
      <c r="C19" s="1">
        <v>2</v>
      </c>
      <c r="D19" s="113">
        <v>48</v>
      </c>
      <c r="E19" s="113">
        <v>50</v>
      </c>
      <c r="F19" s="113">
        <v>55</v>
      </c>
      <c r="G19" s="115">
        <f>AVERAGE(D19:F19)</f>
        <v>51</v>
      </c>
      <c r="H19" s="113">
        <f>G19*C19</f>
        <v>102</v>
      </c>
    </row>
    <row r="20" spans="2:8" ht="15.95" customHeight="1" x14ac:dyDescent="0.25">
      <c r="B20" s="169" t="s">
        <v>93</v>
      </c>
      <c r="C20" s="170"/>
      <c r="D20" s="170"/>
      <c r="E20" s="170"/>
      <c r="F20" s="170"/>
      <c r="G20" s="171"/>
      <c r="H20" s="114">
        <f>SUM(H18:H19)</f>
        <v>166.66666666666669</v>
      </c>
    </row>
    <row r="21" spans="2:8" ht="15.95" customHeight="1" x14ac:dyDescent="0.25">
      <c r="B21" s="169" t="s">
        <v>147</v>
      </c>
      <c r="C21" s="170"/>
      <c r="D21" s="170"/>
      <c r="E21" s="170"/>
      <c r="F21" s="170"/>
      <c r="G21" s="171"/>
      <c r="H21" s="114">
        <f>H20/12</f>
        <v>13.888888888888891</v>
      </c>
    </row>
  </sheetData>
  <mergeCells count="6">
    <mergeCell ref="B21:G21"/>
    <mergeCell ref="B14:G14"/>
    <mergeCell ref="B5:H5"/>
    <mergeCell ref="B16:H16"/>
    <mergeCell ref="B13:G13"/>
    <mergeCell ref="B20:G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/>
  <dimension ref="B1:AF42"/>
  <sheetViews>
    <sheetView view="pageBreakPreview" topLeftCell="B1" zoomScale="70" zoomScaleNormal="90" zoomScaleSheetLayoutView="70" workbookViewId="0">
      <selection activeCell="K6" sqref="K6"/>
    </sheetView>
  </sheetViews>
  <sheetFormatPr defaultColWidth="8.85546875" defaultRowHeight="50.1" customHeight="1" x14ac:dyDescent="0.25"/>
  <cols>
    <col min="1" max="1" width="9" customWidth="1"/>
    <col min="2" max="2" width="22.28515625" style="26" customWidth="1"/>
    <col min="3" max="3" width="13" bestFit="1" customWidth="1"/>
    <col min="4" max="6" width="11.85546875" bestFit="1" customWidth="1"/>
    <col min="7" max="7" width="24.5703125" customWidth="1"/>
    <col min="8" max="8" width="26.140625" customWidth="1"/>
    <col min="9" max="9" width="8" customWidth="1"/>
    <col min="10" max="10" width="19.7109375" bestFit="1" customWidth="1"/>
    <col min="11" max="11" width="12.85546875" customWidth="1"/>
    <col min="12" max="14" width="13.85546875" customWidth="1"/>
    <col min="15" max="15" width="13.42578125" bestFit="1" customWidth="1"/>
    <col min="16" max="16" width="18" bestFit="1" customWidth="1"/>
    <col min="18" max="18" width="19.7109375" bestFit="1" customWidth="1"/>
    <col min="19" max="19" width="9.5703125" bestFit="1" customWidth="1"/>
    <col min="20" max="22" width="10.5703125" bestFit="1" customWidth="1"/>
    <col min="23" max="23" width="13.42578125" bestFit="1" customWidth="1"/>
    <col min="24" max="24" width="18.28515625" bestFit="1" customWidth="1"/>
    <col min="26" max="26" width="19.7109375" bestFit="1" customWidth="1"/>
    <col min="27" max="27" width="9.5703125" bestFit="1" customWidth="1"/>
    <col min="28" max="30" width="10.5703125" bestFit="1" customWidth="1"/>
    <col min="31" max="31" width="13.42578125" bestFit="1" customWidth="1"/>
    <col min="32" max="32" width="18.28515625" bestFit="1" customWidth="1"/>
  </cols>
  <sheetData>
    <row r="1" spans="2:32" ht="43.5" customHeight="1" x14ac:dyDescent="0.25">
      <c r="B1" s="179" t="s">
        <v>145</v>
      </c>
      <c r="C1" s="179"/>
      <c r="D1" s="179"/>
      <c r="E1" s="179"/>
      <c r="F1" s="179"/>
      <c r="G1" s="179"/>
      <c r="H1" s="119" t="s">
        <v>140</v>
      </c>
      <c r="J1" s="179" t="s">
        <v>145</v>
      </c>
      <c r="K1" s="179"/>
      <c r="L1" s="179"/>
      <c r="M1" s="179"/>
      <c r="N1" s="179"/>
      <c r="O1" s="179"/>
      <c r="P1" s="119" t="s">
        <v>176</v>
      </c>
      <c r="R1" s="179" t="s">
        <v>145</v>
      </c>
      <c r="S1" s="179"/>
      <c r="T1" s="179"/>
      <c r="U1" s="179"/>
      <c r="V1" s="179"/>
      <c r="W1" s="179"/>
      <c r="X1" s="119" t="s">
        <v>177</v>
      </c>
      <c r="Z1" s="179" t="s">
        <v>145</v>
      </c>
      <c r="AA1" s="179"/>
      <c r="AB1" s="179"/>
      <c r="AC1" s="179"/>
      <c r="AD1" s="179"/>
      <c r="AE1" s="179"/>
      <c r="AF1" s="119" t="s">
        <v>177</v>
      </c>
    </row>
    <row r="2" spans="2:32" ht="17.100000000000001" customHeight="1" x14ac:dyDescent="0.25">
      <c r="B2" s="27" t="s">
        <v>77</v>
      </c>
      <c r="C2" s="180"/>
      <c r="D2" s="180"/>
      <c r="E2" s="180"/>
      <c r="F2" s="180"/>
      <c r="G2" s="180"/>
      <c r="H2" s="180"/>
      <c r="J2" s="27" t="s">
        <v>77</v>
      </c>
      <c r="R2" s="27" t="s">
        <v>77</v>
      </c>
      <c r="Z2" s="27" t="s">
        <v>77</v>
      </c>
    </row>
    <row r="3" spans="2:32" ht="17.100000000000001" customHeight="1" thickBot="1" x14ac:dyDescent="0.3">
      <c r="B3" s="209"/>
      <c r="C3" s="210"/>
      <c r="D3" s="210"/>
      <c r="E3" s="210"/>
      <c r="F3" s="210"/>
      <c r="G3" s="210"/>
      <c r="H3" s="210"/>
      <c r="J3" s="27"/>
      <c r="R3" s="27"/>
      <c r="Z3" s="27"/>
    </row>
    <row r="4" spans="2:32" ht="50.1" customHeight="1" thickBot="1" x14ac:dyDescent="0.3">
      <c r="B4" s="193" t="s">
        <v>95</v>
      </c>
      <c r="C4" s="194" t="s">
        <v>148</v>
      </c>
      <c r="D4" s="195" t="s">
        <v>188</v>
      </c>
      <c r="E4" s="195" t="s">
        <v>189</v>
      </c>
      <c r="F4" s="195" t="s">
        <v>190</v>
      </c>
      <c r="G4" s="195" t="s">
        <v>191</v>
      </c>
      <c r="H4" s="196" t="s">
        <v>192</v>
      </c>
      <c r="I4" s="197"/>
      <c r="J4" s="193" t="s">
        <v>95</v>
      </c>
      <c r="K4" s="194" t="s">
        <v>148</v>
      </c>
      <c r="L4" s="195" t="s">
        <v>188</v>
      </c>
      <c r="M4" s="195" t="s">
        <v>189</v>
      </c>
      <c r="N4" s="195" t="s">
        <v>190</v>
      </c>
      <c r="O4" s="195" t="s">
        <v>191</v>
      </c>
      <c r="P4" s="196" t="s">
        <v>192</v>
      </c>
      <c r="Q4" s="197"/>
      <c r="R4" s="193" t="s">
        <v>95</v>
      </c>
      <c r="S4" s="194" t="s">
        <v>148</v>
      </c>
      <c r="T4" s="195" t="s">
        <v>188</v>
      </c>
      <c r="U4" s="195" t="s">
        <v>189</v>
      </c>
      <c r="V4" s="195" t="s">
        <v>190</v>
      </c>
      <c r="W4" s="195" t="s">
        <v>191</v>
      </c>
      <c r="X4" s="196" t="s">
        <v>192</v>
      </c>
      <c r="Y4" s="197"/>
      <c r="Z4" s="193" t="s">
        <v>95</v>
      </c>
      <c r="AA4" s="194" t="s">
        <v>148</v>
      </c>
      <c r="AB4" s="195" t="s">
        <v>188</v>
      </c>
      <c r="AC4" s="195" t="s">
        <v>189</v>
      </c>
      <c r="AD4" s="195" t="s">
        <v>190</v>
      </c>
      <c r="AE4" s="195" t="s">
        <v>191</v>
      </c>
      <c r="AF4" s="196" t="s">
        <v>192</v>
      </c>
    </row>
    <row r="5" spans="2:32" ht="50.1" customHeight="1" thickBot="1" x14ac:dyDescent="0.3">
      <c r="B5" s="198" t="s">
        <v>96</v>
      </c>
      <c r="C5" s="199">
        <v>432</v>
      </c>
      <c r="D5" s="190">
        <v>5.0999999999999996</v>
      </c>
      <c r="E5" s="190">
        <v>5.3</v>
      </c>
      <c r="F5" s="190">
        <v>5.34</v>
      </c>
      <c r="G5" s="191">
        <f>AVERAGE(D5:F5)</f>
        <v>5.2466666666666661</v>
      </c>
      <c r="H5" s="192">
        <f>G5*C5</f>
        <v>2266.56</v>
      </c>
      <c r="I5" s="197"/>
      <c r="J5" s="198" t="s">
        <v>96</v>
      </c>
      <c r="K5" s="199">
        <v>648</v>
      </c>
      <c r="L5" s="190">
        <v>5.0999999999999996</v>
      </c>
      <c r="M5" s="190">
        <v>5.3</v>
      </c>
      <c r="N5" s="190">
        <v>5.34</v>
      </c>
      <c r="O5" s="191">
        <f>AVERAGE(L5:N5)</f>
        <v>5.2466666666666661</v>
      </c>
      <c r="P5" s="192">
        <f>O5*K5</f>
        <v>3399.8399999999997</v>
      </c>
      <c r="Q5" s="197"/>
      <c r="R5" s="198" t="s">
        <v>96</v>
      </c>
      <c r="S5" s="200">
        <v>1632</v>
      </c>
      <c r="T5" s="190">
        <v>5.0999999999999996</v>
      </c>
      <c r="U5" s="190">
        <v>5.3</v>
      </c>
      <c r="V5" s="190">
        <v>5.34</v>
      </c>
      <c r="W5" s="191">
        <f>AVERAGE(T5:V5)</f>
        <v>5.2466666666666661</v>
      </c>
      <c r="X5" s="192">
        <f>W5*S5</f>
        <v>8562.56</v>
      </c>
      <c r="Y5" s="197"/>
      <c r="Z5" s="198" t="s">
        <v>96</v>
      </c>
      <c r="AA5" s="199">
        <v>1104</v>
      </c>
      <c r="AB5" s="190">
        <v>5.0999999999999996</v>
      </c>
      <c r="AC5" s="190">
        <v>5.3</v>
      </c>
      <c r="AD5" s="190">
        <v>5.34</v>
      </c>
      <c r="AE5" s="191">
        <f>AVERAGE(AB5:AD5)</f>
        <v>5.2466666666666661</v>
      </c>
      <c r="AF5" s="192">
        <f>AE5*AA5</f>
        <v>5792.32</v>
      </c>
    </row>
    <row r="6" spans="2:32" ht="50.1" customHeight="1" thickBot="1" x14ac:dyDescent="0.3">
      <c r="B6" s="198" t="s">
        <v>193</v>
      </c>
      <c r="C6" s="199">
        <v>32</v>
      </c>
      <c r="D6" s="190">
        <v>8.19</v>
      </c>
      <c r="E6" s="190">
        <v>11.67</v>
      </c>
      <c r="F6" s="190">
        <v>10.4</v>
      </c>
      <c r="G6" s="191">
        <f t="shared" ref="G6:G39" si="0">AVERAGE(D6:F6)</f>
        <v>10.086666666666666</v>
      </c>
      <c r="H6" s="192">
        <f t="shared" ref="H6:H39" si="1">G6*C6</f>
        <v>322.77333333333331</v>
      </c>
      <c r="I6" s="197"/>
      <c r="J6" s="198" t="s">
        <v>193</v>
      </c>
      <c r="K6" s="199">
        <v>36</v>
      </c>
      <c r="L6" s="190">
        <v>8.19</v>
      </c>
      <c r="M6" s="190">
        <v>11.67</v>
      </c>
      <c r="N6" s="190">
        <v>10.4</v>
      </c>
      <c r="O6" s="191">
        <f t="shared" ref="O6:O39" si="2">AVERAGE(L6:N6)</f>
        <v>10.086666666666666</v>
      </c>
      <c r="P6" s="192">
        <f t="shared" ref="P6:P39" si="3">O6*K6</f>
        <v>363.12</v>
      </c>
      <c r="Q6" s="197"/>
      <c r="R6" s="198" t="s">
        <v>193</v>
      </c>
      <c r="S6" s="200">
        <v>104</v>
      </c>
      <c r="T6" s="190">
        <v>8.19</v>
      </c>
      <c r="U6" s="190">
        <v>11.67</v>
      </c>
      <c r="V6" s="190">
        <v>10.4</v>
      </c>
      <c r="W6" s="191">
        <f t="shared" ref="W6:W39" si="4">AVERAGE(T6:V6)</f>
        <v>10.086666666666666</v>
      </c>
      <c r="X6" s="192">
        <f t="shared" ref="X6:X39" si="5">W6*S6</f>
        <v>1049.0133333333333</v>
      </c>
      <c r="Y6" s="197"/>
      <c r="Z6" s="198" t="s">
        <v>193</v>
      </c>
      <c r="AA6" s="199">
        <v>40</v>
      </c>
      <c r="AB6" s="190">
        <v>8.19</v>
      </c>
      <c r="AC6" s="190">
        <v>11.67</v>
      </c>
      <c r="AD6" s="190">
        <v>10.4</v>
      </c>
      <c r="AE6" s="191">
        <f t="shared" ref="AE6:AE39" si="6">AVERAGE(AB6:AD6)</f>
        <v>10.086666666666666</v>
      </c>
      <c r="AF6" s="192">
        <f t="shared" ref="AF6:AF39" si="7">AE6*AA6</f>
        <v>403.46666666666664</v>
      </c>
    </row>
    <row r="7" spans="2:32" ht="50.1" customHeight="1" thickBot="1" x14ac:dyDescent="0.3">
      <c r="B7" s="198" t="s">
        <v>97</v>
      </c>
      <c r="C7" s="199">
        <v>96</v>
      </c>
      <c r="D7" s="190">
        <v>15.9</v>
      </c>
      <c r="E7" s="190">
        <v>16.100000000000001</v>
      </c>
      <c r="F7" s="190">
        <v>10.99</v>
      </c>
      <c r="G7" s="191">
        <f t="shared" si="0"/>
        <v>14.33</v>
      </c>
      <c r="H7" s="192">
        <f t="shared" si="1"/>
        <v>1375.68</v>
      </c>
      <c r="I7" s="197"/>
      <c r="J7" s="198" t="s">
        <v>97</v>
      </c>
      <c r="K7" s="199">
        <v>0</v>
      </c>
      <c r="L7" s="190">
        <v>15.9</v>
      </c>
      <c r="M7" s="190">
        <v>16.100000000000001</v>
      </c>
      <c r="N7" s="190">
        <v>10.99</v>
      </c>
      <c r="O7" s="191">
        <f t="shared" si="2"/>
        <v>14.33</v>
      </c>
      <c r="P7" s="192">
        <f t="shared" si="3"/>
        <v>0</v>
      </c>
      <c r="Q7" s="197"/>
      <c r="R7" s="198" t="s">
        <v>97</v>
      </c>
      <c r="S7" s="200">
        <v>24</v>
      </c>
      <c r="T7" s="190">
        <v>15.9</v>
      </c>
      <c r="U7" s="190">
        <v>16.100000000000001</v>
      </c>
      <c r="V7" s="190">
        <v>10.99</v>
      </c>
      <c r="W7" s="191">
        <f t="shared" si="4"/>
        <v>14.33</v>
      </c>
      <c r="X7" s="192">
        <f t="shared" si="5"/>
        <v>343.92</v>
      </c>
      <c r="Y7" s="197"/>
      <c r="Z7" s="198" t="s">
        <v>97</v>
      </c>
      <c r="AA7" s="199">
        <v>48</v>
      </c>
      <c r="AB7" s="190">
        <v>15.9</v>
      </c>
      <c r="AC7" s="190">
        <v>16.100000000000001</v>
      </c>
      <c r="AD7" s="190">
        <v>10.99</v>
      </c>
      <c r="AE7" s="191">
        <f t="shared" si="6"/>
        <v>14.33</v>
      </c>
      <c r="AF7" s="192">
        <f t="shared" si="7"/>
        <v>687.84</v>
      </c>
    </row>
    <row r="8" spans="2:32" ht="50.1" customHeight="1" thickBot="1" x14ac:dyDescent="0.3">
      <c r="B8" s="198" t="s">
        <v>98</v>
      </c>
      <c r="C8" s="199">
        <v>16</v>
      </c>
      <c r="D8" s="190">
        <v>3.32</v>
      </c>
      <c r="E8" s="190">
        <v>2.09</v>
      </c>
      <c r="F8" s="190">
        <v>4.74</v>
      </c>
      <c r="G8" s="191">
        <f t="shared" si="0"/>
        <v>3.3833333333333333</v>
      </c>
      <c r="H8" s="192">
        <f t="shared" si="1"/>
        <v>54.133333333333333</v>
      </c>
      <c r="I8" s="197"/>
      <c r="J8" s="198" t="s">
        <v>98</v>
      </c>
      <c r="K8" s="199">
        <v>18</v>
      </c>
      <c r="L8" s="190">
        <v>3.32</v>
      </c>
      <c r="M8" s="190">
        <v>2.09</v>
      </c>
      <c r="N8" s="190">
        <v>4.74</v>
      </c>
      <c r="O8" s="191">
        <f t="shared" si="2"/>
        <v>3.3833333333333333</v>
      </c>
      <c r="P8" s="192">
        <f t="shared" si="3"/>
        <v>60.9</v>
      </c>
      <c r="Q8" s="197"/>
      <c r="R8" s="198" t="s">
        <v>98</v>
      </c>
      <c r="S8" s="200">
        <v>54</v>
      </c>
      <c r="T8" s="190">
        <v>3.32</v>
      </c>
      <c r="U8" s="190">
        <v>2.09</v>
      </c>
      <c r="V8" s="190">
        <v>4.74</v>
      </c>
      <c r="W8" s="191">
        <f t="shared" si="4"/>
        <v>3.3833333333333333</v>
      </c>
      <c r="X8" s="192">
        <f t="shared" si="5"/>
        <v>182.7</v>
      </c>
      <c r="Y8" s="197"/>
      <c r="Z8" s="198" t="s">
        <v>98</v>
      </c>
      <c r="AA8" s="199">
        <v>24</v>
      </c>
      <c r="AB8" s="190">
        <v>3.32</v>
      </c>
      <c r="AC8" s="190">
        <v>2.09</v>
      </c>
      <c r="AD8" s="190">
        <v>4.74</v>
      </c>
      <c r="AE8" s="191">
        <f t="shared" si="6"/>
        <v>3.3833333333333333</v>
      </c>
      <c r="AF8" s="192">
        <f t="shared" si="7"/>
        <v>81.2</v>
      </c>
    </row>
    <row r="9" spans="2:32" ht="50.1" customHeight="1" thickBot="1" x14ac:dyDescent="0.3">
      <c r="B9" s="198" t="s">
        <v>99</v>
      </c>
      <c r="C9" s="199">
        <v>16</v>
      </c>
      <c r="D9" s="190">
        <v>5.63</v>
      </c>
      <c r="E9" s="190">
        <v>4.8600000000000003</v>
      </c>
      <c r="F9" s="190">
        <v>3.9</v>
      </c>
      <c r="G9" s="191">
        <f t="shared" si="0"/>
        <v>4.7966666666666669</v>
      </c>
      <c r="H9" s="192">
        <f t="shared" si="1"/>
        <v>76.74666666666667</v>
      </c>
      <c r="I9" s="197"/>
      <c r="J9" s="198" t="s">
        <v>99</v>
      </c>
      <c r="K9" s="199">
        <v>18</v>
      </c>
      <c r="L9" s="190">
        <v>5.63</v>
      </c>
      <c r="M9" s="190">
        <v>4.8600000000000003</v>
      </c>
      <c r="N9" s="190">
        <v>3.9</v>
      </c>
      <c r="O9" s="191">
        <f t="shared" si="2"/>
        <v>4.7966666666666669</v>
      </c>
      <c r="P9" s="192">
        <f t="shared" si="3"/>
        <v>86.34</v>
      </c>
      <c r="Q9" s="197"/>
      <c r="R9" s="198" t="s">
        <v>99</v>
      </c>
      <c r="S9" s="200">
        <v>54</v>
      </c>
      <c r="T9" s="190">
        <v>5.63</v>
      </c>
      <c r="U9" s="190">
        <v>4.8600000000000003</v>
      </c>
      <c r="V9" s="190">
        <v>3.9</v>
      </c>
      <c r="W9" s="191">
        <f t="shared" si="4"/>
        <v>4.7966666666666669</v>
      </c>
      <c r="X9" s="192">
        <f t="shared" si="5"/>
        <v>259.02</v>
      </c>
      <c r="Y9" s="197"/>
      <c r="Z9" s="198" t="s">
        <v>99</v>
      </c>
      <c r="AA9" s="199">
        <v>24</v>
      </c>
      <c r="AB9" s="190">
        <v>5.63</v>
      </c>
      <c r="AC9" s="190">
        <v>4.8600000000000003</v>
      </c>
      <c r="AD9" s="190">
        <v>3.9</v>
      </c>
      <c r="AE9" s="191">
        <f t="shared" si="6"/>
        <v>4.7966666666666669</v>
      </c>
      <c r="AF9" s="192">
        <f t="shared" si="7"/>
        <v>115.12</v>
      </c>
    </row>
    <row r="10" spans="2:32" ht="50.1" customHeight="1" thickBot="1" x14ac:dyDescent="0.3">
      <c r="B10" s="198" t="s">
        <v>100</v>
      </c>
      <c r="C10" s="199">
        <v>216</v>
      </c>
      <c r="D10" s="190">
        <v>11.01</v>
      </c>
      <c r="E10" s="190">
        <v>8.44</v>
      </c>
      <c r="F10" s="190">
        <v>7.58</v>
      </c>
      <c r="G10" s="191">
        <f t="shared" si="0"/>
        <v>9.01</v>
      </c>
      <c r="H10" s="192">
        <f t="shared" si="1"/>
        <v>1946.1599999999999</v>
      </c>
      <c r="I10" s="197"/>
      <c r="J10" s="198" t="s">
        <v>100</v>
      </c>
      <c r="K10" s="199">
        <v>216</v>
      </c>
      <c r="L10" s="190">
        <v>11.01</v>
      </c>
      <c r="M10" s="190">
        <v>8.44</v>
      </c>
      <c r="N10" s="190">
        <v>7.58</v>
      </c>
      <c r="O10" s="191">
        <f t="shared" si="2"/>
        <v>9.01</v>
      </c>
      <c r="P10" s="192">
        <f t="shared" si="3"/>
        <v>1946.1599999999999</v>
      </c>
      <c r="Q10" s="197"/>
      <c r="R10" s="198" t="s">
        <v>100</v>
      </c>
      <c r="S10" s="200">
        <v>648</v>
      </c>
      <c r="T10" s="190">
        <v>11.01</v>
      </c>
      <c r="U10" s="190">
        <v>8.44</v>
      </c>
      <c r="V10" s="190">
        <v>7.58</v>
      </c>
      <c r="W10" s="191">
        <f t="shared" si="4"/>
        <v>9.01</v>
      </c>
      <c r="X10" s="192">
        <f t="shared" si="5"/>
        <v>5838.48</v>
      </c>
      <c r="Y10" s="197"/>
      <c r="Z10" s="198" t="s">
        <v>100</v>
      </c>
      <c r="AA10" s="199">
        <v>336</v>
      </c>
      <c r="AB10" s="190">
        <v>11.01</v>
      </c>
      <c r="AC10" s="190">
        <v>8.44</v>
      </c>
      <c r="AD10" s="190">
        <v>7.58</v>
      </c>
      <c r="AE10" s="191">
        <f t="shared" si="6"/>
        <v>9.01</v>
      </c>
      <c r="AF10" s="192">
        <f t="shared" si="7"/>
        <v>3027.36</v>
      </c>
    </row>
    <row r="11" spans="2:32" ht="50.1" customHeight="1" thickBot="1" x14ac:dyDescent="0.3">
      <c r="B11" s="198" t="s">
        <v>101</v>
      </c>
      <c r="C11" s="199">
        <v>156</v>
      </c>
      <c r="D11" s="190">
        <v>11</v>
      </c>
      <c r="E11" s="190">
        <v>11.45</v>
      </c>
      <c r="F11" s="190">
        <v>11.1</v>
      </c>
      <c r="G11" s="191">
        <f t="shared" si="0"/>
        <v>11.183333333333332</v>
      </c>
      <c r="H11" s="192">
        <f t="shared" si="1"/>
        <v>1744.5999999999997</v>
      </c>
      <c r="I11" s="197"/>
      <c r="J11" s="198" t="s">
        <v>101</v>
      </c>
      <c r="K11" s="199">
        <v>192</v>
      </c>
      <c r="L11" s="190">
        <v>11</v>
      </c>
      <c r="M11" s="190">
        <v>11.45</v>
      </c>
      <c r="N11" s="190">
        <v>11.1</v>
      </c>
      <c r="O11" s="191">
        <f t="shared" si="2"/>
        <v>11.183333333333332</v>
      </c>
      <c r="P11" s="192">
        <f t="shared" si="3"/>
        <v>2147.1999999999998</v>
      </c>
      <c r="Q11" s="197"/>
      <c r="R11" s="198" t="s">
        <v>101</v>
      </c>
      <c r="S11" s="200">
        <v>396</v>
      </c>
      <c r="T11" s="190">
        <v>11</v>
      </c>
      <c r="U11" s="190">
        <v>11.45</v>
      </c>
      <c r="V11" s="190">
        <v>11.1</v>
      </c>
      <c r="W11" s="191">
        <f t="shared" si="4"/>
        <v>11.183333333333332</v>
      </c>
      <c r="X11" s="192">
        <f t="shared" si="5"/>
        <v>4428.5999999999995</v>
      </c>
      <c r="Y11" s="197"/>
      <c r="Z11" s="198" t="s">
        <v>101</v>
      </c>
      <c r="AA11" s="199">
        <v>384</v>
      </c>
      <c r="AB11" s="190">
        <v>11</v>
      </c>
      <c r="AC11" s="190">
        <v>11.45</v>
      </c>
      <c r="AD11" s="190">
        <v>11.1</v>
      </c>
      <c r="AE11" s="191">
        <f t="shared" si="6"/>
        <v>11.183333333333332</v>
      </c>
      <c r="AF11" s="192">
        <f t="shared" si="7"/>
        <v>4294.3999999999996</v>
      </c>
    </row>
    <row r="12" spans="2:32" ht="50.1" customHeight="1" thickBot="1" x14ac:dyDescent="0.3">
      <c r="B12" s="198" t="s">
        <v>102</v>
      </c>
      <c r="C12" s="199">
        <v>1044</v>
      </c>
      <c r="D12" s="190">
        <v>0.45</v>
      </c>
      <c r="E12" s="190">
        <v>0.54</v>
      </c>
      <c r="F12" s="190">
        <v>0.4</v>
      </c>
      <c r="G12" s="191">
        <f t="shared" si="0"/>
        <v>0.46333333333333337</v>
      </c>
      <c r="H12" s="192">
        <f t="shared" si="1"/>
        <v>483.72</v>
      </c>
      <c r="I12" s="197"/>
      <c r="J12" s="198" t="s">
        <v>102</v>
      </c>
      <c r="K12" s="199">
        <v>1020</v>
      </c>
      <c r="L12" s="190">
        <v>0.45</v>
      </c>
      <c r="M12" s="190">
        <v>0.54</v>
      </c>
      <c r="N12" s="190">
        <v>0.4</v>
      </c>
      <c r="O12" s="191">
        <f t="shared" si="2"/>
        <v>0.46333333333333337</v>
      </c>
      <c r="P12" s="192">
        <f t="shared" si="3"/>
        <v>472.6</v>
      </c>
      <c r="Q12" s="197"/>
      <c r="R12" s="198" t="s">
        <v>102</v>
      </c>
      <c r="S12" s="200">
        <v>2196</v>
      </c>
      <c r="T12" s="190">
        <v>0.45</v>
      </c>
      <c r="U12" s="190">
        <v>0.54</v>
      </c>
      <c r="V12" s="190">
        <v>0.4</v>
      </c>
      <c r="W12" s="191">
        <f t="shared" si="4"/>
        <v>0.46333333333333337</v>
      </c>
      <c r="X12" s="192">
        <f t="shared" si="5"/>
        <v>1017.4800000000001</v>
      </c>
      <c r="Y12" s="197"/>
      <c r="Z12" s="198" t="s">
        <v>102</v>
      </c>
      <c r="AA12" s="199">
        <v>1320</v>
      </c>
      <c r="AB12" s="190">
        <v>0.45</v>
      </c>
      <c r="AC12" s="190">
        <v>0.54</v>
      </c>
      <c r="AD12" s="190">
        <v>0.4</v>
      </c>
      <c r="AE12" s="191">
        <f t="shared" si="6"/>
        <v>0.46333333333333337</v>
      </c>
      <c r="AF12" s="192">
        <f t="shared" si="7"/>
        <v>611.6</v>
      </c>
    </row>
    <row r="13" spans="2:32" ht="50.1" customHeight="1" thickBot="1" x14ac:dyDescent="0.3">
      <c r="B13" s="198" t="s">
        <v>103</v>
      </c>
      <c r="C13" s="199">
        <v>720</v>
      </c>
      <c r="D13" s="190">
        <v>1.4</v>
      </c>
      <c r="E13" s="190">
        <v>2.78</v>
      </c>
      <c r="F13" s="190">
        <v>1.98</v>
      </c>
      <c r="G13" s="191">
        <f t="shared" si="0"/>
        <v>2.0533333333333332</v>
      </c>
      <c r="H13" s="192">
        <f t="shared" si="1"/>
        <v>1478.3999999999999</v>
      </c>
      <c r="I13" s="197"/>
      <c r="J13" s="198" t="s">
        <v>103</v>
      </c>
      <c r="K13" s="199">
        <v>1080</v>
      </c>
      <c r="L13" s="190">
        <v>1.4</v>
      </c>
      <c r="M13" s="190">
        <v>2.78</v>
      </c>
      <c r="N13" s="190">
        <v>1.98</v>
      </c>
      <c r="O13" s="191">
        <f t="shared" si="2"/>
        <v>2.0533333333333332</v>
      </c>
      <c r="P13" s="192">
        <f t="shared" si="3"/>
        <v>2217.6</v>
      </c>
      <c r="Q13" s="197"/>
      <c r="R13" s="198" t="s">
        <v>103</v>
      </c>
      <c r="S13" s="200">
        <v>3096</v>
      </c>
      <c r="T13" s="190">
        <v>1.4</v>
      </c>
      <c r="U13" s="190">
        <v>2.78</v>
      </c>
      <c r="V13" s="190">
        <v>1.98</v>
      </c>
      <c r="W13" s="191">
        <f t="shared" si="4"/>
        <v>2.0533333333333332</v>
      </c>
      <c r="X13" s="192">
        <f t="shared" si="5"/>
        <v>6357.12</v>
      </c>
      <c r="Y13" s="197"/>
      <c r="Z13" s="198" t="s">
        <v>103</v>
      </c>
      <c r="AA13" s="199">
        <v>1380</v>
      </c>
      <c r="AB13" s="190">
        <v>1.4</v>
      </c>
      <c r="AC13" s="190">
        <v>2.78</v>
      </c>
      <c r="AD13" s="190">
        <v>1.98</v>
      </c>
      <c r="AE13" s="191">
        <f t="shared" si="6"/>
        <v>2.0533333333333332</v>
      </c>
      <c r="AF13" s="192">
        <f t="shared" si="7"/>
        <v>2833.6</v>
      </c>
    </row>
    <row r="14" spans="2:32" ht="50.1" customHeight="1" thickBot="1" x14ac:dyDescent="0.3">
      <c r="B14" s="198" t="s">
        <v>104</v>
      </c>
      <c r="C14" s="199">
        <v>228</v>
      </c>
      <c r="D14" s="190">
        <v>13.4</v>
      </c>
      <c r="E14" s="190">
        <v>15.87</v>
      </c>
      <c r="F14" s="190">
        <v>11.3</v>
      </c>
      <c r="G14" s="191">
        <f t="shared" si="0"/>
        <v>13.523333333333333</v>
      </c>
      <c r="H14" s="192">
        <f t="shared" si="1"/>
        <v>3083.32</v>
      </c>
      <c r="I14" s="197"/>
      <c r="J14" s="198" t="s">
        <v>104</v>
      </c>
      <c r="K14" s="199">
        <v>216</v>
      </c>
      <c r="L14" s="190">
        <v>13.4</v>
      </c>
      <c r="M14" s="190">
        <v>15.87</v>
      </c>
      <c r="N14" s="190">
        <v>11.3</v>
      </c>
      <c r="O14" s="191">
        <f t="shared" si="2"/>
        <v>13.523333333333333</v>
      </c>
      <c r="P14" s="192">
        <f t="shared" si="3"/>
        <v>2921.04</v>
      </c>
      <c r="Q14" s="197"/>
      <c r="R14" s="198" t="s">
        <v>104</v>
      </c>
      <c r="S14" s="200">
        <v>912</v>
      </c>
      <c r="T14" s="190">
        <v>13.4</v>
      </c>
      <c r="U14" s="190">
        <v>15.87</v>
      </c>
      <c r="V14" s="190">
        <v>11.3</v>
      </c>
      <c r="W14" s="191">
        <f t="shared" si="4"/>
        <v>13.523333333333333</v>
      </c>
      <c r="X14" s="192">
        <f t="shared" si="5"/>
        <v>12333.28</v>
      </c>
      <c r="Y14" s="197"/>
      <c r="Z14" s="198" t="s">
        <v>104</v>
      </c>
      <c r="AA14" s="199">
        <v>432</v>
      </c>
      <c r="AB14" s="190">
        <v>13.4</v>
      </c>
      <c r="AC14" s="190">
        <v>15.87</v>
      </c>
      <c r="AD14" s="190">
        <v>11.3</v>
      </c>
      <c r="AE14" s="191">
        <f t="shared" si="6"/>
        <v>13.523333333333333</v>
      </c>
      <c r="AF14" s="192">
        <f t="shared" si="7"/>
        <v>5842.08</v>
      </c>
    </row>
    <row r="15" spans="2:32" ht="50.1" customHeight="1" thickBot="1" x14ac:dyDescent="0.3">
      <c r="B15" s="198" t="s">
        <v>105</v>
      </c>
      <c r="C15" s="199">
        <v>216</v>
      </c>
      <c r="D15" s="190">
        <v>10</v>
      </c>
      <c r="E15" s="190">
        <v>8.41</v>
      </c>
      <c r="F15" s="190">
        <v>8.01</v>
      </c>
      <c r="G15" s="191">
        <f t="shared" si="0"/>
        <v>8.8066666666666666</v>
      </c>
      <c r="H15" s="192">
        <f t="shared" si="1"/>
        <v>1902.24</v>
      </c>
      <c r="I15" s="197"/>
      <c r="J15" s="198" t="s">
        <v>105</v>
      </c>
      <c r="K15" s="199">
        <v>216</v>
      </c>
      <c r="L15" s="190">
        <v>10</v>
      </c>
      <c r="M15" s="190">
        <v>8.41</v>
      </c>
      <c r="N15" s="190">
        <v>8.01</v>
      </c>
      <c r="O15" s="191">
        <f t="shared" si="2"/>
        <v>8.8066666666666666</v>
      </c>
      <c r="P15" s="192">
        <f t="shared" si="3"/>
        <v>1902.24</v>
      </c>
      <c r="Q15" s="197"/>
      <c r="R15" s="198" t="s">
        <v>105</v>
      </c>
      <c r="S15" s="200">
        <v>696</v>
      </c>
      <c r="T15" s="190">
        <v>10</v>
      </c>
      <c r="U15" s="190">
        <v>8.41</v>
      </c>
      <c r="V15" s="190">
        <v>8.01</v>
      </c>
      <c r="W15" s="191">
        <f t="shared" si="4"/>
        <v>8.8066666666666666</v>
      </c>
      <c r="X15" s="192">
        <f t="shared" si="5"/>
        <v>6129.44</v>
      </c>
      <c r="Y15" s="197"/>
      <c r="Z15" s="198" t="s">
        <v>105</v>
      </c>
      <c r="AA15" s="199">
        <v>300</v>
      </c>
      <c r="AB15" s="190">
        <v>10</v>
      </c>
      <c r="AC15" s="190">
        <v>8.41</v>
      </c>
      <c r="AD15" s="190">
        <v>8.01</v>
      </c>
      <c r="AE15" s="191">
        <f t="shared" si="6"/>
        <v>8.8066666666666666</v>
      </c>
      <c r="AF15" s="192">
        <f t="shared" si="7"/>
        <v>2642</v>
      </c>
    </row>
    <row r="16" spans="2:32" ht="50.1" customHeight="1" thickBot="1" x14ac:dyDescent="0.3">
      <c r="B16" s="198" t="s">
        <v>106</v>
      </c>
      <c r="C16" s="199">
        <v>132</v>
      </c>
      <c r="D16" s="190">
        <v>3.63</v>
      </c>
      <c r="E16" s="190">
        <v>6.95</v>
      </c>
      <c r="F16" s="190">
        <v>6.59</v>
      </c>
      <c r="G16" s="191">
        <f t="shared" si="0"/>
        <v>5.7233333333333336</v>
      </c>
      <c r="H16" s="192">
        <f t="shared" si="1"/>
        <v>755.48</v>
      </c>
      <c r="I16" s="197"/>
      <c r="J16" s="198" t="s">
        <v>106</v>
      </c>
      <c r="K16" s="199">
        <v>132</v>
      </c>
      <c r="L16" s="190">
        <v>3.63</v>
      </c>
      <c r="M16" s="190">
        <v>6.95</v>
      </c>
      <c r="N16" s="190">
        <v>6.59</v>
      </c>
      <c r="O16" s="191">
        <f t="shared" si="2"/>
        <v>5.7233333333333336</v>
      </c>
      <c r="P16" s="192">
        <f t="shared" si="3"/>
        <v>755.48</v>
      </c>
      <c r="Q16" s="197"/>
      <c r="R16" s="198" t="s">
        <v>106</v>
      </c>
      <c r="S16" s="200">
        <v>444</v>
      </c>
      <c r="T16" s="190">
        <v>3.63</v>
      </c>
      <c r="U16" s="190">
        <v>6.95</v>
      </c>
      <c r="V16" s="190">
        <v>6.59</v>
      </c>
      <c r="W16" s="191">
        <f t="shared" si="4"/>
        <v>5.7233333333333336</v>
      </c>
      <c r="X16" s="192">
        <f t="shared" si="5"/>
        <v>2541.1600000000003</v>
      </c>
      <c r="Y16" s="197"/>
      <c r="Z16" s="198" t="s">
        <v>106</v>
      </c>
      <c r="AA16" s="199">
        <v>228</v>
      </c>
      <c r="AB16" s="190">
        <v>3.63</v>
      </c>
      <c r="AC16" s="190">
        <v>6.95</v>
      </c>
      <c r="AD16" s="190">
        <v>6.59</v>
      </c>
      <c r="AE16" s="191">
        <f t="shared" si="6"/>
        <v>5.7233333333333336</v>
      </c>
      <c r="AF16" s="192">
        <f t="shared" si="7"/>
        <v>1304.92</v>
      </c>
    </row>
    <row r="17" spans="2:32" ht="50.1" customHeight="1" thickBot="1" x14ac:dyDescent="0.3">
      <c r="B17" s="198" t="s">
        <v>194</v>
      </c>
      <c r="C17" s="199">
        <v>936</v>
      </c>
      <c r="D17" s="190">
        <v>2.19</v>
      </c>
      <c r="E17" s="190">
        <v>2.16</v>
      </c>
      <c r="F17" s="190">
        <v>2.0499999999999998</v>
      </c>
      <c r="G17" s="191">
        <f t="shared" si="0"/>
        <v>2.1333333333333333</v>
      </c>
      <c r="H17" s="192">
        <f t="shared" si="1"/>
        <v>1996.8</v>
      </c>
      <c r="I17" s="197"/>
      <c r="J17" s="198" t="s">
        <v>194</v>
      </c>
      <c r="K17" s="199">
        <v>1080</v>
      </c>
      <c r="L17" s="190">
        <v>2.19</v>
      </c>
      <c r="M17" s="190">
        <v>2.16</v>
      </c>
      <c r="N17" s="190">
        <v>2.0499999999999998</v>
      </c>
      <c r="O17" s="191">
        <f t="shared" si="2"/>
        <v>2.1333333333333333</v>
      </c>
      <c r="P17" s="192">
        <f t="shared" si="3"/>
        <v>2304</v>
      </c>
      <c r="Q17" s="197"/>
      <c r="R17" s="198" t="s">
        <v>194</v>
      </c>
      <c r="S17" s="200">
        <v>3024</v>
      </c>
      <c r="T17" s="190">
        <v>2.19</v>
      </c>
      <c r="U17" s="190">
        <v>2.16</v>
      </c>
      <c r="V17" s="190">
        <v>2.0499999999999998</v>
      </c>
      <c r="W17" s="191">
        <f t="shared" si="4"/>
        <v>2.1333333333333333</v>
      </c>
      <c r="X17" s="192">
        <f t="shared" si="5"/>
        <v>6451.2</v>
      </c>
      <c r="Y17" s="197"/>
      <c r="Z17" s="198" t="s">
        <v>194</v>
      </c>
      <c r="AA17" s="199">
        <v>1104</v>
      </c>
      <c r="AB17" s="190">
        <v>2.19</v>
      </c>
      <c r="AC17" s="190">
        <v>2.16</v>
      </c>
      <c r="AD17" s="190">
        <v>2.0499999999999998</v>
      </c>
      <c r="AE17" s="191">
        <f t="shared" si="6"/>
        <v>2.1333333333333333</v>
      </c>
      <c r="AF17" s="192">
        <f t="shared" si="7"/>
        <v>2355.1999999999998</v>
      </c>
    </row>
    <row r="18" spans="2:32" ht="50.1" customHeight="1" thickBot="1" x14ac:dyDescent="0.3">
      <c r="B18" s="198" t="s">
        <v>107</v>
      </c>
      <c r="C18" s="199">
        <v>936</v>
      </c>
      <c r="D18" s="190">
        <v>4.95</v>
      </c>
      <c r="E18" s="190">
        <v>6.1</v>
      </c>
      <c r="F18" s="190">
        <v>4.5999999999999996</v>
      </c>
      <c r="G18" s="191">
        <f t="shared" si="0"/>
        <v>5.2166666666666668</v>
      </c>
      <c r="H18" s="192">
        <f t="shared" si="1"/>
        <v>4882.8</v>
      </c>
      <c r="I18" s="197"/>
      <c r="J18" s="198" t="s">
        <v>107</v>
      </c>
      <c r="K18" s="199">
        <v>1080</v>
      </c>
      <c r="L18" s="190">
        <v>4.95</v>
      </c>
      <c r="M18" s="190">
        <v>6.1</v>
      </c>
      <c r="N18" s="190">
        <v>4.5999999999999996</v>
      </c>
      <c r="O18" s="191">
        <f t="shared" si="2"/>
        <v>5.2166666666666668</v>
      </c>
      <c r="P18" s="192">
        <f t="shared" si="3"/>
        <v>5634</v>
      </c>
      <c r="Q18" s="197"/>
      <c r="R18" s="198" t="s">
        <v>107</v>
      </c>
      <c r="S18" s="200">
        <v>3024</v>
      </c>
      <c r="T18" s="190">
        <v>4.95</v>
      </c>
      <c r="U18" s="190">
        <v>6.1</v>
      </c>
      <c r="V18" s="190">
        <v>4.5999999999999996</v>
      </c>
      <c r="W18" s="191">
        <f t="shared" si="4"/>
        <v>5.2166666666666668</v>
      </c>
      <c r="X18" s="192">
        <f t="shared" si="5"/>
        <v>15775.2</v>
      </c>
      <c r="Y18" s="197"/>
      <c r="Z18" s="198" t="s">
        <v>107</v>
      </c>
      <c r="AA18" s="199">
        <v>1104</v>
      </c>
      <c r="AB18" s="190">
        <v>4.95</v>
      </c>
      <c r="AC18" s="190">
        <v>6.1</v>
      </c>
      <c r="AD18" s="190">
        <v>4.5999999999999996</v>
      </c>
      <c r="AE18" s="191">
        <f t="shared" si="6"/>
        <v>5.2166666666666668</v>
      </c>
      <c r="AF18" s="192">
        <f t="shared" si="7"/>
        <v>5759.2</v>
      </c>
    </row>
    <row r="19" spans="2:32" ht="50.1" customHeight="1" thickBot="1" x14ac:dyDescent="0.3">
      <c r="B19" s="198" t="s">
        <v>108</v>
      </c>
      <c r="C19" s="199">
        <v>0</v>
      </c>
      <c r="D19" s="190">
        <v>4</v>
      </c>
      <c r="E19" s="190">
        <v>3.02</v>
      </c>
      <c r="F19" s="190">
        <v>2.41</v>
      </c>
      <c r="G19" s="191">
        <f t="shared" si="0"/>
        <v>3.1433333333333331</v>
      </c>
      <c r="H19" s="192">
        <f t="shared" si="1"/>
        <v>0</v>
      </c>
      <c r="I19" s="197"/>
      <c r="J19" s="198" t="s">
        <v>108</v>
      </c>
      <c r="K19" s="199">
        <v>0</v>
      </c>
      <c r="L19" s="190">
        <v>4</v>
      </c>
      <c r="M19" s="190">
        <v>3.02</v>
      </c>
      <c r="N19" s="190">
        <v>2.41</v>
      </c>
      <c r="O19" s="191">
        <f t="shared" si="2"/>
        <v>3.1433333333333331</v>
      </c>
      <c r="P19" s="192">
        <f t="shared" si="3"/>
        <v>0</v>
      </c>
      <c r="Q19" s="197"/>
      <c r="R19" s="198" t="s">
        <v>108</v>
      </c>
      <c r="S19" s="200">
        <v>456</v>
      </c>
      <c r="T19" s="190">
        <v>4</v>
      </c>
      <c r="U19" s="190">
        <v>3.02</v>
      </c>
      <c r="V19" s="190">
        <v>2.41</v>
      </c>
      <c r="W19" s="191">
        <f t="shared" si="4"/>
        <v>3.1433333333333331</v>
      </c>
      <c r="X19" s="192">
        <f t="shared" si="5"/>
        <v>1433.36</v>
      </c>
      <c r="Y19" s="197"/>
      <c r="Z19" s="198" t="s">
        <v>108</v>
      </c>
      <c r="AA19" s="199">
        <v>720</v>
      </c>
      <c r="AB19" s="190">
        <v>4</v>
      </c>
      <c r="AC19" s="190">
        <v>3.02</v>
      </c>
      <c r="AD19" s="190">
        <v>2.41</v>
      </c>
      <c r="AE19" s="191">
        <f t="shared" si="6"/>
        <v>3.1433333333333331</v>
      </c>
      <c r="AF19" s="192">
        <f t="shared" si="7"/>
        <v>2263.1999999999998</v>
      </c>
    </row>
    <row r="20" spans="2:32" ht="50.1" customHeight="1" thickBot="1" x14ac:dyDescent="0.3">
      <c r="B20" s="198" t="s">
        <v>109</v>
      </c>
      <c r="C20" s="199">
        <v>204</v>
      </c>
      <c r="D20" s="190">
        <v>13.54</v>
      </c>
      <c r="E20" s="190">
        <v>15.13</v>
      </c>
      <c r="F20" s="190">
        <v>12</v>
      </c>
      <c r="G20" s="191">
        <f t="shared" si="0"/>
        <v>13.556666666666667</v>
      </c>
      <c r="H20" s="192">
        <f t="shared" si="1"/>
        <v>2765.56</v>
      </c>
      <c r="I20" s="197"/>
      <c r="J20" s="198" t="s">
        <v>109</v>
      </c>
      <c r="K20" s="199">
        <v>192</v>
      </c>
      <c r="L20" s="190">
        <v>13.54</v>
      </c>
      <c r="M20" s="190">
        <v>15.13</v>
      </c>
      <c r="N20" s="190">
        <v>12</v>
      </c>
      <c r="O20" s="191">
        <f t="shared" si="2"/>
        <v>13.556666666666667</v>
      </c>
      <c r="P20" s="192">
        <f t="shared" si="3"/>
        <v>2602.88</v>
      </c>
      <c r="Q20" s="197"/>
      <c r="R20" s="198" t="s">
        <v>109</v>
      </c>
      <c r="S20" s="200">
        <v>852</v>
      </c>
      <c r="T20" s="190">
        <v>13.54</v>
      </c>
      <c r="U20" s="190">
        <v>15.13</v>
      </c>
      <c r="V20" s="190">
        <v>12</v>
      </c>
      <c r="W20" s="191">
        <f t="shared" si="4"/>
        <v>13.556666666666667</v>
      </c>
      <c r="X20" s="192">
        <f t="shared" si="5"/>
        <v>11550.28</v>
      </c>
      <c r="Y20" s="197"/>
      <c r="Z20" s="198" t="s">
        <v>109</v>
      </c>
      <c r="AA20" s="199">
        <v>564</v>
      </c>
      <c r="AB20" s="190">
        <v>13.54</v>
      </c>
      <c r="AC20" s="190">
        <v>15.13</v>
      </c>
      <c r="AD20" s="190">
        <v>12</v>
      </c>
      <c r="AE20" s="191">
        <f t="shared" si="6"/>
        <v>13.556666666666667</v>
      </c>
      <c r="AF20" s="192">
        <f t="shared" si="7"/>
        <v>7645.96</v>
      </c>
    </row>
    <row r="21" spans="2:32" ht="50.1" customHeight="1" thickBot="1" x14ac:dyDescent="0.3">
      <c r="B21" s="198" t="s">
        <v>110</v>
      </c>
      <c r="C21" s="199">
        <v>20</v>
      </c>
      <c r="D21" s="190">
        <v>4.5999999999999996</v>
      </c>
      <c r="E21" s="190">
        <v>5.34</v>
      </c>
      <c r="F21" s="190">
        <v>3.04</v>
      </c>
      <c r="G21" s="191">
        <f t="shared" si="0"/>
        <v>4.3266666666666671</v>
      </c>
      <c r="H21" s="192">
        <f t="shared" si="1"/>
        <v>86.533333333333346</v>
      </c>
      <c r="I21" s="197"/>
      <c r="J21" s="198" t="s">
        <v>110</v>
      </c>
      <c r="K21" s="199">
        <v>34</v>
      </c>
      <c r="L21" s="190">
        <v>4.5999999999999996</v>
      </c>
      <c r="M21" s="190">
        <v>5.34</v>
      </c>
      <c r="N21" s="190">
        <v>3.04</v>
      </c>
      <c r="O21" s="191">
        <f t="shared" si="2"/>
        <v>4.3266666666666671</v>
      </c>
      <c r="P21" s="192">
        <f t="shared" si="3"/>
        <v>147.10666666666668</v>
      </c>
      <c r="Q21" s="197"/>
      <c r="R21" s="198" t="s">
        <v>110</v>
      </c>
      <c r="S21" s="200">
        <v>56</v>
      </c>
      <c r="T21" s="190">
        <v>4.5999999999999996</v>
      </c>
      <c r="U21" s="190">
        <v>5.34</v>
      </c>
      <c r="V21" s="190">
        <v>3.04</v>
      </c>
      <c r="W21" s="191">
        <f t="shared" si="4"/>
        <v>4.3266666666666671</v>
      </c>
      <c r="X21" s="192">
        <f t="shared" si="5"/>
        <v>242.29333333333335</v>
      </c>
      <c r="Y21" s="197"/>
      <c r="Z21" s="198" t="s">
        <v>110</v>
      </c>
      <c r="AA21" s="199">
        <v>32</v>
      </c>
      <c r="AB21" s="190">
        <v>4.5999999999999996</v>
      </c>
      <c r="AC21" s="190">
        <v>5.34</v>
      </c>
      <c r="AD21" s="190">
        <v>3.04</v>
      </c>
      <c r="AE21" s="191">
        <f t="shared" si="6"/>
        <v>4.3266666666666671</v>
      </c>
      <c r="AF21" s="192">
        <f t="shared" si="7"/>
        <v>138.45333333333335</v>
      </c>
    </row>
    <row r="22" spans="2:32" ht="50.1" customHeight="1" thickBot="1" x14ac:dyDescent="0.3">
      <c r="B22" s="198" t="s">
        <v>111</v>
      </c>
      <c r="C22" s="199">
        <v>984</v>
      </c>
      <c r="D22" s="190">
        <v>3.3</v>
      </c>
      <c r="E22" s="190">
        <v>3.26</v>
      </c>
      <c r="F22" s="190"/>
      <c r="G22" s="191">
        <f t="shared" si="0"/>
        <v>3.28</v>
      </c>
      <c r="H22" s="192">
        <f t="shared" si="1"/>
        <v>3227.52</v>
      </c>
      <c r="I22" s="197"/>
      <c r="J22" s="198" t="s">
        <v>111</v>
      </c>
      <c r="K22" s="199">
        <v>1080</v>
      </c>
      <c r="L22" s="190">
        <v>3.3</v>
      </c>
      <c r="M22" s="190">
        <v>3.26</v>
      </c>
      <c r="N22" s="190"/>
      <c r="O22" s="191">
        <f t="shared" si="2"/>
        <v>3.28</v>
      </c>
      <c r="P22" s="192">
        <f t="shared" si="3"/>
        <v>3542.3999999999996</v>
      </c>
      <c r="Q22" s="197"/>
      <c r="R22" s="198" t="s">
        <v>111</v>
      </c>
      <c r="S22" s="200">
        <v>3192</v>
      </c>
      <c r="T22" s="190">
        <v>3.3</v>
      </c>
      <c r="U22" s="190">
        <v>3.26</v>
      </c>
      <c r="V22" s="190"/>
      <c r="W22" s="191">
        <f t="shared" si="4"/>
        <v>3.28</v>
      </c>
      <c r="X22" s="192">
        <f t="shared" si="5"/>
        <v>10469.76</v>
      </c>
      <c r="Y22" s="197"/>
      <c r="Z22" s="198" t="s">
        <v>111</v>
      </c>
      <c r="AA22" s="199">
        <v>1392</v>
      </c>
      <c r="AB22" s="190">
        <v>3.3</v>
      </c>
      <c r="AC22" s="190">
        <v>3.26</v>
      </c>
      <c r="AD22" s="190"/>
      <c r="AE22" s="191">
        <f t="shared" si="6"/>
        <v>3.28</v>
      </c>
      <c r="AF22" s="192">
        <f t="shared" si="7"/>
        <v>4565.7599999999993</v>
      </c>
    </row>
    <row r="23" spans="2:32" ht="70.5" customHeight="1" thickBot="1" x14ac:dyDescent="0.3">
      <c r="B23" s="198" t="s">
        <v>112</v>
      </c>
      <c r="C23" s="199">
        <v>84</v>
      </c>
      <c r="D23" s="190">
        <v>10</v>
      </c>
      <c r="E23" s="190">
        <v>10.9</v>
      </c>
      <c r="F23" s="190">
        <v>12.99</v>
      </c>
      <c r="G23" s="191">
        <f t="shared" si="0"/>
        <v>11.296666666666667</v>
      </c>
      <c r="H23" s="192">
        <f t="shared" si="1"/>
        <v>948.92000000000007</v>
      </c>
      <c r="I23" s="197"/>
      <c r="J23" s="198" t="s">
        <v>112</v>
      </c>
      <c r="K23" s="199">
        <v>84</v>
      </c>
      <c r="L23" s="190">
        <v>10</v>
      </c>
      <c r="M23" s="190">
        <v>10.9</v>
      </c>
      <c r="N23" s="190">
        <v>12.99</v>
      </c>
      <c r="O23" s="191">
        <f t="shared" si="2"/>
        <v>11.296666666666667</v>
      </c>
      <c r="P23" s="192">
        <f t="shared" si="3"/>
        <v>948.92000000000007</v>
      </c>
      <c r="Q23" s="197"/>
      <c r="R23" s="198" t="s">
        <v>112</v>
      </c>
      <c r="S23" s="200">
        <v>252</v>
      </c>
      <c r="T23" s="190">
        <v>10</v>
      </c>
      <c r="U23" s="190">
        <v>10.9</v>
      </c>
      <c r="V23" s="190">
        <v>12.99</v>
      </c>
      <c r="W23" s="191">
        <f t="shared" si="4"/>
        <v>11.296666666666667</v>
      </c>
      <c r="X23" s="192">
        <f t="shared" si="5"/>
        <v>2846.76</v>
      </c>
      <c r="Y23" s="197"/>
      <c r="Z23" s="198" t="s">
        <v>112</v>
      </c>
      <c r="AA23" s="199">
        <v>120</v>
      </c>
      <c r="AB23" s="190">
        <v>10</v>
      </c>
      <c r="AC23" s="190">
        <v>10.9</v>
      </c>
      <c r="AD23" s="190">
        <v>12.99</v>
      </c>
      <c r="AE23" s="191">
        <f t="shared" si="6"/>
        <v>11.296666666666667</v>
      </c>
      <c r="AF23" s="192">
        <f t="shared" si="7"/>
        <v>1355.6</v>
      </c>
    </row>
    <row r="24" spans="2:32" ht="50.1" customHeight="1" thickBot="1" x14ac:dyDescent="0.3">
      <c r="B24" s="198" t="s">
        <v>113</v>
      </c>
      <c r="C24" s="199">
        <v>96</v>
      </c>
      <c r="D24" s="190">
        <v>33.700000000000003</v>
      </c>
      <c r="E24" s="190">
        <v>46.7</v>
      </c>
      <c r="F24" s="190">
        <v>34.79</v>
      </c>
      <c r="G24" s="191">
        <f t="shared" si="0"/>
        <v>38.396666666666668</v>
      </c>
      <c r="H24" s="192">
        <f t="shared" si="1"/>
        <v>3686.08</v>
      </c>
      <c r="I24" s="197"/>
      <c r="J24" s="198" t="s">
        <v>113</v>
      </c>
      <c r="K24" s="199">
        <v>180</v>
      </c>
      <c r="L24" s="190">
        <v>33.700000000000003</v>
      </c>
      <c r="M24" s="190">
        <v>46.7</v>
      </c>
      <c r="N24" s="190">
        <v>34.79</v>
      </c>
      <c r="O24" s="191">
        <f t="shared" si="2"/>
        <v>38.396666666666668</v>
      </c>
      <c r="P24" s="192">
        <f t="shared" si="3"/>
        <v>6911.4000000000005</v>
      </c>
      <c r="Q24" s="197"/>
      <c r="R24" s="198" t="s">
        <v>113</v>
      </c>
      <c r="S24" s="200">
        <v>348</v>
      </c>
      <c r="T24" s="190">
        <v>33.700000000000003</v>
      </c>
      <c r="U24" s="190">
        <v>46.7</v>
      </c>
      <c r="V24" s="190">
        <v>34.79</v>
      </c>
      <c r="W24" s="191">
        <f t="shared" si="4"/>
        <v>38.396666666666668</v>
      </c>
      <c r="X24" s="192">
        <f t="shared" si="5"/>
        <v>13362.04</v>
      </c>
      <c r="Y24" s="197"/>
      <c r="Z24" s="198" t="s">
        <v>113</v>
      </c>
      <c r="AA24" s="199">
        <v>204</v>
      </c>
      <c r="AB24" s="190">
        <v>33.700000000000003</v>
      </c>
      <c r="AC24" s="190">
        <v>46.7</v>
      </c>
      <c r="AD24" s="190">
        <v>34.79</v>
      </c>
      <c r="AE24" s="191">
        <f t="shared" si="6"/>
        <v>38.396666666666668</v>
      </c>
      <c r="AF24" s="192">
        <f t="shared" si="7"/>
        <v>7832.92</v>
      </c>
    </row>
    <row r="25" spans="2:32" ht="50.1" customHeight="1" thickBot="1" x14ac:dyDescent="0.3">
      <c r="B25" s="198" t="s">
        <v>114</v>
      </c>
      <c r="C25" s="199">
        <v>1860</v>
      </c>
      <c r="D25" s="190">
        <v>13</v>
      </c>
      <c r="E25" s="190">
        <v>12.94</v>
      </c>
      <c r="F25" s="190">
        <v>11.16</v>
      </c>
      <c r="G25" s="191">
        <f t="shared" si="0"/>
        <v>12.366666666666665</v>
      </c>
      <c r="H25" s="192">
        <f t="shared" si="1"/>
        <v>23001.999999999996</v>
      </c>
      <c r="I25" s="197"/>
      <c r="J25" s="198" t="s">
        <v>114</v>
      </c>
      <c r="K25" s="199">
        <v>12</v>
      </c>
      <c r="L25" s="190">
        <v>13</v>
      </c>
      <c r="M25" s="190">
        <v>12.94</v>
      </c>
      <c r="N25" s="190">
        <v>11.16</v>
      </c>
      <c r="O25" s="191">
        <f t="shared" si="2"/>
        <v>12.366666666666665</v>
      </c>
      <c r="P25" s="192">
        <f t="shared" si="3"/>
        <v>148.39999999999998</v>
      </c>
      <c r="Q25" s="197"/>
      <c r="R25" s="198" t="s">
        <v>114</v>
      </c>
      <c r="S25" s="200">
        <v>7272</v>
      </c>
      <c r="T25" s="190">
        <v>13</v>
      </c>
      <c r="U25" s="190">
        <v>12.94</v>
      </c>
      <c r="V25" s="190">
        <v>11.16</v>
      </c>
      <c r="W25" s="191">
        <f t="shared" si="4"/>
        <v>12.366666666666665</v>
      </c>
      <c r="X25" s="192">
        <f t="shared" si="5"/>
        <v>89930.4</v>
      </c>
      <c r="Y25" s="197"/>
      <c r="Z25" s="198" t="s">
        <v>114</v>
      </c>
      <c r="AA25" s="199">
        <v>2352</v>
      </c>
      <c r="AB25" s="190">
        <v>13</v>
      </c>
      <c r="AC25" s="190">
        <v>12.94</v>
      </c>
      <c r="AD25" s="190">
        <v>11.16</v>
      </c>
      <c r="AE25" s="191">
        <f t="shared" si="6"/>
        <v>12.366666666666665</v>
      </c>
      <c r="AF25" s="192">
        <f t="shared" si="7"/>
        <v>29086.399999999998</v>
      </c>
    </row>
    <row r="26" spans="2:32" ht="50.1" customHeight="1" thickBot="1" x14ac:dyDescent="0.3">
      <c r="B26" s="198" t="s">
        <v>115</v>
      </c>
      <c r="C26" s="199">
        <v>600</v>
      </c>
      <c r="D26" s="190">
        <v>1.4</v>
      </c>
      <c r="E26" s="190">
        <v>1.56</v>
      </c>
      <c r="F26" s="190">
        <v>1.1499999999999999</v>
      </c>
      <c r="G26" s="191">
        <f t="shared" si="0"/>
        <v>1.3699999999999999</v>
      </c>
      <c r="H26" s="192">
        <f t="shared" si="1"/>
        <v>821.99999999999989</v>
      </c>
      <c r="I26" s="197"/>
      <c r="J26" s="198" t="s">
        <v>115</v>
      </c>
      <c r="K26" s="199">
        <v>1920</v>
      </c>
      <c r="L26" s="190">
        <v>1.4</v>
      </c>
      <c r="M26" s="190">
        <v>1.56</v>
      </c>
      <c r="N26" s="190">
        <v>1.1499999999999999</v>
      </c>
      <c r="O26" s="191">
        <f t="shared" si="2"/>
        <v>1.3699999999999999</v>
      </c>
      <c r="P26" s="192">
        <f t="shared" si="3"/>
        <v>2630.3999999999996</v>
      </c>
      <c r="Q26" s="197"/>
      <c r="R26" s="198" t="s">
        <v>115</v>
      </c>
      <c r="S26" s="200">
        <v>1800</v>
      </c>
      <c r="T26" s="190">
        <v>1.4</v>
      </c>
      <c r="U26" s="190">
        <v>1.56</v>
      </c>
      <c r="V26" s="190">
        <v>1.1499999999999999</v>
      </c>
      <c r="W26" s="191">
        <f t="shared" si="4"/>
        <v>1.3699999999999999</v>
      </c>
      <c r="X26" s="192">
        <f t="shared" si="5"/>
        <v>2466</v>
      </c>
      <c r="Y26" s="197"/>
      <c r="Z26" s="198" t="s">
        <v>115</v>
      </c>
      <c r="AA26" s="199">
        <v>1920</v>
      </c>
      <c r="AB26" s="190">
        <v>1.4</v>
      </c>
      <c r="AC26" s="190">
        <v>1.56</v>
      </c>
      <c r="AD26" s="190">
        <v>1.1499999999999999</v>
      </c>
      <c r="AE26" s="191">
        <f t="shared" si="6"/>
        <v>1.3699999999999999</v>
      </c>
      <c r="AF26" s="192">
        <f t="shared" si="7"/>
        <v>2630.3999999999996</v>
      </c>
    </row>
    <row r="27" spans="2:32" ht="50.1" customHeight="1" thickBot="1" x14ac:dyDescent="0.3">
      <c r="B27" s="198" t="s">
        <v>116</v>
      </c>
      <c r="C27" s="199">
        <v>4</v>
      </c>
      <c r="D27" s="190">
        <v>6.35</v>
      </c>
      <c r="E27" s="190">
        <v>9.5</v>
      </c>
      <c r="F27" s="190">
        <v>7.19</v>
      </c>
      <c r="G27" s="191">
        <f t="shared" si="0"/>
        <v>7.68</v>
      </c>
      <c r="H27" s="192">
        <f t="shared" si="1"/>
        <v>30.72</v>
      </c>
      <c r="I27" s="197"/>
      <c r="J27" s="198" t="s">
        <v>116</v>
      </c>
      <c r="K27" s="199">
        <v>0</v>
      </c>
      <c r="L27" s="190">
        <v>6.35</v>
      </c>
      <c r="M27" s="190">
        <v>9.5</v>
      </c>
      <c r="N27" s="190">
        <v>7.19</v>
      </c>
      <c r="O27" s="191">
        <f t="shared" si="2"/>
        <v>7.68</v>
      </c>
      <c r="P27" s="192">
        <f t="shared" si="3"/>
        <v>0</v>
      </c>
      <c r="Q27" s="197"/>
      <c r="R27" s="198" t="s">
        <v>116</v>
      </c>
      <c r="S27" s="200">
        <v>32</v>
      </c>
      <c r="T27" s="190">
        <v>6.35</v>
      </c>
      <c r="U27" s="190">
        <v>9.5</v>
      </c>
      <c r="V27" s="190">
        <v>7.19</v>
      </c>
      <c r="W27" s="191">
        <f t="shared" si="4"/>
        <v>7.68</v>
      </c>
      <c r="X27" s="192">
        <f t="shared" si="5"/>
        <v>245.76</v>
      </c>
      <c r="Y27" s="197"/>
      <c r="Z27" s="198" t="s">
        <v>116</v>
      </c>
      <c r="AA27" s="199">
        <v>16</v>
      </c>
      <c r="AB27" s="190">
        <v>6.35</v>
      </c>
      <c r="AC27" s="190">
        <v>9.5</v>
      </c>
      <c r="AD27" s="190">
        <v>7.19</v>
      </c>
      <c r="AE27" s="191">
        <f t="shared" si="6"/>
        <v>7.68</v>
      </c>
      <c r="AF27" s="192">
        <f t="shared" si="7"/>
        <v>122.88</v>
      </c>
    </row>
    <row r="28" spans="2:32" ht="50.1" customHeight="1" thickBot="1" x14ac:dyDescent="0.3">
      <c r="B28" s="198" t="s">
        <v>117</v>
      </c>
      <c r="C28" s="199">
        <v>0</v>
      </c>
      <c r="D28" s="190">
        <v>8.31</v>
      </c>
      <c r="E28" s="190">
        <v>9.9</v>
      </c>
      <c r="F28" s="190">
        <v>8.6999999999999993</v>
      </c>
      <c r="G28" s="191">
        <f t="shared" si="0"/>
        <v>8.9700000000000006</v>
      </c>
      <c r="H28" s="192">
        <f t="shared" si="1"/>
        <v>0</v>
      </c>
      <c r="I28" s="197"/>
      <c r="J28" s="198" t="s">
        <v>117</v>
      </c>
      <c r="K28" s="199">
        <v>12</v>
      </c>
      <c r="L28" s="190">
        <v>8.31</v>
      </c>
      <c r="M28" s="190">
        <v>9.9</v>
      </c>
      <c r="N28" s="190">
        <v>8.6999999999999993</v>
      </c>
      <c r="O28" s="191">
        <f t="shared" si="2"/>
        <v>8.9700000000000006</v>
      </c>
      <c r="P28" s="192">
        <f t="shared" si="3"/>
        <v>107.64000000000001</v>
      </c>
      <c r="Q28" s="197"/>
      <c r="R28" s="198" t="s">
        <v>117</v>
      </c>
      <c r="S28" s="200">
        <v>0</v>
      </c>
      <c r="T28" s="190">
        <v>8.31</v>
      </c>
      <c r="U28" s="190">
        <v>9.9</v>
      </c>
      <c r="V28" s="190">
        <v>8.6999999999999993</v>
      </c>
      <c r="W28" s="191">
        <f t="shared" si="4"/>
        <v>8.9700000000000006</v>
      </c>
      <c r="X28" s="192">
        <f t="shared" si="5"/>
        <v>0</v>
      </c>
      <c r="Y28" s="197"/>
      <c r="Z28" s="198" t="s">
        <v>117</v>
      </c>
      <c r="AA28" s="199">
        <v>6</v>
      </c>
      <c r="AB28" s="190">
        <v>8.31</v>
      </c>
      <c r="AC28" s="190">
        <v>9.9</v>
      </c>
      <c r="AD28" s="190">
        <v>8.6999999999999993</v>
      </c>
      <c r="AE28" s="191">
        <f t="shared" si="6"/>
        <v>8.9700000000000006</v>
      </c>
      <c r="AF28" s="192">
        <f t="shared" si="7"/>
        <v>53.820000000000007</v>
      </c>
    </row>
    <row r="29" spans="2:32" ht="50.1" customHeight="1" thickBot="1" x14ac:dyDescent="0.3">
      <c r="B29" s="198" t="s">
        <v>118</v>
      </c>
      <c r="C29" s="199">
        <v>8</v>
      </c>
      <c r="D29" s="190">
        <v>6.5</v>
      </c>
      <c r="E29" s="190">
        <v>5.6</v>
      </c>
      <c r="F29" s="190">
        <v>7.81</v>
      </c>
      <c r="G29" s="191">
        <f t="shared" si="0"/>
        <v>6.6366666666666667</v>
      </c>
      <c r="H29" s="192">
        <f t="shared" si="1"/>
        <v>53.093333333333334</v>
      </c>
      <c r="I29" s="197"/>
      <c r="J29" s="198" t="s">
        <v>118</v>
      </c>
      <c r="K29" s="199">
        <v>32</v>
      </c>
      <c r="L29" s="190">
        <v>6.5</v>
      </c>
      <c r="M29" s="190">
        <v>5.6</v>
      </c>
      <c r="N29" s="190">
        <v>7.81</v>
      </c>
      <c r="O29" s="191">
        <f t="shared" si="2"/>
        <v>6.6366666666666667</v>
      </c>
      <c r="P29" s="192">
        <f t="shared" si="3"/>
        <v>212.37333333333333</v>
      </c>
      <c r="Q29" s="197"/>
      <c r="R29" s="198" t="s">
        <v>118</v>
      </c>
      <c r="S29" s="200">
        <v>32</v>
      </c>
      <c r="T29" s="190">
        <v>6.5</v>
      </c>
      <c r="U29" s="190">
        <v>5.6</v>
      </c>
      <c r="V29" s="190">
        <v>7.81</v>
      </c>
      <c r="W29" s="191">
        <f t="shared" si="4"/>
        <v>6.6366666666666667</v>
      </c>
      <c r="X29" s="192">
        <f t="shared" si="5"/>
        <v>212.37333333333333</v>
      </c>
      <c r="Y29" s="197"/>
      <c r="Z29" s="198" t="s">
        <v>118</v>
      </c>
      <c r="AA29" s="199">
        <v>40</v>
      </c>
      <c r="AB29" s="190">
        <v>6.5</v>
      </c>
      <c r="AC29" s="190">
        <v>5.6</v>
      </c>
      <c r="AD29" s="190">
        <v>7.81</v>
      </c>
      <c r="AE29" s="191">
        <f t="shared" si="6"/>
        <v>6.6366666666666667</v>
      </c>
      <c r="AF29" s="192">
        <f t="shared" si="7"/>
        <v>265.4666666666667</v>
      </c>
    </row>
    <row r="30" spans="2:32" ht="50.1" customHeight="1" thickBot="1" x14ac:dyDescent="0.3">
      <c r="B30" s="198" t="s">
        <v>119</v>
      </c>
      <c r="C30" s="199">
        <v>120</v>
      </c>
      <c r="D30" s="190">
        <v>12.7</v>
      </c>
      <c r="E30" s="190">
        <v>9.74</v>
      </c>
      <c r="F30" s="190">
        <v>9.99</v>
      </c>
      <c r="G30" s="191">
        <f t="shared" si="0"/>
        <v>10.81</v>
      </c>
      <c r="H30" s="192">
        <f t="shared" si="1"/>
        <v>1297.2</v>
      </c>
      <c r="I30" s="197"/>
      <c r="J30" s="198" t="s">
        <v>119</v>
      </c>
      <c r="K30" s="199">
        <v>132</v>
      </c>
      <c r="L30" s="190">
        <v>12.7</v>
      </c>
      <c r="M30" s="190">
        <v>9.74</v>
      </c>
      <c r="N30" s="190">
        <v>9.99</v>
      </c>
      <c r="O30" s="191">
        <f t="shared" si="2"/>
        <v>10.81</v>
      </c>
      <c r="P30" s="192">
        <f t="shared" si="3"/>
        <v>1426.92</v>
      </c>
      <c r="Q30" s="197"/>
      <c r="R30" s="198" t="s">
        <v>119</v>
      </c>
      <c r="S30" s="200">
        <v>384</v>
      </c>
      <c r="T30" s="190">
        <v>12.7</v>
      </c>
      <c r="U30" s="190">
        <v>9.74</v>
      </c>
      <c r="V30" s="190">
        <v>9.99</v>
      </c>
      <c r="W30" s="191">
        <f t="shared" si="4"/>
        <v>10.81</v>
      </c>
      <c r="X30" s="192">
        <f t="shared" si="5"/>
        <v>4151.04</v>
      </c>
      <c r="Y30" s="197"/>
      <c r="Z30" s="198" t="s">
        <v>119</v>
      </c>
      <c r="AA30" s="199">
        <v>120</v>
      </c>
      <c r="AB30" s="190">
        <v>12.7</v>
      </c>
      <c r="AC30" s="190">
        <v>9.74</v>
      </c>
      <c r="AD30" s="190">
        <v>9.99</v>
      </c>
      <c r="AE30" s="191">
        <f t="shared" si="6"/>
        <v>10.81</v>
      </c>
      <c r="AF30" s="192">
        <f t="shared" si="7"/>
        <v>1297.2</v>
      </c>
    </row>
    <row r="31" spans="2:32" ht="50.1" customHeight="1" thickBot="1" x14ac:dyDescent="0.3">
      <c r="B31" s="198" t="s">
        <v>195</v>
      </c>
      <c r="C31" s="199">
        <v>204</v>
      </c>
      <c r="D31" s="190">
        <v>11.43</v>
      </c>
      <c r="E31" s="190">
        <v>12</v>
      </c>
      <c r="F31" s="190">
        <v>9.86</v>
      </c>
      <c r="G31" s="191">
        <f t="shared" si="0"/>
        <v>11.096666666666666</v>
      </c>
      <c r="H31" s="192">
        <f t="shared" si="1"/>
        <v>2263.7199999999998</v>
      </c>
      <c r="I31" s="197"/>
      <c r="J31" s="198" t="s">
        <v>195</v>
      </c>
      <c r="K31" s="199">
        <v>216</v>
      </c>
      <c r="L31" s="190">
        <v>11.43</v>
      </c>
      <c r="M31" s="190">
        <v>12</v>
      </c>
      <c r="N31" s="190">
        <v>9.86</v>
      </c>
      <c r="O31" s="191">
        <f t="shared" si="2"/>
        <v>11.096666666666666</v>
      </c>
      <c r="P31" s="192">
        <f t="shared" si="3"/>
        <v>2396.8799999999997</v>
      </c>
      <c r="Q31" s="197"/>
      <c r="R31" s="198" t="s">
        <v>195</v>
      </c>
      <c r="S31" s="200">
        <v>744</v>
      </c>
      <c r="T31" s="190">
        <v>11.43</v>
      </c>
      <c r="U31" s="190">
        <v>12</v>
      </c>
      <c r="V31" s="190">
        <v>9.86</v>
      </c>
      <c r="W31" s="191">
        <f t="shared" si="4"/>
        <v>11.096666666666666</v>
      </c>
      <c r="X31" s="192">
        <f t="shared" si="5"/>
        <v>8255.92</v>
      </c>
      <c r="Y31" s="197"/>
      <c r="Z31" s="198" t="s">
        <v>195</v>
      </c>
      <c r="AA31" s="199">
        <v>336</v>
      </c>
      <c r="AB31" s="190">
        <v>11.43</v>
      </c>
      <c r="AC31" s="190">
        <v>12</v>
      </c>
      <c r="AD31" s="190">
        <v>9.86</v>
      </c>
      <c r="AE31" s="191">
        <f t="shared" si="6"/>
        <v>11.096666666666666</v>
      </c>
      <c r="AF31" s="192">
        <f t="shared" si="7"/>
        <v>3728.4799999999996</v>
      </c>
    </row>
    <row r="32" spans="2:32" ht="50.1" customHeight="1" thickBot="1" x14ac:dyDescent="0.3">
      <c r="B32" s="198" t="s">
        <v>120</v>
      </c>
      <c r="C32" s="199">
        <v>168</v>
      </c>
      <c r="D32" s="190">
        <v>33.479999999999997</v>
      </c>
      <c r="E32" s="190">
        <v>39.99</v>
      </c>
      <c r="F32" s="190">
        <v>33.9</v>
      </c>
      <c r="G32" s="191">
        <f t="shared" si="0"/>
        <v>35.79</v>
      </c>
      <c r="H32" s="192">
        <f t="shared" si="1"/>
        <v>6012.72</v>
      </c>
      <c r="I32" s="197"/>
      <c r="J32" s="198" t="s">
        <v>120</v>
      </c>
      <c r="K32" s="199">
        <v>132</v>
      </c>
      <c r="L32" s="190">
        <v>33.479999999999997</v>
      </c>
      <c r="M32" s="190">
        <v>39.99</v>
      </c>
      <c r="N32" s="190">
        <v>33.9</v>
      </c>
      <c r="O32" s="191">
        <f t="shared" si="2"/>
        <v>35.79</v>
      </c>
      <c r="P32" s="192">
        <f t="shared" si="3"/>
        <v>4724.28</v>
      </c>
      <c r="Q32" s="197"/>
      <c r="R32" s="198" t="s">
        <v>120</v>
      </c>
      <c r="S32" s="200">
        <v>432</v>
      </c>
      <c r="T32" s="190">
        <v>33.479999999999997</v>
      </c>
      <c r="U32" s="190">
        <v>39.99</v>
      </c>
      <c r="V32" s="190">
        <v>33.9</v>
      </c>
      <c r="W32" s="191">
        <f t="shared" si="4"/>
        <v>35.79</v>
      </c>
      <c r="X32" s="192">
        <f t="shared" si="5"/>
        <v>15461.279999999999</v>
      </c>
      <c r="Y32" s="197"/>
      <c r="Z32" s="198" t="s">
        <v>120</v>
      </c>
      <c r="AA32" s="199">
        <v>216</v>
      </c>
      <c r="AB32" s="190">
        <v>33.479999999999997</v>
      </c>
      <c r="AC32" s="190">
        <v>39.99</v>
      </c>
      <c r="AD32" s="190">
        <v>33.9</v>
      </c>
      <c r="AE32" s="191">
        <f t="shared" si="6"/>
        <v>35.79</v>
      </c>
      <c r="AF32" s="192">
        <f t="shared" si="7"/>
        <v>7730.6399999999994</v>
      </c>
    </row>
    <row r="33" spans="2:32" ht="50.1" customHeight="1" thickBot="1" x14ac:dyDescent="0.3">
      <c r="B33" s="198" t="s">
        <v>121</v>
      </c>
      <c r="C33" s="199">
        <v>84</v>
      </c>
      <c r="D33" s="190">
        <v>42.88</v>
      </c>
      <c r="E33" s="190">
        <v>39.979999999999997</v>
      </c>
      <c r="F33" s="190">
        <v>26.5</v>
      </c>
      <c r="G33" s="191">
        <f t="shared" si="0"/>
        <v>36.453333333333333</v>
      </c>
      <c r="H33" s="192">
        <f t="shared" si="1"/>
        <v>3062.08</v>
      </c>
      <c r="I33" s="197"/>
      <c r="J33" s="198" t="s">
        <v>121</v>
      </c>
      <c r="K33" s="199">
        <v>108</v>
      </c>
      <c r="L33" s="190">
        <v>42.88</v>
      </c>
      <c r="M33" s="190">
        <v>39.979999999999997</v>
      </c>
      <c r="N33" s="190">
        <v>26.5</v>
      </c>
      <c r="O33" s="191">
        <f t="shared" si="2"/>
        <v>36.453333333333333</v>
      </c>
      <c r="P33" s="192">
        <f t="shared" si="3"/>
        <v>3936.96</v>
      </c>
      <c r="Q33" s="197"/>
      <c r="R33" s="198" t="s">
        <v>121</v>
      </c>
      <c r="S33" s="200">
        <v>360</v>
      </c>
      <c r="T33" s="190">
        <v>42.88</v>
      </c>
      <c r="U33" s="190">
        <v>39.979999999999997</v>
      </c>
      <c r="V33" s="190">
        <v>26.5</v>
      </c>
      <c r="W33" s="191">
        <f t="shared" si="4"/>
        <v>36.453333333333333</v>
      </c>
      <c r="X33" s="192">
        <f t="shared" si="5"/>
        <v>13123.2</v>
      </c>
      <c r="Y33" s="197"/>
      <c r="Z33" s="198" t="s">
        <v>121</v>
      </c>
      <c r="AA33" s="199">
        <v>228</v>
      </c>
      <c r="AB33" s="190">
        <v>42.88</v>
      </c>
      <c r="AC33" s="190">
        <v>39.979999999999997</v>
      </c>
      <c r="AD33" s="190">
        <v>26.5</v>
      </c>
      <c r="AE33" s="191">
        <f t="shared" si="6"/>
        <v>36.453333333333333</v>
      </c>
      <c r="AF33" s="192">
        <f t="shared" si="7"/>
        <v>8311.36</v>
      </c>
    </row>
    <row r="34" spans="2:32" ht="50.1" customHeight="1" thickBot="1" x14ac:dyDescent="0.3">
      <c r="B34" s="198" t="s">
        <v>122</v>
      </c>
      <c r="C34" s="199">
        <v>96</v>
      </c>
      <c r="D34" s="190">
        <v>8</v>
      </c>
      <c r="E34" s="190">
        <v>8.7799999999999994</v>
      </c>
      <c r="F34" s="190">
        <v>9.9</v>
      </c>
      <c r="G34" s="191">
        <f t="shared" si="0"/>
        <v>8.8933333333333326</v>
      </c>
      <c r="H34" s="192">
        <f t="shared" si="1"/>
        <v>853.76</v>
      </c>
      <c r="I34" s="197"/>
      <c r="J34" s="198" t="s">
        <v>122</v>
      </c>
      <c r="K34" s="199">
        <v>192</v>
      </c>
      <c r="L34" s="190">
        <v>8</v>
      </c>
      <c r="M34" s="190">
        <v>8.7799999999999994</v>
      </c>
      <c r="N34" s="190">
        <v>9.9</v>
      </c>
      <c r="O34" s="191">
        <f t="shared" si="2"/>
        <v>8.8933333333333326</v>
      </c>
      <c r="P34" s="192">
        <f t="shared" si="3"/>
        <v>1707.52</v>
      </c>
      <c r="Q34" s="197"/>
      <c r="R34" s="198" t="s">
        <v>122</v>
      </c>
      <c r="S34" s="200">
        <v>384</v>
      </c>
      <c r="T34" s="190">
        <v>8</v>
      </c>
      <c r="U34" s="190">
        <v>8.7799999999999994</v>
      </c>
      <c r="V34" s="190">
        <v>9.9</v>
      </c>
      <c r="W34" s="191">
        <f t="shared" si="4"/>
        <v>8.8933333333333326</v>
      </c>
      <c r="X34" s="192">
        <f t="shared" si="5"/>
        <v>3415.04</v>
      </c>
      <c r="Y34" s="197"/>
      <c r="Z34" s="198" t="s">
        <v>122</v>
      </c>
      <c r="AA34" s="199">
        <v>312</v>
      </c>
      <c r="AB34" s="190">
        <v>8</v>
      </c>
      <c r="AC34" s="190">
        <v>8.7799999999999994</v>
      </c>
      <c r="AD34" s="190">
        <v>9.9</v>
      </c>
      <c r="AE34" s="191">
        <f t="shared" si="6"/>
        <v>8.8933333333333326</v>
      </c>
      <c r="AF34" s="192">
        <f t="shared" si="7"/>
        <v>2774.72</v>
      </c>
    </row>
    <row r="35" spans="2:32" ht="50.1" customHeight="1" thickBot="1" x14ac:dyDescent="0.3">
      <c r="B35" s="198" t="s">
        <v>123</v>
      </c>
      <c r="C35" s="199">
        <v>168</v>
      </c>
      <c r="D35" s="190">
        <v>17.07</v>
      </c>
      <c r="E35" s="190">
        <v>18.64</v>
      </c>
      <c r="F35" s="190">
        <v>11.16</v>
      </c>
      <c r="G35" s="191">
        <f t="shared" si="0"/>
        <v>15.623333333333335</v>
      </c>
      <c r="H35" s="192">
        <f t="shared" si="1"/>
        <v>2624.7200000000003</v>
      </c>
      <c r="I35" s="197"/>
      <c r="J35" s="198" t="s">
        <v>123</v>
      </c>
      <c r="K35" s="199">
        <v>192</v>
      </c>
      <c r="L35" s="190">
        <v>17.07</v>
      </c>
      <c r="M35" s="190">
        <v>18.64</v>
      </c>
      <c r="N35" s="190">
        <v>11.16</v>
      </c>
      <c r="O35" s="191">
        <f t="shared" si="2"/>
        <v>15.623333333333335</v>
      </c>
      <c r="P35" s="192">
        <f t="shared" si="3"/>
        <v>2999.6800000000003</v>
      </c>
      <c r="Q35" s="197"/>
      <c r="R35" s="198" t="s">
        <v>123</v>
      </c>
      <c r="S35" s="200">
        <v>384</v>
      </c>
      <c r="T35" s="190">
        <v>17.07</v>
      </c>
      <c r="U35" s="190">
        <v>18.64</v>
      </c>
      <c r="V35" s="190">
        <v>11.16</v>
      </c>
      <c r="W35" s="191">
        <f t="shared" si="4"/>
        <v>15.623333333333335</v>
      </c>
      <c r="X35" s="192">
        <f t="shared" si="5"/>
        <v>5999.3600000000006</v>
      </c>
      <c r="Y35" s="197"/>
      <c r="Z35" s="198" t="s">
        <v>123</v>
      </c>
      <c r="AA35" s="199">
        <v>276</v>
      </c>
      <c r="AB35" s="190">
        <v>17.07</v>
      </c>
      <c r="AC35" s="190">
        <v>18.64</v>
      </c>
      <c r="AD35" s="190">
        <v>11.16</v>
      </c>
      <c r="AE35" s="191">
        <f t="shared" si="6"/>
        <v>15.623333333333335</v>
      </c>
      <c r="AF35" s="192">
        <f t="shared" si="7"/>
        <v>4312.0400000000009</v>
      </c>
    </row>
    <row r="36" spans="2:32" ht="50.1" customHeight="1" thickBot="1" x14ac:dyDescent="0.3">
      <c r="B36" s="198" t="s">
        <v>124</v>
      </c>
      <c r="C36" s="199">
        <v>10</v>
      </c>
      <c r="D36" s="190">
        <v>2.7</v>
      </c>
      <c r="E36" s="190">
        <v>3.79</v>
      </c>
      <c r="F36" s="190">
        <v>2.44</v>
      </c>
      <c r="G36" s="191">
        <f t="shared" si="0"/>
        <v>2.9766666666666666</v>
      </c>
      <c r="H36" s="192">
        <f t="shared" si="1"/>
        <v>29.766666666666666</v>
      </c>
      <c r="I36" s="197"/>
      <c r="J36" s="198" t="s">
        <v>124</v>
      </c>
      <c r="K36" s="199">
        <v>4</v>
      </c>
      <c r="L36" s="190">
        <v>2.7</v>
      </c>
      <c r="M36" s="190">
        <v>3.79</v>
      </c>
      <c r="N36" s="190">
        <v>2.44</v>
      </c>
      <c r="O36" s="191">
        <f t="shared" si="2"/>
        <v>2.9766666666666666</v>
      </c>
      <c r="P36" s="192">
        <f t="shared" si="3"/>
        <v>11.906666666666666</v>
      </c>
      <c r="Q36" s="197"/>
      <c r="R36" s="198" t="s">
        <v>124</v>
      </c>
      <c r="S36" s="200">
        <v>12</v>
      </c>
      <c r="T36" s="190">
        <v>2.7</v>
      </c>
      <c r="U36" s="190">
        <v>3.79</v>
      </c>
      <c r="V36" s="190">
        <v>2.44</v>
      </c>
      <c r="W36" s="191">
        <f t="shared" si="4"/>
        <v>2.9766666666666666</v>
      </c>
      <c r="X36" s="192">
        <f t="shared" si="5"/>
        <v>35.72</v>
      </c>
      <c r="Y36" s="197"/>
      <c r="Z36" s="198" t="s">
        <v>124</v>
      </c>
      <c r="AA36" s="199">
        <v>20</v>
      </c>
      <c r="AB36" s="190">
        <v>2.7</v>
      </c>
      <c r="AC36" s="190">
        <v>3.79</v>
      </c>
      <c r="AD36" s="190">
        <v>2.44</v>
      </c>
      <c r="AE36" s="191">
        <f t="shared" si="6"/>
        <v>2.9766666666666666</v>
      </c>
      <c r="AF36" s="192">
        <f t="shared" si="7"/>
        <v>59.533333333333331</v>
      </c>
    </row>
    <row r="37" spans="2:32" ht="50.1" customHeight="1" thickBot="1" x14ac:dyDescent="0.3">
      <c r="B37" s="198" t="s">
        <v>125</v>
      </c>
      <c r="C37" s="199">
        <v>4</v>
      </c>
      <c r="D37" s="190">
        <v>9.5</v>
      </c>
      <c r="E37" s="190">
        <v>9.5</v>
      </c>
      <c r="F37" s="190">
        <v>14.38</v>
      </c>
      <c r="G37" s="191">
        <f t="shared" si="0"/>
        <v>11.126666666666667</v>
      </c>
      <c r="H37" s="192">
        <f t="shared" si="1"/>
        <v>44.506666666666668</v>
      </c>
      <c r="I37" s="197"/>
      <c r="J37" s="198" t="s">
        <v>125</v>
      </c>
      <c r="K37" s="199">
        <v>0</v>
      </c>
      <c r="L37" s="190">
        <v>9.5</v>
      </c>
      <c r="M37" s="190">
        <v>9.5</v>
      </c>
      <c r="N37" s="190">
        <v>14.38</v>
      </c>
      <c r="O37" s="191">
        <f t="shared" si="2"/>
        <v>11.126666666666667</v>
      </c>
      <c r="P37" s="192">
        <f t="shared" si="3"/>
        <v>0</v>
      </c>
      <c r="Q37" s="197"/>
      <c r="R37" s="198" t="s">
        <v>125</v>
      </c>
      <c r="S37" s="200">
        <v>10</v>
      </c>
      <c r="T37" s="190">
        <v>9.5</v>
      </c>
      <c r="U37" s="190">
        <v>9.5</v>
      </c>
      <c r="V37" s="190">
        <v>14.38</v>
      </c>
      <c r="W37" s="191">
        <f t="shared" si="4"/>
        <v>11.126666666666667</v>
      </c>
      <c r="X37" s="192">
        <f t="shared" si="5"/>
        <v>111.26666666666667</v>
      </c>
      <c r="Y37" s="197"/>
      <c r="Z37" s="198" t="s">
        <v>125</v>
      </c>
      <c r="AA37" s="199">
        <v>8</v>
      </c>
      <c r="AB37" s="190">
        <v>9.5</v>
      </c>
      <c r="AC37" s="190">
        <v>9.5</v>
      </c>
      <c r="AD37" s="190">
        <v>14.38</v>
      </c>
      <c r="AE37" s="191">
        <f t="shared" si="6"/>
        <v>11.126666666666667</v>
      </c>
      <c r="AF37" s="192">
        <f t="shared" si="7"/>
        <v>89.013333333333335</v>
      </c>
    </row>
    <row r="38" spans="2:32" ht="50.1" customHeight="1" thickBot="1" x14ac:dyDescent="0.3">
      <c r="B38" s="198" t="s">
        <v>126</v>
      </c>
      <c r="C38" s="199">
        <v>20</v>
      </c>
      <c r="D38" s="190">
        <v>8.75</v>
      </c>
      <c r="E38" s="190">
        <v>8.25</v>
      </c>
      <c r="F38" s="190">
        <v>8.1</v>
      </c>
      <c r="G38" s="191">
        <f t="shared" si="0"/>
        <v>8.3666666666666671</v>
      </c>
      <c r="H38" s="192">
        <f t="shared" si="1"/>
        <v>167.33333333333334</v>
      </c>
      <c r="I38" s="197"/>
      <c r="J38" s="198" t="s">
        <v>126</v>
      </c>
      <c r="K38" s="199">
        <v>34</v>
      </c>
      <c r="L38" s="190">
        <v>8.75</v>
      </c>
      <c r="M38" s="190">
        <v>8.25</v>
      </c>
      <c r="N38" s="190">
        <v>8.1</v>
      </c>
      <c r="O38" s="191">
        <f t="shared" si="2"/>
        <v>8.3666666666666671</v>
      </c>
      <c r="P38" s="192">
        <f t="shared" si="3"/>
        <v>284.4666666666667</v>
      </c>
      <c r="Q38" s="197"/>
      <c r="R38" s="198" t="s">
        <v>126</v>
      </c>
      <c r="S38" s="200">
        <v>68</v>
      </c>
      <c r="T38" s="190">
        <v>8.75</v>
      </c>
      <c r="U38" s="190">
        <v>8.25</v>
      </c>
      <c r="V38" s="190">
        <v>8.1</v>
      </c>
      <c r="W38" s="191">
        <f t="shared" si="4"/>
        <v>8.3666666666666671</v>
      </c>
      <c r="X38" s="192">
        <f t="shared" si="5"/>
        <v>568.93333333333339</v>
      </c>
      <c r="Y38" s="197"/>
      <c r="Z38" s="198" t="s">
        <v>126</v>
      </c>
      <c r="AA38" s="199">
        <v>40</v>
      </c>
      <c r="AB38" s="190">
        <v>8.75</v>
      </c>
      <c r="AC38" s="190">
        <v>8.25</v>
      </c>
      <c r="AD38" s="190">
        <v>8.1</v>
      </c>
      <c r="AE38" s="191">
        <f t="shared" si="6"/>
        <v>8.3666666666666671</v>
      </c>
      <c r="AF38" s="192">
        <f t="shared" si="7"/>
        <v>334.66666666666669</v>
      </c>
    </row>
    <row r="39" spans="2:32" ht="38.25" x14ac:dyDescent="0.25">
      <c r="B39" s="201" t="s">
        <v>127</v>
      </c>
      <c r="C39" s="202">
        <v>20</v>
      </c>
      <c r="D39" s="190">
        <v>5.95</v>
      </c>
      <c r="E39" s="190">
        <v>5.85</v>
      </c>
      <c r="F39" s="190">
        <v>8</v>
      </c>
      <c r="G39" s="191">
        <f t="shared" si="0"/>
        <v>6.6000000000000005</v>
      </c>
      <c r="H39" s="192">
        <f t="shared" si="1"/>
        <v>132</v>
      </c>
      <c r="I39" s="197"/>
      <c r="J39" s="201" t="s">
        <v>127</v>
      </c>
      <c r="K39" s="202">
        <v>34</v>
      </c>
      <c r="L39" s="190">
        <v>5.95</v>
      </c>
      <c r="M39" s="190">
        <v>5.85</v>
      </c>
      <c r="N39" s="190">
        <v>8</v>
      </c>
      <c r="O39" s="191">
        <f t="shared" si="2"/>
        <v>6.6000000000000005</v>
      </c>
      <c r="P39" s="192">
        <f t="shared" si="3"/>
        <v>224.4</v>
      </c>
      <c r="Q39" s="197"/>
      <c r="R39" s="201" t="s">
        <v>127</v>
      </c>
      <c r="S39" s="200">
        <v>62</v>
      </c>
      <c r="T39" s="190">
        <v>5.95</v>
      </c>
      <c r="U39" s="190">
        <v>5.85</v>
      </c>
      <c r="V39" s="190">
        <v>8</v>
      </c>
      <c r="W39" s="191">
        <f t="shared" si="4"/>
        <v>6.6000000000000005</v>
      </c>
      <c r="X39" s="192">
        <f t="shared" si="5"/>
        <v>409.20000000000005</v>
      </c>
      <c r="Y39" s="197"/>
      <c r="Z39" s="201" t="s">
        <v>127</v>
      </c>
      <c r="AA39" s="202">
        <v>40</v>
      </c>
      <c r="AB39" s="190">
        <v>5.95</v>
      </c>
      <c r="AC39" s="190">
        <v>5.85</v>
      </c>
      <c r="AD39" s="190">
        <v>8</v>
      </c>
      <c r="AE39" s="191">
        <f t="shared" si="6"/>
        <v>6.6000000000000005</v>
      </c>
      <c r="AF39" s="192">
        <f t="shared" si="7"/>
        <v>264</v>
      </c>
    </row>
    <row r="40" spans="2:32" ht="50.1" customHeight="1" x14ac:dyDescent="0.25">
      <c r="B40" s="203" t="s">
        <v>93</v>
      </c>
      <c r="C40" s="204"/>
      <c r="D40" s="204"/>
      <c r="E40" s="204"/>
      <c r="F40" s="204"/>
      <c r="G40" s="205"/>
      <c r="H40" s="192">
        <f>SUM(H5:H39)</f>
        <v>73479.646666666638</v>
      </c>
      <c r="I40" s="197"/>
      <c r="J40" s="203" t="s">
        <v>93</v>
      </c>
      <c r="K40" s="204"/>
      <c r="L40" s="204"/>
      <c r="M40" s="204"/>
      <c r="N40" s="204"/>
      <c r="O40" s="205"/>
      <c r="P40" s="192">
        <f>SUM(P5:P39)</f>
        <v>59175.05333333333</v>
      </c>
      <c r="Q40" s="197"/>
      <c r="R40" s="203" t="s">
        <v>93</v>
      </c>
      <c r="S40" s="204"/>
      <c r="T40" s="204"/>
      <c r="U40" s="204"/>
      <c r="V40" s="204"/>
      <c r="W40" s="205"/>
      <c r="X40" s="192">
        <f>SUM(X5:X39)</f>
        <v>255559.16000000003</v>
      </c>
      <c r="Y40" s="197"/>
      <c r="Z40" s="203" t="s">
        <v>93</v>
      </c>
      <c r="AA40" s="204"/>
      <c r="AB40" s="204"/>
      <c r="AC40" s="204"/>
      <c r="AD40" s="204"/>
      <c r="AE40" s="205"/>
      <c r="AF40" s="192">
        <f>SUM(AF5:AF39)</f>
        <v>120612.82</v>
      </c>
    </row>
    <row r="41" spans="2:32" ht="50.1" customHeight="1" x14ac:dyDescent="0.25">
      <c r="B41" s="206" t="s">
        <v>149</v>
      </c>
      <c r="C41" s="207"/>
      <c r="D41" s="207"/>
      <c r="E41" s="207"/>
      <c r="F41" s="207"/>
      <c r="G41" s="208"/>
      <c r="H41" s="192">
        <f>H40/Áreas!E9</f>
        <v>7347.964666666664</v>
      </c>
      <c r="I41" s="197"/>
      <c r="J41" s="206" t="s">
        <v>149</v>
      </c>
      <c r="K41" s="207"/>
      <c r="L41" s="207"/>
      <c r="M41" s="207"/>
      <c r="N41" s="207"/>
      <c r="O41" s="208"/>
      <c r="P41" s="192">
        <f>P40/Áreas!J9</f>
        <v>8453.5790476190468</v>
      </c>
      <c r="Q41" s="197"/>
      <c r="R41" s="206" t="s">
        <v>149</v>
      </c>
      <c r="S41" s="207"/>
      <c r="T41" s="207"/>
      <c r="U41" s="207"/>
      <c r="V41" s="207"/>
      <c r="W41" s="208"/>
      <c r="X41" s="192">
        <f>X40/Áreas!O9</f>
        <v>8812.3848275862074</v>
      </c>
      <c r="Y41" s="197"/>
      <c r="Z41" s="206" t="s">
        <v>149</v>
      </c>
      <c r="AA41" s="207"/>
      <c r="AB41" s="207"/>
      <c r="AC41" s="207"/>
      <c r="AD41" s="207"/>
      <c r="AE41" s="208"/>
      <c r="AF41" s="192">
        <f>AF40/Áreas!T9</f>
        <v>7094.8717647058829</v>
      </c>
    </row>
    <row r="42" spans="2:32" ht="50.1" customHeight="1" x14ac:dyDescent="0.25">
      <c r="B42" s="206" t="s">
        <v>150</v>
      </c>
      <c r="C42" s="207"/>
      <c r="D42" s="207"/>
      <c r="E42" s="207"/>
      <c r="F42" s="207"/>
      <c r="G42" s="208"/>
      <c r="H42" s="192">
        <f>H41/12</f>
        <v>612.33038888888871</v>
      </c>
      <c r="I42" s="197"/>
      <c r="J42" s="206" t="s">
        <v>150</v>
      </c>
      <c r="K42" s="207"/>
      <c r="L42" s="207"/>
      <c r="M42" s="207"/>
      <c r="N42" s="207"/>
      <c r="O42" s="208"/>
      <c r="P42" s="192">
        <f>P41/12</f>
        <v>704.46492063492053</v>
      </c>
      <c r="Q42" s="197"/>
      <c r="R42" s="206" t="s">
        <v>150</v>
      </c>
      <c r="S42" s="207"/>
      <c r="T42" s="207"/>
      <c r="U42" s="207"/>
      <c r="V42" s="207"/>
      <c r="W42" s="208"/>
      <c r="X42" s="192">
        <f>X41/12</f>
        <v>734.36540229885065</v>
      </c>
      <c r="Y42" s="197"/>
      <c r="Z42" s="206" t="s">
        <v>150</v>
      </c>
      <c r="AA42" s="207"/>
      <c r="AB42" s="207"/>
      <c r="AC42" s="207"/>
      <c r="AD42" s="207"/>
      <c r="AE42" s="208"/>
      <c r="AF42" s="192">
        <f>AF41/12</f>
        <v>591.23931372549021</v>
      </c>
    </row>
  </sheetData>
  <mergeCells count="17">
    <mergeCell ref="J41:O41"/>
    <mergeCell ref="J42:O42"/>
    <mergeCell ref="C2:H2"/>
    <mergeCell ref="B1:G1"/>
    <mergeCell ref="J1:O1"/>
    <mergeCell ref="B40:G40"/>
    <mergeCell ref="J40:O40"/>
    <mergeCell ref="B41:G41"/>
    <mergeCell ref="B42:G42"/>
    <mergeCell ref="R1:W1"/>
    <mergeCell ref="R41:W41"/>
    <mergeCell ref="R42:W42"/>
    <mergeCell ref="Z1:AE1"/>
    <mergeCell ref="Z41:AE41"/>
    <mergeCell ref="Z42:AE42"/>
    <mergeCell ref="R40:W40"/>
    <mergeCell ref="Z40:AE40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/>
  <dimension ref="B1:T11"/>
  <sheetViews>
    <sheetView view="pageBreakPreview" zoomScale="70" zoomScaleNormal="125" zoomScaleSheetLayoutView="70" workbookViewId="0">
      <selection activeCell="E9" sqref="E9"/>
    </sheetView>
  </sheetViews>
  <sheetFormatPr defaultColWidth="8.85546875" defaultRowHeight="50.1" customHeight="1" x14ac:dyDescent="0.25"/>
  <cols>
    <col min="1" max="1" width="7.85546875" customWidth="1"/>
    <col min="2" max="2" width="19.85546875" style="26" customWidth="1"/>
    <col min="3" max="4" width="19.85546875" customWidth="1"/>
    <col min="5" max="5" width="21.28515625" customWidth="1"/>
    <col min="6" max="6" width="14.85546875" bestFit="1" customWidth="1"/>
    <col min="7" max="7" width="20.7109375" customWidth="1"/>
    <col min="8" max="8" width="19.7109375" customWidth="1"/>
    <col min="9" max="11" width="13.85546875" customWidth="1"/>
    <col min="12" max="12" width="24.5703125" customWidth="1"/>
    <col min="13" max="13" width="26.28515625" customWidth="1"/>
    <col min="14" max="14" width="23.5703125" customWidth="1"/>
    <col min="15" max="15" width="18" customWidth="1"/>
    <col min="17" max="17" width="20.5703125" customWidth="1"/>
    <col min="18" max="18" width="21.42578125" customWidth="1"/>
    <col min="19" max="19" width="21.28515625" customWidth="1"/>
    <col min="20" max="20" width="30.5703125" customWidth="1"/>
  </cols>
  <sheetData>
    <row r="1" spans="2:20" ht="43.5" customHeight="1" x14ac:dyDescent="0.25">
      <c r="B1" s="181" t="s">
        <v>145</v>
      </c>
      <c r="C1" s="181"/>
      <c r="D1" s="181"/>
      <c r="E1" s="6" t="str">
        <f>'44H'!D1</f>
        <v>LOTE 1</v>
      </c>
      <c r="G1" s="181" t="s">
        <v>145</v>
      </c>
      <c r="H1" s="181"/>
      <c r="I1" s="181"/>
      <c r="J1" s="6" t="s">
        <v>176</v>
      </c>
      <c r="L1" s="181" t="s">
        <v>145</v>
      </c>
      <c r="M1" s="181"/>
      <c r="N1" s="181"/>
      <c r="O1" s="6" t="s">
        <v>177</v>
      </c>
      <c r="Q1" s="181" t="s">
        <v>145</v>
      </c>
      <c r="R1" s="181"/>
      <c r="S1" s="181"/>
      <c r="T1" s="6" t="s">
        <v>178</v>
      </c>
    </row>
    <row r="2" spans="2:20" ht="17.100000000000001" customHeight="1" x14ac:dyDescent="0.25">
      <c r="B2" s="27" t="s">
        <v>77</v>
      </c>
      <c r="C2" s="6"/>
      <c r="D2" s="6"/>
      <c r="G2" s="27" t="s">
        <v>77</v>
      </c>
      <c r="H2" s="6"/>
      <c r="I2" s="6"/>
      <c r="L2" s="27" t="s">
        <v>77</v>
      </c>
      <c r="M2" s="6"/>
      <c r="N2" s="6"/>
      <c r="Q2" s="27" t="s">
        <v>77</v>
      </c>
      <c r="R2" s="6"/>
      <c r="S2" s="6"/>
    </row>
    <row r="3" spans="2:20" ht="17.100000000000001" customHeight="1" x14ac:dyDescent="0.25">
      <c r="B3" s="27"/>
      <c r="C3" s="6"/>
      <c r="D3" s="6"/>
      <c r="G3" s="27"/>
      <c r="H3" s="6"/>
      <c r="I3" s="6"/>
      <c r="L3" s="27"/>
      <c r="M3" s="6"/>
      <c r="N3" s="6"/>
      <c r="Q3" s="27"/>
      <c r="R3" s="6"/>
      <c r="S3" s="6"/>
    </row>
    <row r="4" spans="2:20" ht="50.1" customHeight="1" x14ac:dyDescent="0.25">
      <c r="B4" s="182" t="s">
        <v>140</v>
      </c>
      <c r="C4" s="183"/>
      <c r="D4" s="183"/>
      <c r="E4" s="184"/>
      <c r="G4" s="182" t="s">
        <v>176</v>
      </c>
      <c r="H4" s="183"/>
      <c r="I4" s="183"/>
      <c r="J4" s="184"/>
      <c r="L4" s="182" t="s">
        <v>177</v>
      </c>
      <c r="M4" s="183"/>
      <c r="N4" s="183"/>
      <c r="O4" s="184"/>
      <c r="Q4" s="182" t="s">
        <v>178</v>
      </c>
      <c r="R4" s="183"/>
      <c r="S4" s="183"/>
      <c r="T4" s="184"/>
    </row>
    <row r="5" spans="2:20" ht="75" x14ac:dyDescent="0.25">
      <c r="B5" s="7" t="s">
        <v>138</v>
      </c>
      <c r="C5" s="7" t="s">
        <v>141</v>
      </c>
      <c r="D5" s="5" t="s">
        <v>142</v>
      </c>
      <c r="E5" s="5" t="s">
        <v>143</v>
      </c>
      <c r="G5" s="7" t="s">
        <v>138</v>
      </c>
      <c r="H5" s="7" t="s">
        <v>141</v>
      </c>
      <c r="I5" s="5" t="s">
        <v>142</v>
      </c>
      <c r="J5" s="5" t="s">
        <v>143</v>
      </c>
      <c r="L5" s="7" t="s">
        <v>138</v>
      </c>
      <c r="M5" s="7" t="s">
        <v>141</v>
      </c>
      <c r="N5" s="5" t="s">
        <v>142</v>
      </c>
      <c r="O5" s="5" t="s">
        <v>143</v>
      </c>
      <c r="Q5" s="7" t="s">
        <v>138</v>
      </c>
      <c r="R5" s="7" t="s">
        <v>141</v>
      </c>
      <c r="S5" s="5" t="s">
        <v>142</v>
      </c>
      <c r="T5" s="5" t="s">
        <v>143</v>
      </c>
    </row>
    <row r="6" spans="2:20" ht="50.1" customHeight="1" x14ac:dyDescent="0.25">
      <c r="B6" s="7" t="s">
        <v>139</v>
      </c>
      <c r="C6" s="81">
        <v>4142.8100000000004</v>
      </c>
      <c r="D6" s="68">
        <v>800</v>
      </c>
      <c r="E6" s="82">
        <f>C6/D6</f>
        <v>5.1785125000000001</v>
      </c>
      <c r="G6" s="7" t="s">
        <v>139</v>
      </c>
      <c r="H6" s="81">
        <v>3127.58</v>
      </c>
      <c r="I6" s="68">
        <v>800</v>
      </c>
      <c r="J6" s="120">
        <f>H6/I6</f>
        <v>3.909475</v>
      </c>
      <c r="L6" s="7" t="s">
        <v>139</v>
      </c>
      <c r="M6" s="81">
        <v>11796.53</v>
      </c>
      <c r="N6" s="68">
        <v>800</v>
      </c>
      <c r="O6" s="82">
        <f>M6/N6</f>
        <v>14.745662500000002</v>
      </c>
      <c r="Q6" s="7" t="s">
        <v>139</v>
      </c>
      <c r="R6" s="81">
        <v>7662.57</v>
      </c>
      <c r="S6" s="68">
        <v>800</v>
      </c>
      <c r="T6" s="82">
        <f>R6/S6</f>
        <v>9.5782124999999994</v>
      </c>
    </row>
    <row r="7" spans="2:20" ht="50.1" customHeight="1" x14ac:dyDescent="0.25">
      <c r="B7" s="7" t="s">
        <v>151</v>
      </c>
      <c r="C7" s="81">
        <v>416.63</v>
      </c>
      <c r="D7" s="68">
        <v>200</v>
      </c>
      <c r="E7" s="82">
        <f>C7/D7</f>
        <v>2.0831499999999998</v>
      </c>
      <c r="G7" s="7" t="s">
        <v>151</v>
      </c>
      <c r="H7" s="81">
        <v>296.94</v>
      </c>
      <c r="I7" s="68">
        <v>200</v>
      </c>
      <c r="J7" s="120">
        <f>H7/I7</f>
        <v>1.4846999999999999</v>
      </c>
      <c r="L7" s="7" t="s">
        <v>151</v>
      </c>
      <c r="M7" s="81">
        <v>1243.99</v>
      </c>
      <c r="N7" s="68">
        <v>200</v>
      </c>
      <c r="O7" s="82">
        <f>M7/N7</f>
        <v>6.2199499999999999</v>
      </c>
      <c r="Q7" s="7" t="s">
        <v>151</v>
      </c>
      <c r="R7" s="81">
        <v>683.02</v>
      </c>
      <c r="S7" s="68">
        <v>200</v>
      </c>
      <c r="T7" s="82">
        <f>R7/S7</f>
        <v>3.4150999999999998</v>
      </c>
    </row>
    <row r="8" spans="2:20" ht="50.1" customHeight="1" x14ac:dyDescent="0.25">
      <c r="B8" s="7" t="s">
        <v>152</v>
      </c>
      <c r="C8" s="81">
        <v>4641.93</v>
      </c>
      <c r="D8" s="68">
        <v>1800</v>
      </c>
      <c r="E8" s="82">
        <f>C8/D8</f>
        <v>2.5788500000000001</v>
      </c>
      <c r="G8" s="7" t="s">
        <v>152</v>
      </c>
      <c r="H8" s="81">
        <v>3517.48</v>
      </c>
      <c r="I8" s="68">
        <v>1800</v>
      </c>
      <c r="J8" s="121">
        <f>H8/I8</f>
        <v>1.9541555555555556</v>
      </c>
      <c r="L8" s="7" t="s">
        <v>152</v>
      </c>
      <c r="M8" s="81">
        <v>14888.31</v>
      </c>
      <c r="N8" s="68">
        <v>1800</v>
      </c>
      <c r="O8" s="82">
        <f>M8/N8</f>
        <v>8.2712833333333329</v>
      </c>
      <c r="Q8" s="7" t="s">
        <v>152</v>
      </c>
      <c r="R8" s="81">
        <v>7191.54</v>
      </c>
      <c r="S8" s="68">
        <v>1800</v>
      </c>
      <c r="T8" s="82">
        <f>R8/S8</f>
        <v>3.9952999999999999</v>
      </c>
    </row>
    <row r="9" spans="2:20" ht="50.1" customHeight="1" x14ac:dyDescent="0.25">
      <c r="B9" s="185" t="s">
        <v>93</v>
      </c>
      <c r="C9" s="185"/>
      <c r="D9" s="185"/>
      <c r="E9" s="107">
        <f>ROUND(E6+E7+E8,0)</f>
        <v>10</v>
      </c>
      <c r="G9" s="185" t="s">
        <v>93</v>
      </c>
      <c r="H9" s="185"/>
      <c r="I9" s="185"/>
      <c r="J9" s="122">
        <f>ROUND(J6+J7+J8,0)</f>
        <v>7</v>
      </c>
      <c r="L9" s="185" t="s">
        <v>93</v>
      </c>
      <c r="M9" s="185"/>
      <c r="N9" s="185"/>
      <c r="O9" s="107">
        <f>ROUND(O6+O7+O8,0)</f>
        <v>29</v>
      </c>
      <c r="Q9" s="185" t="s">
        <v>93</v>
      </c>
      <c r="R9" s="185"/>
      <c r="S9" s="185"/>
      <c r="T9" s="107">
        <f>ROUND(T6+T7+T8,0)</f>
        <v>17</v>
      </c>
    </row>
    <row r="11" spans="2:20" ht="23.1" customHeight="1" x14ac:dyDescent="0.25"/>
  </sheetData>
  <mergeCells count="12">
    <mergeCell ref="B9:D9"/>
    <mergeCell ref="B4:E4"/>
    <mergeCell ref="G4:J4"/>
    <mergeCell ref="G9:I9"/>
    <mergeCell ref="B1:D1"/>
    <mergeCell ref="G1:I1"/>
    <mergeCell ref="L1:N1"/>
    <mergeCell ref="L4:O4"/>
    <mergeCell ref="L9:N9"/>
    <mergeCell ref="Q1:S1"/>
    <mergeCell ref="Q4:T4"/>
    <mergeCell ref="Q9:S9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8"/>
  <dimension ref="B1:T32"/>
  <sheetViews>
    <sheetView tabSelected="1" view="pageBreakPreview" topLeftCell="J1" zoomScale="125" zoomScaleNormal="125" zoomScaleSheetLayoutView="125" workbookViewId="0">
      <selection activeCell="O11" sqref="O11"/>
    </sheetView>
  </sheetViews>
  <sheetFormatPr defaultColWidth="18.42578125" defaultRowHeight="15" x14ac:dyDescent="0.25"/>
  <cols>
    <col min="1" max="1" width="2.42578125" customWidth="1"/>
    <col min="2" max="2" width="13.7109375" customWidth="1"/>
    <col min="3" max="3" width="16.42578125" bestFit="1" customWidth="1"/>
    <col min="4" max="4" width="16.140625" bestFit="1" customWidth="1"/>
    <col min="5" max="5" width="15.5703125" bestFit="1" customWidth="1"/>
    <col min="6" max="6" width="10.85546875" customWidth="1"/>
    <col min="11" max="11" width="12.140625" customWidth="1"/>
    <col min="16" max="16" width="13.5703125" customWidth="1"/>
  </cols>
  <sheetData>
    <row r="1" spans="2:20" ht="15.75" x14ac:dyDescent="0.25">
      <c r="B1" s="15" t="s">
        <v>145</v>
      </c>
      <c r="C1" s="15"/>
      <c r="D1" s="15"/>
      <c r="G1" s="15" t="s">
        <v>145</v>
      </c>
      <c r="H1" s="15"/>
      <c r="I1" s="15"/>
      <c r="J1" s="15" t="s">
        <v>176</v>
      </c>
      <c r="L1" s="15" t="s">
        <v>145</v>
      </c>
      <c r="M1" s="15"/>
      <c r="N1" s="15"/>
      <c r="O1" s="15" t="s">
        <v>177</v>
      </c>
      <c r="Q1" s="15" t="s">
        <v>145</v>
      </c>
      <c r="R1" s="15"/>
      <c r="S1" s="15"/>
      <c r="T1" s="15" t="s">
        <v>178</v>
      </c>
    </row>
    <row r="2" spans="2:20" x14ac:dyDescent="0.25">
      <c r="B2" s="6" t="e">
        <f>#REF!</f>
        <v>#REF!</v>
      </c>
      <c r="D2" s="6"/>
      <c r="G2" s="6" t="e">
        <f>#REF!</f>
        <v>#REF!</v>
      </c>
      <c r="I2" s="6"/>
      <c r="L2" s="6" t="e">
        <f>#REF!</f>
        <v>#REF!</v>
      </c>
      <c r="N2" s="6"/>
      <c r="Q2" s="6" t="e">
        <f>#REF!</f>
        <v>#REF!</v>
      </c>
      <c r="S2" s="6"/>
    </row>
    <row r="4" spans="2:20" x14ac:dyDescent="0.25">
      <c r="B4" s="186" t="s">
        <v>140</v>
      </c>
      <c r="C4" s="186"/>
      <c r="D4" s="186"/>
      <c r="E4" s="186"/>
      <c r="F4" s="123"/>
      <c r="G4" s="186" t="s">
        <v>176</v>
      </c>
      <c r="H4" s="186"/>
      <c r="I4" s="186"/>
      <c r="J4" s="186"/>
      <c r="K4" s="123"/>
      <c r="L4" s="186" t="s">
        <v>177</v>
      </c>
      <c r="M4" s="186"/>
      <c r="N4" s="186"/>
      <c r="O4" s="186"/>
      <c r="P4" s="123"/>
      <c r="Q4" s="186" t="s">
        <v>178</v>
      </c>
      <c r="R4" s="186"/>
      <c r="S4" s="186"/>
      <c r="T4" s="186"/>
    </row>
    <row r="5" spans="2:20" ht="57.95" customHeight="1" x14ac:dyDescent="0.25">
      <c r="B5" s="124" t="s">
        <v>129</v>
      </c>
      <c r="C5" s="124" t="s">
        <v>130</v>
      </c>
      <c r="D5" s="124" t="s">
        <v>131</v>
      </c>
      <c r="E5" s="124" t="s">
        <v>132</v>
      </c>
      <c r="F5" s="123"/>
      <c r="G5" s="124" t="s">
        <v>129</v>
      </c>
      <c r="H5" s="124" t="s">
        <v>130</v>
      </c>
      <c r="I5" s="124" t="s">
        <v>131</v>
      </c>
      <c r="J5" s="124" t="s">
        <v>132</v>
      </c>
      <c r="K5" s="123"/>
      <c r="L5" s="124" t="s">
        <v>129</v>
      </c>
      <c r="M5" s="124" t="s">
        <v>130</v>
      </c>
      <c r="N5" s="124" t="s">
        <v>131</v>
      </c>
      <c r="O5" s="124" t="s">
        <v>132</v>
      </c>
      <c r="P5" s="123"/>
      <c r="Q5" s="124" t="s">
        <v>129</v>
      </c>
      <c r="R5" s="124" t="s">
        <v>130</v>
      </c>
      <c r="S5" s="124" t="s">
        <v>131</v>
      </c>
      <c r="T5" s="124" t="s">
        <v>132</v>
      </c>
    </row>
    <row r="6" spans="2:20" ht="15" customHeight="1" x14ac:dyDescent="0.25">
      <c r="B6" s="187" t="s">
        <v>128</v>
      </c>
      <c r="C6" s="188"/>
      <c r="D6" s="188"/>
      <c r="E6" s="188"/>
      <c r="F6" s="123"/>
      <c r="G6" s="187" t="s">
        <v>128</v>
      </c>
      <c r="H6" s="188"/>
      <c r="I6" s="188"/>
      <c r="J6" s="188"/>
      <c r="K6" s="123"/>
      <c r="L6" s="187" t="s">
        <v>128</v>
      </c>
      <c r="M6" s="188"/>
      <c r="N6" s="188"/>
      <c r="O6" s="188"/>
      <c r="P6" s="123"/>
      <c r="Q6" s="125" t="s">
        <v>128</v>
      </c>
      <c r="R6" s="126"/>
      <c r="S6" s="126"/>
      <c r="T6" s="126"/>
    </row>
    <row r="7" spans="2:20" x14ac:dyDescent="0.25">
      <c r="B7" s="124"/>
      <c r="C7" s="127">
        <f>Áreas!D6</f>
        <v>800</v>
      </c>
      <c r="D7" s="124"/>
      <c r="E7" s="124"/>
      <c r="F7" s="123"/>
      <c r="G7" s="124"/>
      <c r="H7" s="127">
        <f>Áreas!I6</f>
        <v>800</v>
      </c>
      <c r="I7" s="124"/>
      <c r="J7" s="124"/>
      <c r="K7" s="123"/>
      <c r="L7" s="124"/>
      <c r="M7" s="127">
        <f>Áreas!N6</f>
        <v>800</v>
      </c>
      <c r="N7" s="124"/>
      <c r="O7" s="124"/>
      <c r="P7" s="123"/>
      <c r="Q7" s="124"/>
      <c r="R7" s="127">
        <f>Áreas!S6</f>
        <v>800</v>
      </c>
      <c r="S7" s="124"/>
      <c r="T7" s="124"/>
    </row>
    <row r="8" spans="2:20" x14ac:dyDescent="0.25">
      <c r="B8" s="124" t="s">
        <v>133</v>
      </c>
      <c r="C8" s="124">
        <f>1/C7</f>
        <v>1.25E-3</v>
      </c>
      <c r="D8" s="128">
        <f>'44H'!E102</f>
        <v>5820.1118655510654</v>
      </c>
      <c r="E8" s="128">
        <f>D8*C8</f>
        <v>7.2751398319388318</v>
      </c>
      <c r="F8" s="123"/>
      <c r="G8" s="124" t="s">
        <v>133</v>
      </c>
      <c r="H8" s="124">
        <f>1/H7</f>
        <v>1.25E-3</v>
      </c>
      <c r="I8" s="128">
        <f>'44H+40%'!$I$108</f>
        <v>7574.1913517222965</v>
      </c>
      <c r="J8" s="128">
        <f>I8*H8</f>
        <v>9.4677391896528711</v>
      </c>
      <c r="K8" s="123"/>
      <c r="L8" s="124" t="s">
        <v>133</v>
      </c>
      <c r="M8" s="124">
        <f>1/M7</f>
        <v>1.25E-3</v>
      </c>
      <c r="N8" s="128">
        <f>'44H'!M102</f>
        <v>5984.4855570828495</v>
      </c>
      <c r="O8" s="128">
        <f>N8*M8</f>
        <v>7.4806069463535616</v>
      </c>
      <c r="P8" s="123"/>
      <c r="Q8" s="124" t="s">
        <v>133</v>
      </c>
      <c r="R8" s="124">
        <f>1/R7</f>
        <v>1.25E-3</v>
      </c>
      <c r="S8" s="128">
        <f>'44H'!Q102</f>
        <v>5791.7034785962824</v>
      </c>
      <c r="T8" s="128">
        <f>S8*R8</f>
        <v>7.2396293482453533</v>
      </c>
    </row>
    <row r="9" spans="2:20" x14ac:dyDescent="0.25">
      <c r="B9" s="124" t="s">
        <v>94</v>
      </c>
      <c r="C9" s="129">
        <f>1/(Áreas!E9*C7)</f>
        <v>1.25E-4</v>
      </c>
      <c r="D9" s="128">
        <f>Encarregado!E109</f>
        <v>5957.7604803357863</v>
      </c>
      <c r="E9" s="128">
        <f>D9*C9</f>
        <v>0.74472006004197333</v>
      </c>
      <c r="F9" s="123"/>
      <c r="G9" s="124" t="s">
        <v>94</v>
      </c>
      <c r="H9" s="129">
        <f>1/(Áreas!$J$9*H7)</f>
        <v>1.7857142857142857E-4</v>
      </c>
      <c r="I9" s="128">
        <f>Encarregado!I109</f>
        <v>5957.7604803357863</v>
      </c>
      <c r="J9" s="128">
        <f>I9*H9</f>
        <v>1.0638858000599618</v>
      </c>
      <c r="K9" s="123"/>
      <c r="L9" s="124" t="s">
        <v>94</v>
      </c>
      <c r="M9" s="129">
        <f>1/(M7*Áreas!$O$9)</f>
        <v>4.3103448275862066E-5</v>
      </c>
      <c r="N9" s="128">
        <f>Encarregado!M109</f>
        <v>6976.2938960182119</v>
      </c>
      <c r="O9" s="128">
        <f>N9*M9</f>
        <v>0.30070232310423323</v>
      </c>
      <c r="P9" s="123"/>
      <c r="Q9" s="124" t="s">
        <v>94</v>
      </c>
      <c r="R9" s="129">
        <f>1/(R7*Áreas!$T$9)</f>
        <v>7.3529411764705876E-5</v>
      </c>
      <c r="S9" s="128">
        <f>Encarregado!Q109</f>
        <v>6976.2938960182119</v>
      </c>
      <c r="T9" s="128">
        <f>S9*R9</f>
        <v>0.51296278647192728</v>
      </c>
    </row>
    <row r="10" spans="2:20" x14ac:dyDescent="0.25">
      <c r="B10" s="189" t="s">
        <v>134</v>
      </c>
      <c r="C10" s="189"/>
      <c r="D10" s="189"/>
      <c r="E10" s="133">
        <f>SUM(E8:E9)</f>
        <v>8.019859891980806</v>
      </c>
      <c r="F10" s="123"/>
      <c r="G10" s="124" t="s">
        <v>134</v>
      </c>
      <c r="H10" s="130"/>
      <c r="I10" s="130"/>
      <c r="J10" s="133">
        <f>SUM(J8:J9)</f>
        <v>10.531624989712833</v>
      </c>
      <c r="K10" s="123"/>
      <c r="L10" s="124" t="s">
        <v>134</v>
      </c>
      <c r="M10" s="130"/>
      <c r="N10" s="130"/>
      <c r="O10" s="133">
        <f>SUM(O8:O9)</f>
        <v>7.781309269457795</v>
      </c>
      <c r="P10" s="123"/>
      <c r="Q10" s="124" t="s">
        <v>134</v>
      </c>
      <c r="R10" s="130"/>
      <c r="S10" s="130"/>
      <c r="T10" s="133">
        <f>SUM(T8:T9)</f>
        <v>7.7525921347172808</v>
      </c>
    </row>
    <row r="11" spans="2:20" x14ac:dyDescent="0.25">
      <c r="B11" s="131"/>
      <c r="C11" s="132"/>
      <c r="D11" s="132"/>
      <c r="E11" s="132"/>
      <c r="F11" s="123"/>
      <c r="G11" s="131"/>
      <c r="H11" s="132"/>
      <c r="I11" s="132"/>
      <c r="J11" s="132"/>
      <c r="K11" s="123"/>
      <c r="L11" s="131"/>
      <c r="M11" s="132"/>
      <c r="N11" s="132"/>
      <c r="O11" s="132"/>
      <c r="P11" s="123"/>
      <c r="Q11" s="131"/>
      <c r="R11" s="132"/>
      <c r="S11" s="132"/>
      <c r="T11" s="132"/>
    </row>
    <row r="12" spans="2:20" x14ac:dyDescent="0.25">
      <c r="B12" s="187" t="s">
        <v>137</v>
      </c>
      <c r="C12" s="188"/>
      <c r="D12" s="188"/>
      <c r="E12" s="188"/>
      <c r="F12" s="123"/>
      <c r="G12" s="187" t="s">
        <v>137</v>
      </c>
      <c r="H12" s="188"/>
      <c r="I12" s="188"/>
      <c r="J12" s="188"/>
      <c r="K12" s="123"/>
      <c r="L12" s="187" t="s">
        <v>137</v>
      </c>
      <c r="M12" s="188"/>
      <c r="N12" s="188"/>
      <c r="O12" s="188"/>
      <c r="P12" s="123"/>
      <c r="Q12" s="125" t="s">
        <v>137</v>
      </c>
      <c r="R12" s="126"/>
      <c r="S12" s="126"/>
      <c r="T12" s="126"/>
    </row>
    <row r="13" spans="2:20" x14ac:dyDescent="0.25">
      <c r="B13" s="124"/>
      <c r="C13" s="127">
        <f>Áreas!D7</f>
        <v>200</v>
      </c>
      <c r="D13" s="124"/>
      <c r="E13" s="124"/>
      <c r="F13" s="123"/>
      <c r="G13" s="124"/>
      <c r="H13" s="127">
        <f>Áreas!I7</f>
        <v>200</v>
      </c>
      <c r="I13" s="124"/>
      <c r="J13" s="124"/>
      <c r="K13" s="123"/>
      <c r="L13" s="124"/>
      <c r="M13" s="127">
        <f>Áreas!N7</f>
        <v>200</v>
      </c>
      <c r="N13" s="124"/>
      <c r="O13" s="124"/>
      <c r="P13" s="123"/>
      <c r="Q13" s="124"/>
      <c r="R13" s="127">
        <f>Áreas!S7</f>
        <v>200</v>
      </c>
      <c r="S13" s="124"/>
      <c r="T13" s="124"/>
    </row>
    <row r="14" spans="2:20" x14ac:dyDescent="0.25">
      <c r="B14" s="124" t="s">
        <v>133</v>
      </c>
      <c r="C14" s="124">
        <f>1/C13</f>
        <v>5.0000000000000001E-3</v>
      </c>
      <c r="D14" s="128">
        <f>'44H+40%'!E108</f>
        <v>7449.9595985000888</v>
      </c>
      <c r="E14" s="128">
        <f>D14*C14</f>
        <v>37.249797992500447</v>
      </c>
      <c r="F14" s="123"/>
      <c r="G14" s="124" t="s">
        <v>133</v>
      </c>
      <c r="H14" s="124">
        <f>1/H13</f>
        <v>5.0000000000000001E-3</v>
      </c>
      <c r="I14" s="128">
        <f>'44H+40%'!$I$108</f>
        <v>7574.1913517222965</v>
      </c>
      <c r="J14" s="128">
        <f>I14*H14</f>
        <v>37.870956758611484</v>
      </c>
      <c r="K14" s="123"/>
      <c r="L14" s="124" t="s">
        <v>133</v>
      </c>
      <c r="M14" s="124">
        <f>1/M13</f>
        <v>5.0000000000000001E-3</v>
      </c>
      <c r="N14" s="128">
        <f>'44H+40%'!M108</f>
        <v>7614.4654698818758</v>
      </c>
      <c r="O14" s="128">
        <f>N14*M14</f>
        <v>38.072327349409377</v>
      </c>
      <c r="P14" s="123"/>
      <c r="Q14" s="124" t="s">
        <v>133</v>
      </c>
      <c r="R14" s="124">
        <f>1/R13</f>
        <v>5.0000000000000001E-3</v>
      </c>
      <c r="S14" s="128">
        <f>'44H+40%'!Q108</f>
        <v>7421.6833913953087</v>
      </c>
      <c r="T14" s="128">
        <f>S14*R14</f>
        <v>37.108416956976548</v>
      </c>
    </row>
    <row r="15" spans="2:20" x14ac:dyDescent="0.25">
      <c r="B15" s="124" t="s">
        <v>94</v>
      </c>
      <c r="C15" s="129">
        <f>1/(Áreas!E9*C13)</f>
        <v>5.0000000000000001E-4</v>
      </c>
      <c r="D15" s="128">
        <f>Encarregado!E109</f>
        <v>5957.7604803357863</v>
      </c>
      <c r="E15" s="128">
        <f>D15*C15</f>
        <v>2.9788802401678933</v>
      </c>
      <c r="F15" s="123"/>
      <c r="G15" s="124" t="s">
        <v>94</v>
      </c>
      <c r="H15" s="129">
        <f>1/(Áreas!$J$9*H13)</f>
        <v>7.1428571428571429E-4</v>
      </c>
      <c r="I15" s="128">
        <f>Encarregado!I109</f>
        <v>5957.7604803357863</v>
      </c>
      <c r="J15" s="128">
        <f>I15*H15</f>
        <v>4.2555432002398472</v>
      </c>
      <c r="K15" s="123"/>
      <c r="L15" s="124" t="s">
        <v>94</v>
      </c>
      <c r="M15" s="129">
        <f>1/(M13*Áreas!$O$9)</f>
        <v>1.7241379310344826E-4</v>
      </c>
      <c r="N15" s="128">
        <f>N9</f>
        <v>6976.2938960182119</v>
      </c>
      <c r="O15" s="128">
        <f>N15*M15</f>
        <v>1.2028092924169329</v>
      </c>
      <c r="P15" s="123"/>
      <c r="Q15" s="124" t="s">
        <v>94</v>
      </c>
      <c r="R15" s="129">
        <f>1/(R13*Áreas!$T$9)</f>
        <v>2.941176470588235E-4</v>
      </c>
      <c r="S15" s="128">
        <f>Encarregado!Q109</f>
        <v>6976.2938960182119</v>
      </c>
      <c r="T15" s="128">
        <f>S15*R15</f>
        <v>2.0518511458877091</v>
      </c>
    </row>
    <row r="16" spans="2:20" ht="22.5" x14ac:dyDescent="0.25">
      <c r="B16" s="124" t="s">
        <v>134</v>
      </c>
      <c r="C16" s="130"/>
      <c r="D16" s="130"/>
      <c r="E16" s="133">
        <f>E14+E15</f>
        <v>40.228678232668344</v>
      </c>
      <c r="F16" s="123"/>
      <c r="G16" s="124" t="s">
        <v>134</v>
      </c>
      <c r="H16" s="130"/>
      <c r="I16" s="130"/>
      <c r="J16" s="133">
        <f>J14+J15</f>
        <v>42.126499958851333</v>
      </c>
      <c r="K16" s="123"/>
      <c r="L16" s="124" t="s">
        <v>134</v>
      </c>
      <c r="M16" s="130"/>
      <c r="N16" s="130"/>
      <c r="O16" s="133">
        <f>O14+O15</f>
        <v>39.275136641826307</v>
      </c>
      <c r="P16" s="123"/>
      <c r="Q16" s="124" t="s">
        <v>134</v>
      </c>
      <c r="R16" s="130"/>
      <c r="S16" s="130"/>
      <c r="T16" s="133">
        <f>T14+T15</f>
        <v>39.160268102864258</v>
      </c>
    </row>
    <row r="17" spans="2:20" x14ac:dyDescent="0.25">
      <c r="B17" s="131"/>
      <c r="C17" s="132"/>
      <c r="D17" s="132"/>
      <c r="E17" s="132"/>
      <c r="F17" s="123"/>
      <c r="G17" s="131"/>
      <c r="H17" s="132"/>
      <c r="I17" s="132"/>
      <c r="J17" s="132"/>
      <c r="K17" s="123"/>
      <c r="L17" s="131"/>
      <c r="M17" s="132"/>
      <c r="N17" s="132"/>
      <c r="O17" s="132"/>
      <c r="P17" s="123"/>
      <c r="Q17" s="131"/>
      <c r="R17" s="132"/>
      <c r="S17" s="132"/>
      <c r="T17" s="132"/>
    </row>
    <row r="18" spans="2:20" ht="30" customHeight="1" x14ac:dyDescent="0.25">
      <c r="B18" s="187" t="s">
        <v>135</v>
      </c>
      <c r="C18" s="188"/>
      <c r="D18" s="188"/>
      <c r="E18" s="188"/>
      <c r="F18" s="123"/>
      <c r="G18" s="187" t="s">
        <v>135</v>
      </c>
      <c r="H18" s="188"/>
      <c r="I18" s="188"/>
      <c r="J18" s="188"/>
      <c r="K18" s="123"/>
      <c r="L18" s="187" t="s">
        <v>135</v>
      </c>
      <c r="M18" s="188"/>
      <c r="N18" s="188"/>
      <c r="O18" s="188"/>
      <c r="P18" s="123"/>
      <c r="Q18" s="125" t="s">
        <v>135</v>
      </c>
      <c r="R18" s="126"/>
      <c r="S18" s="126"/>
      <c r="T18" s="126"/>
    </row>
    <row r="19" spans="2:20" x14ac:dyDescent="0.25">
      <c r="B19" s="124"/>
      <c r="C19" s="127">
        <f>Áreas!D8</f>
        <v>1800</v>
      </c>
      <c r="D19" s="124"/>
      <c r="E19" s="124"/>
      <c r="F19" s="123"/>
      <c r="G19" s="124"/>
      <c r="H19" s="127">
        <f>Áreas!I8</f>
        <v>1800</v>
      </c>
      <c r="I19" s="124"/>
      <c r="J19" s="124"/>
      <c r="K19" s="123"/>
      <c r="L19" s="124"/>
      <c r="M19" s="127">
        <f>Áreas!N8</f>
        <v>1800</v>
      </c>
      <c r="N19" s="124"/>
      <c r="O19" s="124"/>
      <c r="P19" s="123"/>
      <c r="Q19" s="124"/>
      <c r="R19" s="127">
        <f>Áreas!S8</f>
        <v>1800</v>
      </c>
      <c r="S19" s="124"/>
      <c r="T19" s="124"/>
    </row>
    <row r="20" spans="2:20" x14ac:dyDescent="0.25">
      <c r="B20" s="124" t="s">
        <v>133</v>
      </c>
      <c r="C20" s="124">
        <f>1/C19</f>
        <v>5.5555555555555556E-4</v>
      </c>
      <c r="D20" s="128">
        <f>'44H'!E102</f>
        <v>5820.1118655510654</v>
      </c>
      <c r="E20" s="128">
        <f>D20*C20</f>
        <v>3.2333954808617031</v>
      </c>
      <c r="F20" s="123"/>
      <c r="G20" s="124" t="s">
        <v>133</v>
      </c>
      <c r="H20" s="124">
        <f>1/H19</f>
        <v>5.5555555555555556E-4</v>
      </c>
      <c r="I20" s="128">
        <f>I14</f>
        <v>7574.1913517222965</v>
      </c>
      <c r="J20" s="128">
        <f>I20*H20</f>
        <v>4.207884084290165</v>
      </c>
      <c r="K20" s="123"/>
      <c r="L20" s="124" t="s">
        <v>133</v>
      </c>
      <c r="M20" s="124">
        <f>1/M19</f>
        <v>5.5555555555555556E-4</v>
      </c>
      <c r="N20" s="128">
        <f>'44H'!M102</f>
        <v>5984.4855570828495</v>
      </c>
      <c r="O20" s="128">
        <f>N20*M20</f>
        <v>3.3247141983793607</v>
      </c>
      <c r="P20" s="123"/>
      <c r="Q20" s="124" t="s">
        <v>133</v>
      </c>
      <c r="R20" s="124">
        <f>1/R19</f>
        <v>5.5555555555555556E-4</v>
      </c>
      <c r="S20" s="128">
        <f>'44H'!Q102</f>
        <v>5791.7034785962824</v>
      </c>
      <c r="T20" s="128">
        <f>S20*R20</f>
        <v>3.2176130436646013</v>
      </c>
    </row>
    <row r="21" spans="2:20" x14ac:dyDescent="0.25">
      <c r="B21" s="124" t="s">
        <v>94</v>
      </c>
      <c r="C21" s="129">
        <f>1/(Áreas!E9*C19)</f>
        <v>5.5555555555555558E-5</v>
      </c>
      <c r="D21" s="128">
        <f>Encarregado!E109</f>
        <v>5957.7604803357863</v>
      </c>
      <c r="E21" s="128">
        <f>D21*C21</f>
        <v>0.33098669335198816</v>
      </c>
      <c r="F21" s="123"/>
      <c r="G21" s="124" t="s">
        <v>94</v>
      </c>
      <c r="H21" s="129">
        <f>1/(Áreas!$J$9*H19)</f>
        <v>7.9365079365079365E-5</v>
      </c>
      <c r="I21" s="128">
        <f>I15</f>
        <v>5957.7604803357863</v>
      </c>
      <c r="J21" s="128">
        <f>I21*H21</f>
        <v>0.47283813335998304</v>
      </c>
      <c r="K21" s="123"/>
      <c r="L21" s="124" t="s">
        <v>94</v>
      </c>
      <c r="M21" s="129">
        <f>1/(M19*Áreas!$O$9)</f>
        <v>1.9157088122605363E-5</v>
      </c>
      <c r="N21" s="128">
        <f>Encarregado!M109</f>
        <v>6976.2938960182119</v>
      </c>
      <c r="O21" s="128">
        <f>N21*M21</f>
        <v>0.13364547693521478</v>
      </c>
      <c r="P21" s="123"/>
      <c r="Q21" s="124" t="s">
        <v>94</v>
      </c>
      <c r="R21" s="129">
        <f>1/(R19*Áreas!$T$9)</f>
        <v>3.2679738562091506E-5</v>
      </c>
      <c r="S21" s="128">
        <f>Encarregado!Q109</f>
        <v>6976.2938960182119</v>
      </c>
      <c r="T21" s="128">
        <f>S21*R21</f>
        <v>0.22798346065418995</v>
      </c>
    </row>
    <row r="22" spans="2:20" ht="22.5" x14ac:dyDescent="0.25">
      <c r="B22" s="124" t="s">
        <v>136</v>
      </c>
      <c r="C22" s="130"/>
      <c r="D22" s="130"/>
      <c r="E22" s="133">
        <f>E20+E21</f>
        <v>3.5643821742136912</v>
      </c>
      <c r="F22" s="123"/>
      <c r="G22" s="124" t="s">
        <v>136</v>
      </c>
      <c r="H22" s="130"/>
      <c r="I22" s="130"/>
      <c r="J22" s="133">
        <f>J20+J21</f>
        <v>4.680722217650148</v>
      </c>
      <c r="K22" s="123"/>
      <c r="L22" s="124" t="s">
        <v>136</v>
      </c>
      <c r="M22" s="130"/>
      <c r="N22" s="130"/>
      <c r="O22" s="133">
        <f>O20+O21</f>
        <v>3.4583596753145756</v>
      </c>
      <c r="P22" s="123"/>
      <c r="Q22" s="124" t="s">
        <v>136</v>
      </c>
      <c r="R22" s="130"/>
      <c r="S22" s="130"/>
      <c r="T22" s="133">
        <f>T20+T21</f>
        <v>3.4455965043187913</v>
      </c>
    </row>
    <row r="23" spans="2:20" x14ac:dyDescent="0.25">
      <c r="B23" s="102"/>
      <c r="C23" s="9"/>
      <c r="D23" s="9"/>
      <c r="E23" s="8"/>
      <c r="G23" s="102"/>
      <c r="H23" s="9"/>
      <c r="I23" s="9"/>
      <c r="J23" s="8"/>
      <c r="L23" s="102"/>
      <c r="M23" s="9"/>
      <c r="N23" s="9"/>
      <c r="O23" s="8"/>
      <c r="Q23" s="102"/>
      <c r="R23" s="9"/>
      <c r="S23" s="9"/>
      <c r="T23" s="8"/>
    </row>
    <row r="24" spans="2:20" ht="15.75" thickBot="1" x14ac:dyDescent="0.3">
      <c r="B24" s="103" t="s">
        <v>93</v>
      </c>
      <c r="C24" s="10"/>
      <c r="D24" s="10"/>
      <c r="E24" s="10"/>
      <c r="G24" s="103" t="s">
        <v>93</v>
      </c>
      <c r="H24" s="10"/>
      <c r="I24" s="10"/>
      <c r="J24" s="10"/>
      <c r="L24" s="103" t="s">
        <v>93</v>
      </c>
      <c r="M24" s="10"/>
      <c r="N24" s="10"/>
      <c r="O24" s="10"/>
      <c r="Q24" s="103" t="s">
        <v>93</v>
      </c>
      <c r="R24" s="10"/>
      <c r="S24" s="10"/>
      <c r="T24" s="10"/>
    </row>
    <row r="26" spans="2:20" x14ac:dyDescent="0.25">
      <c r="D26" s="2"/>
      <c r="E26" s="2"/>
    </row>
    <row r="27" spans="2:20" x14ac:dyDescent="0.25">
      <c r="D27" s="2"/>
      <c r="E27" s="2"/>
    </row>
    <row r="28" spans="2:20" x14ac:dyDescent="0.25">
      <c r="D28" s="2"/>
      <c r="E28" s="2"/>
      <c r="I28" s="2"/>
      <c r="J28" s="2"/>
    </row>
    <row r="29" spans="2:20" x14ac:dyDescent="0.25">
      <c r="E29" s="2"/>
      <c r="I29" s="2"/>
      <c r="J29" s="2"/>
    </row>
    <row r="30" spans="2:20" x14ac:dyDescent="0.25">
      <c r="E30" s="2"/>
      <c r="J30" s="2"/>
    </row>
    <row r="31" spans="2:20" x14ac:dyDescent="0.25">
      <c r="E31" s="2"/>
    </row>
    <row r="32" spans="2:20" x14ac:dyDescent="0.25">
      <c r="E32" s="2"/>
    </row>
  </sheetData>
  <mergeCells count="14">
    <mergeCell ref="Q4:T4"/>
    <mergeCell ref="B6:E6"/>
    <mergeCell ref="L6:O6"/>
    <mergeCell ref="L12:O12"/>
    <mergeCell ref="L18:O18"/>
    <mergeCell ref="B10:D10"/>
    <mergeCell ref="B4:E4"/>
    <mergeCell ref="G4:J4"/>
    <mergeCell ref="L4:O4"/>
    <mergeCell ref="B12:E12"/>
    <mergeCell ref="B18:E18"/>
    <mergeCell ref="G6:J6"/>
    <mergeCell ref="G12:J12"/>
    <mergeCell ref="G18:J1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44H</vt:lpstr>
      <vt:lpstr>44H+40%</vt:lpstr>
      <vt:lpstr>Encarregado</vt:lpstr>
      <vt:lpstr>Uniformes e EPIs</vt:lpstr>
      <vt:lpstr>Insumos</vt:lpstr>
      <vt:lpstr>Áreas</vt:lpstr>
      <vt:lpstr>Resultado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Fabiane Cruz</dc:creator>
  <cp:lastModifiedBy>DGCC-Fabiane Cristina Mendes da Cruz Moura</cp:lastModifiedBy>
  <cp:lastPrinted>2025-11-04T19:37:01Z</cp:lastPrinted>
  <dcterms:created xsi:type="dcterms:W3CDTF">2020-07-01T22:19:30Z</dcterms:created>
  <dcterms:modified xsi:type="dcterms:W3CDTF">2026-01-29T16:13:55Z</dcterms:modified>
</cp:coreProperties>
</file>