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policia\Desktop\limpeza 729\"/>
    </mc:Choice>
  </mc:AlternateContent>
  <xr:revisionPtr revIDLastSave="0" documentId="13_ncr:1_{5A2CD874-62FD-4F64-86A3-3A9128BAF24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44H" sheetId="1" r:id="rId1"/>
    <sheet name="44h+20%" sheetId="18" r:id="rId2"/>
    <sheet name="44H+40%" sheetId="15" r:id="rId3"/>
    <sheet name="Uniformes e EPIs" sheetId="12" r:id="rId4"/>
    <sheet name="Insumos" sheetId="13" r:id="rId5"/>
    <sheet name="Equipamentos" sheetId="20" r:id="rId6"/>
    <sheet name="Colaboradores por produtividade" sheetId="1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3" l="1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H36" i="13" s="1"/>
  <c r="G37" i="13"/>
  <c r="H37" i="13" s="1"/>
  <c r="G38" i="13"/>
  <c r="G39" i="13"/>
  <c r="G40" i="13"/>
  <c r="G41" i="13"/>
  <c r="G42" i="13"/>
  <c r="G43" i="13"/>
  <c r="G44" i="13"/>
  <c r="G45" i="13"/>
  <c r="H45" i="13" s="1"/>
  <c r="G46" i="13"/>
  <c r="H46" i="13" s="1"/>
  <c r="G47" i="13"/>
  <c r="G48" i="13"/>
  <c r="G49" i="13"/>
  <c r="H49" i="13" s="1"/>
  <c r="G50" i="13"/>
  <c r="G51" i="13"/>
  <c r="G52" i="13"/>
  <c r="G53" i="13"/>
  <c r="G54" i="13"/>
  <c r="H54" i="13" s="1"/>
  <c r="G55" i="13"/>
  <c r="G56" i="13"/>
  <c r="G57" i="13"/>
  <c r="G58" i="13"/>
  <c r="H42" i="13"/>
  <c r="H43" i="13"/>
  <c r="H44" i="13"/>
  <c r="G5" i="13"/>
  <c r="Z14" i="19"/>
  <c r="Z27" i="19"/>
  <c r="O36" i="19"/>
  <c r="O37" i="19"/>
  <c r="O38" i="19"/>
  <c r="O39" i="19"/>
  <c r="O35" i="19"/>
  <c r="I7" i="19"/>
  <c r="M54" i="15"/>
  <c r="M52" i="15"/>
  <c r="D56" i="18"/>
  <c r="D53" i="18"/>
  <c r="D57" i="18"/>
  <c r="D55" i="18"/>
  <c r="D54" i="18"/>
  <c r="D52" i="18"/>
  <c r="E52" i="18"/>
  <c r="E38" i="15"/>
  <c r="H5" i="12"/>
  <c r="G7" i="12"/>
  <c r="G6" i="12"/>
  <c r="G5" i="12"/>
  <c r="M100" i="15"/>
  <c r="I100" i="15"/>
  <c r="E100" i="15"/>
  <c r="M100" i="18"/>
  <c r="I100" i="18"/>
  <c r="E100" i="18"/>
  <c r="M96" i="1"/>
  <c r="M95" i="1"/>
  <c r="M94" i="1"/>
  <c r="I96" i="1"/>
  <c r="I95" i="1"/>
  <c r="I94" i="1"/>
  <c r="E94" i="1"/>
  <c r="M63" i="15"/>
  <c r="I63" i="15"/>
  <c r="E63" i="15"/>
  <c r="I52" i="15"/>
  <c r="M64" i="18"/>
  <c r="M63" i="18"/>
  <c r="I63" i="18"/>
  <c r="E63" i="18"/>
  <c r="E51" i="1"/>
  <c r="I51" i="1"/>
  <c r="M51" i="1"/>
  <c r="M47" i="1"/>
  <c r="M46" i="1"/>
  <c r="M45" i="1"/>
  <c r="M40" i="1"/>
  <c r="M39" i="1"/>
  <c r="I39" i="1"/>
  <c r="E39" i="1"/>
  <c r="G8" i="20"/>
  <c r="G22" i="20"/>
  <c r="G15" i="20"/>
  <c r="G7" i="20"/>
  <c r="G6" i="20"/>
  <c r="G5" i="20"/>
  <c r="G20" i="20"/>
  <c r="G19" i="20"/>
  <c r="G13" i="20"/>
  <c r="G12" i="20"/>
  <c r="G14" i="20" s="1"/>
  <c r="F13" i="20"/>
  <c r="F12" i="20"/>
  <c r="F20" i="20"/>
  <c r="F19" i="20"/>
  <c r="G21" i="20" s="1"/>
  <c r="F6" i="20"/>
  <c r="F5" i="20"/>
  <c r="X37" i="13"/>
  <c r="X38" i="13"/>
  <c r="X42" i="13"/>
  <c r="X44" i="13"/>
  <c r="X49" i="13"/>
  <c r="X50" i="13"/>
  <c r="X54" i="13"/>
  <c r="X56" i="13"/>
  <c r="W36" i="13"/>
  <c r="X36" i="13" s="1"/>
  <c r="W37" i="13"/>
  <c r="W38" i="13"/>
  <c r="W39" i="13"/>
  <c r="X39" i="13" s="1"/>
  <c r="W40" i="13"/>
  <c r="X40" i="13" s="1"/>
  <c r="W41" i="13"/>
  <c r="X41" i="13" s="1"/>
  <c r="W42" i="13"/>
  <c r="W43" i="13"/>
  <c r="X43" i="13" s="1"/>
  <c r="W44" i="13"/>
  <c r="W45" i="13"/>
  <c r="X45" i="13" s="1"/>
  <c r="W46" i="13"/>
  <c r="X46" i="13" s="1"/>
  <c r="W47" i="13"/>
  <c r="X47" i="13" s="1"/>
  <c r="W48" i="13"/>
  <c r="X48" i="13" s="1"/>
  <c r="W49" i="13"/>
  <c r="W50" i="13"/>
  <c r="W51" i="13"/>
  <c r="X51" i="13" s="1"/>
  <c r="W52" i="13"/>
  <c r="X52" i="13" s="1"/>
  <c r="W53" i="13"/>
  <c r="X53" i="13" s="1"/>
  <c r="W54" i="13"/>
  <c r="W55" i="13"/>
  <c r="X55" i="13" s="1"/>
  <c r="W56" i="13"/>
  <c r="W57" i="13"/>
  <c r="X57" i="13" s="1"/>
  <c r="W58" i="13"/>
  <c r="X58" i="13" s="1"/>
  <c r="W35" i="13"/>
  <c r="P57" i="13"/>
  <c r="P58" i="13"/>
  <c r="P37" i="13"/>
  <c r="P41" i="13"/>
  <c r="P47" i="13"/>
  <c r="P49" i="13"/>
  <c r="P53" i="13"/>
  <c r="O36" i="13"/>
  <c r="P36" i="13" s="1"/>
  <c r="O37" i="13"/>
  <c r="O38" i="13"/>
  <c r="P38" i="13" s="1"/>
  <c r="O39" i="13"/>
  <c r="P39" i="13" s="1"/>
  <c r="O40" i="13"/>
  <c r="P40" i="13" s="1"/>
  <c r="O41" i="13"/>
  <c r="O42" i="13"/>
  <c r="P42" i="13" s="1"/>
  <c r="O43" i="13"/>
  <c r="P43" i="13" s="1"/>
  <c r="O44" i="13"/>
  <c r="P44" i="13" s="1"/>
  <c r="O45" i="13"/>
  <c r="P45" i="13" s="1"/>
  <c r="O46" i="13"/>
  <c r="P46" i="13" s="1"/>
  <c r="O47" i="13"/>
  <c r="O48" i="13"/>
  <c r="P48" i="13" s="1"/>
  <c r="O49" i="13"/>
  <c r="O50" i="13"/>
  <c r="P50" i="13" s="1"/>
  <c r="O51" i="13"/>
  <c r="P51" i="13" s="1"/>
  <c r="O52" i="13"/>
  <c r="P52" i="13" s="1"/>
  <c r="O53" i="13"/>
  <c r="O54" i="13"/>
  <c r="P54" i="13" s="1"/>
  <c r="O55" i="13"/>
  <c r="P55" i="13" s="1"/>
  <c r="O56" i="13"/>
  <c r="P56" i="13" s="1"/>
  <c r="O57" i="13"/>
  <c r="O58" i="13"/>
  <c r="O35" i="13"/>
  <c r="U23" i="19"/>
  <c r="U36" i="19"/>
  <c r="W36" i="19" s="1"/>
  <c r="U38" i="19"/>
  <c r="W38" i="19" s="1"/>
  <c r="U7" i="19"/>
  <c r="W7" i="19" s="1"/>
  <c r="N36" i="19"/>
  <c r="N37" i="19"/>
  <c r="N38" i="19"/>
  <c r="N39" i="19"/>
  <c r="N40" i="19"/>
  <c r="N35" i="19"/>
  <c r="M36" i="19"/>
  <c r="M37" i="19"/>
  <c r="M38" i="19"/>
  <c r="M39" i="19"/>
  <c r="M40" i="19"/>
  <c r="M35" i="19"/>
  <c r="L36" i="19"/>
  <c r="L37" i="19"/>
  <c r="L38" i="19"/>
  <c r="L39" i="19"/>
  <c r="L40" i="19"/>
  <c r="L35" i="19"/>
  <c r="K36" i="19"/>
  <c r="K37" i="19"/>
  <c r="K38" i="19"/>
  <c r="K39" i="19"/>
  <c r="K40" i="19"/>
  <c r="K35" i="19"/>
  <c r="J36" i="19"/>
  <c r="J37" i="19"/>
  <c r="J38" i="19"/>
  <c r="J39" i="19"/>
  <c r="J40" i="19"/>
  <c r="J35" i="19"/>
  <c r="I36" i="19"/>
  <c r="I37" i="19"/>
  <c r="I38" i="19"/>
  <c r="I39" i="19"/>
  <c r="I40" i="19"/>
  <c r="I35" i="19"/>
  <c r="P40" i="19"/>
  <c r="G23" i="20" s="1"/>
  <c r="M84" i="18" s="1"/>
  <c r="O22" i="19"/>
  <c r="N23" i="19"/>
  <c r="N24" i="19"/>
  <c r="N25" i="19"/>
  <c r="N26" i="19"/>
  <c r="N27" i="19"/>
  <c r="M23" i="19"/>
  <c r="M24" i="19"/>
  <c r="M25" i="19"/>
  <c r="M26" i="19"/>
  <c r="M27" i="19"/>
  <c r="L23" i="19"/>
  <c r="L24" i="19"/>
  <c r="L25" i="19"/>
  <c r="L26" i="19"/>
  <c r="L27" i="19"/>
  <c r="K23" i="19"/>
  <c r="K24" i="19"/>
  <c r="K25" i="19"/>
  <c r="K26" i="19"/>
  <c r="K27" i="19"/>
  <c r="J23" i="19"/>
  <c r="J24" i="19"/>
  <c r="J25" i="19"/>
  <c r="J26" i="19"/>
  <c r="J27" i="19"/>
  <c r="I23" i="19"/>
  <c r="I24" i="19"/>
  <c r="I25" i="19"/>
  <c r="I26" i="19"/>
  <c r="I27" i="19"/>
  <c r="N22" i="19"/>
  <c r="M22" i="19"/>
  <c r="L22" i="19"/>
  <c r="K22" i="19"/>
  <c r="J22" i="19"/>
  <c r="I22" i="19"/>
  <c r="U22" i="19" s="1"/>
  <c r="V22" i="19" s="1"/>
  <c r="P27" i="19"/>
  <c r="G16" i="20" s="1"/>
  <c r="H27" i="19"/>
  <c r="G27" i="19"/>
  <c r="F27" i="19"/>
  <c r="N8" i="19"/>
  <c r="N9" i="19"/>
  <c r="N10" i="19"/>
  <c r="N11" i="19"/>
  <c r="N12" i="19"/>
  <c r="N13" i="19"/>
  <c r="N14" i="19"/>
  <c r="N7" i="19"/>
  <c r="M8" i="19"/>
  <c r="M9" i="19"/>
  <c r="M10" i="19"/>
  <c r="M11" i="19"/>
  <c r="M12" i="19"/>
  <c r="M13" i="19"/>
  <c r="M14" i="19"/>
  <c r="M7" i="19"/>
  <c r="L8" i="19"/>
  <c r="L9" i="19"/>
  <c r="L10" i="19"/>
  <c r="L11" i="19"/>
  <c r="L12" i="19"/>
  <c r="L13" i="19"/>
  <c r="L14" i="19"/>
  <c r="L7" i="19"/>
  <c r="K8" i="19"/>
  <c r="K9" i="19"/>
  <c r="K10" i="19"/>
  <c r="K11" i="19"/>
  <c r="U11" i="19" s="1"/>
  <c r="W11" i="19" s="1"/>
  <c r="K12" i="19"/>
  <c r="U12" i="19" s="1"/>
  <c r="W12" i="19" s="1"/>
  <c r="K13" i="19"/>
  <c r="U13" i="19" s="1"/>
  <c r="W13" i="19" s="1"/>
  <c r="K14" i="19"/>
  <c r="K7" i="19"/>
  <c r="J8" i="19"/>
  <c r="J9" i="19"/>
  <c r="J10" i="19"/>
  <c r="J11" i="19"/>
  <c r="J12" i="19"/>
  <c r="J13" i="19"/>
  <c r="J14" i="19"/>
  <c r="J7" i="19"/>
  <c r="I8" i="19"/>
  <c r="I9" i="19"/>
  <c r="I10" i="19"/>
  <c r="I11" i="19"/>
  <c r="I12" i="19"/>
  <c r="I13" i="19"/>
  <c r="I14" i="19"/>
  <c r="P14" i="19"/>
  <c r="G9" i="20" s="1"/>
  <c r="V26" i="13"/>
  <c r="U26" i="13"/>
  <c r="T26" i="13"/>
  <c r="N26" i="13"/>
  <c r="M26" i="13"/>
  <c r="L26" i="13"/>
  <c r="H53" i="13"/>
  <c r="H52" i="13"/>
  <c r="H51" i="13"/>
  <c r="H50" i="13"/>
  <c r="H48" i="13"/>
  <c r="H47" i="13"/>
  <c r="H41" i="13"/>
  <c r="H40" i="13"/>
  <c r="H39" i="13"/>
  <c r="H38" i="13"/>
  <c r="U8" i="19" l="1"/>
  <c r="V7" i="19"/>
  <c r="X7" i="19" s="1"/>
  <c r="Y7" i="19" s="1"/>
  <c r="U10" i="19"/>
  <c r="U9" i="19"/>
  <c r="W9" i="19" s="1"/>
  <c r="V23" i="19"/>
  <c r="U26" i="19"/>
  <c r="U25" i="19"/>
  <c r="W23" i="19"/>
  <c r="O24" i="19"/>
  <c r="W22" i="19"/>
  <c r="U39" i="19"/>
  <c r="W39" i="19" s="1"/>
  <c r="U37" i="19"/>
  <c r="W37" i="19" s="1"/>
  <c r="V38" i="19"/>
  <c r="X38" i="19" s="1"/>
  <c r="Y38" i="19" s="1"/>
  <c r="V36" i="19"/>
  <c r="X36" i="19" s="1"/>
  <c r="Y36" i="19" s="1"/>
  <c r="O40" i="19"/>
  <c r="V39" i="19"/>
  <c r="X39" i="19" s="1"/>
  <c r="Y39" i="19" s="1"/>
  <c r="V37" i="19"/>
  <c r="X37" i="19" s="1"/>
  <c r="Y37" i="19" s="1"/>
  <c r="M84" i="15"/>
  <c r="M80" i="1"/>
  <c r="U35" i="19"/>
  <c r="I84" i="18"/>
  <c r="I80" i="1"/>
  <c r="I84" i="15"/>
  <c r="U24" i="19"/>
  <c r="O13" i="19"/>
  <c r="E80" i="1"/>
  <c r="E84" i="15"/>
  <c r="E84" i="18"/>
  <c r="O8" i="19"/>
  <c r="V13" i="19"/>
  <c r="X13" i="19" s="1"/>
  <c r="Y13" i="19" s="1"/>
  <c r="V12" i="19"/>
  <c r="X12" i="19" s="1"/>
  <c r="Y12" i="19" s="1"/>
  <c r="V11" i="19"/>
  <c r="X11" i="19" s="1"/>
  <c r="Y11" i="19" s="1"/>
  <c r="O7" i="19"/>
  <c r="O14" i="19"/>
  <c r="O23" i="19"/>
  <c r="O27" i="19"/>
  <c r="O26" i="19"/>
  <c r="O25" i="19"/>
  <c r="O9" i="19"/>
  <c r="O10" i="19"/>
  <c r="O12" i="19"/>
  <c r="O11" i="19"/>
  <c r="V10" i="19" l="1"/>
  <c r="X10" i="19" s="1"/>
  <c r="Y10" i="19" s="1"/>
  <c r="W10" i="19"/>
  <c r="V8" i="19"/>
  <c r="W8" i="19"/>
  <c r="V9" i="19"/>
  <c r="X9" i="19" s="1"/>
  <c r="Y9" i="19" s="1"/>
  <c r="Y23" i="19"/>
  <c r="V25" i="19"/>
  <c r="W25" i="19"/>
  <c r="V24" i="19"/>
  <c r="W24" i="19"/>
  <c r="V26" i="19"/>
  <c r="W26" i="19"/>
  <c r="X23" i="19"/>
  <c r="X22" i="19"/>
  <c r="V35" i="19"/>
  <c r="W35" i="19"/>
  <c r="W40" i="19" s="1"/>
  <c r="F26" i="13"/>
  <c r="E26" i="13"/>
  <c r="D26" i="13"/>
  <c r="H13" i="12"/>
  <c r="H6" i="12"/>
  <c r="G13" i="12"/>
  <c r="G12" i="12"/>
  <c r="H12" i="12" s="1"/>
  <c r="G11" i="12"/>
  <c r="H11" i="12" s="1"/>
  <c r="G10" i="12"/>
  <c r="H10" i="12" s="1"/>
  <c r="G9" i="12"/>
  <c r="H9" i="12" s="1"/>
  <c r="G8" i="12"/>
  <c r="H8" i="12" s="1"/>
  <c r="H7" i="12"/>
  <c r="L65" i="18"/>
  <c r="H65" i="18"/>
  <c r="L91" i="18"/>
  <c r="H91" i="18"/>
  <c r="D91" i="18"/>
  <c r="M78" i="18"/>
  <c r="I78" i="18"/>
  <c r="E78" i="18"/>
  <c r="L67" i="18"/>
  <c r="H67" i="18"/>
  <c r="D67" i="18"/>
  <c r="L66" i="18"/>
  <c r="H66" i="18"/>
  <c r="D66" i="18"/>
  <c r="D65" i="18"/>
  <c r="L64" i="18"/>
  <c r="H64" i="18"/>
  <c r="D64" i="18"/>
  <c r="L63" i="18"/>
  <c r="H63" i="18"/>
  <c r="D63" i="18"/>
  <c r="L57" i="18"/>
  <c r="H57" i="18"/>
  <c r="L55" i="18"/>
  <c r="H55" i="18"/>
  <c r="L54" i="18"/>
  <c r="H54" i="18"/>
  <c r="L52" i="18"/>
  <c r="L53" i="18" s="1"/>
  <c r="H52" i="18"/>
  <c r="H53" i="18" s="1"/>
  <c r="M39" i="18"/>
  <c r="I39" i="18"/>
  <c r="E39" i="18"/>
  <c r="L34" i="18"/>
  <c r="H34" i="18"/>
  <c r="D34" i="18"/>
  <c r="I15" i="18"/>
  <c r="E14" i="18"/>
  <c r="M12" i="18"/>
  <c r="M38" i="18" s="1"/>
  <c r="I12" i="18"/>
  <c r="I38" i="18" s="1"/>
  <c r="E12" i="18"/>
  <c r="I13" i="18" s="1"/>
  <c r="L1" i="18"/>
  <c r="H1" i="18"/>
  <c r="D1" i="18"/>
  <c r="L57" i="15"/>
  <c r="H57" i="15"/>
  <c r="D57" i="15"/>
  <c r="L56" i="1"/>
  <c r="H56" i="1"/>
  <c r="D56" i="1"/>
  <c r="D63" i="15"/>
  <c r="W14" i="19" l="1"/>
  <c r="X8" i="19"/>
  <c r="X14" i="19" s="1"/>
  <c r="X24" i="19"/>
  <c r="Y22" i="19"/>
  <c r="Y26" i="19"/>
  <c r="Y24" i="19"/>
  <c r="X25" i="19"/>
  <c r="Y25" i="19" s="1"/>
  <c r="W27" i="19"/>
  <c r="X26" i="19"/>
  <c r="X35" i="19"/>
  <c r="I42" i="18"/>
  <c r="I47" i="18" s="1"/>
  <c r="D69" i="18"/>
  <c r="M47" i="18"/>
  <c r="H56" i="18"/>
  <c r="H69" i="18"/>
  <c r="E13" i="18"/>
  <c r="L56" i="18"/>
  <c r="M42" i="18"/>
  <c r="M15" i="18"/>
  <c r="H14" i="12"/>
  <c r="H15" i="12" s="1"/>
  <c r="L69" i="18"/>
  <c r="M14" i="18"/>
  <c r="E38" i="18"/>
  <c r="E42" i="18" s="1"/>
  <c r="E47" i="18" s="1"/>
  <c r="E16" i="18"/>
  <c r="E65" i="18" s="1"/>
  <c r="M13" i="18"/>
  <c r="M16" i="18" s="1"/>
  <c r="E15" i="18"/>
  <c r="I14" i="18"/>
  <c r="I16" i="18" s="1"/>
  <c r="D51" i="1"/>
  <c r="D52" i="1" s="1"/>
  <c r="H53" i="1"/>
  <c r="D53" i="1"/>
  <c r="D54" i="1"/>
  <c r="L54" i="15"/>
  <c r="H54" i="15"/>
  <c r="D54" i="15"/>
  <c r="L53" i="1"/>
  <c r="Y8" i="19" l="1"/>
  <c r="Y14" i="19" s="1"/>
  <c r="X27" i="19"/>
  <c r="Y27" i="19"/>
  <c r="Y35" i="19"/>
  <c r="Y40" i="19" s="1"/>
  <c r="X40" i="19"/>
  <c r="I82" i="15"/>
  <c r="M82" i="15"/>
  <c r="E82" i="18"/>
  <c r="E82" i="15"/>
  <c r="M82" i="18"/>
  <c r="I82" i="18"/>
  <c r="M78" i="1"/>
  <c r="I78" i="1"/>
  <c r="E78" i="1"/>
  <c r="M65" i="18"/>
  <c r="I66" i="18"/>
  <c r="I65" i="18"/>
  <c r="M66" i="18"/>
  <c r="I64" i="18"/>
  <c r="E64" i="18"/>
  <c r="I21" i="18"/>
  <c r="M22" i="18"/>
  <c r="E21" i="18"/>
  <c r="E66" i="18"/>
  <c r="I22" i="18"/>
  <c r="I23" i="18"/>
  <c r="M23" i="18"/>
  <c r="E22" i="18"/>
  <c r="E23" i="18"/>
  <c r="M21" i="18"/>
  <c r="Z40" i="19" l="1"/>
  <c r="I24" i="18"/>
  <c r="I29" i="18" s="1"/>
  <c r="M24" i="18"/>
  <c r="M27" i="18" s="1"/>
  <c r="I31" i="18"/>
  <c r="I30" i="18"/>
  <c r="I56" i="18"/>
  <c r="I54" i="18"/>
  <c r="E24" i="18"/>
  <c r="M55" i="18"/>
  <c r="X35" i="13"/>
  <c r="W34" i="13"/>
  <c r="X34" i="13" s="1"/>
  <c r="W33" i="13"/>
  <c r="X33" i="13" s="1"/>
  <c r="W32" i="13"/>
  <c r="X32" i="13" s="1"/>
  <c r="W31" i="13"/>
  <c r="X31" i="13" s="1"/>
  <c r="W30" i="13"/>
  <c r="X30" i="13" s="1"/>
  <c r="W29" i="13"/>
  <c r="X29" i="13" s="1"/>
  <c r="W28" i="13"/>
  <c r="X28" i="13" s="1"/>
  <c r="W27" i="13"/>
  <c r="X27" i="13" s="1"/>
  <c r="W26" i="13"/>
  <c r="X26" i="13" s="1"/>
  <c r="W25" i="13"/>
  <c r="X25" i="13" s="1"/>
  <c r="W24" i="13"/>
  <c r="X24" i="13" s="1"/>
  <c r="W23" i="13"/>
  <c r="X23" i="13" s="1"/>
  <c r="W22" i="13"/>
  <c r="X22" i="13" s="1"/>
  <c r="W21" i="13"/>
  <c r="X21" i="13" s="1"/>
  <c r="W20" i="13"/>
  <c r="X20" i="13" s="1"/>
  <c r="W19" i="13"/>
  <c r="X19" i="13" s="1"/>
  <c r="W18" i="13"/>
  <c r="X18" i="13" s="1"/>
  <c r="W17" i="13"/>
  <c r="X17" i="13" s="1"/>
  <c r="W16" i="13"/>
  <c r="X16" i="13" s="1"/>
  <c r="W15" i="13"/>
  <c r="X15" i="13" s="1"/>
  <c r="W14" i="13"/>
  <c r="X14" i="13" s="1"/>
  <c r="W13" i="13"/>
  <c r="X13" i="13" s="1"/>
  <c r="W12" i="13"/>
  <c r="X12" i="13" s="1"/>
  <c r="W11" i="13"/>
  <c r="X11" i="13" s="1"/>
  <c r="W10" i="13"/>
  <c r="X10" i="13" s="1"/>
  <c r="W9" i="13"/>
  <c r="X9" i="13" s="1"/>
  <c r="W8" i="13"/>
  <c r="X8" i="13" s="1"/>
  <c r="W7" i="13"/>
  <c r="X7" i="13" s="1"/>
  <c r="W6" i="13"/>
  <c r="X6" i="13" s="1"/>
  <c r="W5" i="13"/>
  <c r="X5" i="13" s="1"/>
  <c r="P35" i="13"/>
  <c r="O34" i="13"/>
  <c r="P34" i="13" s="1"/>
  <c r="O33" i="13"/>
  <c r="P33" i="13" s="1"/>
  <c r="O32" i="13"/>
  <c r="P32" i="13" s="1"/>
  <c r="O31" i="13"/>
  <c r="P31" i="13" s="1"/>
  <c r="O30" i="13"/>
  <c r="P30" i="13" s="1"/>
  <c r="O29" i="13"/>
  <c r="P29" i="13" s="1"/>
  <c r="O28" i="13"/>
  <c r="P28" i="13" s="1"/>
  <c r="O27" i="13"/>
  <c r="P27" i="13" s="1"/>
  <c r="O26" i="13"/>
  <c r="P26" i="13" s="1"/>
  <c r="O25" i="13"/>
  <c r="P25" i="13" s="1"/>
  <c r="O24" i="13"/>
  <c r="P24" i="13" s="1"/>
  <c r="O23" i="13"/>
  <c r="P23" i="13" s="1"/>
  <c r="O22" i="13"/>
  <c r="P22" i="13" s="1"/>
  <c r="O21" i="13"/>
  <c r="P21" i="13" s="1"/>
  <c r="O20" i="13"/>
  <c r="P20" i="13" s="1"/>
  <c r="O19" i="13"/>
  <c r="P19" i="13" s="1"/>
  <c r="O18" i="13"/>
  <c r="P18" i="13" s="1"/>
  <c r="O17" i="13"/>
  <c r="P17" i="13" s="1"/>
  <c r="O16" i="13"/>
  <c r="P16" i="13" s="1"/>
  <c r="O15" i="13"/>
  <c r="P15" i="13" s="1"/>
  <c r="O14" i="13"/>
  <c r="P14" i="13" s="1"/>
  <c r="O13" i="13"/>
  <c r="P13" i="13" s="1"/>
  <c r="O12" i="13"/>
  <c r="P12" i="13" s="1"/>
  <c r="O11" i="13"/>
  <c r="P11" i="13" s="1"/>
  <c r="O10" i="13"/>
  <c r="P10" i="13" s="1"/>
  <c r="O9" i="13"/>
  <c r="P9" i="13" s="1"/>
  <c r="O8" i="13"/>
  <c r="P8" i="13" s="1"/>
  <c r="O7" i="13"/>
  <c r="P7" i="13" s="1"/>
  <c r="O6" i="13"/>
  <c r="P6" i="13" s="1"/>
  <c r="O5" i="13"/>
  <c r="P5" i="13" s="1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55" i="13"/>
  <c r="H56" i="13"/>
  <c r="H57" i="13"/>
  <c r="H58" i="13"/>
  <c r="H5" i="13"/>
  <c r="L67" i="15"/>
  <c r="L66" i="15"/>
  <c r="L65" i="15"/>
  <c r="L64" i="15"/>
  <c r="L63" i="15"/>
  <c r="H67" i="15"/>
  <c r="H66" i="15"/>
  <c r="H65" i="15"/>
  <c r="H64" i="15"/>
  <c r="H63" i="15"/>
  <c r="L65" i="1"/>
  <c r="L64" i="1"/>
  <c r="L63" i="1"/>
  <c r="L62" i="1"/>
  <c r="L61" i="1"/>
  <c r="H65" i="1"/>
  <c r="H64" i="1"/>
  <c r="H63" i="1"/>
  <c r="H62" i="1"/>
  <c r="H61" i="1"/>
  <c r="D67" i="15"/>
  <c r="D65" i="1"/>
  <c r="D66" i="15"/>
  <c r="D64" i="1"/>
  <c r="D65" i="15"/>
  <c r="D63" i="1"/>
  <c r="D64" i="15"/>
  <c r="D62" i="1"/>
  <c r="D52" i="15"/>
  <c r="D61" i="1"/>
  <c r="L55" i="15"/>
  <c r="L52" i="15"/>
  <c r="L53" i="15" s="1"/>
  <c r="H55" i="15"/>
  <c r="H52" i="15"/>
  <c r="H53" i="15" s="1"/>
  <c r="H54" i="1"/>
  <c r="L54" i="1"/>
  <c r="H59" i="13" l="1"/>
  <c r="H60" i="13" s="1"/>
  <c r="M30" i="18"/>
  <c r="I53" i="18"/>
  <c r="I34" i="18"/>
  <c r="I67" i="18" s="1"/>
  <c r="I45" i="18"/>
  <c r="I52" i="18"/>
  <c r="I32" i="18"/>
  <c r="P59" i="13"/>
  <c r="P60" i="13" s="1"/>
  <c r="P61" i="13" s="1"/>
  <c r="I79" i="1" s="1"/>
  <c r="D69" i="15"/>
  <c r="H69" i="15"/>
  <c r="M32" i="18"/>
  <c r="I55" i="18"/>
  <c r="I26" i="18"/>
  <c r="M52" i="18"/>
  <c r="M53" i="18"/>
  <c r="I33" i="18"/>
  <c r="I28" i="18"/>
  <c r="D67" i="1"/>
  <c r="H67" i="1"/>
  <c r="M45" i="18"/>
  <c r="M26" i="18"/>
  <c r="M31" i="18"/>
  <c r="M28" i="18"/>
  <c r="M57" i="18"/>
  <c r="M56" i="18"/>
  <c r="M54" i="18"/>
  <c r="M29" i="18"/>
  <c r="M33" i="18"/>
  <c r="I57" i="18"/>
  <c r="I27" i="18"/>
  <c r="E31" i="18"/>
  <c r="E28" i="18"/>
  <c r="E32" i="18"/>
  <c r="E29" i="18"/>
  <c r="E26" i="18"/>
  <c r="E45" i="18"/>
  <c r="E33" i="18"/>
  <c r="E30" i="18"/>
  <c r="E27" i="18"/>
  <c r="E57" i="18"/>
  <c r="E54" i="18"/>
  <c r="E55" i="18"/>
  <c r="E53" i="18"/>
  <c r="E56" i="18"/>
  <c r="I46" i="18"/>
  <c r="I48" i="18" s="1"/>
  <c r="I101" i="18" s="1"/>
  <c r="I70" i="18"/>
  <c r="X59" i="13"/>
  <c r="X60" i="13" s="1"/>
  <c r="L69" i="15"/>
  <c r="L67" i="1"/>
  <c r="D55" i="15"/>
  <c r="L51" i="1"/>
  <c r="L52" i="1" s="1"/>
  <c r="H51" i="1"/>
  <c r="H52" i="1" s="1"/>
  <c r="M39" i="15"/>
  <c r="I39" i="15"/>
  <c r="E39" i="15"/>
  <c r="E40" i="1"/>
  <c r="I40" i="1"/>
  <c r="L91" i="15"/>
  <c r="M78" i="15"/>
  <c r="L34" i="15"/>
  <c r="L56" i="15" s="1"/>
  <c r="M12" i="15"/>
  <c r="M38" i="15" s="1"/>
  <c r="L1" i="15"/>
  <c r="H91" i="15"/>
  <c r="I78" i="15"/>
  <c r="H34" i="15"/>
  <c r="H56" i="15" s="1"/>
  <c r="I12" i="15"/>
  <c r="I38" i="15" s="1"/>
  <c r="H1" i="15"/>
  <c r="L87" i="1"/>
  <c r="M74" i="1"/>
  <c r="L35" i="1"/>
  <c r="L55" i="1" s="1"/>
  <c r="M12" i="1"/>
  <c r="H87" i="1"/>
  <c r="I74" i="1"/>
  <c r="H35" i="1"/>
  <c r="H55" i="1" s="1"/>
  <c r="I12" i="1"/>
  <c r="M48" i="18" l="1"/>
  <c r="M58" i="18"/>
  <c r="I58" i="18"/>
  <c r="I102" i="18" s="1"/>
  <c r="M34" i="18"/>
  <c r="M102" i="18"/>
  <c r="M46" i="18"/>
  <c r="E58" i="18"/>
  <c r="E102" i="18" s="1"/>
  <c r="I103" i="18"/>
  <c r="I77" i="18"/>
  <c r="I79" i="18" s="1"/>
  <c r="E34" i="18"/>
  <c r="X61" i="13"/>
  <c r="I43" i="1"/>
  <c r="I47" i="1" s="1"/>
  <c r="M43" i="1"/>
  <c r="I42" i="15"/>
  <c r="I47" i="15" s="1"/>
  <c r="M42" i="15"/>
  <c r="M47" i="15" s="1"/>
  <c r="M101" i="18" l="1"/>
  <c r="I83" i="18"/>
  <c r="I85" i="18" s="1"/>
  <c r="I104" i="18" s="1"/>
  <c r="I105" i="18" s="1"/>
  <c r="I83" i="15"/>
  <c r="M83" i="18"/>
  <c r="M85" i="18" s="1"/>
  <c r="M104" i="18" s="1"/>
  <c r="M67" i="18"/>
  <c r="M70" i="18" s="1"/>
  <c r="E46" i="18"/>
  <c r="E48" i="18" s="1"/>
  <c r="E101" i="18" s="1"/>
  <c r="E67" i="18"/>
  <c r="E70" i="18"/>
  <c r="M83" i="15"/>
  <c r="M79" i="1"/>
  <c r="I86" i="18" l="1"/>
  <c r="M77" i="18"/>
  <c r="M79" i="18" s="1"/>
  <c r="M86" i="18" s="1"/>
  <c r="M103" i="18"/>
  <c r="M105" i="18" s="1"/>
  <c r="D91" i="15"/>
  <c r="M89" i="18" l="1"/>
  <c r="I89" i="18"/>
  <c r="E103" i="18"/>
  <c r="E77" i="18"/>
  <c r="E79" i="18" s="1"/>
  <c r="D34" i="15"/>
  <c r="D53" i="15"/>
  <c r="D35" i="1"/>
  <c r="D55" i="1" s="1"/>
  <c r="I90" i="18" l="1"/>
  <c r="I93" i="18" s="1"/>
  <c r="M90" i="18"/>
  <c r="M92" i="18" s="1"/>
  <c r="I94" i="18"/>
  <c r="D56" i="15"/>
  <c r="M93" i="18" l="1"/>
  <c r="I92" i="18"/>
  <c r="I95" i="18" s="1"/>
  <c r="I106" i="18" s="1"/>
  <c r="I107" i="18" s="1"/>
  <c r="M94" i="18"/>
  <c r="I85" i="15"/>
  <c r="M81" i="1"/>
  <c r="M98" i="1" s="1"/>
  <c r="M85" i="15"/>
  <c r="I81" i="1"/>
  <c r="I98" i="1" l="1"/>
  <c r="I82" i="1"/>
  <c r="M95" i="18"/>
  <c r="M106" i="18" s="1"/>
  <c r="M107" i="18" s="1"/>
  <c r="M104" i="15"/>
  <c r="I104" i="15"/>
  <c r="D1" i="15" l="1"/>
  <c r="E12" i="1"/>
  <c r="E12" i="15"/>
  <c r="E78" i="15"/>
  <c r="H61" i="13" l="1"/>
  <c r="E79" i="1" s="1"/>
  <c r="E81" i="1" s="1"/>
  <c r="E82" i="1" s="1"/>
  <c r="I15" i="15"/>
  <c r="I14" i="15"/>
  <c r="I13" i="15"/>
  <c r="M15" i="15"/>
  <c r="M14" i="15"/>
  <c r="M13" i="15"/>
  <c r="M15" i="1"/>
  <c r="I13" i="1"/>
  <c r="M14" i="1"/>
  <c r="I16" i="1"/>
  <c r="M17" i="1"/>
  <c r="I15" i="1"/>
  <c r="M16" i="1"/>
  <c r="I14" i="1"/>
  <c r="M13" i="1"/>
  <c r="I17" i="1"/>
  <c r="E14" i="15"/>
  <c r="E17" i="1"/>
  <c r="E13" i="1"/>
  <c r="E42" i="15"/>
  <c r="E47" i="15" s="1"/>
  <c r="E13" i="15"/>
  <c r="E15" i="15"/>
  <c r="E16" i="1"/>
  <c r="E15" i="1"/>
  <c r="E14" i="1"/>
  <c r="D87" i="1"/>
  <c r="E83" i="18" l="1"/>
  <c r="E85" i="18" s="1"/>
  <c r="E104" i="18" s="1"/>
  <c r="E105" i="18" s="1"/>
  <c r="E83" i="15"/>
  <c r="M16" i="15"/>
  <c r="I16" i="15"/>
  <c r="I65" i="15" s="1"/>
  <c r="M18" i="1"/>
  <c r="I18" i="1"/>
  <c r="E18" i="1"/>
  <c r="M65" i="15" l="1"/>
  <c r="E63" i="1"/>
  <c r="E86" i="18"/>
  <c r="E89" i="18" s="1"/>
  <c r="M62" i="1"/>
  <c r="I66" i="15"/>
  <c r="I64" i="15"/>
  <c r="M66" i="15"/>
  <c r="M64" i="15"/>
  <c r="I64" i="1"/>
  <c r="I63" i="1"/>
  <c r="I62" i="1"/>
  <c r="E64" i="1"/>
  <c r="E62" i="1"/>
  <c r="M64" i="1"/>
  <c r="M63" i="1"/>
  <c r="E22" i="1"/>
  <c r="I23" i="1"/>
  <c r="M23" i="1"/>
  <c r="M24" i="1"/>
  <c r="I22" i="1"/>
  <c r="M22" i="1"/>
  <c r="I24" i="1"/>
  <c r="E24" i="1"/>
  <c r="E23" i="1"/>
  <c r="E90" i="18" l="1"/>
  <c r="E93" i="18" s="1"/>
  <c r="E25" i="1"/>
  <c r="I25" i="1"/>
  <c r="M25" i="1"/>
  <c r="M53" i="1" s="1"/>
  <c r="E94" i="18" l="1"/>
  <c r="E92" i="18"/>
  <c r="E53" i="1"/>
  <c r="M34" i="1"/>
  <c r="I34" i="1"/>
  <c r="M30" i="1"/>
  <c r="E27" i="1"/>
  <c r="M31" i="1"/>
  <c r="M33" i="1"/>
  <c r="I30" i="1"/>
  <c r="E30" i="1"/>
  <c r="I32" i="1"/>
  <c r="I28" i="1"/>
  <c r="M66" i="1"/>
  <c r="I31" i="1"/>
  <c r="E52" i="1"/>
  <c r="I29" i="1"/>
  <c r="E29" i="1"/>
  <c r="M32" i="1"/>
  <c r="E54" i="1"/>
  <c r="E56" i="1"/>
  <c r="M27" i="1"/>
  <c r="M54" i="1"/>
  <c r="I33" i="1"/>
  <c r="M28" i="1"/>
  <c r="I66" i="1"/>
  <c r="M29" i="1"/>
  <c r="I54" i="1"/>
  <c r="I53" i="1"/>
  <c r="I56" i="1"/>
  <c r="E34" i="1"/>
  <c r="I27" i="1"/>
  <c r="I45" i="1"/>
  <c r="I55" i="1"/>
  <c r="I52" i="1"/>
  <c r="M52" i="1"/>
  <c r="M56" i="1"/>
  <c r="M55" i="1"/>
  <c r="E95" i="18" l="1"/>
  <c r="E106" i="18" s="1"/>
  <c r="E107" i="18" s="1"/>
  <c r="M36" i="1"/>
  <c r="I36" i="1"/>
  <c r="I57" i="1"/>
  <c r="M57" i="1"/>
  <c r="M48" i="1" l="1"/>
  <c r="M61" i="1"/>
  <c r="M65" i="1"/>
  <c r="M68" i="1"/>
  <c r="I46" i="1"/>
  <c r="I48" i="1" s="1"/>
  <c r="I65" i="1"/>
  <c r="I61" i="1"/>
  <c r="I68" i="1" l="1"/>
  <c r="I73" i="1" s="1"/>
  <c r="I75" i="1" s="1"/>
  <c r="M73" i="1"/>
  <c r="M75" i="1" s="1"/>
  <c r="M82" i="1" s="1"/>
  <c r="M97" i="1"/>
  <c r="M99" i="1" s="1"/>
  <c r="I85" i="1" l="1"/>
  <c r="M85" i="1"/>
  <c r="I97" i="1"/>
  <c r="I99" i="1" s="1"/>
  <c r="I86" i="1" l="1"/>
  <c r="I88" i="1" s="1"/>
  <c r="M86" i="1"/>
  <c r="M90" i="1" s="1"/>
  <c r="E85" i="15"/>
  <c r="I89" i="1" l="1"/>
  <c r="I90" i="1"/>
  <c r="M88" i="1"/>
  <c r="M89" i="1"/>
  <c r="E104" i="15"/>
  <c r="I91" i="1" l="1"/>
  <c r="I100" i="1" s="1"/>
  <c r="I101" i="1" s="1"/>
  <c r="M91" i="1"/>
  <c r="M100" i="1" s="1"/>
  <c r="M101" i="1" s="1"/>
  <c r="E74" i="1"/>
  <c r="E43" i="1" l="1"/>
  <c r="E47" i="1" s="1"/>
  <c r="E45" i="1" l="1"/>
  <c r="E55" i="1"/>
  <c r="E57" i="1" s="1"/>
  <c r="E66" i="1"/>
  <c r="E31" i="1"/>
  <c r="E33" i="1"/>
  <c r="E32" i="1"/>
  <c r="E28" i="1"/>
  <c r="E36" i="1" l="1"/>
  <c r="E61" i="1" l="1"/>
  <c r="E65" i="1"/>
  <c r="E46" i="1"/>
  <c r="E48" i="1" s="1"/>
  <c r="E68" i="1" l="1"/>
  <c r="E73" i="1" s="1"/>
  <c r="E95" i="1"/>
  <c r="E96" i="1" l="1"/>
  <c r="E75" i="1" l="1"/>
  <c r="E85" i="1" s="1"/>
  <c r="E86" i="1" s="1"/>
  <c r="E88" i="1" s="1"/>
  <c r="E97" i="1"/>
  <c r="E90" i="1" l="1"/>
  <c r="E89" i="1"/>
  <c r="E98" i="1"/>
  <c r="E99" i="1" s="1"/>
  <c r="E91" i="1" l="1"/>
  <c r="E100" i="1" s="1"/>
  <c r="E101" i="1" s="1"/>
  <c r="E16" i="15" l="1"/>
  <c r="E65" i="15" s="1"/>
  <c r="E66" i="15" l="1"/>
  <c r="E64" i="15"/>
  <c r="M22" i="15"/>
  <c r="M21" i="15"/>
  <c r="I23" i="15"/>
  <c r="I22" i="15"/>
  <c r="I21" i="15"/>
  <c r="M23" i="15"/>
  <c r="E21" i="15"/>
  <c r="E22" i="15"/>
  <c r="E23" i="15"/>
  <c r="I24" i="15" l="1"/>
  <c r="I54" i="15" s="1"/>
  <c r="M24" i="15"/>
  <c r="M55" i="15" s="1"/>
  <c r="E24" i="15"/>
  <c r="E54" i="15" l="1"/>
  <c r="M57" i="15"/>
  <c r="E26" i="15"/>
  <c r="E33" i="15"/>
  <c r="E52" i="15"/>
  <c r="M45" i="15"/>
  <c r="M27" i="15"/>
  <c r="M26" i="15"/>
  <c r="M32" i="15"/>
  <c r="M28" i="15"/>
  <c r="M29" i="15"/>
  <c r="M30" i="15"/>
  <c r="M53" i="15"/>
  <c r="M31" i="15"/>
  <c r="M56" i="15"/>
  <c r="M33" i="15"/>
  <c r="I45" i="15"/>
  <c r="I30" i="15"/>
  <c r="I33" i="15"/>
  <c r="I34" i="15"/>
  <c r="I26" i="15"/>
  <c r="I31" i="15"/>
  <c r="I32" i="15"/>
  <c r="I27" i="15"/>
  <c r="I28" i="15"/>
  <c r="I29" i="15"/>
  <c r="I53" i="15"/>
  <c r="I55" i="15"/>
  <c r="I57" i="15"/>
  <c r="I56" i="15"/>
  <c r="E55" i="15"/>
  <c r="E57" i="15"/>
  <c r="E53" i="15"/>
  <c r="E56" i="15"/>
  <c r="E29" i="15"/>
  <c r="E31" i="15"/>
  <c r="E27" i="15"/>
  <c r="E32" i="15"/>
  <c r="E45" i="15"/>
  <c r="E30" i="15"/>
  <c r="E28" i="15"/>
  <c r="I67" i="15" l="1"/>
  <c r="I70" i="15"/>
  <c r="M58" i="15"/>
  <c r="M34" i="15"/>
  <c r="I58" i="15"/>
  <c r="I46" i="15"/>
  <c r="I48" i="15" s="1"/>
  <c r="I101" i="15" s="1"/>
  <c r="E58" i="15"/>
  <c r="E34" i="15"/>
  <c r="M102" i="15" l="1"/>
  <c r="I102" i="15"/>
  <c r="M46" i="15"/>
  <c r="M48" i="15" s="1"/>
  <c r="M101" i="15" s="1"/>
  <c r="M67" i="15"/>
  <c r="E46" i="15"/>
  <c r="E48" i="15" s="1"/>
  <c r="E101" i="15" s="1"/>
  <c r="E67" i="15"/>
  <c r="E70" i="15"/>
  <c r="I77" i="15"/>
  <c r="I79" i="15" s="1"/>
  <c r="I86" i="15" s="1"/>
  <c r="I103" i="15"/>
  <c r="I105" i="15" s="1"/>
  <c r="I89" i="15" l="1"/>
  <c r="M70" i="15"/>
  <c r="M103" i="15" s="1"/>
  <c r="M77" i="15"/>
  <c r="M79" i="15" s="1"/>
  <c r="M86" i="15" s="1"/>
  <c r="M105" i="15"/>
  <c r="E102" i="15"/>
  <c r="I90" i="15" l="1"/>
  <c r="M89" i="15"/>
  <c r="M90" i="15" s="1"/>
  <c r="E77" i="15"/>
  <c r="E79" i="15" s="1"/>
  <c r="E86" i="15" s="1"/>
  <c r="E103" i="15"/>
  <c r="E105" i="15" s="1"/>
  <c r="M94" i="15" l="1"/>
  <c r="M93" i="15"/>
  <c r="M92" i="15"/>
  <c r="I93" i="15"/>
  <c r="I94" i="15"/>
  <c r="I92" i="15"/>
  <c r="E89" i="15"/>
  <c r="E90" i="15" s="1"/>
  <c r="I95" i="15" l="1"/>
  <c r="I106" i="15" s="1"/>
  <c r="I107" i="15" s="1"/>
  <c r="M95" i="15"/>
  <c r="M106" i="15" s="1"/>
  <c r="M107" i="15" s="1"/>
  <c r="E92" i="15"/>
  <c r="E93" i="15"/>
  <c r="E94" i="15"/>
  <c r="E95" i="15" l="1"/>
  <c r="E106" i="15" s="1"/>
  <c r="E107" i="15" s="1"/>
</calcChain>
</file>

<file path=xl/sharedStrings.xml><?xml version="1.0" encoding="utf-8"?>
<sst xmlns="http://schemas.openxmlformats.org/spreadsheetml/2006/main" count="1954" uniqueCount="234">
  <si>
    <t>Dados complementares para composição dos custos referente à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</si>
  <si>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</si>
  <si>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</si>
  <si>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</si>
  <si>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Data base da categoria (dia/mês/ano)</t>
  </si>
  <si>
    <t>Módulo 1 - 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</si>
  <si>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</si>
  <si>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</si>
  <si>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</si>
  <si>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</si>
  <si>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</si>
  <si>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</si>
  <si>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</si>
  <si>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</si>
  <si>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</si>
  <si>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</si>
  <si>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</si>
  <si>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G</t>
  </si>
  <si>
    <t>Outros (especificar)</t>
  </si>
  <si>
    <t>Total</t>
  </si>
  <si>
    <t>Módulo 2 - Encargos e Benefícios Anuais, Mensais e Diários</t>
  </si>
  <si>
    <t>Submódulo 2.1 - 13º (décimo terceiro) Sal ário, Férias e Adicional de Férias</t>
  </si>
  <si>
    <t>2.1</t>
  </si>
  <si>
    <t>13º (décimo terceiro) Salário, Férias e Adicional de Férias</t>
  </si>
  <si>
    <t>13º (décimo terceiro) Salário</t>
  </si>
  <si>
    <t>2.2</t>
  </si>
  <si>
    <t>GPS, FGTS e outras contribuições</t>
  </si>
  <si>
    <t>(%)</t>
  </si>
  <si>
    <t>INSS</t>
  </si>
  <si>
    <t>Salário Educação</t>
  </si>
  <si>
    <t>SAT</t>
  </si>
  <si>
    <t>SESC ou SESI</t>
  </si>
  <si>
    <t>SENAI - SENAC</t>
  </si>
  <si>
    <t>F</t>
  </si>
  <si>
    <t>SEBRAE</t>
  </si>
  <si>
    <t>INCRA</t>
  </si>
  <si>
    <t>H</t>
  </si>
  <si>
    <t>FGTS</t>
  </si>
  <si>
    <t>Nota: Os percentuais dos encargos previdenciários, do FGTS e demais contribuições são aqueles estabelecidos pela legislação vigente.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</si>
  <si>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</si>
  <si>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</si>
  <si>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</si>
  <si>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</si>
  <si>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</si>
  <si>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</si>
  <si>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</si>
  <si>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</si>
  <si>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</si>
  <si>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</si>
  <si>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</si>
  <si>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</si>
  <si>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</si>
  <si>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Submódulo 4.1 - Ausências Legais</t>
  </si>
  <si>
    <t>4.1</t>
  </si>
  <si>
    <t>Ausências Legais</t>
  </si>
  <si>
    <t>Submódulo 4.2 - Intrajornada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</si>
  <si>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</si>
  <si>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</si>
  <si>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</si>
  <si>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</si>
  <si>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</si>
  <si>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Módulo 6 - Custos Indiretos, Tributos e Lucro</t>
  </si>
  <si>
    <t>Custos Indiretos</t>
  </si>
  <si>
    <t>Lucro</t>
  </si>
  <si>
    <t>Tributos</t>
  </si>
  <si>
    <t>RESUMO DO CUSTO POR EMPREGADO</t>
  </si>
  <si>
    <t>Subtotal (A + B +C+ D+E)</t>
  </si>
  <si>
    <t>Módulo 6 – Custos Indiretos, Tributos e Lucro</t>
  </si>
  <si>
    <t>Benefício Social e Familiar</t>
  </si>
  <si>
    <t>Insumos de materiais</t>
  </si>
  <si>
    <t>PIS</t>
  </si>
  <si>
    <t>COFINS</t>
  </si>
  <si>
    <t>ISS</t>
  </si>
  <si>
    <t>Nº do Processo:</t>
  </si>
  <si>
    <t xml:space="preserve">Número de meses de execução contratual: </t>
  </si>
  <si>
    <t xml:space="preserve">Intrajornada </t>
  </si>
  <si>
    <t>Valor R$</t>
  </si>
  <si>
    <t>Intervalo para repouso ou alimentação</t>
  </si>
  <si>
    <t>Dias de Reposição</t>
  </si>
  <si>
    <t>TOTAL DOS CUSTOS DIRETOS</t>
  </si>
  <si>
    <t xml:space="preserve">Férias </t>
  </si>
  <si>
    <t>Adicional de Férias</t>
  </si>
  <si>
    <t>Depreciação de Equipamentos</t>
  </si>
  <si>
    <t>Uniformes e EPIs</t>
  </si>
  <si>
    <t>LUVA PVC 70cm</t>
  </si>
  <si>
    <t>TOTAL</t>
  </si>
  <si>
    <t>Insumos</t>
  </si>
  <si>
    <t>LOTE 1</t>
  </si>
  <si>
    <t>Servente 44h</t>
  </si>
  <si>
    <t>PLANILHA DE CUSTOS E FORMAÇÃO DE PREÇO</t>
  </si>
  <si>
    <t>VALOR MENSAL</t>
  </si>
  <si>
    <t>Quant.</t>
  </si>
  <si>
    <t>Valor do material por funcionário</t>
  </si>
  <si>
    <t>Valor do material por funcionário por mês</t>
  </si>
  <si>
    <t>Submódulo 2.2 - GPS, FGTS e outras contribuições</t>
  </si>
  <si>
    <t>VALOR TOTAL POR EMPREGADO</t>
  </si>
  <si>
    <t>C.1</t>
  </si>
  <si>
    <t>C.2</t>
  </si>
  <si>
    <t>C.3</t>
  </si>
  <si>
    <t>Subtotal (A + B + C + D + E)</t>
  </si>
  <si>
    <t xml:space="preserve">     PIS</t>
  </si>
  <si>
    <t xml:space="preserve">     COFINS</t>
  </si>
  <si>
    <t xml:space="preserve">     ISS</t>
  </si>
  <si>
    <t>Resumo do Custo por Empregado - Mão de obra vinculada à execução contratual</t>
  </si>
  <si>
    <t>Substituto na cobertura de Férias (Décimo Terceiro Salário do Substituto)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</si>
  <si>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</si>
  <si>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</si>
  <si>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</si>
  <si>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</si>
  <si>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 xml:space="preserve">   Subtotal </t>
  </si>
  <si>
    <t>Incidência de GPS, FGTS e outras contribuições sobre o APT</t>
  </si>
  <si>
    <t>outra substituição (especificar)</t>
  </si>
  <si>
    <t>Servente 44h com insalubridade 40%</t>
  </si>
  <si>
    <t>Valor Total por empregado com 40% de insalubridade</t>
  </si>
  <si>
    <t>ASG</t>
  </si>
  <si>
    <t>LOTE 2</t>
  </si>
  <si>
    <t>LOTE 3</t>
  </si>
  <si>
    <t>Multa do FGTS no Aviso Prévio Indenizado</t>
  </si>
  <si>
    <t>Multa do FGTS  sobre o APT</t>
  </si>
  <si>
    <t>BOTA PVC CANO LONGO</t>
  </si>
  <si>
    <t>Preço A</t>
  </si>
  <si>
    <t>Preço B</t>
  </si>
  <si>
    <t>Preço C</t>
  </si>
  <si>
    <t>Média</t>
  </si>
  <si>
    <t>Valor R$ (Média x Quantidade)</t>
  </si>
  <si>
    <t>Nº do Processo: SEI-360018/000729/2025</t>
  </si>
  <si>
    <t>Cargo</t>
  </si>
  <si>
    <t>Descrição</t>
  </si>
  <si>
    <t>Quantidade por funcionário</t>
  </si>
  <si>
    <t>Servente</t>
  </si>
  <si>
    <t>ÓCULOS IMPERIAL</t>
  </si>
  <si>
    <t>AVENTAL PVC</t>
  </si>
  <si>
    <t>CRACHÁ</t>
  </si>
  <si>
    <t>BOTA COM BIQUEIRA</t>
  </si>
  <si>
    <t>CALÇA HELANCA</t>
  </si>
  <si>
    <t>CAMISETA MALHA MANGA CURTA</t>
  </si>
  <si>
    <t>CALÇA DE BRIM</t>
  </si>
  <si>
    <t>Álcool gel 70%  500ml com bico dosador</t>
  </si>
  <si>
    <t>Álcool liquido 70 c/ 1L</t>
  </si>
  <si>
    <t>Balde de plástico 8L</t>
  </si>
  <si>
    <t>Balde plástico 20L</t>
  </si>
  <si>
    <t>Cera acrílica  5L</t>
  </si>
  <si>
    <t>Creolina 750ml</t>
  </si>
  <si>
    <t>Desengordurante 5L</t>
  </si>
  <si>
    <t>Desentupidor de pia</t>
  </si>
  <si>
    <t>Desentupidor de vaso</t>
  </si>
  <si>
    <t>Detergente concentrado 5L</t>
  </si>
  <si>
    <t>Disco 350mm preto removedor</t>
  </si>
  <si>
    <t>Escova multiuso oval</t>
  </si>
  <si>
    <t>Esponja dupla face</t>
  </si>
  <si>
    <t>Flanela branca G 38x58</t>
  </si>
  <si>
    <t>Hipoclorito 5% 5L</t>
  </si>
  <si>
    <t>Inseticida aerossol 300ml</t>
  </si>
  <si>
    <t>Lã de aço 60G c/ 8 unidades</t>
  </si>
  <si>
    <t>Limpa pedra 5L</t>
  </si>
  <si>
    <t>Luva de borracha P/M/ G</t>
  </si>
  <si>
    <t>Luva multiuso verde P/M/G</t>
  </si>
  <si>
    <t>Luva procedimento P/M/G cx c/ 100</t>
  </si>
  <si>
    <t>Mascara desc c/ elástico dupla c/ 100un</t>
  </si>
  <si>
    <t>Mascara respiratória PFF2 s/ válvula</t>
  </si>
  <si>
    <t>Odorizador de ambiente talco 5L</t>
  </si>
  <si>
    <t>Pano cortado G</t>
  </si>
  <si>
    <t>Papel hig. 10x30 br lx c/ 64</t>
  </si>
  <si>
    <t>Papel toalha interf. 20x21</t>
  </si>
  <si>
    <t>Removedor cera 5L</t>
  </si>
  <si>
    <t>Rodo de plástico 40 cm c/cabo</t>
  </si>
  <si>
    <t>Sabão em pedra 1kg c/ 5un</t>
  </si>
  <si>
    <t>Sabão em pó 1kg</t>
  </si>
  <si>
    <t>Sabonete liquido com glicerina para antissepsia </t>
  </si>
  <si>
    <t>Saco p/ lixo branco infectante 100L c/ 100un</t>
  </si>
  <si>
    <t>Saco p/ lixo branco infectante 200L c/ 100un</t>
  </si>
  <si>
    <t>Saco p/ lixo branco infectante 60L c/ 100un</t>
  </si>
  <si>
    <t>Saco p/ lixo branco infectante 240L c/ 100un</t>
  </si>
  <si>
    <t>Saco p/ lixo preto 100L c/ 100un</t>
  </si>
  <si>
    <t>Saco p/ lixo preto 200L c/ 100un</t>
  </si>
  <si>
    <t>Saco p/ lixo preto 300L reforçado</t>
  </si>
  <si>
    <t>Saco p/ lixo preto 40L c/ 100un</t>
  </si>
  <si>
    <t>Saco p/ lixo preto 60L c/ 100un</t>
  </si>
  <si>
    <t>Touca descartável 100un</t>
  </si>
  <si>
    <t>Vassoura ancinho aço inox</t>
  </si>
  <si>
    <t>Vassoura de nylon p/ vaso</t>
  </si>
  <si>
    <t>Vassoura de Pelo 30cm</t>
  </si>
  <si>
    <t>Vassoura gari caixão</t>
  </si>
  <si>
    <t>Vassoura piaçava chapa n 1</t>
  </si>
  <si>
    <t>Borrifador 500 ml</t>
  </si>
  <si>
    <t>Conjunto MOP pó acrílico 60 cm</t>
  </si>
  <si>
    <t>Conjunto MOP molhado com balde doblo</t>
  </si>
  <si>
    <t>Cabeleira MOP pó acrílico 60 cm</t>
  </si>
  <si>
    <t>Cabeleira MOP molhado</t>
  </si>
  <si>
    <t>Sinalizador (piso molhado)</t>
  </si>
  <si>
    <t>Desinfetante de uso hospitalar 1L</t>
  </si>
  <si>
    <t>LOTE II</t>
  </si>
  <si>
    <t>Quantidade máxima de colaboradores</t>
  </si>
  <si>
    <t>LOCAL</t>
  </si>
  <si>
    <t>LIMPEZA E CONSERVAÇÃO DE IMÓVEL ÁREAS M²</t>
  </si>
  <si>
    <t>Hospitalar e Assemelhado</t>
  </si>
  <si>
    <t>Banheiros</t>
  </si>
  <si>
    <t>Administrativo</t>
  </si>
  <si>
    <t>Área Externa</t>
  </si>
  <si>
    <t>Esquadrias Interna/ Externa</t>
  </si>
  <si>
    <t>Crítica</t>
  </si>
  <si>
    <t>Semicrítica</t>
  </si>
  <si>
    <t>x</t>
  </si>
  <si>
    <t>PRPTC Serviço de Perícia Criminal (SPC) Resende</t>
  </si>
  <si>
    <t>Serviço Médico Legal (SML) Resende</t>
  </si>
  <si>
    <t xml:space="preserve">PRPTC Angra dos Reis </t>
  </si>
  <si>
    <t xml:space="preserve">PRPTC Barra do Piraí </t>
  </si>
  <si>
    <t xml:space="preserve">PRPTC Volta Redonda </t>
  </si>
  <si>
    <t>LOTE I</t>
  </si>
  <si>
    <t>PRPTC Serviço Médico Legal (SML) Cabo Frio</t>
  </si>
  <si>
    <t xml:space="preserve">PRPTC Serviço de Perícia Criminal (SPC) Cabo Frio </t>
  </si>
  <si>
    <t>PRPTC Araruama</t>
  </si>
  <si>
    <t>PRPTC Campos dos Goytacazes</t>
  </si>
  <si>
    <t>PRPTC Santo Antônio de Pádua</t>
  </si>
  <si>
    <t xml:space="preserve">PRPTC Itaperuna </t>
  </si>
  <si>
    <t>PRPTC Macaé</t>
  </si>
  <si>
    <t>LOTE III</t>
  </si>
  <si>
    <t xml:space="preserve">PRPTC Três Rios Serviço de Perícia Criminal (SPC) </t>
  </si>
  <si>
    <t>PRPTC Nova Friburgo</t>
  </si>
  <si>
    <t>PRPTC Petrópolis</t>
  </si>
  <si>
    <t>PRPTC Teresópolis</t>
  </si>
  <si>
    <t>UNIDADES</t>
  </si>
  <si>
    <t>40% e 20%</t>
  </si>
  <si>
    <t>Total insalubre 40%</t>
  </si>
  <si>
    <t>Total insalubre 20%</t>
  </si>
  <si>
    <t>Enceradeira industrial escova de 350mm, acompanhadas de 1 escova de nylon para lavar, 1 suporte p/ discos de fibra</t>
  </si>
  <si>
    <t>Carro funcional</t>
  </si>
  <si>
    <t>PRODUTIVIDADE ADOTADA</t>
  </si>
  <si>
    <t>VALOR DA DEPRECIAÇÃO</t>
  </si>
  <si>
    <t>VALOR DISTRIBUÍDO ENTRE OS FUNCIONÁRIOS</t>
  </si>
  <si>
    <t>Total sem insalubridade</t>
  </si>
  <si>
    <t>Valor Total por empregado com 20% de insalubridade</t>
  </si>
  <si>
    <t>ASG ins 40%</t>
  </si>
  <si>
    <t>ASG ins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</si>
</sst>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&quot;R$&quot;\ #,##0.00"/>
    <numFmt numFmtId="165" formatCode="0.000%"/>
    <numFmt numFmtId="166" formatCode="0.0000%"/>
  </numFmts>
  <fonts count="22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218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9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4" fontId="2" fillId="4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2" fillId="0" borderId="1" xfId="0" applyFont="1" applyBorder="1" applyAlignment="1">
      <alignment horizontal="left" vertical="center"/>
    </xf>
    <xf numFmtId="164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9" fontId="2" fillId="0" borderId="1" xfId="0" applyNumberFormat="1" applyFont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64" fontId="6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0" fontId="4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0" fontId="2" fillId="4" borderId="10" xfId="1" applyNumberFormat="1" applyFont="1" applyFill="1" applyBorder="1" applyAlignment="1">
      <alignment horizontal="center" vertical="center" wrapText="1"/>
    </xf>
    <xf numFmtId="10" fontId="3" fillId="4" borderId="10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2" fillId="4" borderId="0" xfId="0" applyFont="1" applyFill="1"/>
    <xf numFmtId="0" fontId="5" fillId="0" borderId="0" xfId="0" applyFont="1"/>
    <xf numFmtId="0" fontId="11" fillId="0" borderId="0" xfId="0" applyFont="1"/>
    <xf numFmtId="0" fontId="11" fillId="6" borderId="1" xfId="0" applyFont="1" applyFill="1" applyBorder="1"/>
    <xf numFmtId="164" fontId="5" fillId="0" borderId="1" xfId="0" applyNumberFormat="1" applyFont="1" applyBorder="1"/>
    <xf numFmtId="164" fontId="6" fillId="2" borderId="1" xfId="0" applyNumberFormat="1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0" fontId="2" fillId="0" borderId="3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0" fontId="13" fillId="8" borderId="11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64" fontId="2" fillId="9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8" fontId="16" fillId="0" borderId="1" xfId="0" applyNumberFormat="1" applyFont="1" applyBorder="1" applyAlignment="1">
      <alignment horizontal="center" vertical="center"/>
    </xf>
    <xf numFmtId="8" fontId="16" fillId="1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10" borderId="1" xfId="0" applyNumberFormat="1" applyFont="1" applyFill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5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11" borderId="15" xfId="0" applyFont="1" applyFill="1" applyBorder="1" applyAlignment="1">
      <alignment horizontal="center" vertical="center" wrapText="1"/>
    </xf>
    <xf numFmtId="0" fontId="17" fillId="11" borderId="16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/>
    </xf>
    <xf numFmtId="0" fontId="17" fillId="0" borderId="18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B1:M125"/>
  <sheetViews>
    <sheetView tabSelected="1" zoomScale="70" zoomScaleNormal="70" workbookViewId="0">
      <selection activeCell="G98" sqref="G98:H98"/>
    </sheetView>
  </sheetViews>
  <sheetFormatPr defaultColWidth="8.81640625" defaultRowHeight="17.149999999999999" customHeight="1" x14ac:dyDescent="0.3"/>
  <cols>
    <col min="1" max="1" width="2.453125" style="81" customWidth="1"/>
    <col min="2" max="2" width="13.81640625" style="81" customWidth="1"/>
    <col min="3" max="3" width="48.1796875" style="81" customWidth="1"/>
    <col min="4" max="4" width="15.1796875" style="81" customWidth="1"/>
    <col min="5" max="5" width="15.7265625" style="81" bestFit="1" customWidth="1"/>
    <col min="6" max="6" width="13.81640625" style="81" customWidth="1"/>
    <col min="7" max="7" width="48.1796875" style="81" customWidth="1"/>
    <col min="8" max="8" width="15.1796875" style="81" customWidth="1"/>
    <col min="9" max="9" width="15.7265625" style="81" bestFit="1" customWidth="1"/>
    <col min="10" max="10" width="13.81640625" style="81" customWidth="1"/>
    <col min="11" max="11" width="48.1796875" style="81" customWidth="1"/>
    <col min="12" max="12" width="15.1796875" style="81" customWidth="1"/>
    <col min="13" max="13" width="15.7265625" style="81" bestFit="1" customWidth="1"/>
    <col min="14" max="16384" width="8.81640625" style="81"/>
  </cols>
  <sheetData>
    <row r="1" spans="2:13" ht="17.149999999999999" customHeight="1" x14ac:dyDescent="0.3">
      <c r="B1" s="79" t="s">
        <v>89</v>
      </c>
      <c r="C1" s="79"/>
      <c r="D1" s="80" t="s">
        <v>87</v>
      </c>
      <c r="E1" s="79"/>
      <c r="F1" s="79" t="s">
        <v>89</v>
      </c>
      <c r="G1" s="79"/>
      <c r="H1" s="80" t="s">
        <v>115</v>
      </c>
      <c r="I1" s="79"/>
      <c r="J1" s="79" t="s">
        <v>89</v>
      </c>
      <c r="K1" s="79"/>
      <c r="L1" s="80" t="s">
        <v>116</v>
      </c>
      <c r="M1" s="79"/>
    </row>
    <row r="2" spans="2:13" ht="17.149999999999999" customHeight="1" x14ac:dyDescent="0.3">
      <c r="B2" s="82" t="s">
        <v>125</v>
      </c>
      <c r="C2" s="82"/>
      <c r="D2" s="82"/>
      <c r="E2" s="82"/>
      <c r="F2" s="82" t="s">
        <v>125</v>
      </c>
      <c r="G2" s="82"/>
      <c r="H2" s="82"/>
      <c r="I2" s="82"/>
      <c r="J2" s="82" t="s">
        <v>125</v>
      </c>
      <c r="K2" s="82"/>
      <c r="L2" s="82"/>
      <c r="M2" s="82"/>
    </row>
    <row r="4" spans="2:13" ht="17.149999999999999" customHeight="1" x14ac:dyDescent="0.3">
      <c r="B4" s="147" t="s">
        <v>0</v>
      </c>
      <c r="C4" s="159"/>
      <c r="D4" s="159"/>
      <c r="E4" s="148"/>
      <c r="F4" s="147" t="s">
        <v>0</v>
      </c>
      <c r="G4" s="159"/>
      <c r="H4" s="159"/>
      <c r="I4" s="148"/>
      <c r="J4" s="147" t="s">
        <v>0</v>
      </c>
      <c r="K4" s="159"/>
      <c r="L4" s="159"/>
      <c r="M4" s="148"/>
    </row>
    <row r="5" spans="2:13" ht="17.149999999999999" customHeight="1" x14ac:dyDescent="0.3">
      <c r="B5" s="2">
        <v>1</v>
      </c>
      <c r="C5" s="149" t="s">
        <v>1</v>
      </c>
      <c r="D5" s="150"/>
      <c r="E5" s="8" t="s">
        <v>88</v>
      </c>
      <c r="F5" s="2">
        <v>1</v>
      </c>
      <c r="G5" s="149" t="s">
        <v>1</v>
      </c>
      <c r="H5" s="150"/>
      <c r="I5" s="8" t="s">
        <v>88</v>
      </c>
      <c r="J5" s="2">
        <v>1</v>
      </c>
      <c r="K5" s="149" t="s">
        <v>1</v>
      </c>
      <c r="L5" s="150"/>
      <c r="M5" s="8" t="s">
        <v>88</v>
      </c>
    </row>
    <row r="6" spans="2:13" ht="17.149999999999999" customHeight="1" x14ac:dyDescent="0.3">
      <c r="B6" s="2">
        <v>2</v>
      </c>
      <c r="C6" s="149" t="s">
        <v>2</v>
      </c>
      <c r="D6" s="150"/>
      <c r="E6" s="20">
        <v>1730.75</v>
      </c>
      <c r="F6" s="2">
        <v>2</v>
      </c>
      <c r="G6" s="149" t="s">
        <v>2</v>
      </c>
      <c r="H6" s="150"/>
      <c r="I6" s="20">
        <v>1730.75</v>
      </c>
      <c r="J6" s="2">
        <v>2</v>
      </c>
      <c r="K6" s="149" t="s">
        <v>2</v>
      </c>
      <c r="L6" s="150"/>
      <c r="M6" s="20">
        <v>1730.75</v>
      </c>
    </row>
    <row r="7" spans="2:13" ht="17.149999999999999" customHeight="1" x14ac:dyDescent="0.3">
      <c r="B7" s="2">
        <v>3</v>
      </c>
      <c r="C7" s="149" t="s">
        <v>3</v>
      </c>
      <c r="D7" s="150"/>
      <c r="E7" s="18" t="s">
        <v>114</v>
      </c>
      <c r="F7" s="2">
        <v>3</v>
      </c>
      <c r="G7" s="149" t="s">
        <v>3</v>
      </c>
      <c r="H7" s="150"/>
      <c r="I7" s="18" t="s">
        <v>114</v>
      </c>
      <c r="J7" s="2">
        <v>3</v>
      </c>
      <c r="K7" s="149" t="s">
        <v>3</v>
      </c>
      <c r="L7" s="150"/>
      <c r="M7" s="18" t="s">
        <v>114</v>
      </c>
    </row>
    <row r="8" spans="2:13" ht="17.149999999999999" customHeight="1" x14ac:dyDescent="0.3">
      <c r="B8" s="2">
        <v>4</v>
      </c>
      <c r="C8" s="149" t="s">
        <v>4</v>
      </c>
      <c r="D8" s="150"/>
      <c r="E8" s="19">
        <v>45775</v>
      </c>
      <c r="F8" s="2">
        <v>4</v>
      </c>
      <c r="G8" s="149" t="s">
        <v>4</v>
      </c>
      <c r="H8" s="150"/>
      <c r="I8" s="19">
        <v>45775</v>
      </c>
      <c r="J8" s="2">
        <v>4</v>
      </c>
      <c r="K8" s="149" t="s">
        <v>4</v>
      </c>
      <c r="L8" s="150"/>
      <c r="M8" s="19">
        <v>45775</v>
      </c>
    </row>
    <row r="9" spans="2:13" ht="17.149999999999999" customHeight="1" x14ac:dyDescent="0.3">
      <c r="B9" s="2">
        <v>5</v>
      </c>
      <c r="C9" s="168" t="s">
        <v>74</v>
      </c>
      <c r="D9" s="168"/>
      <c r="E9" s="8">
        <v>30</v>
      </c>
      <c r="F9" s="2">
        <v>5</v>
      </c>
      <c r="G9" s="168" t="s">
        <v>74</v>
      </c>
      <c r="H9" s="168"/>
      <c r="I9" s="8">
        <v>30</v>
      </c>
      <c r="J9" s="2">
        <v>5</v>
      </c>
      <c r="K9" s="168" t="s">
        <v>74</v>
      </c>
      <c r="L9" s="168"/>
      <c r="M9" s="8">
        <v>30</v>
      </c>
    </row>
    <row r="10" spans="2:13" ht="17.149999999999999" customHeight="1" x14ac:dyDescent="0.3">
      <c r="B10" s="55"/>
      <c r="C10" s="169"/>
      <c r="D10" s="169"/>
      <c r="E10" s="55"/>
      <c r="F10" s="55"/>
      <c r="G10" s="169"/>
      <c r="H10" s="169"/>
      <c r="I10" s="55"/>
      <c r="J10" s="55"/>
      <c r="K10" s="169"/>
      <c r="L10" s="169"/>
      <c r="M10" s="55"/>
    </row>
    <row r="11" spans="2:13" ht="17.149999999999999" customHeight="1" x14ac:dyDescent="0.3">
      <c r="B11" s="147" t="s">
        <v>5</v>
      </c>
      <c r="C11" s="148"/>
      <c r="D11" s="65" t="s">
        <v>27</v>
      </c>
      <c r="E11" s="64" t="s">
        <v>6</v>
      </c>
      <c r="F11" s="147" t="s">
        <v>5</v>
      </c>
      <c r="G11" s="148"/>
      <c r="H11" s="65" t="s">
        <v>27</v>
      </c>
      <c r="I11" s="64" t="s">
        <v>6</v>
      </c>
      <c r="J11" s="147" t="s">
        <v>5</v>
      </c>
      <c r="K11" s="148"/>
      <c r="L11" s="65" t="s">
        <v>27</v>
      </c>
      <c r="M11" s="64" t="s">
        <v>6</v>
      </c>
    </row>
    <row r="12" spans="2:13" ht="17.149999999999999" customHeight="1" x14ac:dyDescent="0.3">
      <c r="B12" s="2" t="s">
        <v>7</v>
      </c>
      <c r="C12" s="8" t="s">
        <v>8</v>
      </c>
      <c r="D12" s="8"/>
      <c r="E12" s="9">
        <f>E6</f>
        <v>1730.75</v>
      </c>
      <c r="F12" s="2" t="s">
        <v>7</v>
      </c>
      <c r="G12" s="8" t="s">
        <v>8</v>
      </c>
      <c r="H12" s="8"/>
      <c r="I12" s="9">
        <f>I6</f>
        <v>1730.75</v>
      </c>
      <c r="J12" s="2" t="s">
        <v>7</v>
      </c>
      <c r="K12" s="8" t="s">
        <v>8</v>
      </c>
      <c r="L12" s="8"/>
      <c r="M12" s="9">
        <f>M6</f>
        <v>1730.75</v>
      </c>
    </row>
    <row r="13" spans="2:13" ht="17.149999999999999" customHeight="1" x14ac:dyDescent="0.3">
      <c r="B13" s="2" t="s">
        <v>9</v>
      </c>
      <c r="C13" s="8" t="s">
        <v>10</v>
      </c>
      <c r="D13" s="8"/>
      <c r="E13" s="9">
        <f>$E$12*D13</f>
        <v>0</v>
      </c>
      <c r="F13" s="2" t="s">
        <v>9</v>
      </c>
      <c r="G13" s="8" t="s">
        <v>10</v>
      </c>
      <c r="H13" s="8"/>
      <c r="I13" s="9">
        <f>$E$12*H13</f>
        <v>0</v>
      </c>
      <c r="J13" s="2" t="s">
        <v>9</v>
      </c>
      <c r="K13" s="8" t="s">
        <v>10</v>
      </c>
      <c r="L13" s="8"/>
      <c r="M13" s="9">
        <f>$E$12*L13</f>
        <v>0</v>
      </c>
    </row>
    <row r="14" spans="2:13" ht="17.149999999999999" customHeight="1" x14ac:dyDescent="0.3">
      <c r="B14" s="2" t="s">
        <v>11</v>
      </c>
      <c r="C14" s="8" t="s">
        <v>12</v>
      </c>
      <c r="D14" s="8"/>
      <c r="E14" s="9">
        <f>$E$12*D14</f>
        <v>0</v>
      </c>
      <c r="F14" s="2" t="s">
        <v>11</v>
      </c>
      <c r="G14" s="8" t="s">
        <v>12</v>
      </c>
      <c r="H14" s="8"/>
      <c r="I14" s="9">
        <f>$E$12*H14</f>
        <v>0</v>
      </c>
      <c r="J14" s="2" t="s">
        <v>11</v>
      </c>
      <c r="K14" s="8" t="s">
        <v>12</v>
      </c>
      <c r="L14" s="8"/>
      <c r="M14" s="9">
        <f>$E$12*L14</f>
        <v>0</v>
      </c>
    </row>
    <row r="15" spans="2:13" ht="17.149999999999999" customHeight="1" x14ac:dyDescent="0.3">
      <c r="B15" s="2" t="s">
        <v>13</v>
      </c>
      <c r="C15" s="8" t="s">
        <v>14</v>
      </c>
      <c r="D15" s="8"/>
      <c r="E15" s="9">
        <f>$E$12*D15</f>
        <v>0</v>
      </c>
      <c r="F15" s="2" t="s">
        <v>13</v>
      </c>
      <c r="G15" s="8" t="s">
        <v>14</v>
      </c>
      <c r="H15" s="8"/>
      <c r="I15" s="9">
        <f>$E$12*H15</f>
        <v>0</v>
      </c>
      <c r="J15" s="2" t="s">
        <v>13</v>
      </c>
      <c r="K15" s="8" t="s">
        <v>14</v>
      </c>
      <c r="L15" s="8"/>
      <c r="M15" s="9">
        <f>$E$12*L15</f>
        <v>0</v>
      </c>
    </row>
    <row r="16" spans="2:13" ht="17.149999999999999" customHeight="1" x14ac:dyDescent="0.3">
      <c r="B16" s="2" t="s">
        <v>15</v>
      </c>
      <c r="C16" s="8" t="s">
        <v>16</v>
      </c>
      <c r="D16" s="8"/>
      <c r="E16" s="9">
        <f>$E$12*D16</f>
        <v>0</v>
      </c>
      <c r="F16" s="2" t="s">
        <v>15</v>
      </c>
      <c r="G16" s="8" t="s">
        <v>16</v>
      </c>
      <c r="H16" s="8"/>
      <c r="I16" s="9">
        <f>$E$12*H16</f>
        <v>0</v>
      </c>
      <c r="J16" s="2" t="s">
        <v>15</v>
      </c>
      <c r="K16" s="8" t="s">
        <v>16</v>
      </c>
      <c r="L16" s="8"/>
      <c r="M16" s="9">
        <f>$E$12*L16</f>
        <v>0</v>
      </c>
    </row>
    <row r="17" spans="2:13" ht="17.149999999999999" customHeight="1" x14ac:dyDescent="0.3">
      <c r="B17" s="2" t="s">
        <v>33</v>
      </c>
      <c r="C17" s="8" t="s">
        <v>18</v>
      </c>
      <c r="D17" s="8"/>
      <c r="E17" s="9">
        <f>$E$12*D17</f>
        <v>0</v>
      </c>
      <c r="F17" s="2" t="s">
        <v>33</v>
      </c>
      <c r="G17" s="8" t="s">
        <v>18</v>
      </c>
      <c r="H17" s="8"/>
      <c r="I17" s="9">
        <f>$E$12*H17</f>
        <v>0</v>
      </c>
      <c r="J17" s="2" t="s">
        <v>33</v>
      </c>
      <c r="K17" s="8" t="s">
        <v>18</v>
      </c>
      <c r="L17" s="8"/>
      <c r="M17" s="9">
        <f>$E$12*L17</f>
        <v>0</v>
      </c>
    </row>
    <row r="18" spans="2:13" ht="17.149999999999999" customHeight="1" x14ac:dyDescent="0.3">
      <c r="B18" s="156" t="s">
        <v>19</v>
      </c>
      <c r="C18" s="157"/>
      <c r="D18" s="158"/>
      <c r="E18" s="32">
        <f>SUM(E12:E17)</f>
        <v>1730.75</v>
      </c>
      <c r="F18" s="156" t="s">
        <v>19</v>
      </c>
      <c r="G18" s="157"/>
      <c r="H18" s="158"/>
      <c r="I18" s="32">
        <f>SUM(I12:I17)</f>
        <v>1730.75</v>
      </c>
      <c r="J18" s="156" t="s">
        <v>19</v>
      </c>
      <c r="K18" s="157"/>
      <c r="L18" s="158"/>
      <c r="M18" s="32">
        <f>SUM(M12:M17)</f>
        <v>1730.75</v>
      </c>
    </row>
    <row r="19" spans="2:13" ht="17.149999999999999" customHeight="1" x14ac:dyDescent="0.3">
      <c r="B19" s="53"/>
      <c r="C19" s="53"/>
      <c r="D19" s="71"/>
      <c r="E19" s="71"/>
      <c r="F19" s="53"/>
      <c r="G19" s="53"/>
      <c r="H19" s="71"/>
      <c r="I19" s="71"/>
      <c r="J19" s="53"/>
      <c r="K19" s="53"/>
      <c r="L19" s="71"/>
      <c r="M19" s="71"/>
    </row>
    <row r="20" spans="2:13" ht="17.149999999999999" customHeight="1" x14ac:dyDescent="0.3">
      <c r="B20" s="165" t="s">
        <v>20</v>
      </c>
      <c r="C20" s="165"/>
      <c r="D20" s="165"/>
      <c r="E20" s="165"/>
      <c r="F20" s="165" t="s">
        <v>20</v>
      </c>
      <c r="G20" s="165"/>
      <c r="H20" s="165"/>
      <c r="I20" s="165"/>
      <c r="J20" s="165" t="s">
        <v>20</v>
      </c>
      <c r="K20" s="165"/>
      <c r="L20" s="165"/>
      <c r="M20" s="165"/>
    </row>
    <row r="21" spans="2:13" ht="17.149999999999999" customHeight="1" x14ac:dyDescent="0.3">
      <c r="B21" s="166" t="s">
        <v>21</v>
      </c>
      <c r="C21" s="167"/>
      <c r="D21" s="67" t="s">
        <v>27</v>
      </c>
      <c r="E21" s="67" t="s">
        <v>6</v>
      </c>
      <c r="F21" s="166" t="s">
        <v>21</v>
      </c>
      <c r="G21" s="167"/>
      <c r="H21" s="67" t="s">
        <v>27</v>
      </c>
      <c r="I21" s="67" t="s">
        <v>6</v>
      </c>
      <c r="J21" s="166" t="s">
        <v>21</v>
      </c>
      <c r="K21" s="167"/>
      <c r="L21" s="67" t="s">
        <v>27</v>
      </c>
      <c r="M21" s="67" t="s">
        <v>6</v>
      </c>
    </row>
    <row r="22" spans="2:13" ht="17.149999999999999" customHeight="1" x14ac:dyDescent="0.3">
      <c r="B22" s="2" t="s">
        <v>7</v>
      </c>
      <c r="C22" s="8" t="s">
        <v>24</v>
      </c>
      <c r="D22" s="26">
        <v>8.3299999999999999E-2</v>
      </c>
      <c r="E22" s="9">
        <f>$E$18*D22</f>
        <v>144.17147499999999</v>
      </c>
      <c r="F22" s="2" t="s">
        <v>7</v>
      </c>
      <c r="G22" s="8" t="s">
        <v>24</v>
      </c>
      <c r="H22" s="26">
        <v>8.3299999999999999E-2</v>
      </c>
      <c r="I22" s="9">
        <f>$E$18*H22</f>
        <v>144.17147499999999</v>
      </c>
      <c r="J22" s="2" t="s">
        <v>7</v>
      </c>
      <c r="K22" s="8" t="s">
        <v>24</v>
      </c>
      <c r="L22" s="26">
        <v>8.3299999999999999E-2</v>
      </c>
      <c r="M22" s="9">
        <f>$E$18*L22</f>
        <v>144.17147499999999</v>
      </c>
    </row>
    <row r="23" spans="2:13" ht="17.149999999999999" customHeight="1" x14ac:dyDescent="0.3">
      <c r="B23" s="2" t="s">
        <v>9</v>
      </c>
      <c r="C23" s="8" t="s">
        <v>80</v>
      </c>
      <c r="D23" s="26">
        <v>8.3299999999999999E-2</v>
      </c>
      <c r="E23" s="9">
        <f>$E$18*D23</f>
        <v>144.17147499999999</v>
      </c>
      <c r="F23" s="2" t="s">
        <v>9</v>
      </c>
      <c r="G23" s="8" t="s">
        <v>80</v>
      </c>
      <c r="H23" s="26">
        <v>8.3299999999999999E-2</v>
      </c>
      <c r="I23" s="9">
        <f>$E$18*H23</f>
        <v>144.17147499999999</v>
      </c>
      <c r="J23" s="2" t="s">
        <v>9</v>
      </c>
      <c r="K23" s="8" t="s">
        <v>80</v>
      </c>
      <c r="L23" s="26">
        <v>8.3299999999999999E-2</v>
      </c>
      <c r="M23" s="9">
        <f>$E$18*L23</f>
        <v>144.17147499999999</v>
      </c>
    </row>
    <row r="24" spans="2:13" ht="17.149999999999999" customHeight="1" x14ac:dyDescent="0.3">
      <c r="B24" s="2" t="s">
        <v>11</v>
      </c>
      <c r="C24" s="8" t="s">
        <v>81</v>
      </c>
      <c r="D24" s="26">
        <v>2.7799999999999998E-2</v>
      </c>
      <c r="E24" s="9">
        <f>$E$18*D24</f>
        <v>48.114849999999997</v>
      </c>
      <c r="F24" s="2" t="s">
        <v>11</v>
      </c>
      <c r="G24" s="8" t="s">
        <v>81</v>
      </c>
      <c r="H24" s="26">
        <v>2.7799999999999998E-2</v>
      </c>
      <c r="I24" s="9">
        <f>$E$18*H24</f>
        <v>48.114849999999997</v>
      </c>
      <c r="J24" s="2" t="s">
        <v>11</v>
      </c>
      <c r="K24" s="8" t="s">
        <v>81</v>
      </c>
      <c r="L24" s="26">
        <v>2.7799999999999998E-2</v>
      </c>
      <c r="M24" s="9">
        <f>$E$18*L24</f>
        <v>48.114849999999997</v>
      </c>
    </row>
    <row r="25" spans="2:13" ht="17.149999999999999" customHeight="1" x14ac:dyDescent="0.3">
      <c r="B25" s="144" t="s">
        <v>19</v>
      </c>
      <c r="C25" s="145"/>
      <c r="D25" s="146"/>
      <c r="E25" s="63">
        <f>SUM(E22:E24)</f>
        <v>336.45779999999996</v>
      </c>
      <c r="F25" s="144" t="s">
        <v>19</v>
      </c>
      <c r="G25" s="145"/>
      <c r="H25" s="146"/>
      <c r="I25" s="63">
        <f>SUM(I22:I24)</f>
        <v>336.45779999999996</v>
      </c>
      <c r="J25" s="144" t="s">
        <v>19</v>
      </c>
      <c r="K25" s="145"/>
      <c r="L25" s="146"/>
      <c r="M25" s="63">
        <f>SUM(M22:M24)</f>
        <v>336.45779999999996</v>
      </c>
    </row>
    <row r="26" spans="2:13" ht="17.149999999999999" customHeight="1" x14ac:dyDescent="0.3">
      <c r="B26" s="170" t="s">
        <v>94</v>
      </c>
      <c r="C26" s="171"/>
      <c r="D26" s="67" t="s">
        <v>27</v>
      </c>
      <c r="E26" s="67" t="s">
        <v>6</v>
      </c>
      <c r="F26" s="170" t="s">
        <v>94</v>
      </c>
      <c r="G26" s="171"/>
      <c r="H26" s="67" t="s">
        <v>27</v>
      </c>
      <c r="I26" s="67" t="s">
        <v>6</v>
      </c>
      <c r="J26" s="170" t="s">
        <v>94</v>
      </c>
      <c r="K26" s="171"/>
      <c r="L26" s="67" t="s">
        <v>27</v>
      </c>
      <c r="M26" s="67" t="s">
        <v>6</v>
      </c>
    </row>
    <row r="27" spans="2:13" ht="17.149999999999999" customHeight="1" x14ac:dyDescent="0.3">
      <c r="B27" s="2" t="s">
        <v>7</v>
      </c>
      <c r="C27" s="23" t="s">
        <v>28</v>
      </c>
      <c r="D27" s="28">
        <v>0.2</v>
      </c>
      <c r="E27" s="58">
        <f>($E$25+$E$18)*$D$27</f>
        <v>413.44156000000004</v>
      </c>
      <c r="F27" s="2" t="s">
        <v>7</v>
      </c>
      <c r="G27" s="23" t="s">
        <v>28</v>
      </c>
      <c r="H27" s="28">
        <v>0.2</v>
      </c>
      <c r="I27" s="58">
        <f>($E$25+$E$18)*$D$27</f>
        <v>413.44156000000004</v>
      </c>
      <c r="J27" s="2" t="s">
        <v>7</v>
      </c>
      <c r="K27" s="23" t="s">
        <v>28</v>
      </c>
      <c r="L27" s="28">
        <v>0.2</v>
      </c>
      <c r="M27" s="58">
        <f>($E$25+$E$18)*$D$27</f>
        <v>413.44156000000004</v>
      </c>
    </row>
    <row r="28" spans="2:13" ht="17.149999999999999" customHeight="1" x14ac:dyDescent="0.3">
      <c r="B28" s="2" t="s">
        <v>9</v>
      </c>
      <c r="C28" s="23" t="s">
        <v>29</v>
      </c>
      <c r="D28" s="26">
        <v>2.5000000000000001E-2</v>
      </c>
      <c r="E28" s="58">
        <f>($E$25+E18)*D28</f>
        <v>51.680195000000005</v>
      </c>
      <c r="F28" s="2" t="s">
        <v>9</v>
      </c>
      <c r="G28" s="23" t="s">
        <v>29</v>
      </c>
      <c r="H28" s="26">
        <v>2.5000000000000001E-2</v>
      </c>
      <c r="I28" s="58">
        <f>($E$25+I18)*H28</f>
        <v>51.680195000000005</v>
      </c>
      <c r="J28" s="2" t="s">
        <v>9</v>
      </c>
      <c r="K28" s="23" t="s">
        <v>29</v>
      </c>
      <c r="L28" s="26">
        <v>2.5000000000000001E-2</v>
      </c>
      <c r="M28" s="58">
        <f>($E$25+M18)*L28</f>
        <v>51.680195000000005</v>
      </c>
    </row>
    <row r="29" spans="2:13" ht="17.149999999999999" customHeight="1" x14ac:dyDescent="0.3">
      <c r="B29" s="2" t="s">
        <v>11</v>
      </c>
      <c r="C29" s="23" t="s">
        <v>30</v>
      </c>
      <c r="D29" s="35">
        <v>0.03</v>
      </c>
      <c r="E29" s="59">
        <f>($E$25+E18)*$D$29</f>
        <v>62.016234000000004</v>
      </c>
      <c r="F29" s="2" t="s">
        <v>11</v>
      </c>
      <c r="G29" s="23" t="s">
        <v>30</v>
      </c>
      <c r="H29" s="35">
        <v>0.03</v>
      </c>
      <c r="I29" s="59">
        <f>($E$25+I18)*$D$29</f>
        <v>62.016234000000004</v>
      </c>
      <c r="J29" s="2" t="s">
        <v>11</v>
      </c>
      <c r="K29" s="23" t="s">
        <v>30</v>
      </c>
      <c r="L29" s="35">
        <v>0.03</v>
      </c>
      <c r="M29" s="59">
        <f>($E$25+M18)*$D$29</f>
        <v>62.016234000000004</v>
      </c>
    </row>
    <row r="30" spans="2:13" ht="17.149999999999999" customHeight="1" x14ac:dyDescent="0.3">
      <c r="B30" s="2" t="s">
        <v>13</v>
      </c>
      <c r="C30" s="23" t="s">
        <v>31</v>
      </c>
      <c r="D30" s="26">
        <v>1.4999999999999999E-2</v>
      </c>
      <c r="E30" s="58">
        <f>($E$25+E18)*$D$30</f>
        <v>31.008117000000002</v>
      </c>
      <c r="F30" s="2" t="s">
        <v>13</v>
      </c>
      <c r="G30" s="23" t="s">
        <v>31</v>
      </c>
      <c r="H30" s="26">
        <v>1.4999999999999999E-2</v>
      </c>
      <c r="I30" s="58">
        <f>($E$25+I18)*$D$30</f>
        <v>31.008117000000002</v>
      </c>
      <c r="J30" s="2" t="s">
        <v>13</v>
      </c>
      <c r="K30" s="23" t="s">
        <v>31</v>
      </c>
      <c r="L30" s="26">
        <v>1.4999999999999999E-2</v>
      </c>
      <c r="M30" s="58">
        <f>($E$25+M18)*$D$30</f>
        <v>31.008117000000002</v>
      </c>
    </row>
    <row r="31" spans="2:13" ht="17.149999999999999" customHeight="1" x14ac:dyDescent="0.3">
      <c r="B31" s="2" t="s">
        <v>15</v>
      </c>
      <c r="C31" s="23" t="s">
        <v>32</v>
      </c>
      <c r="D31" s="28">
        <v>0.01</v>
      </c>
      <c r="E31" s="58">
        <f>($E$25+E18)*$D$31</f>
        <v>20.672078000000003</v>
      </c>
      <c r="F31" s="2" t="s">
        <v>15</v>
      </c>
      <c r="G31" s="23" t="s">
        <v>32</v>
      </c>
      <c r="H31" s="28">
        <v>0.01</v>
      </c>
      <c r="I31" s="58">
        <f>($E$25+I18)*$D$31</f>
        <v>20.672078000000003</v>
      </c>
      <c r="J31" s="2" t="s">
        <v>15</v>
      </c>
      <c r="K31" s="23" t="s">
        <v>32</v>
      </c>
      <c r="L31" s="28">
        <v>0.01</v>
      </c>
      <c r="M31" s="58">
        <f>($E$25+M18)*$D$31</f>
        <v>20.672078000000003</v>
      </c>
    </row>
    <row r="32" spans="2:13" ht="17.149999999999999" customHeight="1" x14ac:dyDescent="0.3">
      <c r="B32" s="2" t="s">
        <v>33</v>
      </c>
      <c r="C32" s="23" t="s">
        <v>34</v>
      </c>
      <c r="D32" s="26">
        <v>6.0000000000000001E-3</v>
      </c>
      <c r="E32" s="58">
        <f>($E$25+E18)*$D$32</f>
        <v>12.403246800000002</v>
      </c>
      <c r="F32" s="2" t="s">
        <v>33</v>
      </c>
      <c r="G32" s="23" t="s">
        <v>34</v>
      </c>
      <c r="H32" s="26">
        <v>6.0000000000000001E-3</v>
      </c>
      <c r="I32" s="58">
        <f>($E$25+I18)*$D$32</f>
        <v>12.403246800000002</v>
      </c>
      <c r="J32" s="2" t="s">
        <v>33</v>
      </c>
      <c r="K32" s="23" t="s">
        <v>34</v>
      </c>
      <c r="L32" s="26">
        <v>6.0000000000000001E-3</v>
      </c>
      <c r="M32" s="58">
        <f>($E$25+M18)*$D$32</f>
        <v>12.403246800000002</v>
      </c>
    </row>
    <row r="33" spans="2:13" ht="17.149999999999999" customHeight="1" x14ac:dyDescent="0.3">
      <c r="B33" s="2" t="s">
        <v>17</v>
      </c>
      <c r="C33" s="23" t="s">
        <v>35</v>
      </c>
      <c r="D33" s="26">
        <v>2E-3</v>
      </c>
      <c r="E33" s="58">
        <f>($E$25+E18)*$D$33</f>
        <v>4.1344156000000005</v>
      </c>
      <c r="F33" s="2" t="s">
        <v>17</v>
      </c>
      <c r="G33" s="23" t="s">
        <v>35</v>
      </c>
      <c r="H33" s="26">
        <v>2E-3</v>
      </c>
      <c r="I33" s="58">
        <f>($E$25+I18)*$D$33</f>
        <v>4.1344156000000005</v>
      </c>
      <c r="J33" s="2" t="s">
        <v>17</v>
      </c>
      <c r="K33" s="23" t="s">
        <v>35</v>
      </c>
      <c r="L33" s="26">
        <v>2E-3</v>
      </c>
      <c r="M33" s="58">
        <f>($E$25+M18)*$D$33</f>
        <v>4.1344156000000005</v>
      </c>
    </row>
    <row r="34" spans="2:13" ht="17.149999999999999" customHeight="1" x14ac:dyDescent="0.3">
      <c r="B34" s="2" t="s">
        <v>36</v>
      </c>
      <c r="C34" s="23" t="s">
        <v>37</v>
      </c>
      <c r="D34" s="28">
        <v>0.08</v>
      </c>
      <c r="E34" s="58">
        <f>($E$25+$E$18)*D34</f>
        <v>165.37662400000002</v>
      </c>
      <c r="F34" s="2" t="s">
        <v>36</v>
      </c>
      <c r="G34" s="23" t="s">
        <v>37</v>
      </c>
      <c r="H34" s="28">
        <v>0.08</v>
      </c>
      <c r="I34" s="58">
        <f>($E$25+$E$18)*H34</f>
        <v>165.37662400000002</v>
      </c>
      <c r="J34" s="2" t="s">
        <v>36</v>
      </c>
      <c r="K34" s="23" t="s">
        <v>37</v>
      </c>
      <c r="L34" s="28">
        <v>0.08</v>
      </c>
      <c r="M34" s="58">
        <f>($E$25+$E$18)*L34</f>
        <v>165.37662400000002</v>
      </c>
    </row>
    <row r="35" spans="2:13" ht="17.149999999999999" customHeight="1" x14ac:dyDescent="0.3">
      <c r="B35" s="87"/>
      <c r="C35" s="88"/>
      <c r="D35" s="89">
        <f>SUM(D27:D34)</f>
        <v>0.36800000000000005</v>
      </c>
      <c r="E35" s="58"/>
      <c r="F35" s="87"/>
      <c r="G35" s="88"/>
      <c r="H35" s="89">
        <f>SUM(H27:H34)</f>
        <v>0.36800000000000005</v>
      </c>
      <c r="I35" s="58"/>
      <c r="J35" s="87"/>
      <c r="K35" s="88"/>
      <c r="L35" s="89">
        <f>SUM(L27:L34)</f>
        <v>0.36800000000000005</v>
      </c>
      <c r="M35" s="58"/>
    </row>
    <row r="36" spans="2:13" ht="17.149999999999999" customHeight="1" x14ac:dyDescent="0.3">
      <c r="B36" s="144" t="s">
        <v>19</v>
      </c>
      <c r="C36" s="145"/>
      <c r="D36" s="146"/>
      <c r="E36" s="61">
        <f>SUM(E27:E34)</f>
        <v>760.73247040000012</v>
      </c>
      <c r="F36" s="144" t="s">
        <v>19</v>
      </c>
      <c r="G36" s="145"/>
      <c r="H36" s="146"/>
      <c r="I36" s="61">
        <f>SUM(I27:I34)</f>
        <v>760.73247040000012</v>
      </c>
      <c r="J36" s="144" t="s">
        <v>19</v>
      </c>
      <c r="K36" s="145"/>
      <c r="L36" s="146"/>
      <c r="M36" s="61">
        <f>SUM(M27:M34)</f>
        <v>760.73247040000012</v>
      </c>
    </row>
    <row r="37" spans="2:13" ht="17.149999999999999" customHeight="1" x14ac:dyDescent="0.3">
      <c r="B37" s="70" t="s">
        <v>39</v>
      </c>
      <c r="C37" s="11"/>
      <c r="D37" s="67" t="s">
        <v>27</v>
      </c>
      <c r="E37" s="67" t="s">
        <v>6</v>
      </c>
      <c r="F37" s="70" t="s">
        <v>39</v>
      </c>
      <c r="G37" s="11"/>
      <c r="H37" s="67" t="s">
        <v>27</v>
      </c>
      <c r="I37" s="67" t="s">
        <v>6</v>
      </c>
      <c r="J37" s="70" t="s">
        <v>39</v>
      </c>
      <c r="K37" s="11"/>
      <c r="L37" s="67" t="s">
        <v>27</v>
      </c>
      <c r="M37" s="67" t="s">
        <v>6</v>
      </c>
    </row>
    <row r="38" spans="2:13" ht="17.149999999999999" customHeight="1" x14ac:dyDescent="0.3">
      <c r="B38" s="2" t="s">
        <v>40</v>
      </c>
      <c r="C38" s="8" t="s">
        <v>41</v>
      </c>
      <c r="D38" s="8"/>
      <c r="E38" s="8" t="s">
        <v>6</v>
      </c>
      <c r="F38" s="2" t="s">
        <v>40</v>
      </c>
      <c r="G38" s="8" t="s">
        <v>41</v>
      </c>
      <c r="H38" s="8"/>
      <c r="I38" s="8" t="s">
        <v>6</v>
      </c>
      <c r="J38" s="2" t="s">
        <v>40</v>
      </c>
      <c r="K38" s="8" t="s">
        <v>41</v>
      </c>
      <c r="L38" s="8"/>
      <c r="M38" s="8" t="s">
        <v>6</v>
      </c>
    </row>
    <row r="39" spans="2:13" ht="17.149999999999999" customHeight="1" x14ac:dyDescent="0.3">
      <c r="B39" s="2" t="s">
        <v>7</v>
      </c>
      <c r="C39" s="8" t="s">
        <v>42</v>
      </c>
      <c r="D39" s="30">
        <v>4.7</v>
      </c>
      <c r="E39" s="9">
        <f>D39*2*26-(E12*6%)</f>
        <v>140.55500000000001</v>
      </c>
      <c r="F39" s="2" t="s">
        <v>7</v>
      </c>
      <c r="G39" s="8" t="s">
        <v>42</v>
      </c>
      <c r="H39" s="30">
        <v>4.7</v>
      </c>
      <c r="I39" s="9">
        <f>H39*2*26-(I12*6%)</f>
        <v>140.55500000000001</v>
      </c>
      <c r="J39" s="2" t="s">
        <v>7</v>
      </c>
      <c r="K39" s="8" t="s">
        <v>42</v>
      </c>
      <c r="L39" s="30">
        <v>4.7</v>
      </c>
      <c r="M39" s="9">
        <f>L39*2*26-(M12*6%)</f>
        <v>140.55500000000001</v>
      </c>
    </row>
    <row r="40" spans="2:13" ht="17.149999999999999" customHeight="1" x14ac:dyDescent="0.3">
      <c r="B40" s="2" t="s">
        <v>9</v>
      </c>
      <c r="C40" s="8" t="s">
        <v>43</v>
      </c>
      <c r="D40" s="30">
        <v>25</v>
      </c>
      <c r="E40" s="9">
        <f>D40*22-(25*22*10%)</f>
        <v>495</v>
      </c>
      <c r="F40" s="2" t="s">
        <v>9</v>
      </c>
      <c r="G40" s="8" t="s">
        <v>43</v>
      </c>
      <c r="H40" s="30">
        <v>25</v>
      </c>
      <c r="I40" s="9">
        <f>H40*22-(25*22*10%)</f>
        <v>495</v>
      </c>
      <c r="J40" s="2" t="s">
        <v>9</v>
      </c>
      <c r="K40" s="8" t="s">
        <v>43</v>
      </c>
      <c r="L40" s="30">
        <v>25</v>
      </c>
      <c r="M40" s="9">
        <f>L40*22-(25*22*10%)</f>
        <v>495</v>
      </c>
    </row>
    <row r="41" spans="2:13" ht="17.149999999999999" customHeight="1" x14ac:dyDescent="0.3">
      <c r="B41" s="2" t="s">
        <v>11</v>
      </c>
      <c r="C41" s="8" t="s">
        <v>68</v>
      </c>
      <c r="D41" s="8"/>
      <c r="E41" s="20">
        <v>21.6</v>
      </c>
      <c r="F41" s="2" t="s">
        <v>11</v>
      </c>
      <c r="G41" s="8" t="s">
        <v>68</v>
      </c>
      <c r="H41" s="8"/>
      <c r="I41" s="20">
        <v>21.6</v>
      </c>
      <c r="J41" s="2" t="s">
        <v>11</v>
      </c>
      <c r="K41" s="8" t="s">
        <v>68</v>
      </c>
      <c r="L41" s="8"/>
      <c r="M41" s="20">
        <v>21.6</v>
      </c>
    </row>
    <row r="42" spans="2:13" ht="17.149999999999999" customHeight="1" x14ac:dyDescent="0.3">
      <c r="B42" s="2" t="s">
        <v>13</v>
      </c>
      <c r="C42" s="8" t="s">
        <v>18</v>
      </c>
      <c r="D42" s="8"/>
      <c r="E42" s="8"/>
      <c r="F42" s="2" t="s">
        <v>13</v>
      </c>
      <c r="G42" s="8" t="s">
        <v>18</v>
      </c>
      <c r="H42" s="8"/>
      <c r="I42" s="8"/>
      <c r="J42" s="2" t="s">
        <v>13</v>
      </c>
      <c r="K42" s="8" t="s">
        <v>18</v>
      </c>
      <c r="L42" s="8"/>
      <c r="M42" s="8"/>
    </row>
    <row r="43" spans="2:13" ht="17.149999999999999" customHeight="1" x14ac:dyDescent="0.3">
      <c r="B43" s="15" t="s">
        <v>19</v>
      </c>
      <c r="C43" s="15"/>
      <c r="D43" s="15"/>
      <c r="E43" s="63">
        <f>SUM(E39,E40,E41)</f>
        <v>657.15500000000009</v>
      </c>
      <c r="F43" s="15" t="s">
        <v>19</v>
      </c>
      <c r="G43" s="15"/>
      <c r="H43" s="15"/>
      <c r="I43" s="63">
        <f>SUM(I39,I40,I41)</f>
        <v>657.15500000000009</v>
      </c>
      <c r="J43" s="15" t="s">
        <v>19</v>
      </c>
      <c r="K43" s="15"/>
      <c r="L43" s="15"/>
      <c r="M43" s="63">
        <f>SUM(M39,M40,M41)</f>
        <v>657.15500000000009</v>
      </c>
    </row>
    <row r="44" spans="2:13" ht="17.149999999999999" customHeight="1" x14ac:dyDescent="0.3">
      <c r="B44" s="12" t="s">
        <v>44</v>
      </c>
      <c r="C44" s="13"/>
      <c r="D44" s="13"/>
      <c r="E44" s="74" t="s">
        <v>6</v>
      </c>
      <c r="F44" s="12" t="s">
        <v>44</v>
      </c>
      <c r="G44" s="13"/>
      <c r="H44" s="13"/>
      <c r="I44" s="74" t="s">
        <v>6</v>
      </c>
      <c r="J44" s="12" t="s">
        <v>44</v>
      </c>
      <c r="K44" s="13"/>
      <c r="L44" s="13"/>
      <c r="M44" s="74" t="s">
        <v>6</v>
      </c>
    </row>
    <row r="45" spans="2:13" ht="17.149999999999999" customHeight="1" x14ac:dyDescent="0.3">
      <c r="B45" s="2" t="s">
        <v>22</v>
      </c>
      <c r="C45" s="149" t="s">
        <v>23</v>
      </c>
      <c r="D45" s="150"/>
      <c r="E45" s="9">
        <f>E25</f>
        <v>336.45779999999996</v>
      </c>
      <c r="F45" s="2" t="s">
        <v>22</v>
      </c>
      <c r="G45" s="149" t="s">
        <v>23</v>
      </c>
      <c r="H45" s="150"/>
      <c r="I45" s="9">
        <f>I25</f>
        <v>336.45779999999996</v>
      </c>
      <c r="J45" s="2" t="s">
        <v>22</v>
      </c>
      <c r="K45" s="149" t="s">
        <v>23</v>
      </c>
      <c r="L45" s="150"/>
      <c r="M45" s="9">
        <f>M25</f>
        <v>336.45779999999996</v>
      </c>
    </row>
    <row r="46" spans="2:13" ht="17.149999999999999" customHeight="1" x14ac:dyDescent="0.3">
      <c r="B46" s="2" t="s">
        <v>25</v>
      </c>
      <c r="C46" s="149" t="s">
        <v>26</v>
      </c>
      <c r="D46" s="150"/>
      <c r="E46" s="9">
        <f>E36</f>
        <v>760.73247040000012</v>
      </c>
      <c r="F46" s="2" t="s">
        <v>25</v>
      </c>
      <c r="G46" s="149" t="s">
        <v>26</v>
      </c>
      <c r="H46" s="150"/>
      <c r="I46" s="9">
        <f>I36</f>
        <v>760.73247040000012</v>
      </c>
      <c r="J46" s="2" t="s">
        <v>25</v>
      </c>
      <c r="K46" s="149" t="s">
        <v>26</v>
      </c>
      <c r="L46" s="150"/>
      <c r="M46" s="9">
        <f>M36</f>
        <v>760.73247040000012</v>
      </c>
    </row>
    <row r="47" spans="2:13" ht="17.149999999999999" customHeight="1" x14ac:dyDescent="0.3">
      <c r="B47" s="2" t="s">
        <v>40</v>
      </c>
      <c r="C47" s="149" t="s">
        <v>41</v>
      </c>
      <c r="D47" s="150"/>
      <c r="E47" s="9">
        <f>E43</f>
        <v>657.15500000000009</v>
      </c>
      <c r="F47" s="2" t="s">
        <v>40</v>
      </c>
      <c r="G47" s="149" t="s">
        <v>41</v>
      </c>
      <c r="H47" s="150"/>
      <c r="I47" s="9">
        <f>I43</f>
        <v>657.15500000000009</v>
      </c>
      <c r="J47" s="2" t="s">
        <v>40</v>
      </c>
      <c r="K47" s="149" t="s">
        <v>41</v>
      </c>
      <c r="L47" s="150"/>
      <c r="M47" s="9">
        <f>M43</f>
        <v>657.15500000000009</v>
      </c>
    </row>
    <row r="48" spans="2:13" ht="17.149999999999999" customHeight="1" x14ac:dyDescent="0.3">
      <c r="B48" s="156" t="s">
        <v>19</v>
      </c>
      <c r="C48" s="157"/>
      <c r="D48" s="158"/>
      <c r="E48" s="32">
        <f>SUM(E45:E47)</f>
        <v>1754.3452704000001</v>
      </c>
      <c r="F48" s="156" t="s">
        <v>19</v>
      </c>
      <c r="G48" s="157"/>
      <c r="H48" s="158"/>
      <c r="I48" s="32">
        <f>SUM(I45:I47)</f>
        <v>1754.3452704000001</v>
      </c>
      <c r="J48" s="156" t="s">
        <v>19</v>
      </c>
      <c r="K48" s="157"/>
      <c r="L48" s="158"/>
      <c r="M48" s="32">
        <f>SUM(M45:M47)</f>
        <v>1754.3452704000001</v>
      </c>
    </row>
    <row r="49" spans="2:13" ht="17.149999999999999" customHeight="1" x14ac:dyDescent="0.3">
      <c r="B49" s="33"/>
      <c r="C49" s="33"/>
      <c r="D49" s="34"/>
      <c r="E49" s="33"/>
      <c r="F49" s="33"/>
      <c r="G49" s="33"/>
      <c r="H49" s="34"/>
      <c r="I49" s="33"/>
      <c r="J49" s="33"/>
      <c r="K49" s="33"/>
      <c r="L49" s="34"/>
      <c r="M49" s="33"/>
    </row>
    <row r="50" spans="2:13" ht="17.149999999999999" customHeight="1" x14ac:dyDescent="0.3">
      <c r="B50" s="147" t="s">
        <v>46</v>
      </c>
      <c r="C50" s="148"/>
      <c r="D50" s="75" t="s">
        <v>27</v>
      </c>
      <c r="E50" s="73" t="s">
        <v>6</v>
      </c>
      <c r="F50" s="147" t="s">
        <v>46</v>
      </c>
      <c r="G50" s="148"/>
      <c r="H50" s="75" t="s">
        <v>27</v>
      </c>
      <c r="I50" s="73" t="s">
        <v>6</v>
      </c>
      <c r="J50" s="147" t="s">
        <v>46</v>
      </c>
      <c r="K50" s="148"/>
      <c r="L50" s="75" t="s">
        <v>27</v>
      </c>
      <c r="M50" s="73" t="s">
        <v>6</v>
      </c>
    </row>
    <row r="51" spans="2:13" ht="17.149999999999999" customHeight="1" x14ac:dyDescent="0.3">
      <c r="B51" s="2" t="s">
        <v>7</v>
      </c>
      <c r="C51" s="31" t="s">
        <v>48</v>
      </c>
      <c r="D51" s="35">
        <f>5%/12</f>
        <v>4.1666666666666666E-3</v>
      </c>
      <c r="E51" s="9">
        <f>($E$18+$E$25)*D51</f>
        <v>8.6133658333333329</v>
      </c>
      <c r="F51" s="2" t="s">
        <v>7</v>
      </c>
      <c r="G51" s="31" t="s">
        <v>48</v>
      </c>
      <c r="H51" s="35">
        <f>5%/12</f>
        <v>4.1666666666666666E-3</v>
      </c>
      <c r="I51" s="9">
        <f>($I$18+$I$25)*H51</f>
        <v>8.6133658333333329</v>
      </c>
      <c r="J51" s="2" t="s">
        <v>7</v>
      </c>
      <c r="K51" s="31" t="s">
        <v>48</v>
      </c>
      <c r="L51" s="35">
        <f>5%/12</f>
        <v>4.1666666666666666E-3</v>
      </c>
      <c r="M51" s="9">
        <f>($M$18+$M$25)*L51</f>
        <v>8.6133658333333329</v>
      </c>
    </row>
    <row r="52" spans="2:13" ht="17.149999999999999" customHeight="1" x14ac:dyDescent="0.3">
      <c r="B52" s="2" t="s">
        <v>9</v>
      </c>
      <c r="C52" s="31" t="s">
        <v>49</v>
      </c>
      <c r="D52" s="35">
        <f>D51*D34</f>
        <v>3.3333333333333332E-4</v>
      </c>
      <c r="E52" s="9">
        <f>($E$18+$E$25)*D52</f>
        <v>0.68906926666666668</v>
      </c>
      <c r="F52" s="2" t="s">
        <v>9</v>
      </c>
      <c r="G52" s="31" t="s">
        <v>49</v>
      </c>
      <c r="H52" s="35">
        <f>H51*H34</f>
        <v>3.3333333333333332E-4</v>
      </c>
      <c r="I52" s="9">
        <f t="shared" ref="I52:I55" si="0">($I$18+$I$25)*H52</f>
        <v>0.68906926666666668</v>
      </c>
      <c r="J52" s="2" t="s">
        <v>9</v>
      </c>
      <c r="K52" s="31" t="s">
        <v>49</v>
      </c>
      <c r="L52" s="35">
        <f>L51*L34</f>
        <v>3.3333333333333332E-4</v>
      </c>
      <c r="M52" s="9">
        <f>($M$18+$M$25)*L52</f>
        <v>0.68906926666666668</v>
      </c>
    </row>
    <row r="53" spans="2:13" ht="17.149999999999999" customHeight="1" x14ac:dyDescent="0.3">
      <c r="B53" s="2" t="s">
        <v>11</v>
      </c>
      <c r="C53" s="31" t="s">
        <v>117</v>
      </c>
      <c r="D53" s="104">
        <f>(1+2/12+(1/3*1/12))*0.08*0.4*0.05</f>
        <v>1.9111111111111115E-3</v>
      </c>
      <c r="E53" s="9">
        <f>(E18+E25)*D53</f>
        <v>3.9506637955555566</v>
      </c>
      <c r="F53" s="2" t="s">
        <v>11</v>
      </c>
      <c r="G53" s="31" t="s">
        <v>117</v>
      </c>
      <c r="H53" s="35">
        <f>(1+2/12+(1/3*1/12))*0.08*0.4*0.05</f>
        <v>1.9111111111111115E-3</v>
      </c>
      <c r="I53" s="9">
        <f>(I18+I25)*H53</f>
        <v>3.9506637955555566</v>
      </c>
      <c r="J53" s="2" t="s">
        <v>11</v>
      </c>
      <c r="K53" s="31" t="s">
        <v>117</v>
      </c>
      <c r="L53" s="35">
        <f>(1+2/12+(1/3*1/12))*0.08*0.4*0.05</f>
        <v>1.9111111111111115E-3</v>
      </c>
      <c r="M53" s="9">
        <f>(M18+M25)*L53</f>
        <v>3.9506637955555566</v>
      </c>
    </row>
    <row r="54" spans="2:13" ht="17.149999999999999" customHeight="1" x14ac:dyDescent="0.3">
      <c r="B54" s="2" t="s">
        <v>13</v>
      </c>
      <c r="C54" s="31" t="s">
        <v>50</v>
      </c>
      <c r="D54" s="35">
        <f>7/30/12</f>
        <v>1.9444444444444445E-2</v>
      </c>
      <c r="E54" s="9">
        <f>($E$18+$E$25)*D54</f>
        <v>40.195707222222225</v>
      </c>
      <c r="F54" s="2" t="s">
        <v>13</v>
      </c>
      <c r="G54" s="31" t="s">
        <v>50</v>
      </c>
      <c r="H54" s="35">
        <f>7/30/12</f>
        <v>1.9444444444444445E-2</v>
      </c>
      <c r="I54" s="9">
        <f t="shared" si="0"/>
        <v>40.195707222222225</v>
      </c>
      <c r="J54" s="2" t="s">
        <v>13</v>
      </c>
      <c r="K54" s="31" t="s">
        <v>50</v>
      </c>
      <c r="L54" s="35">
        <f>7/30/12</f>
        <v>1.9444444444444445E-2</v>
      </c>
      <c r="M54" s="9">
        <f t="shared" ref="M54:M56" si="1">($M$18+$M$25)*L54</f>
        <v>40.195707222222225</v>
      </c>
    </row>
    <row r="55" spans="2:13" ht="28" x14ac:dyDescent="0.3">
      <c r="B55" s="2" t="s">
        <v>15</v>
      </c>
      <c r="C55" s="86" t="s">
        <v>110</v>
      </c>
      <c r="D55" s="35">
        <f>D54*D35</f>
        <v>7.1555555555555565E-3</v>
      </c>
      <c r="E55" s="9">
        <f>($E$18+$E$25)*D55</f>
        <v>14.79202025777778</v>
      </c>
      <c r="F55" s="2" t="s">
        <v>15</v>
      </c>
      <c r="G55" s="86" t="s">
        <v>110</v>
      </c>
      <c r="H55" s="35">
        <f>H54*H35</f>
        <v>7.1555555555555565E-3</v>
      </c>
      <c r="I55" s="9">
        <f t="shared" si="0"/>
        <v>14.79202025777778</v>
      </c>
      <c r="J55" s="2" t="s">
        <v>15</v>
      </c>
      <c r="K55" s="86" t="s">
        <v>110</v>
      </c>
      <c r="L55" s="35">
        <f>L54*L35</f>
        <v>7.1555555555555565E-3</v>
      </c>
      <c r="M55" s="9">
        <f t="shared" si="1"/>
        <v>14.79202025777778</v>
      </c>
    </row>
    <row r="56" spans="2:13" ht="14" x14ac:dyDescent="0.3">
      <c r="B56" s="2" t="s">
        <v>33</v>
      </c>
      <c r="C56" s="86" t="s">
        <v>118</v>
      </c>
      <c r="D56" s="96">
        <f>100%*8%*40%*(1+1/12*1/3+1/12)</f>
        <v>3.5555555555555549E-2</v>
      </c>
      <c r="E56" s="9">
        <f>($E$18+$E$25)*D56</f>
        <v>73.50072177777777</v>
      </c>
      <c r="F56" s="2" t="s">
        <v>33</v>
      </c>
      <c r="G56" s="86" t="s">
        <v>118</v>
      </c>
      <c r="H56" s="96">
        <f>100%*8%*40%*(1+1/12*1/3+1/12)</f>
        <v>3.5555555555555549E-2</v>
      </c>
      <c r="I56" s="9">
        <f>($I$18+$I$25)*H56</f>
        <v>73.50072177777777</v>
      </c>
      <c r="J56" s="2" t="s">
        <v>33</v>
      </c>
      <c r="K56" s="86" t="s">
        <v>118</v>
      </c>
      <c r="L56" s="96">
        <f>100%*8%*40%*(1+1/12*1/3+1/12)</f>
        <v>3.5555555555555549E-2</v>
      </c>
      <c r="M56" s="9">
        <f t="shared" si="1"/>
        <v>73.50072177777777</v>
      </c>
    </row>
    <row r="57" spans="2:13" ht="17.149999999999999" customHeight="1" x14ac:dyDescent="0.3">
      <c r="B57" s="156" t="s">
        <v>19</v>
      </c>
      <c r="C57" s="157"/>
      <c r="D57" s="158"/>
      <c r="E57" s="32">
        <f>SUM(E51:E56)</f>
        <v>141.74154815333333</v>
      </c>
      <c r="F57" s="156" t="s">
        <v>19</v>
      </c>
      <c r="G57" s="157"/>
      <c r="H57" s="158"/>
      <c r="I57" s="32">
        <f>SUM(I51:I56)</f>
        <v>141.74154815333333</v>
      </c>
      <c r="J57" s="156" t="s">
        <v>19</v>
      </c>
      <c r="K57" s="157"/>
      <c r="L57" s="158"/>
      <c r="M57" s="32">
        <f>SUM(M51:M56)</f>
        <v>141.74154815333333</v>
      </c>
    </row>
    <row r="58" spans="2:13" ht="17.149999999999999" customHeight="1" x14ac:dyDescent="0.3">
      <c r="B58" s="36"/>
      <c r="C58" s="33"/>
      <c r="D58" s="34"/>
      <c r="E58" s="33"/>
      <c r="F58" s="36"/>
      <c r="G58" s="33"/>
      <c r="H58" s="34"/>
      <c r="I58" s="33"/>
      <c r="J58" s="36"/>
      <c r="K58" s="33"/>
      <c r="L58" s="34"/>
      <c r="M58" s="33"/>
    </row>
    <row r="59" spans="2:13" ht="17.149999999999999" customHeight="1" x14ac:dyDescent="0.3">
      <c r="B59" s="147" t="s">
        <v>51</v>
      </c>
      <c r="C59" s="159"/>
      <c r="D59" s="159"/>
      <c r="E59" s="148"/>
      <c r="F59" s="147" t="s">
        <v>51</v>
      </c>
      <c r="G59" s="159"/>
      <c r="H59" s="159"/>
      <c r="I59" s="148"/>
      <c r="J59" s="147" t="s">
        <v>51</v>
      </c>
      <c r="K59" s="159"/>
      <c r="L59" s="159"/>
      <c r="M59" s="148"/>
    </row>
    <row r="60" spans="2:13" ht="17.149999999999999" customHeight="1" x14ac:dyDescent="0.3">
      <c r="B60" s="70" t="s">
        <v>52</v>
      </c>
      <c r="C60" s="11"/>
      <c r="D60" s="83" t="s">
        <v>78</v>
      </c>
      <c r="E60" s="66" t="s">
        <v>6</v>
      </c>
      <c r="F60" s="70" t="s">
        <v>52</v>
      </c>
      <c r="G60" s="11"/>
      <c r="H60" s="83" t="s">
        <v>78</v>
      </c>
      <c r="I60" s="66" t="s">
        <v>6</v>
      </c>
      <c r="J60" s="70" t="s">
        <v>52</v>
      </c>
      <c r="K60" s="11"/>
      <c r="L60" s="83" t="s">
        <v>78</v>
      </c>
      <c r="M60" s="66" t="s">
        <v>6</v>
      </c>
    </row>
    <row r="61" spans="2:13" ht="28" x14ac:dyDescent="0.3">
      <c r="B61" s="2" t="s">
        <v>7</v>
      </c>
      <c r="C61" s="93" t="s">
        <v>104</v>
      </c>
      <c r="D61" s="77">
        <f>(1/12+1/12+1/12/3)/12</f>
        <v>1.6203703703703703E-2</v>
      </c>
      <c r="E61" s="97">
        <f>(E18+E36)*D61</f>
        <v>40.371243733333337</v>
      </c>
      <c r="F61" s="2" t="s">
        <v>7</v>
      </c>
      <c r="G61" s="93" t="s">
        <v>104</v>
      </c>
      <c r="H61" s="77">
        <f>(1/12+1/12+1/12/3)/12</f>
        <v>1.6203703703703703E-2</v>
      </c>
      <c r="I61" s="97">
        <f>(I18+I36)*H61</f>
        <v>40.371243733333337</v>
      </c>
      <c r="J61" s="2" t="s">
        <v>7</v>
      </c>
      <c r="K61" s="93" t="s">
        <v>104</v>
      </c>
      <c r="L61" s="77">
        <f>(1/12+1/12+1/12/3)/12</f>
        <v>1.6203703703703703E-2</v>
      </c>
      <c r="M61" s="97">
        <f>(M18+M36)*L61</f>
        <v>40.371243733333337</v>
      </c>
    </row>
    <row r="62" spans="2:13" ht="17.149999999999999" customHeight="1" x14ac:dyDescent="0.3">
      <c r="B62" s="2" t="s">
        <v>9</v>
      </c>
      <c r="C62" s="93" t="s">
        <v>105</v>
      </c>
      <c r="D62" s="77">
        <f>(1/30/12)</f>
        <v>2.7777777777777779E-3</v>
      </c>
      <c r="E62" s="84">
        <f>E18*D62</f>
        <v>4.8076388888888895</v>
      </c>
      <c r="F62" s="2" t="s">
        <v>9</v>
      </c>
      <c r="G62" s="93" t="s">
        <v>105</v>
      </c>
      <c r="H62" s="77">
        <f>(1/30/12)</f>
        <v>2.7777777777777779E-3</v>
      </c>
      <c r="I62" s="84">
        <f>I18*H62</f>
        <v>4.8076388888888895</v>
      </c>
      <c r="J62" s="2" t="s">
        <v>9</v>
      </c>
      <c r="K62" s="93" t="s">
        <v>105</v>
      </c>
      <c r="L62" s="77">
        <f>(1/30/12)</f>
        <v>2.7777777777777779E-3</v>
      </c>
      <c r="M62" s="84">
        <f>M18*L62</f>
        <v>4.8076388888888895</v>
      </c>
    </row>
    <row r="63" spans="2:13" ht="17.149999999999999" customHeight="1" x14ac:dyDescent="0.3">
      <c r="B63" s="2" t="s">
        <v>11</v>
      </c>
      <c r="C63" s="93" t="s">
        <v>106</v>
      </c>
      <c r="D63" s="77">
        <f>(5/30/12)*0.015</f>
        <v>2.0833333333333332E-4</v>
      </c>
      <c r="E63" s="84">
        <f>E18*D63</f>
        <v>0.36057291666666663</v>
      </c>
      <c r="F63" s="2" t="s">
        <v>11</v>
      </c>
      <c r="G63" s="93" t="s">
        <v>106</v>
      </c>
      <c r="H63" s="77">
        <f>(5/30/12)*0.015</f>
        <v>2.0833333333333332E-4</v>
      </c>
      <c r="I63" s="84">
        <f>I18*H63</f>
        <v>0.36057291666666663</v>
      </c>
      <c r="J63" s="2" t="s">
        <v>11</v>
      </c>
      <c r="K63" s="93" t="s">
        <v>106</v>
      </c>
      <c r="L63" s="77">
        <f>(5/30/12)*0.015</f>
        <v>2.0833333333333332E-4</v>
      </c>
      <c r="M63" s="84">
        <f>M18*L63</f>
        <v>0.36057291666666663</v>
      </c>
    </row>
    <row r="64" spans="2:13" ht="28" x14ac:dyDescent="0.3">
      <c r="B64" s="2" t="s">
        <v>13</v>
      </c>
      <c r="C64" s="93" t="s">
        <v>107</v>
      </c>
      <c r="D64" s="77">
        <f>(1/12)*0.0178</f>
        <v>1.4833333333333332E-3</v>
      </c>
      <c r="E64" s="84">
        <f>(E18)*D64</f>
        <v>2.5672791666666663</v>
      </c>
      <c r="F64" s="2" t="s">
        <v>13</v>
      </c>
      <c r="G64" s="93" t="s">
        <v>107</v>
      </c>
      <c r="H64" s="77">
        <f>(1/12)*0.0178</f>
        <v>1.4833333333333332E-3</v>
      </c>
      <c r="I64" s="84">
        <f>(I18)*H64</f>
        <v>2.5672791666666663</v>
      </c>
      <c r="J64" s="2" t="s">
        <v>13</v>
      </c>
      <c r="K64" s="93" t="s">
        <v>107</v>
      </c>
      <c r="L64" s="77">
        <f>(1/12)*0.0178</f>
        <v>1.4833333333333332E-3</v>
      </c>
      <c r="M64" s="84">
        <f>(M18)*L64</f>
        <v>2.5672791666666663</v>
      </c>
    </row>
    <row r="65" spans="2:13" ht="17.149999999999999" customHeight="1" x14ac:dyDescent="0.3">
      <c r="B65" s="2" t="s">
        <v>15</v>
      </c>
      <c r="C65" s="93" t="s">
        <v>108</v>
      </c>
      <c r="D65" s="77">
        <f>11.11%*5.28%*50%</f>
        <v>2.9330399999999996E-3</v>
      </c>
      <c r="E65" s="84">
        <f>(E18+(1/12+1/12/3)/12+E36)*D65</f>
        <v>7.3076449027597929</v>
      </c>
      <c r="F65" s="2" t="s">
        <v>15</v>
      </c>
      <c r="G65" s="93" t="s">
        <v>108</v>
      </c>
      <c r="H65" s="77">
        <f>11.11%*5.28%*50%</f>
        <v>2.9330399999999996E-3</v>
      </c>
      <c r="I65" s="84">
        <f>(I18+(1/12+1/12/3)/12+I36)*H65</f>
        <v>7.3076449027597929</v>
      </c>
      <c r="J65" s="2" t="s">
        <v>15</v>
      </c>
      <c r="K65" s="93" t="s">
        <v>108</v>
      </c>
      <c r="L65" s="77">
        <f>11.11%*5.28%*50%</f>
        <v>2.9330399999999996E-3</v>
      </c>
      <c r="M65" s="84">
        <f>(M18+(1/12+1/12/3)/12+M36)*L65</f>
        <v>7.3076449027597929</v>
      </c>
    </row>
    <row r="66" spans="2:13" ht="17.149999999999999" customHeight="1" x14ac:dyDescent="0.3">
      <c r="B66" s="2" t="s">
        <v>33</v>
      </c>
      <c r="C66" s="93" t="s">
        <v>111</v>
      </c>
      <c r="D66" s="35">
        <v>0</v>
      </c>
      <c r="E66" s="84">
        <f t="shared" ref="E66" si="2">($E$18+$E$25)*D66</f>
        <v>0</v>
      </c>
      <c r="F66" s="2" t="s">
        <v>33</v>
      </c>
      <c r="G66" s="93" t="s">
        <v>111</v>
      </c>
      <c r="H66" s="35">
        <v>0</v>
      </c>
      <c r="I66" s="84">
        <f t="shared" ref="I66" si="3">($E$18+$E$25)*H66</f>
        <v>0</v>
      </c>
      <c r="J66" s="2" t="s">
        <v>33</v>
      </c>
      <c r="K66" s="93" t="s">
        <v>111</v>
      </c>
      <c r="L66" s="35">
        <v>0</v>
      </c>
      <c r="M66" s="84">
        <f t="shared" ref="M66" si="4">($E$18+$E$25)*L66</f>
        <v>0</v>
      </c>
    </row>
    <row r="67" spans="2:13" ht="17.149999999999999" customHeight="1" x14ac:dyDescent="0.3">
      <c r="B67" s="2" t="s">
        <v>17</v>
      </c>
      <c r="C67" s="94" t="s">
        <v>109</v>
      </c>
      <c r="D67" s="78">
        <f>SUM(D61:D66)</f>
        <v>2.3606188148148147E-2</v>
      </c>
      <c r="E67" s="84"/>
      <c r="F67" s="2" t="s">
        <v>17</v>
      </c>
      <c r="G67" s="94" t="s">
        <v>109</v>
      </c>
      <c r="H67" s="78">
        <f>SUM(H61:H66)</f>
        <v>2.3606188148148147E-2</v>
      </c>
      <c r="I67" s="84"/>
      <c r="J67" s="2" t="s">
        <v>17</v>
      </c>
      <c r="K67" s="94" t="s">
        <v>109</v>
      </c>
      <c r="L67" s="78">
        <f>SUM(L61:L66)</f>
        <v>2.3606188148148147E-2</v>
      </c>
      <c r="M67" s="84"/>
    </row>
    <row r="68" spans="2:13" ht="17.149999999999999" customHeight="1" x14ac:dyDescent="0.3">
      <c r="B68" s="156" t="s">
        <v>19</v>
      </c>
      <c r="C68" s="157"/>
      <c r="D68" s="158"/>
      <c r="E68" s="32">
        <f>SUM(E61:E67)</f>
        <v>55.41437960831535</v>
      </c>
      <c r="F68" s="156" t="s">
        <v>19</v>
      </c>
      <c r="G68" s="157"/>
      <c r="H68" s="158"/>
      <c r="I68" s="32">
        <f>SUM(I61:I67)</f>
        <v>55.41437960831535</v>
      </c>
      <c r="J68" s="156" t="s">
        <v>19</v>
      </c>
      <c r="K68" s="157"/>
      <c r="L68" s="158"/>
      <c r="M68" s="32">
        <f>SUM(M61:M67)</f>
        <v>55.41437960831535</v>
      </c>
    </row>
    <row r="69" spans="2:13" ht="17.149999999999999" customHeight="1" x14ac:dyDescent="0.3">
      <c r="B69" s="160" t="s">
        <v>55</v>
      </c>
      <c r="C69" s="162"/>
      <c r="D69" s="68" t="s">
        <v>27</v>
      </c>
      <c r="E69" s="72" t="s">
        <v>76</v>
      </c>
      <c r="F69" s="160" t="s">
        <v>55</v>
      </c>
      <c r="G69" s="162"/>
      <c r="H69" s="68" t="s">
        <v>27</v>
      </c>
      <c r="I69" s="72" t="s">
        <v>76</v>
      </c>
      <c r="J69" s="160" t="s">
        <v>55</v>
      </c>
      <c r="K69" s="162"/>
      <c r="L69" s="68" t="s">
        <v>27</v>
      </c>
      <c r="M69" s="72" t="s">
        <v>76</v>
      </c>
    </row>
    <row r="70" spans="2:13" ht="17.149999999999999" customHeight="1" x14ac:dyDescent="0.3">
      <c r="B70" s="37" t="s">
        <v>7</v>
      </c>
      <c r="C70" s="38" t="s">
        <v>77</v>
      </c>
      <c r="D70" s="38"/>
      <c r="E70" s="24">
        <v>0</v>
      </c>
      <c r="F70" s="37" t="s">
        <v>7</v>
      </c>
      <c r="G70" s="38" t="s">
        <v>77</v>
      </c>
      <c r="H70" s="38"/>
      <c r="I70" s="24">
        <v>0</v>
      </c>
      <c r="J70" s="37" t="s">
        <v>7</v>
      </c>
      <c r="K70" s="38" t="s">
        <v>77</v>
      </c>
      <c r="L70" s="38"/>
      <c r="M70" s="24">
        <v>0</v>
      </c>
    </row>
    <row r="71" spans="2:13" ht="17.149999999999999" customHeight="1" x14ac:dyDescent="0.3">
      <c r="B71" s="156" t="s">
        <v>19</v>
      </c>
      <c r="C71" s="157"/>
      <c r="D71" s="157"/>
      <c r="E71" s="41"/>
      <c r="F71" s="156" t="s">
        <v>19</v>
      </c>
      <c r="G71" s="157"/>
      <c r="H71" s="157"/>
      <c r="I71" s="41"/>
      <c r="J71" s="156" t="s">
        <v>19</v>
      </c>
      <c r="K71" s="157"/>
      <c r="L71" s="157"/>
      <c r="M71" s="41"/>
    </row>
    <row r="72" spans="2:13" ht="17.149999999999999" customHeight="1" x14ac:dyDescent="0.3">
      <c r="B72" s="160" t="s">
        <v>58</v>
      </c>
      <c r="C72" s="161"/>
      <c r="D72" s="162"/>
      <c r="E72" s="69" t="s">
        <v>76</v>
      </c>
      <c r="F72" s="160" t="s">
        <v>58</v>
      </c>
      <c r="G72" s="161"/>
      <c r="H72" s="162"/>
      <c r="I72" s="69" t="s">
        <v>76</v>
      </c>
      <c r="J72" s="160" t="s">
        <v>58</v>
      </c>
      <c r="K72" s="161"/>
      <c r="L72" s="162"/>
      <c r="M72" s="69" t="s">
        <v>76</v>
      </c>
    </row>
    <row r="73" spans="2:13" ht="17.149999999999999" customHeight="1" x14ac:dyDescent="0.3">
      <c r="B73" s="37" t="s">
        <v>53</v>
      </c>
      <c r="C73" s="163" t="s">
        <v>54</v>
      </c>
      <c r="D73" s="164"/>
      <c r="E73" s="24">
        <f>E68</f>
        <v>55.41437960831535</v>
      </c>
      <c r="F73" s="37" t="s">
        <v>53</v>
      </c>
      <c r="G73" s="163" t="s">
        <v>54</v>
      </c>
      <c r="H73" s="164"/>
      <c r="I73" s="24">
        <f>I68</f>
        <v>55.41437960831535</v>
      </c>
      <c r="J73" s="37" t="s">
        <v>53</v>
      </c>
      <c r="K73" s="163" t="s">
        <v>54</v>
      </c>
      <c r="L73" s="164"/>
      <c r="M73" s="24">
        <f>M68</f>
        <v>55.41437960831535</v>
      </c>
    </row>
    <row r="74" spans="2:13" ht="17.149999999999999" customHeight="1" x14ac:dyDescent="0.3">
      <c r="B74" s="37" t="s">
        <v>56</v>
      </c>
      <c r="C74" s="163" t="s">
        <v>57</v>
      </c>
      <c r="D74" s="164"/>
      <c r="E74" s="24">
        <f>E70</f>
        <v>0</v>
      </c>
      <c r="F74" s="37" t="s">
        <v>56</v>
      </c>
      <c r="G74" s="163" t="s">
        <v>57</v>
      </c>
      <c r="H74" s="164"/>
      <c r="I74" s="24">
        <f>I70</f>
        <v>0</v>
      </c>
      <c r="J74" s="37" t="s">
        <v>56</v>
      </c>
      <c r="K74" s="163" t="s">
        <v>57</v>
      </c>
      <c r="L74" s="164"/>
      <c r="M74" s="24">
        <f>M70</f>
        <v>0</v>
      </c>
    </row>
    <row r="75" spans="2:13" ht="17.149999999999999" customHeight="1" x14ac:dyDescent="0.3">
      <c r="B75" s="156" t="s">
        <v>19</v>
      </c>
      <c r="C75" s="157"/>
      <c r="D75" s="158"/>
      <c r="E75" s="32">
        <f>SUM(E73:E74)</f>
        <v>55.41437960831535</v>
      </c>
      <c r="F75" s="156" t="s">
        <v>19</v>
      </c>
      <c r="G75" s="157"/>
      <c r="H75" s="158"/>
      <c r="I75" s="32">
        <f>SUM(I73:I74)</f>
        <v>55.41437960831535</v>
      </c>
      <c r="J75" s="156" t="s">
        <v>19</v>
      </c>
      <c r="K75" s="157"/>
      <c r="L75" s="158"/>
      <c r="M75" s="32">
        <f>SUM(M73:M74)</f>
        <v>55.41437960831535</v>
      </c>
    </row>
    <row r="76" spans="2:13" ht="17.149999999999999" customHeight="1" x14ac:dyDescent="0.3">
      <c r="B76" s="33"/>
      <c r="C76" s="33"/>
      <c r="D76" s="34"/>
      <c r="E76" s="33"/>
      <c r="F76" s="33"/>
      <c r="G76" s="33"/>
      <c r="H76" s="34"/>
      <c r="I76" s="33"/>
      <c r="J76" s="33"/>
      <c r="K76" s="33"/>
      <c r="L76" s="34"/>
      <c r="M76" s="33"/>
    </row>
    <row r="77" spans="2:13" ht="17.149999999999999" customHeight="1" x14ac:dyDescent="0.3">
      <c r="B77" s="147" t="s">
        <v>60</v>
      </c>
      <c r="C77" s="159"/>
      <c r="D77" s="148"/>
      <c r="E77" s="73" t="s">
        <v>6</v>
      </c>
      <c r="F77" s="147" t="s">
        <v>60</v>
      </c>
      <c r="G77" s="159"/>
      <c r="H77" s="148"/>
      <c r="I77" s="73" t="s">
        <v>6</v>
      </c>
      <c r="J77" s="147" t="s">
        <v>60</v>
      </c>
      <c r="K77" s="159"/>
      <c r="L77" s="148"/>
      <c r="M77" s="73" t="s">
        <v>6</v>
      </c>
    </row>
    <row r="78" spans="2:13" ht="17.149999999999999" customHeight="1" x14ac:dyDescent="0.3">
      <c r="B78" s="2" t="s">
        <v>7</v>
      </c>
      <c r="C78" s="149" t="s">
        <v>83</v>
      </c>
      <c r="D78" s="150"/>
      <c r="E78" s="9">
        <f>'Uniformes e EPIs'!H15</f>
        <v>23.373611111111114</v>
      </c>
      <c r="F78" s="2" t="s">
        <v>7</v>
      </c>
      <c r="G78" s="149" t="s">
        <v>83</v>
      </c>
      <c r="H78" s="150"/>
      <c r="I78" s="9">
        <f>'Uniformes e EPIs'!H15</f>
        <v>23.373611111111114</v>
      </c>
      <c r="J78" s="2" t="s">
        <v>7</v>
      </c>
      <c r="K78" s="149" t="s">
        <v>83</v>
      </c>
      <c r="L78" s="150"/>
      <c r="M78" s="9">
        <f>'Uniformes e EPIs'!H15</f>
        <v>23.373611111111114</v>
      </c>
    </row>
    <row r="79" spans="2:13" ht="17.149999999999999" customHeight="1" x14ac:dyDescent="0.3">
      <c r="B79" s="2" t="s">
        <v>9</v>
      </c>
      <c r="C79" s="149" t="s">
        <v>69</v>
      </c>
      <c r="D79" s="150"/>
      <c r="E79" s="9">
        <f>Insumos!H61</f>
        <v>571.13908436214012</v>
      </c>
      <c r="F79" s="2" t="s">
        <v>9</v>
      </c>
      <c r="G79" s="149" t="s">
        <v>69</v>
      </c>
      <c r="H79" s="150"/>
      <c r="I79" s="9">
        <f>Insumos!P61</f>
        <v>542.37625816993466</v>
      </c>
      <c r="J79" s="2" t="s">
        <v>9</v>
      </c>
      <c r="K79" s="149" t="s">
        <v>69</v>
      </c>
      <c r="L79" s="150"/>
      <c r="M79" s="9">
        <f>Insumos!X61</f>
        <v>709.03061965811969</v>
      </c>
    </row>
    <row r="80" spans="2:13" ht="17.149999999999999" customHeight="1" x14ac:dyDescent="0.3">
      <c r="B80" s="2" t="s">
        <v>11</v>
      </c>
      <c r="C80" s="149" t="s">
        <v>82</v>
      </c>
      <c r="D80" s="150"/>
      <c r="E80" s="9">
        <f>Equipamentos!G9</f>
        <v>14.38784711111111</v>
      </c>
      <c r="F80" s="2" t="s">
        <v>11</v>
      </c>
      <c r="G80" s="149" t="s">
        <v>82</v>
      </c>
      <c r="H80" s="150"/>
      <c r="I80" s="9">
        <f>Equipamentos!G16</f>
        <v>15.234191058823528</v>
      </c>
      <c r="J80" s="2" t="s">
        <v>11</v>
      </c>
      <c r="K80" s="149" t="s">
        <v>82</v>
      </c>
      <c r="L80" s="150"/>
      <c r="M80" s="9">
        <f>Equipamentos!G23</f>
        <v>19.92163446153846</v>
      </c>
    </row>
    <row r="81" spans="2:13" ht="17.149999999999999" customHeight="1" x14ac:dyDescent="0.3">
      <c r="B81" s="156" t="s">
        <v>19</v>
      </c>
      <c r="C81" s="157"/>
      <c r="D81" s="158"/>
      <c r="E81" s="32">
        <f>SUM(E78:E80)</f>
        <v>608.90054258436237</v>
      </c>
      <c r="F81" s="156" t="s">
        <v>19</v>
      </c>
      <c r="G81" s="157"/>
      <c r="H81" s="158"/>
      <c r="I81" s="32">
        <f>SUM(I78:I80)</f>
        <v>580.9840603398693</v>
      </c>
      <c r="J81" s="156" t="s">
        <v>19</v>
      </c>
      <c r="K81" s="157"/>
      <c r="L81" s="158"/>
      <c r="M81" s="32">
        <f>SUM(M78:M80)</f>
        <v>752.3258652307693</v>
      </c>
    </row>
    <row r="82" spans="2:13" ht="17.149999999999999" customHeight="1" x14ac:dyDescent="0.3">
      <c r="B82" s="156" t="s">
        <v>79</v>
      </c>
      <c r="C82" s="157"/>
      <c r="D82" s="158"/>
      <c r="E82" s="32">
        <f>E81+E75+E57+E48+E18</f>
        <v>4291.1517407460115</v>
      </c>
      <c r="F82" s="156" t="s">
        <v>79</v>
      </c>
      <c r="G82" s="157"/>
      <c r="H82" s="158"/>
      <c r="I82" s="32">
        <f>I81+I75+I57+I48+I18</f>
        <v>4263.2352585015178</v>
      </c>
      <c r="J82" s="156" t="s">
        <v>79</v>
      </c>
      <c r="K82" s="157"/>
      <c r="L82" s="158"/>
      <c r="M82" s="32">
        <f>M81+M75+M57+M48+M18</f>
        <v>4434.5770633924185</v>
      </c>
    </row>
    <row r="83" spans="2:13" ht="17.149999999999999" customHeight="1" x14ac:dyDescent="0.3">
      <c r="B83" s="42"/>
      <c r="C83" s="42"/>
      <c r="D83" s="43"/>
      <c r="E83" s="42"/>
      <c r="F83" s="42"/>
      <c r="G83" s="42"/>
      <c r="H83" s="43"/>
      <c r="I83" s="42"/>
      <c r="J83" s="42"/>
      <c r="K83" s="42"/>
      <c r="L83" s="43"/>
      <c r="M83" s="42"/>
    </row>
    <row r="84" spans="2:13" ht="17.149999999999999" customHeight="1" x14ac:dyDescent="0.3">
      <c r="B84" s="147" t="s">
        <v>61</v>
      </c>
      <c r="C84" s="148"/>
      <c r="D84" s="75" t="s">
        <v>27</v>
      </c>
      <c r="E84" s="73" t="s">
        <v>6</v>
      </c>
      <c r="F84" s="147" t="s">
        <v>61</v>
      </c>
      <c r="G84" s="148"/>
      <c r="H84" s="75" t="s">
        <v>27</v>
      </c>
      <c r="I84" s="73" t="s">
        <v>6</v>
      </c>
      <c r="J84" s="147" t="s">
        <v>61</v>
      </c>
      <c r="K84" s="148"/>
      <c r="L84" s="75" t="s">
        <v>27</v>
      </c>
      <c r="M84" s="73" t="s">
        <v>6</v>
      </c>
    </row>
    <row r="85" spans="2:13" ht="17.149999999999999" customHeight="1" x14ac:dyDescent="0.3">
      <c r="B85" s="2" t="s">
        <v>7</v>
      </c>
      <c r="C85" s="23" t="s">
        <v>62</v>
      </c>
      <c r="D85" s="35">
        <v>0.05</v>
      </c>
      <c r="E85" s="9">
        <f>E82*$D$85</f>
        <v>214.55758703730058</v>
      </c>
      <c r="F85" s="2" t="s">
        <v>7</v>
      </c>
      <c r="G85" s="23" t="s">
        <v>62</v>
      </c>
      <c r="H85" s="35">
        <v>0.05</v>
      </c>
      <c r="I85" s="9">
        <f>I82*$H$85</f>
        <v>213.16176292507589</v>
      </c>
      <c r="J85" s="2" t="s">
        <v>7</v>
      </c>
      <c r="K85" s="23" t="s">
        <v>62</v>
      </c>
      <c r="L85" s="35">
        <v>0.05</v>
      </c>
      <c r="M85" s="9">
        <f>M82*$L$85</f>
        <v>221.72885316962095</v>
      </c>
    </row>
    <row r="86" spans="2:13" ht="17.149999999999999" customHeight="1" x14ac:dyDescent="0.3">
      <c r="B86" s="2" t="s">
        <v>9</v>
      </c>
      <c r="C86" s="23" t="s">
        <v>63</v>
      </c>
      <c r="D86" s="35">
        <v>0.1</v>
      </c>
      <c r="E86" s="9">
        <f>(E82+E85)*$D$86</f>
        <v>450.57093277833121</v>
      </c>
      <c r="F86" s="2" t="s">
        <v>9</v>
      </c>
      <c r="G86" s="23" t="s">
        <v>63</v>
      </c>
      <c r="H86" s="35">
        <v>0.1</v>
      </c>
      <c r="I86" s="9">
        <f>(I82+I85)*$H$86</f>
        <v>447.63970214265942</v>
      </c>
      <c r="J86" s="2" t="s">
        <v>9</v>
      </c>
      <c r="K86" s="23" t="s">
        <v>63</v>
      </c>
      <c r="L86" s="35">
        <v>0.1</v>
      </c>
      <c r="M86" s="9">
        <f>(M82+M85)*$L$86</f>
        <v>465.63059165620399</v>
      </c>
    </row>
    <row r="87" spans="2:13" ht="17.149999999999999" customHeight="1" x14ac:dyDescent="0.3">
      <c r="B87" s="2" t="s">
        <v>11</v>
      </c>
      <c r="C87" s="23" t="s">
        <v>64</v>
      </c>
      <c r="D87" s="26">
        <f>SUM(D88:D90)</f>
        <v>0.14250000000000002</v>
      </c>
      <c r="E87" s="8"/>
      <c r="F87" s="2" t="s">
        <v>11</v>
      </c>
      <c r="G87" s="23" t="s">
        <v>64</v>
      </c>
      <c r="H87" s="26">
        <f>SUM(H88:H90)</f>
        <v>0.14250000000000002</v>
      </c>
      <c r="I87" s="8"/>
      <c r="J87" s="2" t="s">
        <v>11</v>
      </c>
      <c r="K87" s="23" t="s">
        <v>64</v>
      </c>
      <c r="L87" s="26">
        <f>SUM(L88:L90)</f>
        <v>0.14250000000000002</v>
      </c>
      <c r="M87" s="8"/>
    </row>
    <row r="88" spans="2:13" ht="17.149999999999999" customHeight="1" x14ac:dyDescent="0.3">
      <c r="B88" s="2" t="s">
        <v>96</v>
      </c>
      <c r="C88" s="23" t="s">
        <v>100</v>
      </c>
      <c r="D88" s="35">
        <v>1.6500000000000001E-2</v>
      </c>
      <c r="E88" s="9">
        <f>(E82+E85+E86)/(1-$D$87)*$D$88</f>
        <v>95.368658074947092</v>
      </c>
      <c r="F88" s="2" t="s">
        <v>96</v>
      </c>
      <c r="G88" s="23" t="s">
        <v>100</v>
      </c>
      <c r="H88" s="35">
        <v>1.6500000000000001E-2</v>
      </c>
      <c r="I88" s="9">
        <f>(I82+I85+I86)/(1-$H$87)*$H$88</f>
        <v>94.748228500166391</v>
      </c>
      <c r="J88" s="2" t="s">
        <v>96</v>
      </c>
      <c r="K88" s="23" t="s">
        <v>100</v>
      </c>
      <c r="L88" s="35">
        <v>1.6500000000000001E-2</v>
      </c>
      <c r="M88" s="9">
        <f>(M82+M85+M86)/(1-$L$87)*$L$88</f>
        <v>98.556212694578477</v>
      </c>
    </row>
    <row r="89" spans="2:13" ht="17.149999999999999" customHeight="1" x14ac:dyDescent="0.3">
      <c r="B89" s="2" t="s">
        <v>97</v>
      </c>
      <c r="C89" s="23" t="s">
        <v>101</v>
      </c>
      <c r="D89" s="35">
        <v>7.5999999999999998E-2</v>
      </c>
      <c r="E89" s="9">
        <f>(E82+E85+E86)/(1-$D$87)*$D$89</f>
        <v>439.27381901187744</v>
      </c>
      <c r="F89" s="2" t="s">
        <v>97</v>
      </c>
      <c r="G89" s="23" t="s">
        <v>101</v>
      </c>
      <c r="H89" s="35">
        <v>7.5999999999999998E-2</v>
      </c>
      <c r="I89" s="9">
        <f>(I82+I85+I86)/(1-$H$87)*$H$89</f>
        <v>436.41608278864516</v>
      </c>
      <c r="J89" s="2" t="s">
        <v>97</v>
      </c>
      <c r="K89" s="23" t="s">
        <v>101</v>
      </c>
      <c r="L89" s="35">
        <v>7.5999999999999998E-2</v>
      </c>
      <c r="M89" s="9">
        <f>(M82+M85+M86)/(1-$L$87)*$L$89</f>
        <v>453.95588877502809</v>
      </c>
    </row>
    <row r="90" spans="2:13" ht="17.149999999999999" customHeight="1" x14ac:dyDescent="0.3">
      <c r="B90" s="2" t="s">
        <v>98</v>
      </c>
      <c r="C90" s="23" t="s">
        <v>102</v>
      </c>
      <c r="D90" s="29">
        <v>0.05</v>
      </c>
      <c r="E90" s="9">
        <f>(E82+E85+E86)/(1-$D$87)*$D$90</f>
        <v>288.99593356044574</v>
      </c>
      <c r="F90" s="2" t="s">
        <v>98</v>
      </c>
      <c r="G90" s="23" t="s">
        <v>102</v>
      </c>
      <c r="H90" s="29">
        <v>0.05</v>
      </c>
      <c r="I90" s="9">
        <f>(I82+I85+I86)/(1-$H$87)*$H$90</f>
        <v>287.11584393989818</v>
      </c>
      <c r="J90" s="2" t="s">
        <v>98</v>
      </c>
      <c r="K90" s="23" t="s">
        <v>102</v>
      </c>
      <c r="L90" s="29">
        <v>0.05</v>
      </c>
      <c r="M90" s="9">
        <f>(M82+M85+M86)/(1-$L$87)*$L$90</f>
        <v>298.65518998357112</v>
      </c>
    </row>
    <row r="91" spans="2:13" ht="17.149999999999999" customHeight="1" x14ac:dyDescent="0.3">
      <c r="B91" s="156" t="s">
        <v>19</v>
      </c>
      <c r="C91" s="157"/>
      <c r="D91" s="158"/>
      <c r="E91" s="60">
        <f>SUM(E85:E90)</f>
        <v>1488.7669304629021</v>
      </c>
      <c r="F91" s="156" t="s">
        <v>19</v>
      </c>
      <c r="G91" s="157"/>
      <c r="H91" s="158"/>
      <c r="I91" s="60">
        <f>SUM(I85:I90)</f>
        <v>1479.0816202964452</v>
      </c>
      <c r="J91" s="156" t="s">
        <v>19</v>
      </c>
      <c r="K91" s="157"/>
      <c r="L91" s="158"/>
      <c r="M91" s="60">
        <f>SUM(M85:M90)</f>
        <v>1538.5267362790025</v>
      </c>
    </row>
    <row r="93" spans="2:13" ht="17.149999999999999" customHeight="1" x14ac:dyDescent="0.3">
      <c r="B93" s="147" t="s">
        <v>103</v>
      </c>
      <c r="C93" s="159"/>
      <c r="D93" s="148"/>
      <c r="E93" s="67" t="s">
        <v>6</v>
      </c>
      <c r="F93" s="147" t="s">
        <v>103</v>
      </c>
      <c r="G93" s="159"/>
      <c r="H93" s="148"/>
      <c r="I93" s="67" t="s">
        <v>6</v>
      </c>
      <c r="J93" s="147" t="s">
        <v>103</v>
      </c>
      <c r="K93" s="159"/>
      <c r="L93" s="148"/>
      <c r="M93" s="67" t="s">
        <v>6</v>
      </c>
    </row>
    <row r="94" spans="2:13" ht="17.149999999999999" customHeight="1" x14ac:dyDescent="0.3">
      <c r="B94" s="2" t="s">
        <v>7</v>
      </c>
      <c r="C94" s="149" t="s">
        <v>5</v>
      </c>
      <c r="D94" s="150"/>
      <c r="E94" s="58">
        <f>E18</f>
        <v>1730.75</v>
      </c>
      <c r="F94" s="2" t="s">
        <v>7</v>
      </c>
      <c r="G94" s="149" t="s">
        <v>5</v>
      </c>
      <c r="H94" s="150"/>
      <c r="I94" s="58">
        <f>I18</f>
        <v>1730.75</v>
      </c>
      <c r="J94" s="2" t="s">
        <v>7</v>
      </c>
      <c r="K94" s="149" t="s">
        <v>5</v>
      </c>
      <c r="L94" s="150"/>
      <c r="M94" s="58">
        <f>M18</f>
        <v>1730.75</v>
      </c>
    </row>
    <row r="95" spans="2:13" ht="17.149999999999999" customHeight="1" x14ac:dyDescent="0.3">
      <c r="B95" s="2" t="s">
        <v>9</v>
      </c>
      <c r="C95" s="149" t="s">
        <v>20</v>
      </c>
      <c r="D95" s="150"/>
      <c r="E95" s="58">
        <f>E48</f>
        <v>1754.3452704000001</v>
      </c>
      <c r="F95" s="2" t="s">
        <v>9</v>
      </c>
      <c r="G95" s="149" t="s">
        <v>20</v>
      </c>
      <c r="H95" s="150"/>
      <c r="I95" s="58">
        <f>I48</f>
        <v>1754.3452704000001</v>
      </c>
      <c r="J95" s="2" t="s">
        <v>9</v>
      </c>
      <c r="K95" s="149" t="s">
        <v>20</v>
      </c>
      <c r="L95" s="150"/>
      <c r="M95" s="58">
        <f>M48</f>
        <v>1754.3452704000001</v>
      </c>
    </row>
    <row r="96" spans="2:13" ht="17.149999999999999" customHeight="1" x14ac:dyDescent="0.3">
      <c r="B96" s="2" t="s">
        <v>11</v>
      </c>
      <c r="C96" s="149" t="s">
        <v>46</v>
      </c>
      <c r="D96" s="150"/>
      <c r="E96" s="58">
        <f>E57</f>
        <v>141.74154815333333</v>
      </c>
      <c r="F96" s="2" t="s">
        <v>11</v>
      </c>
      <c r="G96" s="149" t="s">
        <v>46</v>
      </c>
      <c r="H96" s="150"/>
      <c r="I96" s="58">
        <f>I57</f>
        <v>141.74154815333333</v>
      </c>
      <c r="J96" s="2" t="s">
        <v>11</v>
      </c>
      <c r="K96" s="149" t="s">
        <v>46</v>
      </c>
      <c r="L96" s="150"/>
      <c r="M96" s="58">
        <f>M57</f>
        <v>141.74154815333333</v>
      </c>
    </row>
    <row r="97" spans="2:13" ht="17.149999999999999" customHeight="1" x14ac:dyDescent="0.3">
      <c r="B97" s="2" t="s">
        <v>13</v>
      </c>
      <c r="C97" s="149" t="s">
        <v>51</v>
      </c>
      <c r="D97" s="150"/>
      <c r="E97" s="58">
        <f>E68</f>
        <v>55.41437960831535</v>
      </c>
      <c r="F97" s="2" t="s">
        <v>13</v>
      </c>
      <c r="G97" s="149" t="s">
        <v>51</v>
      </c>
      <c r="H97" s="150"/>
      <c r="I97" s="58">
        <f>I68</f>
        <v>55.41437960831535</v>
      </c>
      <c r="J97" s="2" t="s">
        <v>13</v>
      </c>
      <c r="K97" s="149" t="s">
        <v>51</v>
      </c>
      <c r="L97" s="150"/>
      <c r="M97" s="58">
        <f>M68</f>
        <v>55.41437960831535</v>
      </c>
    </row>
    <row r="98" spans="2:13" ht="17.149999999999999" customHeight="1" x14ac:dyDescent="0.3">
      <c r="B98" s="2" t="s">
        <v>15</v>
      </c>
      <c r="C98" s="149" t="s">
        <v>60</v>
      </c>
      <c r="D98" s="150"/>
      <c r="E98" s="58">
        <f>E81</f>
        <v>608.90054258436237</v>
      </c>
      <c r="F98" s="2" t="s">
        <v>15</v>
      </c>
      <c r="G98" s="149" t="s">
        <v>60</v>
      </c>
      <c r="H98" s="150"/>
      <c r="I98" s="58">
        <f>I81</f>
        <v>580.9840603398693</v>
      </c>
      <c r="J98" s="2" t="s">
        <v>15</v>
      </c>
      <c r="K98" s="149" t="s">
        <v>60</v>
      </c>
      <c r="L98" s="150"/>
      <c r="M98" s="58">
        <f>M81</f>
        <v>752.3258652307693</v>
      </c>
    </row>
    <row r="99" spans="2:13" ht="17.149999999999999" customHeight="1" x14ac:dyDescent="0.3">
      <c r="B99" s="153" t="s">
        <v>99</v>
      </c>
      <c r="C99" s="154"/>
      <c r="D99" s="155"/>
      <c r="E99" s="49">
        <f>SUM(E94:E98)</f>
        <v>4291.1517407460115</v>
      </c>
      <c r="F99" s="153" t="s">
        <v>99</v>
      </c>
      <c r="G99" s="154"/>
      <c r="H99" s="155"/>
      <c r="I99" s="49">
        <f>SUM(I94:I98)</f>
        <v>4263.2352585015178</v>
      </c>
      <c r="J99" s="153" t="s">
        <v>99</v>
      </c>
      <c r="K99" s="154"/>
      <c r="L99" s="155"/>
      <c r="M99" s="49">
        <f>SUM(M94:M98)</f>
        <v>4434.5770633924185</v>
      </c>
    </row>
    <row r="100" spans="2:13" ht="17.149999999999999" customHeight="1" x14ac:dyDescent="0.3">
      <c r="B100" s="7" t="s">
        <v>33</v>
      </c>
      <c r="C100" s="151" t="s">
        <v>67</v>
      </c>
      <c r="D100" s="152"/>
      <c r="E100" s="58">
        <f>E91</f>
        <v>1488.7669304629021</v>
      </c>
      <c r="F100" s="7" t="s">
        <v>33</v>
      </c>
      <c r="G100" s="151" t="s">
        <v>67</v>
      </c>
      <c r="H100" s="152"/>
      <c r="I100" s="58">
        <f>I91</f>
        <v>1479.0816202964452</v>
      </c>
      <c r="J100" s="7" t="s">
        <v>33</v>
      </c>
      <c r="K100" s="151" t="s">
        <v>67</v>
      </c>
      <c r="L100" s="152"/>
      <c r="M100" s="58">
        <f>M91</f>
        <v>1538.5267362790025</v>
      </c>
    </row>
    <row r="101" spans="2:13" ht="17.149999999999999" customHeight="1" x14ac:dyDescent="0.3">
      <c r="B101" s="153" t="s">
        <v>95</v>
      </c>
      <c r="C101" s="154"/>
      <c r="D101" s="155"/>
      <c r="E101" s="61">
        <f>SUM(E99,E100)</f>
        <v>5779.918671208914</v>
      </c>
      <c r="F101" s="153" t="s">
        <v>95</v>
      </c>
      <c r="G101" s="154"/>
      <c r="H101" s="155"/>
      <c r="I101" s="61">
        <f>SUM(I99,I100)</f>
        <v>5742.316878797963</v>
      </c>
      <c r="J101" s="153" t="s">
        <v>95</v>
      </c>
      <c r="K101" s="154"/>
      <c r="L101" s="155"/>
      <c r="M101" s="61">
        <f>SUM(M99,M100)</f>
        <v>5973.1037996714213</v>
      </c>
    </row>
    <row r="103" spans="2:13" ht="17.149999999999999" customHeight="1" x14ac:dyDescent="0.3">
      <c r="B103" s="50"/>
      <c r="F103" s="50"/>
      <c r="J103" s="50"/>
    </row>
    <row r="104" spans="2:13" ht="17.149999999999999" customHeight="1" x14ac:dyDescent="0.3">
      <c r="F104" s="105"/>
      <c r="G104" s="81">
        <v>8.61</v>
      </c>
    </row>
    <row r="105" spans="2:13" ht="17.149999999999999" customHeight="1" x14ac:dyDescent="0.3">
      <c r="B105" s="51"/>
      <c r="C105" s="51"/>
      <c r="D105" s="51"/>
      <c r="F105" s="51"/>
      <c r="G105" s="51"/>
      <c r="H105" s="51"/>
      <c r="J105" s="51"/>
      <c r="K105" s="51"/>
      <c r="L105" s="51"/>
    </row>
    <row r="107" spans="2:13" ht="17.149999999999999" customHeight="1" x14ac:dyDescent="0.3">
      <c r="B107" s="52"/>
      <c r="C107" s="53"/>
      <c r="D107" s="53"/>
      <c r="E107" s="53"/>
      <c r="F107" s="52"/>
      <c r="G107" s="53"/>
      <c r="H107" s="53"/>
      <c r="I107" s="53"/>
      <c r="J107" s="52"/>
      <c r="K107" s="53"/>
      <c r="L107" s="53"/>
      <c r="M107" s="53"/>
    </row>
    <row r="108" spans="2:13" ht="17.149999999999999" customHeight="1" x14ac:dyDescent="0.3">
      <c r="B108" s="52"/>
      <c r="C108" s="53"/>
      <c r="D108" s="53"/>
      <c r="E108" s="53"/>
      <c r="F108" s="52"/>
      <c r="G108" s="53"/>
      <c r="H108" s="53"/>
      <c r="I108" s="53"/>
      <c r="J108" s="52"/>
      <c r="K108" s="53"/>
      <c r="L108" s="53"/>
      <c r="M108" s="53"/>
    </row>
    <row r="109" spans="2:13" ht="17.149999999999999" customHeight="1" x14ac:dyDescent="0.3">
      <c r="B109" s="54"/>
      <c r="C109" s="55"/>
      <c r="D109" s="55"/>
      <c r="E109" s="55"/>
      <c r="F109" s="54"/>
      <c r="G109" s="55"/>
      <c r="H109" s="55"/>
      <c r="I109" s="55"/>
      <c r="J109" s="54"/>
      <c r="K109" s="55"/>
      <c r="L109" s="55"/>
      <c r="M109" s="55"/>
    </row>
    <row r="110" spans="2:13" ht="17.149999999999999" customHeight="1" x14ac:dyDescent="0.3">
      <c r="B110" s="54"/>
      <c r="C110" s="55"/>
      <c r="D110" s="55"/>
      <c r="E110" s="55"/>
      <c r="F110" s="54"/>
      <c r="G110" s="55"/>
      <c r="H110" s="55"/>
      <c r="I110" s="55"/>
      <c r="J110" s="54"/>
      <c r="K110" s="55"/>
      <c r="L110" s="55"/>
      <c r="M110" s="55"/>
    </row>
    <row r="111" spans="2:13" ht="17.149999999999999" customHeight="1" x14ac:dyDescent="0.3">
      <c r="B111" s="54"/>
      <c r="C111" s="55"/>
      <c r="D111" s="55"/>
      <c r="E111" s="55"/>
      <c r="F111" s="54"/>
      <c r="G111" s="55"/>
      <c r="H111" s="55"/>
      <c r="I111" s="55"/>
      <c r="J111" s="54"/>
      <c r="K111" s="55"/>
      <c r="L111" s="55"/>
      <c r="M111" s="55"/>
    </row>
    <row r="112" spans="2:13" ht="17.149999999999999" customHeight="1" x14ac:dyDescent="0.3"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</row>
    <row r="114" spans="2:12" ht="17.149999999999999" customHeight="1" x14ac:dyDescent="0.3">
      <c r="B114" s="51"/>
      <c r="F114" s="51"/>
      <c r="J114" s="51"/>
    </row>
    <row r="116" spans="2:12" ht="17.149999999999999" customHeight="1" x14ac:dyDescent="0.3">
      <c r="B116" s="50"/>
      <c r="F116" s="50"/>
      <c r="J116" s="50"/>
    </row>
    <row r="118" spans="2:12" ht="17.149999999999999" customHeight="1" x14ac:dyDescent="0.3">
      <c r="B118" s="55"/>
      <c r="C118" s="52"/>
      <c r="D118" s="52"/>
      <c r="F118" s="55"/>
      <c r="G118" s="52"/>
      <c r="H118" s="52"/>
      <c r="J118" s="55"/>
      <c r="K118" s="52"/>
      <c r="L118" s="52"/>
    </row>
    <row r="119" spans="2:12" ht="17.149999999999999" customHeight="1" x14ac:dyDescent="0.3">
      <c r="B119" s="55"/>
      <c r="C119" s="53"/>
      <c r="D119" s="55"/>
      <c r="F119" s="55"/>
      <c r="G119" s="53"/>
      <c r="H119" s="55"/>
      <c r="J119" s="55"/>
      <c r="K119" s="53"/>
      <c r="L119" s="55"/>
    </row>
    <row r="120" spans="2:12" ht="17.149999999999999" customHeight="1" x14ac:dyDescent="0.3">
      <c r="B120" s="55"/>
      <c r="C120" s="54"/>
      <c r="D120" s="55"/>
      <c r="F120" s="55"/>
      <c r="G120" s="54"/>
      <c r="H120" s="55"/>
      <c r="J120" s="55"/>
      <c r="K120" s="54"/>
      <c r="L120" s="55"/>
    </row>
    <row r="121" spans="2:12" ht="17.149999999999999" customHeight="1" x14ac:dyDescent="0.3">
      <c r="B121" s="55"/>
      <c r="C121" s="54"/>
      <c r="D121" s="55"/>
      <c r="F121" s="55"/>
      <c r="G121" s="54"/>
      <c r="H121" s="55"/>
      <c r="J121" s="55"/>
      <c r="K121" s="54"/>
      <c r="L121" s="55"/>
    </row>
    <row r="122" spans="2:12" ht="17.149999999999999" customHeight="1" x14ac:dyDescent="0.3">
      <c r="B122" s="56"/>
      <c r="C122" s="54"/>
      <c r="D122" s="56"/>
      <c r="F122" s="56"/>
      <c r="G122" s="54"/>
      <c r="H122" s="56"/>
      <c r="J122" s="56"/>
      <c r="K122" s="54"/>
      <c r="L122" s="56"/>
    </row>
    <row r="123" spans="2:12" ht="17.149999999999999" customHeight="1" x14ac:dyDescent="0.3">
      <c r="B123" s="56"/>
      <c r="C123" s="54"/>
      <c r="D123" s="56"/>
      <c r="F123" s="56"/>
      <c r="G123" s="54"/>
      <c r="H123" s="56"/>
      <c r="J123" s="56"/>
      <c r="K123" s="54"/>
      <c r="L123" s="56"/>
    </row>
    <row r="124" spans="2:12" ht="17.149999999999999" customHeight="1" x14ac:dyDescent="0.3">
      <c r="B124" s="57"/>
      <c r="F124" s="57"/>
      <c r="J124" s="57"/>
    </row>
    <row r="125" spans="2:12" ht="17.149999999999999" customHeight="1" x14ac:dyDescent="0.3">
      <c r="B125" s="57"/>
      <c r="F125" s="57"/>
      <c r="J125" s="57"/>
    </row>
  </sheetData>
  <mergeCells count="135">
    <mergeCell ref="K74:L74"/>
    <mergeCell ref="J75:L75"/>
    <mergeCell ref="J77:L77"/>
    <mergeCell ref="K78:L78"/>
    <mergeCell ref="J101:L101"/>
    <mergeCell ref="J99:L99"/>
    <mergeCell ref="K100:L100"/>
    <mergeCell ref="J57:L57"/>
    <mergeCell ref="K96:L96"/>
    <mergeCell ref="K97:L97"/>
    <mergeCell ref="K98:L98"/>
    <mergeCell ref="J84:K84"/>
    <mergeCell ref="J91:L91"/>
    <mergeCell ref="J93:L93"/>
    <mergeCell ref="J81:L81"/>
    <mergeCell ref="J82:L82"/>
    <mergeCell ref="F101:H101"/>
    <mergeCell ref="J4:M4"/>
    <mergeCell ref="K5:L5"/>
    <mergeCell ref="K6:L6"/>
    <mergeCell ref="K7:L7"/>
    <mergeCell ref="K8:L8"/>
    <mergeCell ref="K9:L9"/>
    <mergeCell ref="K10:L10"/>
    <mergeCell ref="J11:K11"/>
    <mergeCell ref="J18:L18"/>
    <mergeCell ref="J20:M20"/>
    <mergeCell ref="J21:K21"/>
    <mergeCell ref="J25:L25"/>
    <mergeCell ref="J26:K26"/>
    <mergeCell ref="J36:L36"/>
    <mergeCell ref="K45:L45"/>
    <mergeCell ref="F4:I4"/>
    <mergeCell ref="G5:H5"/>
    <mergeCell ref="G6:H6"/>
    <mergeCell ref="K94:L94"/>
    <mergeCell ref="K95:L95"/>
    <mergeCell ref="K79:L79"/>
    <mergeCell ref="K80:L80"/>
    <mergeCell ref="G7:H7"/>
    <mergeCell ref="G8:H8"/>
    <mergeCell ref="G9:H9"/>
    <mergeCell ref="G10:H10"/>
    <mergeCell ref="F11:G11"/>
    <mergeCell ref="F18:H18"/>
    <mergeCell ref="F20:I20"/>
    <mergeCell ref="F21:G21"/>
    <mergeCell ref="F25:H25"/>
    <mergeCell ref="G97:H97"/>
    <mergeCell ref="F26:G26"/>
    <mergeCell ref="F36:H36"/>
    <mergeCell ref="G45:H45"/>
    <mergeCell ref="F59:I59"/>
    <mergeCell ref="F68:H68"/>
    <mergeCell ref="F69:G69"/>
    <mergeCell ref="F71:H71"/>
    <mergeCell ref="F72:H72"/>
    <mergeCell ref="G98:H98"/>
    <mergeCell ref="F99:H99"/>
    <mergeCell ref="G100:H100"/>
    <mergeCell ref="F84:G84"/>
    <mergeCell ref="F91:H91"/>
    <mergeCell ref="F93:H93"/>
    <mergeCell ref="G94:H94"/>
    <mergeCell ref="G95:H95"/>
    <mergeCell ref="J59:M59"/>
    <mergeCell ref="J68:L68"/>
    <mergeCell ref="J69:K69"/>
    <mergeCell ref="J71:L71"/>
    <mergeCell ref="J72:L72"/>
    <mergeCell ref="G96:H96"/>
    <mergeCell ref="G79:H79"/>
    <mergeCell ref="G80:H80"/>
    <mergeCell ref="F81:H81"/>
    <mergeCell ref="F82:H82"/>
    <mergeCell ref="G73:H73"/>
    <mergeCell ref="G74:H74"/>
    <mergeCell ref="F75:H75"/>
    <mergeCell ref="F77:H77"/>
    <mergeCell ref="G78:H78"/>
    <mergeCell ref="K73:L73"/>
    <mergeCell ref="K46:L46"/>
    <mergeCell ref="K47:L47"/>
    <mergeCell ref="J48:L48"/>
    <mergeCell ref="J50:K50"/>
    <mergeCell ref="G46:H46"/>
    <mergeCell ref="G47:H47"/>
    <mergeCell ref="F48:H48"/>
    <mergeCell ref="F50:G50"/>
    <mergeCell ref="F57:H57"/>
    <mergeCell ref="B101:D101"/>
    <mergeCell ref="B93:D93"/>
    <mergeCell ref="B82:D82"/>
    <mergeCell ref="C94:D94"/>
    <mergeCell ref="C95:D95"/>
    <mergeCell ref="C96:D96"/>
    <mergeCell ref="C97:D97"/>
    <mergeCell ref="B91:D91"/>
    <mergeCell ref="B4:E4"/>
    <mergeCell ref="B20:E20"/>
    <mergeCell ref="B21:C21"/>
    <mergeCell ref="C5:D5"/>
    <mergeCell ref="C6:D6"/>
    <mergeCell ref="C7:D7"/>
    <mergeCell ref="C8:D8"/>
    <mergeCell ref="C9:D9"/>
    <mergeCell ref="C10:D10"/>
    <mergeCell ref="B18:D18"/>
    <mergeCell ref="B11:C11"/>
    <mergeCell ref="C45:D45"/>
    <mergeCell ref="C46:D46"/>
    <mergeCell ref="C47:D47"/>
    <mergeCell ref="B26:C26"/>
    <mergeCell ref="B25:D25"/>
    <mergeCell ref="B36:D36"/>
    <mergeCell ref="B50:C50"/>
    <mergeCell ref="C98:D98"/>
    <mergeCell ref="C100:D100"/>
    <mergeCell ref="B99:D99"/>
    <mergeCell ref="B48:D48"/>
    <mergeCell ref="B81:D81"/>
    <mergeCell ref="B84:C84"/>
    <mergeCell ref="C78:D78"/>
    <mergeCell ref="C79:D79"/>
    <mergeCell ref="C80:D80"/>
    <mergeCell ref="B77:D77"/>
    <mergeCell ref="B72:D72"/>
    <mergeCell ref="B68:D68"/>
    <mergeCell ref="B71:D71"/>
    <mergeCell ref="B75:D75"/>
    <mergeCell ref="B59:E59"/>
    <mergeCell ref="B57:D57"/>
    <mergeCell ref="C73:D73"/>
    <mergeCell ref="C74:D74"/>
    <mergeCell ref="B69:C69"/>
  </mergeCells>
  <pageMargins left="0.25" right="0.25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3613-B8F5-4F06-95A7-A21CAB5D9170}">
  <dimension ref="B1:M131"/>
  <sheetViews>
    <sheetView topLeftCell="C87" zoomScale="70" zoomScaleNormal="70" workbookViewId="0">
      <selection activeCell="M86" sqref="M86"/>
    </sheetView>
  </sheetViews>
  <sheetFormatPr defaultColWidth="8.81640625" defaultRowHeight="14.5" x14ac:dyDescent="0.35"/>
  <cols>
    <col min="1" max="1" width="2.453125" customWidth="1"/>
    <col min="2" max="2" width="15" bestFit="1" customWidth="1"/>
    <col min="3" max="3" width="45.453125" customWidth="1"/>
    <col min="4" max="4" width="13.26953125" customWidth="1"/>
    <col min="5" max="5" width="15.26953125" bestFit="1" customWidth="1"/>
    <col min="6" max="6" width="15" bestFit="1" customWidth="1"/>
    <col min="7" max="7" width="45.453125" customWidth="1"/>
    <col min="8" max="8" width="13.26953125" customWidth="1"/>
    <col min="9" max="9" width="15.26953125" bestFit="1" customWidth="1"/>
    <col min="10" max="10" width="15" bestFit="1" customWidth="1"/>
    <col min="11" max="11" width="45.453125" customWidth="1"/>
    <col min="12" max="12" width="13.26953125" customWidth="1"/>
    <col min="13" max="13" width="15.26953125" bestFit="1" customWidth="1"/>
  </cols>
  <sheetData>
    <row r="1" spans="2:13" ht="17.149999999999999" customHeight="1" x14ac:dyDescent="0.35">
      <c r="B1" s="10" t="s">
        <v>89</v>
      </c>
      <c r="C1" s="10"/>
      <c r="D1" s="10" t="str">
        <f>'44H'!D1</f>
        <v>LOTE 1</v>
      </c>
      <c r="E1" s="10"/>
      <c r="F1" s="10" t="s">
        <v>89</v>
      </c>
      <c r="G1" s="10"/>
      <c r="H1" s="10" t="str">
        <f>'44H'!H1</f>
        <v>LOTE 2</v>
      </c>
      <c r="I1" s="10"/>
      <c r="J1" s="10" t="s">
        <v>89</v>
      </c>
      <c r="K1" s="10"/>
      <c r="L1" s="10" t="str">
        <f>'44H'!L1</f>
        <v>LOTE 3</v>
      </c>
      <c r="M1" s="10"/>
    </row>
    <row r="2" spans="2:13" ht="17.149999999999999" customHeight="1" x14ac:dyDescent="0.35">
      <c r="B2" s="5" t="s">
        <v>125</v>
      </c>
      <c r="C2" s="5"/>
      <c r="D2" s="5"/>
      <c r="E2" s="5"/>
      <c r="F2" s="5" t="s">
        <v>125</v>
      </c>
      <c r="G2" s="5"/>
      <c r="H2" s="5"/>
      <c r="I2" s="5"/>
      <c r="J2" s="5" t="s">
        <v>125</v>
      </c>
      <c r="K2" s="5"/>
      <c r="L2" s="5"/>
      <c r="M2" s="5"/>
    </row>
    <row r="4" spans="2:13" ht="17.149999999999999" customHeight="1" x14ac:dyDescent="0.35">
      <c r="B4" s="147" t="s">
        <v>0</v>
      </c>
      <c r="C4" s="159"/>
      <c r="D4" s="159"/>
      <c r="E4" s="148"/>
      <c r="F4" s="147" t="s">
        <v>0</v>
      </c>
      <c r="G4" s="159"/>
      <c r="H4" s="159"/>
      <c r="I4" s="148"/>
      <c r="J4" s="147" t="s">
        <v>0</v>
      </c>
      <c r="K4" s="159"/>
      <c r="L4" s="159"/>
      <c r="M4" s="148"/>
    </row>
    <row r="5" spans="2:13" ht="56" x14ac:dyDescent="0.35">
      <c r="B5" s="2">
        <v>1</v>
      </c>
      <c r="C5" s="92" t="s">
        <v>1</v>
      </c>
      <c r="D5" s="8"/>
      <c r="E5" s="92" t="s">
        <v>112</v>
      </c>
      <c r="F5" s="2">
        <v>1</v>
      </c>
      <c r="G5" s="92" t="s">
        <v>1</v>
      </c>
      <c r="H5" s="8"/>
      <c r="I5" s="92" t="s">
        <v>112</v>
      </c>
      <c r="J5" s="2">
        <v>1</v>
      </c>
      <c r="K5" s="92" t="s">
        <v>1</v>
      </c>
      <c r="L5" s="8"/>
      <c r="M5" s="92" t="s">
        <v>112</v>
      </c>
    </row>
    <row r="6" spans="2:13" ht="17.149999999999999" customHeight="1" x14ac:dyDescent="0.35">
      <c r="B6" s="2">
        <v>2</v>
      </c>
      <c r="C6" s="8" t="s">
        <v>2</v>
      </c>
      <c r="D6" s="8"/>
      <c r="E6" s="20">
        <v>1730.75</v>
      </c>
      <c r="F6" s="2">
        <v>2</v>
      </c>
      <c r="G6" s="8" t="s">
        <v>2</v>
      </c>
      <c r="H6" s="8"/>
      <c r="I6" s="20">
        <v>1730.75</v>
      </c>
      <c r="J6" s="2">
        <v>2</v>
      </c>
      <c r="K6" s="8" t="s">
        <v>2</v>
      </c>
      <c r="L6" s="8"/>
      <c r="M6" s="20">
        <v>1730.75</v>
      </c>
    </row>
    <row r="7" spans="2:13" ht="17.149999999999999" customHeight="1" x14ac:dyDescent="0.35">
      <c r="B7" s="2">
        <v>3</v>
      </c>
      <c r="C7" s="8" t="s">
        <v>3</v>
      </c>
      <c r="D7" s="8"/>
      <c r="E7" s="18" t="s">
        <v>233</v>
      </c>
      <c r="F7" s="2">
        <v>3</v>
      </c>
      <c r="G7" s="8" t="s">
        <v>3</v>
      </c>
      <c r="H7" s="8"/>
      <c r="I7" s="18" t="s">
        <v>233</v>
      </c>
      <c r="J7" s="2">
        <v>3</v>
      </c>
      <c r="K7" s="8" t="s">
        <v>3</v>
      </c>
      <c r="L7" s="8"/>
      <c r="M7" s="18" t="s">
        <v>233</v>
      </c>
    </row>
    <row r="8" spans="2:13" ht="17.149999999999999" customHeight="1" x14ac:dyDescent="0.35">
      <c r="B8" s="2">
        <v>4</v>
      </c>
      <c r="C8" s="8" t="s">
        <v>4</v>
      </c>
      <c r="D8" s="8"/>
      <c r="E8" s="19">
        <v>45775</v>
      </c>
      <c r="F8" s="2">
        <v>4</v>
      </c>
      <c r="G8" s="8" t="s">
        <v>4</v>
      </c>
      <c r="H8" s="8"/>
      <c r="I8" s="19">
        <v>45775</v>
      </c>
      <c r="J8" s="2">
        <v>4</v>
      </c>
      <c r="K8" s="8" t="s">
        <v>4</v>
      </c>
      <c r="L8" s="8"/>
      <c r="M8" s="19">
        <v>45775</v>
      </c>
    </row>
    <row r="9" spans="2:13" ht="17.149999999999999" customHeight="1" x14ac:dyDescent="0.35">
      <c r="B9" s="2">
        <v>5</v>
      </c>
      <c r="C9" s="8" t="s">
        <v>74</v>
      </c>
      <c r="D9" s="8"/>
      <c r="E9" s="8">
        <v>30</v>
      </c>
      <c r="F9" s="2">
        <v>5</v>
      </c>
      <c r="G9" s="8" t="s">
        <v>74</v>
      </c>
      <c r="H9" s="8"/>
      <c r="I9" s="8">
        <v>30</v>
      </c>
      <c r="J9" s="2">
        <v>5</v>
      </c>
      <c r="K9" s="8" t="s">
        <v>74</v>
      </c>
      <c r="L9" s="8"/>
      <c r="M9" s="8">
        <v>30</v>
      </c>
    </row>
    <row r="10" spans="2:13" ht="17.149999999999999" customHeight="1" x14ac:dyDescent="0.3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3" ht="17.149999999999999" customHeight="1" x14ac:dyDescent="0.35">
      <c r="B11" s="147" t="s">
        <v>5</v>
      </c>
      <c r="C11" s="148"/>
      <c r="D11" s="65" t="s">
        <v>27</v>
      </c>
      <c r="E11" s="64" t="s">
        <v>6</v>
      </c>
      <c r="F11" s="147" t="s">
        <v>5</v>
      </c>
      <c r="G11" s="148"/>
      <c r="H11" s="65" t="s">
        <v>27</v>
      </c>
      <c r="I11" s="64" t="s">
        <v>6</v>
      </c>
      <c r="J11" s="147" t="s">
        <v>5</v>
      </c>
      <c r="K11" s="148"/>
      <c r="L11" s="65" t="s">
        <v>27</v>
      </c>
      <c r="M11" s="64" t="s">
        <v>6</v>
      </c>
    </row>
    <row r="12" spans="2:13" ht="17.149999999999999" customHeight="1" x14ac:dyDescent="0.35">
      <c r="B12" s="2" t="s">
        <v>7</v>
      </c>
      <c r="C12" s="8" t="s">
        <v>8</v>
      </c>
      <c r="D12" s="8"/>
      <c r="E12" s="9">
        <f>E6</f>
        <v>1730.75</v>
      </c>
      <c r="F12" s="2" t="s">
        <v>7</v>
      </c>
      <c r="G12" s="8" t="s">
        <v>8</v>
      </c>
      <c r="H12" s="8"/>
      <c r="I12" s="9">
        <f>I6</f>
        <v>1730.75</v>
      </c>
      <c r="J12" s="2" t="s">
        <v>7</v>
      </c>
      <c r="K12" s="8" t="s">
        <v>8</v>
      </c>
      <c r="L12" s="8"/>
      <c r="M12" s="9">
        <f>M6</f>
        <v>1730.75</v>
      </c>
    </row>
    <row r="13" spans="2:13" ht="17.149999999999999" customHeight="1" x14ac:dyDescent="0.35">
      <c r="B13" s="2" t="s">
        <v>9</v>
      </c>
      <c r="C13" s="8" t="s">
        <v>10</v>
      </c>
      <c r="D13" s="8"/>
      <c r="E13" s="9">
        <f>$E$12*D13</f>
        <v>0</v>
      </c>
      <c r="F13" s="2" t="s">
        <v>9</v>
      </c>
      <c r="G13" s="8" t="s">
        <v>10</v>
      </c>
      <c r="H13" s="8"/>
      <c r="I13" s="9">
        <f>$E$12*H13</f>
        <v>0</v>
      </c>
      <c r="J13" s="2" t="s">
        <v>9</v>
      </c>
      <c r="K13" s="8" t="s">
        <v>10</v>
      </c>
      <c r="L13" s="8"/>
      <c r="M13" s="9">
        <f>$E$12*L13</f>
        <v>0</v>
      </c>
    </row>
    <row r="14" spans="2:13" ht="17.149999999999999" customHeight="1" x14ac:dyDescent="0.35">
      <c r="B14" s="2" t="s">
        <v>11</v>
      </c>
      <c r="C14" s="8" t="s">
        <v>12</v>
      </c>
      <c r="D14" s="91">
        <v>0.2</v>
      </c>
      <c r="E14" s="9">
        <f>$E$12*D14</f>
        <v>346.15000000000003</v>
      </c>
      <c r="F14" s="2" t="s">
        <v>11</v>
      </c>
      <c r="G14" s="8" t="s">
        <v>12</v>
      </c>
      <c r="H14" s="91">
        <v>0.2</v>
      </c>
      <c r="I14" s="9">
        <f>$E$12*H14</f>
        <v>346.15000000000003</v>
      </c>
      <c r="J14" s="2" t="s">
        <v>11</v>
      </c>
      <c r="K14" s="8" t="s">
        <v>12</v>
      </c>
      <c r="L14" s="91">
        <v>0.2</v>
      </c>
      <c r="M14" s="9">
        <f>$E$12*L14</f>
        <v>346.15000000000003</v>
      </c>
    </row>
    <row r="15" spans="2:13" ht="17.149999999999999" customHeight="1" x14ac:dyDescent="0.35">
      <c r="B15" s="2" t="s">
        <v>13</v>
      </c>
      <c r="C15" s="8" t="s">
        <v>18</v>
      </c>
      <c r="D15" s="8"/>
      <c r="E15" s="9">
        <f>$E$12*D15</f>
        <v>0</v>
      </c>
      <c r="F15" s="2" t="s">
        <v>13</v>
      </c>
      <c r="G15" s="8" t="s">
        <v>18</v>
      </c>
      <c r="H15" s="8"/>
      <c r="I15" s="9">
        <f>$E$12*H15</f>
        <v>0</v>
      </c>
      <c r="J15" s="2" t="s">
        <v>13</v>
      </c>
      <c r="K15" s="8" t="s">
        <v>18</v>
      </c>
      <c r="L15" s="8"/>
      <c r="M15" s="9">
        <f>$E$12*L15</f>
        <v>0</v>
      </c>
    </row>
    <row r="16" spans="2:13" ht="17.149999999999999" customHeight="1" x14ac:dyDescent="0.35">
      <c r="B16" s="16" t="s">
        <v>19</v>
      </c>
      <c r="C16" s="16"/>
      <c r="D16" s="24"/>
      <c r="E16" s="24">
        <f>SUM(E12:E15)</f>
        <v>2076.9</v>
      </c>
      <c r="F16" s="16" t="s">
        <v>19</v>
      </c>
      <c r="G16" s="16"/>
      <c r="H16" s="24"/>
      <c r="I16" s="24">
        <f>SUM(I12:I15)</f>
        <v>2076.9</v>
      </c>
      <c r="J16" s="16" t="s">
        <v>19</v>
      </c>
      <c r="K16" s="16"/>
      <c r="L16" s="24"/>
      <c r="M16" s="24">
        <f>SUM(M12:M15)</f>
        <v>2076.9</v>
      </c>
    </row>
    <row r="17" spans="2:13" ht="17.149999999999999" customHeight="1" x14ac:dyDescent="0.35">
      <c r="B17" s="25"/>
      <c r="C17" s="25"/>
      <c r="D17" s="7"/>
      <c r="E17" s="7"/>
      <c r="F17" s="25"/>
      <c r="G17" s="25"/>
      <c r="H17" s="7"/>
      <c r="I17" s="7"/>
      <c r="J17" s="25"/>
      <c r="K17" s="25"/>
      <c r="L17" s="7"/>
      <c r="M17" s="7"/>
    </row>
    <row r="18" spans="2:13" ht="17.149999999999999" customHeight="1" x14ac:dyDescent="0.35">
      <c r="B18" s="165" t="s">
        <v>20</v>
      </c>
      <c r="C18" s="165"/>
      <c r="D18" s="165"/>
      <c r="E18" s="165"/>
      <c r="F18" s="165" t="s">
        <v>20</v>
      </c>
      <c r="G18" s="165"/>
      <c r="H18" s="165"/>
      <c r="I18" s="165"/>
      <c r="J18" s="165" t="s">
        <v>20</v>
      </c>
      <c r="K18" s="165"/>
      <c r="L18" s="165"/>
      <c r="M18" s="165"/>
    </row>
    <row r="19" spans="2:13" ht="17.149999999999999" customHeight="1" x14ac:dyDescent="0.35">
      <c r="B19" s="11" t="s">
        <v>21</v>
      </c>
      <c r="C19" s="11"/>
      <c r="D19" s="11"/>
      <c r="E19" s="11"/>
      <c r="F19" s="11" t="s">
        <v>21</v>
      </c>
      <c r="G19" s="11"/>
      <c r="H19" s="11"/>
      <c r="I19" s="11"/>
      <c r="J19" s="11" t="s">
        <v>21</v>
      </c>
      <c r="K19" s="11"/>
      <c r="L19" s="11"/>
      <c r="M19" s="11"/>
    </row>
    <row r="20" spans="2:13" ht="17.149999999999999" customHeight="1" x14ac:dyDescent="0.35">
      <c r="B20" s="2" t="s">
        <v>22</v>
      </c>
      <c r="C20" s="23" t="s">
        <v>23</v>
      </c>
      <c r="D20" s="2" t="s">
        <v>27</v>
      </c>
      <c r="E20" s="8" t="s">
        <v>6</v>
      </c>
      <c r="F20" s="2" t="s">
        <v>22</v>
      </c>
      <c r="G20" s="23" t="s">
        <v>23</v>
      </c>
      <c r="H20" s="2" t="s">
        <v>27</v>
      </c>
      <c r="I20" s="8" t="s">
        <v>6</v>
      </c>
      <c r="J20" s="2" t="s">
        <v>22</v>
      </c>
      <c r="K20" s="23" t="s">
        <v>23</v>
      </c>
      <c r="L20" s="2" t="s">
        <v>27</v>
      </c>
      <c r="M20" s="8" t="s">
        <v>6</v>
      </c>
    </row>
    <row r="21" spans="2:13" ht="17.149999999999999" customHeight="1" x14ac:dyDescent="0.35">
      <c r="B21" s="2" t="s">
        <v>7</v>
      </c>
      <c r="C21" s="8" t="s">
        <v>24</v>
      </c>
      <c r="D21" s="26">
        <v>8.3299999999999999E-2</v>
      </c>
      <c r="E21" s="9">
        <f>$E$16*D21</f>
        <v>173.00577000000001</v>
      </c>
      <c r="F21" s="2" t="s">
        <v>7</v>
      </c>
      <c r="G21" s="8" t="s">
        <v>24</v>
      </c>
      <c r="H21" s="26">
        <v>8.3299999999999999E-2</v>
      </c>
      <c r="I21" s="9">
        <f>$E$16*H21</f>
        <v>173.00577000000001</v>
      </c>
      <c r="J21" s="2" t="s">
        <v>7</v>
      </c>
      <c r="K21" s="8" t="s">
        <v>24</v>
      </c>
      <c r="L21" s="26">
        <v>8.3299999999999999E-2</v>
      </c>
      <c r="M21" s="9">
        <f>$E$16*L21</f>
        <v>173.00577000000001</v>
      </c>
    </row>
    <row r="22" spans="2:13" ht="17.149999999999999" customHeight="1" x14ac:dyDescent="0.35">
      <c r="B22" s="2" t="s">
        <v>9</v>
      </c>
      <c r="C22" s="8" t="s">
        <v>80</v>
      </c>
      <c r="D22" s="26">
        <v>8.3299999999999999E-2</v>
      </c>
      <c r="E22" s="9">
        <f>$E$16*D22</f>
        <v>173.00577000000001</v>
      </c>
      <c r="F22" s="2" t="s">
        <v>9</v>
      </c>
      <c r="G22" s="8" t="s">
        <v>80</v>
      </c>
      <c r="H22" s="26">
        <v>8.3299999999999999E-2</v>
      </c>
      <c r="I22" s="9">
        <f>$E$16*H22</f>
        <v>173.00577000000001</v>
      </c>
      <c r="J22" s="2" t="s">
        <v>9</v>
      </c>
      <c r="K22" s="8" t="s">
        <v>80</v>
      </c>
      <c r="L22" s="26">
        <v>8.3299999999999999E-2</v>
      </c>
      <c r="M22" s="9">
        <f>$E$16*L22</f>
        <v>173.00577000000001</v>
      </c>
    </row>
    <row r="23" spans="2:13" ht="17.149999999999999" customHeight="1" x14ac:dyDescent="0.35">
      <c r="B23" s="2" t="s">
        <v>11</v>
      </c>
      <c r="C23" s="8" t="s">
        <v>81</v>
      </c>
      <c r="D23" s="26">
        <v>2.7799999999999998E-2</v>
      </c>
      <c r="E23" s="9">
        <f>$E$16*D23</f>
        <v>57.737819999999999</v>
      </c>
      <c r="F23" s="2" t="s">
        <v>11</v>
      </c>
      <c r="G23" s="8" t="s">
        <v>81</v>
      </c>
      <c r="H23" s="26">
        <v>2.7799999999999998E-2</v>
      </c>
      <c r="I23" s="9">
        <f>$E$16*H23</f>
        <v>57.737819999999999</v>
      </c>
      <c r="J23" s="2" t="s">
        <v>11</v>
      </c>
      <c r="K23" s="8" t="s">
        <v>81</v>
      </c>
      <c r="L23" s="26">
        <v>2.7799999999999998E-2</v>
      </c>
      <c r="M23" s="9">
        <f>$E$16*L23</f>
        <v>57.737819999999999</v>
      </c>
    </row>
    <row r="24" spans="2:13" ht="17.149999999999999" customHeight="1" x14ac:dyDescent="0.35">
      <c r="B24" s="15" t="s">
        <v>19</v>
      </c>
      <c r="C24" s="15"/>
      <c r="D24" s="27"/>
      <c r="E24" s="9">
        <f>SUM(E21:E23)</f>
        <v>403.74936000000002</v>
      </c>
      <c r="F24" s="15" t="s">
        <v>19</v>
      </c>
      <c r="G24" s="15"/>
      <c r="H24" s="27"/>
      <c r="I24" s="9">
        <f>SUM(I21:I23)</f>
        <v>403.74936000000002</v>
      </c>
      <c r="J24" s="15" t="s">
        <v>19</v>
      </c>
      <c r="K24" s="15"/>
      <c r="L24" s="27"/>
      <c r="M24" s="9">
        <f>SUM(M21:M23)</f>
        <v>403.74936000000002</v>
      </c>
    </row>
    <row r="25" spans="2:13" ht="17.149999999999999" customHeight="1" x14ac:dyDescent="0.35">
      <c r="B25" s="6" t="s">
        <v>25</v>
      </c>
      <c r="C25" s="6" t="s">
        <v>26</v>
      </c>
      <c r="D25" s="6" t="s">
        <v>27</v>
      </c>
      <c r="E25" s="11" t="s">
        <v>6</v>
      </c>
      <c r="F25" s="6" t="s">
        <v>25</v>
      </c>
      <c r="G25" s="6" t="s">
        <v>26</v>
      </c>
      <c r="H25" s="6" t="s">
        <v>27</v>
      </c>
      <c r="I25" s="11" t="s">
        <v>6</v>
      </c>
      <c r="J25" s="6" t="s">
        <v>25</v>
      </c>
      <c r="K25" s="6" t="s">
        <v>26</v>
      </c>
      <c r="L25" s="6" t="s">
        <v>27</v>
      </c>
      <c r="M25" s="11" t="s">
        <v>6</v>
      </c>
    </row>
    <row r="26" spans="2:13" ht="17.149999999999999" customHeight="1" x14ac:dyDescent="0.35">
      <c r="B26" s="2" t="s">
        <v>7</v>
      </c>
      <c r="C26" s="2" t="s">
        <v>28</v>
      </c>
      <c r="D26" s="28">
        <v>0.2</v>
      </c>
      <c r="E26" s="7">
        <f>($E$24+$E$16)*$D$26</f>
        <v>496.12987200000009</v>
      </c>
      <c r="F26" s="2" t="s">
        <v>7</v>
      </c>
      <c r="G26" s="2" t="s">
        <v>28</v>
      </c>
      <c r="H26" s="28">
        <v>0.2</v>
      </c>
      <c r="I26" s="7">
        <f>($I$24+$I$16)*D26</f>
        <v>496.12987200000009</v>
      </c>
      <c r="J26" s="2" t="s">
        <v>7</v>
      </c>
      <c r="K26" s="2" t="s">
        <v>28</v>
      </c>
      <c r="L26" s="28">
        <v>0.2</v>
      </c>
      <c r="M26" s="7">
        <f>($M$16+$M$24)*L26</f>
        <v>496.12987200000009</v>
      </c>
    </row>
    <row r="27" spans="2:13" ht="17.149999999999999" customHeight="1" x14ac:dyDescent="0.35">
      <c r="B27" s="2" t="s">
        <v>9</v>
      </c>
      <c r="C27" s="2" t="s">
        <v>29</v>
      </c>
      <c r="D27" s="26">
        <v>2.5000000000000001E-2</v>
      </c>
      <c r="E27" s="7">
        <f>($E$24+E16)*D27</f>
        <v>62.016234000000011</v>
      </c>
      <c r="F27" s="2" t="s">
        <v>9</v>
      </c>
      <c r="G27" s="2" t="s">
        <v>29</v>
      </c>
      <c r="H27" s="26">
        <v>2.5000000000000001E-2</v>
      </c>
      <c r="I27" s="7">
        <f t="shared" ref="I27:I34" si="0">($I$24+$I$16)*D27</f>
        <v>62.016234000000011</v>
      </c>
      <c r="J27" s="2" t="s">
        <v>9</v>
      </c>
      <c r="K27" s="2" t="s">
        <v>29</v>
      </c>
      <c r="L27" s="26">
        <v>2.5000000000000001E-2</v>
      </c>
      <c r="M27" s="7">
        <f t="shared" ref="M27:M33" si="1">($M$16+$M$24)*L27</f>
        <v>62.016234000000011</v>
      </c>
    </row>
    <row r="28" spans="2:13" ht="17.149999999999999" customHeight="1" x14ac:dyDescent="0.35">
      <c r="B28" s="2" t="s">
        <v>11</v>
      </c>
      <c r="C28" s="2" t="s">
        <v>30</v>
      </c>
      <c r="D28" s="35">
        <v>0.03</v>
      </c>
      <c r="E28" s="30">
        <f>($E$24+E16)*$D$28</f>
        <v>74.419480800000002</v>
      </c>
      <c r="F28" s="2" t="s">
        <v>11</v>
      </c>
      <c r="G28" s="2" t="s">
        <v>30</v>
      </c>
      <c r="H28" s="35">
        <v>0.03</v>
      </c>
      <c r="I28" s="7">
        <f t="shared" si="0"/>
        <v>74.419480800000002</v>
      </c>
      <c r="J28" s="2" t="s">
        <v>11</v>
      </c>
      <c r="K28" s="2" t="s">
        <v>30</v>
      </c>
      <c r="L28" s="35">
        <v>0.03</v>
      </c>
      <c r="M28" s="7">
        <f t="shared" si="1"/>
        <v>74.419480800000002</v>
      </c>
    </row>
    <row r="29" spans="2:13" ht="17.149999999999999" customHeight="1" x14ac:dyDescent="0.35">
      <c r="B29" s="2" t="s">
        <v>13</v>
      </c>
      <c r="C29" s="2" t="s">
        <v>31</v>
      </c>
      <c r="D29" s="26">
        <v>1.4999999999999999E-2</v>
      </c>
      <c r="E29" s="7">
        <f>($E$24+E16)*$D$29</f>
        <v>37.209740400000001</v>
      </c>
      <c r="F29" s="2" t="s">
        <v>13</v>
      </c>
      <c r="G29" s="2" t="s">
        <v>31</v>
      </c>
      <c r="H29" s="26">
        <v>1.4999999999999999E-2</v>
      </c>
      <c r="I29" s="7">
        <f t="shared" si="0"/>
        <v>37.209740400000001</v>
      </c>
      <c r="J29" s="2" t="s">
        <v>13</v>
      </c>
      <c r="K29" s="2" t="s">
        <v>31</v>
      </c>
      <c r="L29" s="26">
        <v>1.4999999999999999E-2</v>
      </c>
      <c r="M29" s="7">
        <f t="shared" si="1"/>
        <v>37.209740400000001</v>
      </c>
    </row>
    <row r="30" spans="2:13" ht="17.149999999999999" customHeight="1" x14ac:dyDescent="0.35">
      <c r="B30" s="2" t="s">
        <v>15</v>
      </c>
      <c r="C30" s="2" t="s">
        <v>32</v>
      </c>
      <c r="D30" s="28">
        <v>0.01</v>
      </c>
      <c r="E30" s="7">
        <f>($E$24+E16)*$D$30</f>
        <v>24.806493600000003</v>
      </c>
      <c r="F30" s="2" t="s">
        <v>15</v>
      </c>
      <c r="G30" s="2" t="s">
        <v>32</v>
      </c>
      <c r="H30" s="28">
        <v>0.01</v>
      </c>
      <c r="I30" s="7">
        <f t="shared" si="0"/>
        <v>24.806493600000003</v>
      </c>
      <c r="J30" s="2" t="s">
        <v>15</v>
      </c>
      <c r="K30" s="2" t="s">
        <v>32</v>
      </c>
      <c r="L30" s="28">
        <v>0.01</v>
      </c>
      <c r="M30" s="7">
        <f t="shared" si="1"/>
        <v>24.806493600000003</v>
      </c>
    </row>
    <row r="31" spans="2:13" ht="17.149999999999999" customHeight="1" x14ac:dyDescent="0.35">
      <c r="B31" s="2" t="s">
        <v>33</v>
      </c>
      <c r="C31" s="2" t="s">
        <v>34</v>
      </c>
      <c r="D31" s="26">
        <v>6.0000000000000001E-3</v>
      </c>
      <c r="E31" s="7">
        <f>($E$24+E16)*$D$31</f>
        <v>14.883896160000003</v>
      </c>
      <c r="F31" s="2" t="s">
        <v>33</v>
      </c>
      <c r="G31" s="2" t="s">
        <v>34</v>
      </c>
      <c r="H31" s="26">
        <v>6.0000000000000001E-3</v>
      </c>
      <c r="I31" s="7">
        <f t="shared" si="0"/>
        <v>14.883896160000003</v>
      </c>
      <c r="J31" s="2" t="s">
        <v>33</v>
      </c>
      <c r="K31" s="2" t="s">
        <v>34</v>
      </c>
      <c r="L31" s="26">
        <v>6.0000000000000001E-3</v>
      </c>
      <c r="M31" s="7">
        <f t="shared" si="1"/>
        <v>14.883896160000003</v>
      </c>
    </row>
    <row r="32" spans="2:13" ht="17.149999999999999" customHeight="1" x14ac:dyDescent="0.35">
      <c r="B32" s="2" t="s">
        <v>17</v>
      </c>
      <c r="C32" s="2" t="s">
        <v>35</v>
      </c>
      <c r="D32" s="26">
        <v>2E-3</v>
      </c>
      <c r="E32" s="7">
        <f>($E$24+E16)*$D$32</f>
        <v>4.9612987200000012</v>
      </c>
      <c r="F32" s="2" t="s">
        <v>17</v>
      </c>
      <c r="G32" s="2" t="s">
        <v>35</v>
      </c>
      <c r="H32" s="26">
        <v>2E-3</v>
      </c>
      <c r="I32" s="7">
        <f t="shared" si="0"/>
        <v>4.9612987200000012</v>
      </c>
      <c r="J32" s="2" t="s">
        <v>17</v>
      </c>
      <c r="K32" s="2" t="s">
        <v>35</v>
      </c>
      <c r="L32" s="26">
        <v>2E-3</v>
      </c>
      <c r="M32" s="7">
        <f t="shared" si="1"/>
        <v>4.9612987200000012</v>
      </c>
    </row>
    <row r="33" spans="2:13" ht="17.149999999999999" customHeight="1" x14ac:dyDescent="0.35">
      <c r="B33" s="2" t="s">
        <v>36</v>
      </c>
      <c r="C33" s="2" t="s">
        <v>37</v>
      </c>
      <c r="D33" s="28">
        <v>0.08</v>
      </c>
      <c r="E33" s="7">
        <f>($E$24+$E$16)*D33</f>
        <v>198.45194880000003</v>
      </c>
      <c r="F33" s="2" t="s">
        <v>36</v>
      </c>
      <c r="G33" s="2" t="s">
        <v>37</v>
      </c>
      <c r="H33" s="28">
        <v>0.08</v>
      </c>
      <c r="I33" s="7">
        <f t="shared" si="0"/>
        <v>198.45194880000003</v>
      </c>
      <c r="J33" s="2" t="s">
        <v>36</v>
      </c>
      <c r="K33" s="2" t="s">
        <v>37</v>
      </c>
      <c r="L33" s="28">
        <v>0.08</v>
      </c>
      <c r="M33" s="7">
        <f t="shared" si="1"/>
        <v>198.45194880000003</v>
      </c>
    </row>
    <row r="34" spans="2:13" ht="17.149999999999999" customHeight="1" x14ac:dyDescent="0.35">
      <c r="B34" s="15" t="s">
        <v>19</v>
      </c>
      <c r="C34" s="15"/>
      <c r="D34" s="90">
        <f>SUM(D26:D33)</f>
        <v>0.36800000000000005</v>
      </c>
      <c r="E34" s="7">
        <f>SUM(E26:E33)</f>
        <v>912.87896447999992</v>
      </c>
      <c r="F34" s="15" t="s">
        <v>19</v>
      </c>
      <c r="G34" s="15"/>
      <c r="H34" s="90">
        <f>SUM(H26:H33)</f>
        <v>0.36800000000000005</v>
      </c>
      <c r="I34" s="7">
        <f t="shared" si="0"/>
        <v>912.87896448000026</v>
      </c>
      <c r="J34" s="15" t="s">
        <v>19</v>
      </c>
      <c r="K34" s="15"/>
      <c r="L34" s="90">
        <f>SUM(L26:L33)</f>
        <v>0.36800000000000005</v>
      </c>
      <c r="M34" s="7">
        <f>SUM(M26:M33)</f>
        <v>912.87896447999992</v>
      </c>
    </row>
    <row r="35" spans="2:13" ht="33" customHeight="1" x14ac:dyDescent="0.35">
      <c r="B35" s="172" t="s">
        <v>38</v>
      </c>
      <c r="C35" s="173"/>
      <c r="D35" s="173"/>
      <c r="E35" s="174"/>
      <c r="F35" s="172" t="s">
        <v>38</v>
      </c>
      <c r="G35" s="173"/>
      <c r="H35" s="173"/>
      <c r="I35" s="174"/>
      <c r="J35" s="172" t="s">
        <v>38</v>
      </c>
      <c r="K35" s="173"/>
      <c r="L35" s="173"/>
      <c r="M35" s="174"/>
    </row>
    <row r="36" spans="2:13" ht="17.149999999999999" customHeight="1" x14ac:dyDescent="0.35">
      <c r="B36" s="11" t="s">
        <v>39</v>
      </c>
      <c r="C36" s="11"/>
      <c r="D36" s="11"/>
      <c r="E36" s="11"/>
      <c r="F36" s="11" t="s">
        <v>39</v>
      </c>
      <c r="G36" s="11"/>
      <c r="H36" s="11"/>
      <c r="I36" s="11"/>
      <c r="J36" s="11" t="s">
        <v>39</v>
      </c>
      <c r="K36" s="11"/>
      <c r="L36" s="11"/>
      <c r="M36" s="11"/>
    </row>
    <row r="37" spans="2:13" ht="17.149999999999999" customHeight="1" x14ac:dyDescent="0.35">
      <c r="B37" s="2" t="s">
        <v>40</v>
      </c>
      <c r="C37" s="8" t="s">
        <v>41</v>
      </c>
      <c r="D37" s="8"/>
      <c r="E37" s="8" t="s">
        <v>6</v>
      </c>
      <c r="F37" s="2" t="s">
        <v>40</v>
      </c>
      <c r="G37" s="8" t="s">
        <v>41</v>
      </c>
      <c r="H37" s="8"/>
      <c r="I37" s="8" t="s">
        <v>6</v>
      </c>
      <c r="J37" s="2" t="s">
        <v>40</v>
      </c>
      <c r="K37" s="8" t="s">
        <v>41</v>
      </c>
      <c r="L37" s="8"/>
      <c r="M37" s="8" t="s">
        <v>6</v>
      </c>
    </row>
    <row r="38" spans="2:13" ht="17.149999999999999" customHeight="1" x14ac:dyDescent="0.35">
      <c r="B38" s="2" t="s">
        <v>7</v>
      </c>
      <c r="C38" s="8" t="s">
        <v>42</v>
      </c>
      <c r="D38" s="30">
        <v>4.7</v>
      </c>
      <c r="E38" s="9">
        <f>D38*2*26-(E12*6%)</f>
        <v>140.55500000000001</v>
      </c>
      <c r="F38" s="2" t="s">
        <v>7</v>
      </c>
      <c r="G38" s="8" t="s">
        <v>42</v>
      </c>
      <c r="H38" s="30">
        <v>4.7</v>
      </c>
      <c r="I38" s="9">
        <f>H38*2*26-(I12*6%)</f>
        <v>140.55500000000001</v>
      </c>
      <c r="J38" s="2" t="s">
        <v>7</v>
      </c>
      <c r="K38" s="8" t="s">
        <v>42</v>
      </c>
      <c r="L38" s="30">
        <v>4.7</v>
      </c>
      <c r="M38" s="9">
        <f>L38*2*26-(M12*6%)</f>
        <v>140.55500000000001</v>
      </c>
    </row>
    <row r="39" spans="2:13" ht="17.149999999999999" customHeight="1" x14ac:dyDescent="0.35">
      <c r="B39" s="2" t="s">
        <v>9</v>
      </c>
      <c r="C39" s="8" t="s">
        <v>43</v>
      </c>
      <c r="D39" s="30">
        <v>25</v>
      </c>
      <c r="E39" s="9">
        <f>D39*22-(D39*22*10%)</f>
        <v>495</v>
      </c>
      <c r="F39" s="2" t="s">
        <v>9</v>
      </c>
      <c r="G39" s="8" t="s">
        <v>43</v>
      </c>
      <c r="H39" s="30">
        <v>25</v>
      </c>
      <c r="I39" s="9">
        <f>H39*22-(H39*22*10%)</f>
        <v>495</v>
      </c>
      <c r="J39" s="2" t="s">
        <v>9</v>
      </c>
      <c r="K39" s="8" t="s">
        <v>43</v>
      </c>
      <c r="L39" s="30">
        <v>25</v>
      </c>
      <c r="M39" s="9">
        <f>L39*22-(L39*22*10%)</f>
        <v>495</v>
      </c>
    </row>
    <row r="40" spans="2:13" ht="17.149999999999999" customHeight="1" x14ac:dyDescent="0.35">
      <c r="B40" s="2" t="s">
        <v>11</v>
      </c>
      <c r="C40" s="8" t="s">
        <v>68</v>
      </c>
      <c r="D40" s="8"/>
      <c r="E40" s="20">
        <v>21.6</v>
      </c>
      <c r="F40" s="2" t="s">
        <v>11</v>
      </c>
      <c r="G40" s="8" t="s">
        <v>68</v>
      </c>
      <c r="H40" s="8"/>
      <c r="I40" s="20">
        <v>21.6</v>
      </c>
      <c r="J40" s="2" t="s">
        <v>11</v>
      </c>
      <c r="K40" s="8" t="s">
        <v>68</v>
      </c>
      <c r="L40" s="8"/>
      <c r="M40" s="20">
        <v>21.6</v>
      </c>
    </row>
    <row r="41" spans="2:13" ht="17.149999999999999" customHeight="1" x14ac:dyDescent="0.35">
      <c r="B41" s="2" t="s">
        <v>13</v>
      </c>
      <c r="C41" s="8" t="s">
        <v>18</v>
      </c>
      <c r="D41" s="8"/>
      <c r="E41" s="8"/>
      <c r="F41" s="2" t="s">
        <v>13</v>
      </c>
      <c r="G41" s="8" t="s">
        <v>18</v>
      </c>
      <c r="H41" s="8"/>
      <c r="I41" s="8"/>
      <c r="J41" s="2" t="s">
        <v>13</v>
      </c>
      <c r="K41" s="8" t="s">
        <v>18</v>
      </c>
      <c r="L41" s="8"/>
      <c r="M41" s="8"/>
    </row>
    <row r="42" spans="2:13" ht="17.149999999999999" customHeight="1" x14ac:dyDescent="0.35">
      <c r="B42" s="15" t="s">
        <v>19</v>
      </c>
      <c r="C42" s="15"/>
      <c r="D42" s="15"/>
      <c r="E42" s="9">
        <f>SUM(E38,E39,E40)</f>
        <v>657.15500000000009</v>
      </c>
      <c r="F42" s="15" t="s">
        <v>19</v>
      </c>
      <c r="G42" s="15"/>
      <c r="H42" s="15"/>
      <c r="I42" s="9">
        <f>SUM(I38,I39,I40)</f>
        <v>657.15500000000009</v>
      </c>
      <c r="J42" s="15" t="s">
        <v>19</v>
      </c>
      <c r="K42" s="15"/>
      <c r="L42" s="15"/>
      <c r="M42" s="9">
        <f>SUM(M38,M39,M40)</f>
        <v>657.15500000000009</v>
      </c>
    </row>
    <row r="43" spans="2:13" ht="17.149999999999999" customHeight="1" x14ac:dyDescent="0.35">
      <c r="B43" s="12" t="s">
        <v>44</v>
      </c>
      <c r="C43" s="13"/>
      <c r="D43" s="13"/>
      <c r="E43" s="13"/>
      <c r="F43" s="12" t="s">
        <v>44</v>
      </c>
      <c r="G43" s="13"/>
      <c r="H43" s="13"/>
      <c r="I43" s="13"/>
      <c r="J43" s="12" t="s">
        <v>44</v>
      </c>
      <c r="K43" s="13"/>
      <c r="L43" s="13"/>
      <c r="M43" s="13"/>
    </row>
    <row r="44" spans="2:13" ht="17.149999999999999" customHeight="1" x14ac:dyDescent="0.35">
      <c r="B44" s="2">
        <v>2</v>
      </c>
      <c r="C44" s="8" t="s">
        <v>45</v>
      </c>
      <c r="D44" s="8"/>
      <c r="E44" s="31" t="s">
        <v>6</v>
      </c>
      <c r="F44" s="2">
        <v>2</v>
      </c>
      <c r="G44" s="8" t="s">
        <v>45</v>
      </c>
      <c r="H44" s="8"/>
      <c r="I44" s="31" t="s">
        <v>6</v>
      </c>
      <c r="J44" s="2">
        <v>2</v>
      </c>
      <c r="K44" s="8" t="s">
        <v>45</v>
      </c>
      <c r="L44" s="8"/>
      <c r="M44" s="31" t="s">
        <v>6</v>
      </c>
    </row>
    <row r="45" spans="2:13" ht="17.149999999999999" customHeight="1" x14ac:dyDescent="0.35">
      <c r="B45" s="2" t="s">
        <v>22</v>
      </c>
      <c r="C45" s="8" t="s">
        <v>23</v>
      </c>
      <c r="D45" s="8"/>
      <c r="E45" s="9">
        <f>E24</f>
        <v>403.74936000000002</v>
      </c>
      <c r="F45" s="2" t="s">
        <v>22</v>
      </c>
      <c r="G45" s="8" t="s">
        <v>23</v>
      </c>
      <c r="H45" s="8"/>
      <c r="I45" s="9">
        <f>I24</f>
        <v>403.74936000000002</v>
      </c>
      <c r="J45" s="2" t="s">
        <v>22</v>
      </c>
      <c r="K45" s="8" t="s">
        <v>23</v>
      </c>
      <c r="L45" s="8"/>
      <c r="M45" s="9">
        <f>M24</f>
        <v>403.74936000000002</v>
      </c>
    </row>
    <row r="46" spans="2:13" ht="17.149999999999999" customHeight="1" x14ac:dyDescent="0.35">
      <c r="B46" s="2" t="s">
        <v>25</v>
      </c>
      <c r="C46" s="8" t="s">
        <v>26</v>
      </c>
      <c r="D46" s="8"/>
      <c r="E46" s="9">
        <f>E34</f>
        <v>912.87896447999992</v>
      </c>
      <c r="F46" s="2" t="s">
        <v>25</v>
      </c>
      <c r="G46" s="8" t="s">
        <v>26</v>
      </c>
      <c r="H46" s="8"/>
      <c r="I46" s="9">
        <f>I34</f>
        <v>912.87896448000026</v>
      </c>
      <c r="J46" s="2" t="s">
        <v>25</v>
      </c>
      <c r="K46" s="8" t="s">
        <v>26</v>
      </c>
      <c r="L46" s="8"/>
      <c r="M46" s="9">
        <f>M34</f>
        <v>912.87896447999992</v>
      </c>
    </row>
    <row r="47" spans="2:13" ht="17.149999999999999" customHeight="1" x14ac:dyDescent="0.35">
      <c r="B47" s="2" t="s">
        <v>40</v>
      </c>
      <c r="C47" s="8" t="s">
        <v>41</v>
      </c>
      <c r="D47" s="8"/>
      <c r="E47" s="9">
        <f>E42</f>
        <v>657.15500000000009</v>
      </c>
      <c r="F47" s="2" t="s">
        <v>40</v>
      </c>
      <c r="G47" s="8" t="s">
        <v>41</v>
      </c>
      <c r="H47" s="8"/>
      <c r="I47" s="9">
        <f>I42</f>
        <v>657.15500000000009</v>
      </c>
      <c r="J47" s="2" t="s">
        <v>40</v>
      </c>
      <c r="K47" s="8" t="s">
        <v>41</v>
      </c>
      <c r="L47" s="8"/>
      <c r="M47" s="9">
        <f>M42</f>
        <v>657.15500000000009</v>
      </c>
    </row>
    <row r="48" spans="2:13" ht="17.149999999999999" customHeight="1" x14ac:dyDescent="0.35">
      <c r="B48" s="16" t="s">
        <v>19</v>
      </c>
      <c r="C48" s="16"/>
      <c r="D48" s="16"/>
      <c r="E48" s="32">
        <f>SUM(E45:E47)</f>
        <v>1973.7833244799999</v>
      </c>
      <c r="F48" s="16" t="s">
        <v>19</v>
      </c>
      <c r="G48" s="16"/>
      <c r="H48" s="16"/>
      <c r="I48" s="32">
        <f>SUM(I45:I47)</f>
        <v>1973.7833244800004</v>
      </c>
      <c r="J48" s="16" t="s">
        <v>19</v>
      </c>
      <c r="K48" s="16"/>
      <c r="L48" s="16"/>
      <c r="M48" s="32">
        <f>SUM(M45:M47)</f>
        <v>1973.7833244799999</v>
      </c>
    </row>
    <row r="49" spans="2:13" ht="17.149999999999999" customHeight="1" x14ac:dyDescent="0.35">
      <c r="B49" s="33"/>
      <c r="C49" s="33"/>
      <c r="D49" s="34"/>
      <c r="E49" s="33"/>
      <c r="F49" s="33"/>
      <c r="G49" s="33"/>
      <c r="H49" s="34"/>
      <c r="I49" s="33"/>
      <c r="J49" s="33"/>
      <c r="K49" s="33"/>
      <c r="L49" s="34"/>
      <c r="M49" s="33"/>
    </row>
    <row r="50" spans="2:13" ht="17.149999999999999" customHeight="1" x14ac:dyDescent="0.35">
      <c r="B50" s="147" t="s">
        <v>46</v>
      </c>
      <c r="C50" s="148"/>
      <c r="D50" s="75" t="s">
        <v>27</v>
      </c>
      <c r="E50" s="73" t="s">
        <v>6</v>
      </c>
      <c r="F50" s="147" t="s">
        <v>46</v>
      </c>
      <c r="G50" s="148"/>
      <c r="H50" s="75" t="s">
        <v>27</v>
      </c>
      <c r="I50" s="73" t="s">
        <v>6</v>
      </c>
      <c r="J50" s="147" t="s">
        <v>46</v>
      </c>
      <c r="K50" s="148"/>
      <c r="L50" s="75" t="s">
        <v>27</v>
      </c>
      <c r="M50" s="73" t="s">
        <v>6</v>
      </c>
    </row>
    <row r="51" spans="2:13" ht="17.149999999999999" customHeight="1" x14ac:dyDescent="0.35">
      <c r="B51" s="2">
        <v>3</v>
      </c>
      <c r="C51" s="2" t="s">
        <v>47</v>
      </c>
      <c r="D51" s="2" t="s">
        <v>27</v>
      </c>
      <c r="E51" s="8" t="s">
        <v>6</v>
      </c>
      <c r="F51" s="2">
        <v>3</v>
      </c>
      <c r="G51" s="2" t="s">
        <v>47</v>
      </c>
      <c r="H51" s="2" t="s">
        <v>27</v>
      </c>
      <c r="I51" s="8" t="s">
        <v>6</v>
      </c>
      <c r="J51" s="2">
        <v>3</v>
      </c>
      <c r="K51" s="2" t="s">
        <v>47</v>
      </c>
      <c r="L51" s="2" t="s">
        <v>27</v>
      </c>
      <c r="M51" s="8" t="s">
        <v>6</v>
      </c>
    </row>
    <row r="52" spans="2:13" ht="17.149999999999999" customHeight="1" x14ac:dyDescent="0.35">
      <c r="B52" s="2" t="s">
        <v>7</v>
      </c>
      <c r="C52" s="31" t="s">
        <v>48</v>
      </c>
      <c r="D52" s="35">
        <f>5%/12</f>
        <v>4.1666666666666666E-3</v>
      </c>
      <c r="E52" s="9">
        <f>($E$16+$E$24)*D52</f>
        <v>10.336039000000001</v>
      </c>
      <c r="F52" s="2" t="s">
        <v>7</v>
      </c>
      <c r="G52" s="31" t="s">
        <v>48</v>
      </c>
      <c r="H52" s="35">
        <f>5%/12</f>
        <v>4.1666666666666666E-3</v>
      </c>
      <c r="I52" s="9">
        <f>($I$16+$I$24)*H52</f>
        <v>10.336039000000001</v>
      </c>
      <c r="J52" s="2" t="s">
        <v>7</v>
      </c>
      <c r="K52" s="31" t="s">
        <v>48</v>
      </c>
      <c r="L52" s="35">
        <f>5%/12</f>
        <v>4.1666666666666666E-3</v>
      </c>
      <c r="M52" s="9">
        <f>($M$16+$M$24)*L52</f>
        <v>10.336039000000001</v>
      </c>
    </row>
    <row r="53" spans="2:13" ht="17.149999999999999" customHeight="1" x14ac:dyDescent="0.35">
      <c r="B53" s="2" t="s">
        <v>9</v>
      </c>
      <c r="C53" s="31" t="s">
        <v>49</v>
      </c>
      <c r="D53" s="35">
        <f>D52*D33</f>
        <v>3.3333333333333332E-4</v>
      </c>
      <c r="E53" s="9">
        <f>($E$16+$E$24)*D53</f>
        <v>0.82688312000000008</v>
      </c>
      <c r="F53" s="2" t="s">
        <v>9</v>
      </c>
      <c r="G53" s="31" t="s">
        <v>49</v>
      </c>
      <c r="H53" s="35">
        <f>H52*H33</f>
        <v>3.3333333333333332E-4</v>
      </c>
      <c r="I53" s="9">
        <f t="shared" ref="I53:I57" si="2">($I$16+$I$24)*H53</f>
        <v>0.82688312000000008</v>
      </c>
      <c r="J53" s="2" t="s">
        <v>9</v>
      </c>
      <c r="K53" s="31" t="s">
        <v>49</v>
      </c>
      <c r="L53" s="35">
        <f>L52*L33</f>
        <v>3.3333333333333332E-4</v>
      </c>
      <c r="M53" s="9">
        <f t="shared" ref="M53:M56" si="3">($M$16+$M$24)*L53</f>
        <v>0.82688312000000008</v>
      </c>
    </row>
    <row r="54" spans="2:13" ht="17.149999999999999" customHeight="1" x14ac:dyDescent="0.35">
      <c r="B54" s="2" t="s">
        <v>11</v>
      </c>
      <c r="C54" s="31" t="s">
        <v>117</v>
      </c>
      <c r="D54" s="35">
        <f>(1+2/12+(1/3*1/12))*0.08*0.4*0.05</f>
        <v>1.9111111111111115E-3</v>
      </c>
      <c r="E54" s="9">
        <f>(E16+E24)*D54</f>
        <v>4.7407965546666686</v>
      </c>
      <c r="F54" s="2" t="s">
        <v>11</v>
      </c>
      <c r="G54" s="31" t="s">
        <v>117</v>
      </c>
      <c r="H54" s="35">
        <f>(1+2/12+(1/3*1/12))*0.08*0.4*0.05</f>
        <v>1.9111111111111115E-3</v>
      </c>
      <c r="I54" s="9">
        <f>(I16+I24)*H54</f>
        <v>4.7407965546666686</v>
      </c>
      <c r="J54" s="2" t="s">
        <v>11</v>
      </c>
      <c r="K54" s="31" t="s">
        <v>117</v>
      </c>
      <c r="L54" s="35">
        <f>(1+2/12+(1/3*1/12))*0.08*0.4*0.05</f>
        <v>1.9111111111111115E-3</v>
      </c>
      <c r="M54" s="9">
        <f>(M16+M24)*L54</f>
        <v>4.7407965546666686</v>
      </c>
    </row>
    <row r="55" spans="2:13" ht="17.149999999999999" customHeight="1" x14ac:dyDescent="0.35">
      <c r="B55" s="2" t="s">
        <v>13</v>
      </c>
      <c r="C55" s="31" t="s">
        <v>50</v>
      </c>
      <c r="D55" s="35">
        <f>7/30/12</f>
        <v>1.9444444444444445E-2</v>
      </c>
      <c r="E55" s="9">
        <f>($E$16+$E$24)*D55</f>
        <v>48.234848666666672</v>
      </c>
      <c r="F55" s="2" t="s">
        <v>13</v>
      </c>
      <c r="G55" s="31" t="s">
        <v>50</v>
      </c>
      <c r="H55" s="35">
        <f>7/30/12</f>
        <v>1.9444444444444445E-2</v>
      </c>
      <c r="I55" s="9">
        <f t="shared" si="2"/>
        <v>48.234848666666672</v>
      </c>
      <c r="J55" s="2" t="s">
        <v>13</v>
      </c>
      <c r="K55" s="31" t="s">
        <v>50</v>
      </c>
      <c r="L55" s="35">
        <f>7/30/12</f>
        <v>1.9444444444444445E-2</v>
      </c>
      <c r="M55" s="9">
        <f t="shared" si="3"/>
        <v>48.234848666666672</v>
      </c>
    </row>
    <row r="56" spans="2:13" ht="22.5" customHeight="1" x14ac:dyDescent="0.35">
      <c r="B56" s="2" t="s">
        <v>15</v>
      </c>
      <c r="C56" s="86" t="s">
        <v>110</v>
      </c>
      <c r="D56" s="35">
        <f>D55*D34</f>
        <v>7.1555555555555565E-3</v>
      </c>
      <c r="E56" s="9">
        <f>($E$16+$E$24)*D56</f>
        <v>17.750424309333336</v>
      </c>
      <c r="F56" s="2" t="s">
        <v>15</v>
      </c>
      <c r="G56" s="86" t="s">
        <v>110</v>
      </c>
      <c r="H56" s="35">
        <f>H55*H34</f>
        <v>7.1555555555555565E-3</v>
      </c>
      <c r="I56" s="9">
        <f t="shared" si="2"/>
        <v>17.750424309333336</v>
      </c>
      <c r="J56" s="2" t="s">
        <v>15</v>
      </c>
      <c r="K56" s="86" t="s">
        <v>110</v>
      </c>
      <c r="L56" s="35">
        <f>L55*L34</f>
        <v>7.1555555555555565E-3</v>
      </c>
      <c r="M56" s="9">
        <f t="shared" si="3"/>
        <v>17.750424309333336</v>
      </c>
    </row>
    <row r="57" spans="2:13" ht="17.149999999999999" customHeight="1" x14ac:dyDescent="0.35">
      <c r="B57" s="2" t="s">
        <v>33</v>
      </c>
      <c r="C57" s="86" t="s">
        <v>118</v>
      </c>
      <c r="D57" s="96">
        <f>100%*8%*40%*(1+1/12*1/3+1/12)</f>
        <v>3.5555555555555549E-2</v>
      </c>
      <c r="E57" s="9">
        <f>($E$16+$E$24)*D57</f>
        <v>88.200866133333335</v>
      </c>
      <c r="F57" s="2" t="s">
        <v>33</v>
      </c>
      <c r="G57" s="86" t="s">
        <v>118</v>
      </c>
      <c r="H57" s="96">
        <f>100%*8%*40%*(1+1/12*1/3+1/12)</f>
        <v>3.5555555555555549E-2</v>
      </c>
      <c r="I57" s="9">
        <f t="shared" si="2"/>
        <v>88.200866133333335</v>
      </c>
      <c r="J57" s="2" t="s">
        <v>33</v>
      </c>
      <c r="K57" s="86" t="s">
        <v>118</v>
      </c>
      <c r="L57" s="96">
        <f>100%*8%*40%*(1+1/12*1/3+1/12)</f>
        <v>3.5555555555555549E-2</v>
      </c>
      <c r="M57" s="9">
        <f>($M$16+$M$24)*L57</f>
        <v>88.200866133333335</v>
      </c>
    </row>
    <row r="58" spans="2:13" ht="17.149999999999999" customHeight="1" x14ac:dyDescent="0.35">
      <c r="B58" s="16" t="s">
        <v>19</v>
      </c>
      <c r="C58" s="16"/>
      <c r="D58" s="16"/>
      <c r="E58" s="32">
        <f>SUM(E52:E57)</f>
        <v>170.089857784</v>
      </c>
      <c r="F58" s="16" t="s">
        <v>19</v>
      </c>
      <c r="G58" s="16"/>
      <c r="H58" s="16"/>
      <c r="I58" s="32">
        <f>SUM(I52:I57)</f>
        <v>170.089857784</v>
      </c>
      <c r="J58" s="16" t="s">
        <v>19</v>
      </c>
      <c r="K58" s="16"/>
      <c r="L58" s="16"/>
      <c r="M58" s="32">
        <f>SUM(M52:M57)</f>
        <v>170.089857784</v>
      </c>
    </row>
    <row r="59" spans="2:13" ht="17.149999999999999" customHeight="1" x14ac:dyDescent="0.35">
      <c r="B59" s="36"/>
      <c r="C59" s="33"/>
      <c r="D59" s="34"/>
      <c r="E59" s="33"/>
      <c r="F59" s="36"/>
      <c r="G59" s="33"/>
      <c r="H59" s="34"/>
      <c r="I59" s="33"/>
      <c r="J59" s="36"/>
      <c r="K59" s="33"/>
      <c r="L59" s="34"/>
      <c r="M59" s="33"/>
    </row>
    <row r="60" spans="2:13" ht="17.149999999999999" customHeight="1" x14ac:dyDescent="0.35">
      <c r="B60" s="147" t="s">
        <v>51</v>
      </c>
      <c r="C60" s="159"/>
      <c r="D60" s="159"/>
      <c r="E60" s="148"/>
      <c r="F60" s="147" t="s">
        <v>51</v>
      </c>
      <c r="G60" s="159"/>
      <c r="H60" s="159"/>
      <c r="I60" s="148"/>
      <c r="J60" s="147" t="s">
        <v>51</v>
      </c>
      <c r="K60" s="159"/>
      <c r="L60" s="159"/>
      <c r="M60" s="148"/>
    </row>
    <row r="61" spans="2:13" ht="17.149999999999999" customHeight="1" x14ac:dyDescent="0.35">
      <c r="B61" s="11" t="s">
        <v>52</v>
      </c>
      <c r="C61" s="11"/>
      <c r="D61" s="11"/>
      <c r="E61" s="11"/>
      <c r="F61" s="11" t="s">
        <v>52</v>
      </c>
      <c r="G61" s="11"/>
      <c r="H61" s="11"/>
      <c r="I61" s="11"/>
      <c r="J61" s="11" t="s">
        <v>52</v>
      </c>
      <c r="K61" s="11"/>
      <c r="L61" s="11"/>
      <c r="M61" s="11"/>
    </row>
    <row r="62" spans="2:13" ht="17.149999999999999" customHeight="1" x14ac:dyDescent="0.35">
      <c r="B62" s="2" t="s">
        <v>53</v>
      </c>
      <c r="C62" s="2" t="s">
        <v>54</v>
      </c>
      <c r="D62" s="27" t="s">
        <v>78</v>
      </c>
      <c r="E62" s="8" t="s">
        <v>6</v>
      </c>
      <c r="F62" s="2" t="s">
        <v>53</v>
      </c>
      <c r="G62" s="2" t="s">
        <v>54</v>
      </c>
      <c r="H62" s="27" t="s">
        <v>78</v>
      </c>
      <c r="I62" s="8" t="s">
        <v>6</v>
      </c>
      <c r="J62" s="2" t="s">
        <v>53</v>
      </c>
      <c r="K62" s="2" t="s">
        <v>54</v>
      </c>
      <c r="L62" s="27" t="s">
        <v>78</v>
      </c>
      <c r="M62" s="8" t="s">
        <v>6</v>
      </c>
    </row>
    <row r="63" spans="2:13" ht="17.149999999999999" customHeight="1" x14ac:dyDescent="0.35">
      <c r="B63" s="2" t="s">
        <v>7</v>
      </c>
      <c r="C63" s="62" t="s">
        <v>104</v>
      </c>
      <c r="D63" s="77">
        <f>(1/12+1/12+1/12/3)/12</f>
        <v>1.6203703703703703E-2</v>
      </c>
      <c r="E63" s="97">
        <f>(E16+E34)*D63</f>
        <v>48.445492479999999</v>
      </c>
      <c r="F63" s="2" t="s">
        <v>7</v>
      </c>
      <c r="G63" s="62" t="s">
        <v>104</v>
      </c>
      <c r="H63" s="77">
        <f>(1/12+1/12+1/12/3)/12</f>
        <v>1.6203703703703703E-2</v>
      </c>
      <c r="I63" s="97">
        <f>(I16+I34)*H63</f>
        <v>48.445492480000006</v>
      </c>
      <c r="J63" s="2" t="s">
        <v>7</v>
      </c>
      <c r="K63" s="62" t="s">
        <v>104</v>
      </c>
      <c r="L63" s="77">
        <f>(1/12+1/12+1/12/3)/12</f>
        <v>1.6203703703703703E-2</v>
      </c>
      <c r="M63" s="97">
        <f>(M16+M34)*L63</f>
        <v>48.445492479999999</v>
      </c>
    </row>
    <row r="64" spans="2:13" ht="17.149999999999999" customHeight="1" x14ac:dyDescent="0.35">
      <c r="B64" s="2" t="s">
        <v>9</v>
      </c>
      <c r="C64" s="62" t="s">
        <v>105</v>
      </c>
      <c r="D64" s="77">
        <f>(1/30/12)</f>
        <v>2.7777777777777779E-3</v>
      </c>
      <c r="E64" s="84">
        <f>E16*D64</f>
        <v>5.769166666666667</v>
      </c>
      <c r="F64" s="2" t="s">
        <v>9</v>
      </c>
      <c r="G64" s="62" t="s">
        <v>105</v>
      </c>
      <c r="H64" s="77">
        <f>(1/30/12)</f>
        <v>2.7777777777777779E-3</v>
      </c>
      <c r="I64" s="84">
        <f>I16*H64</f>
        <v>5.769166666666667</v>
      </c>
      <c r="J64" s="2" t="s">
        <v>9</v>
      </c>
      <c r="K64" s="62" t="s">
        <v>105</v>
      </c>
      <c r="L64" s="77">
        <f>(1/30/12)</f>
        <v>2.7777777777777779E-3</v>
      </c>
      <c r="M64" s="84">
        <f>M16*L64</f>
        <v>5.769166666666667</v>
      </c>
    </row>
    <row r="65" spans="2:13" ht="17.149999999999999" customHeight="1" x14ac:dyDescent="0.35">
      <c r="B65" s="2" t="s">
        <v>11</v>
      </c>
      <c r="C65" s="62" t="s">
        <v>106</v>
      </c>
      <c r="D65" s="77">
        <f>(5/30/12)*0.015</f>
        <v>2.0833333333333332E-4</v>
      </c>
      <c r="E65" s="84">
        <f>E16*D65</f>
        <v>0.4326875</v>
      </c>
      <c r="F65" s="2" t="s">
        <v>11</v>
      </c>
      <c r="G65" s="62" t="s">
        <v>106</v>
      </c>
      <c r="H65" s="77">
        <f>(5/30/12)*0.015</f>
        <v>2.0833333333333332E-4</v>
      </c>
      <c r="I65" s="84">
        <f>I16*H65</f>
        <v>0.4326875</v>
      </c>
      <c r="J65" s="2" t="s">
        <v>11</v>
      </c>
      <c r="K65" s="62" t="s">
        <v>106</v>
      </c>
      <c r="L65" s="77">
        <f>(5/30/12)*0.015</f>
        <v>2.0833333333333332E-4</v>
      </c>
      <c r="M65" s="84">
        <f>M16*L65</f>
        <v>0.4326875</v>
      </c>
    </row>
    <row r="66" spans="2:13" ht="17.149999999999999" customHeight="1" x14ac:dyDescent="0.35">
      <c r="B66" s="2" t="s">
        <v>13</v>
      </c>
      <c r="C66" s="62" t="s">
        <v>107</v>
      </c>
      <c r="D66" s="77">
        <f>(1/12)*0.0178</f>
        <v>1.4833333333333332E-3</v>
      </c>
      <c r="E66" s="84">
        <f>E16*D66</f>
        <v>3.0807349999999998</v>
      </c>
      <c r="F66" s="2" t="s">
        <v>13</v>
      </c>
      <c r="G66" s="62" t="s">
        <v>107</v>
      </c>
      <c r="H66" s="77">
        <f>(1/12)*0.0178</f>
        <v>1.4833333333333332E-3</v>
      </c>
      <c r="I66" s="84">
        <f>I16*H66</f>
        <v>3.0807349999999998</v>
      </c>
      <c r="J66" s="2" t="s">
        <v>13</v>
      </c>
      <c r="K66" s="62" t="s">
        <v>107</v>
      </c>
      <c r="L66" s="77">
        <f>(1/12)*0.0178</f>
        <v>1.4833333333333332E-3</v>
      </c>
      <c r="M66" s="84">
        <f>M16*L66</f>
        <v>3.0807349999999998</v>
      </c>
    </row>
    <row r="67" spans="2:13" ht="17.149999999999999" customHeight="1" x14ac:dyDescent="0.35">
      <c r="B67" s="2" t="s">
        <v>15</v>
      </c>
      <c r="C67" s="62" t="s">
        <v>108</v>
      </c>
      <c r="D67" s="77">
        <f>11.11%*5.28%*50%</f>
        <v>2.9330399999999996E-3</v>
      </c>
      <c r="E67" s="84">
        <f>(E16+(1/12+1/12/3)/12+E34)*D67</f>
        <v>8.7691684517561956</v>
      </c>
      <c r="F67" s="2" t="s">
        <v>15</v>
      </c>
      <c r="G67" s="62" t="s">
        <v>108</v>
      </c>
      <c r="H67" s="77">
        <f>11.11%*5.28%*50%</f>
        <v>2.9330399999999996E-3</v>
      </c>
      <c r="I67" s="84">
        <f>(I16+(1/12+1/12/3)/12+I34)*H67</f>
        <v>8.7691684517561974</v>
      </c>
      <c r="J67" s="2" t="s">
        <v>15</v>
      </c>
      <c r="K67" s="62" t="s">
        <v>108</v>
      </c>
      <c r="L67" s="77">
        <f>11.11%*5.28%*50%</f>
        <v>2.9330399999999996E-3</v>
      </c>
      <c r="M67" s="84">
        <f>(M16+(1/12+1/12/3)/12+M34)*L67</f>
        <v>8.7691684517561956</v>
      </c>
    </row>
    <row r="68" spans="2:13" ht="17.149999999999999" customHeight="1" x14ac:dyDescent="0.35">
      <c r="B68" s="2" t="s">
        <v>33</v>
      </c>
      <c r="C68" s="62" t="s">
        <v>111</v>
      </c>
      <c r="D68" s="35"/>
      <c r="E68" s="84"/>
      <c r="F68" s="2" t="s">
        <v>33</v>
      </c>
      <c r="G68" s="62" t="s">
        <v>111</v>
      </c>
      <c r="H68" s="35"/>
      <c r="I68" s="84"/>
      <c r="J68" s="2" t="s">
        <v>33</v>
      </c>
      <c r="K68" s="62" t="s">
        <v>111</v>
      </c>
      <c r="L68" s="35"/>
      <c r="M68" s="84"/>
    </row>
    <row r="69" spans="2:13" ht="17.149999999999999" customHeight="1" x14ac:dyDescent="0.35">
      <c r="B69" s="2" t="s">
        <v>17</v>
      </c>
      <c r="C69" s="76" t="s">
        <v>109</v>
      </c>
      <c r="D69" s="78">
        <f>SUM(D63:D68)</f>
        <v>2.3606188148148147E-2</v>
      </c>
      <c r="E69" s="84"/>
      <c r="F69" s="2" t="s">
        <v>17</v>
      </c>
      <c r="G69" s="76" t="s">
        <v>109</v>
      </c>
      <c r="H69" s="78">
        <f>SUM(H63:H68)</f>
        <v>2.3606188148148147E-2</v>
      </c>
      <c r="I69" s="84"/>
      <c r="J69" s="2" t="s">
        <v>17</v>
      </c>
      <c r="K69" s="76" t="s">
        <v>109</v>
      </c>
      <c r="L69" s="78">
        <f>SUM(L63:L68)</f>
        <v>2.3606188148148147E-2</v>
      </c>
      <c r="M69" s="84"/>
    </row>
    <row r="70" spans="2:13" ht="17.149999999999999" customHeight="1" x14ac:dyDescent="0.35">
      <c r="B70" s="16" t="s">
        <v>19</v>
      </c>
      <c r="C70" s="16"/>
      <c r="D70" s="16"/>
      <c r="E70" s="32">
        <f>SUM(E63:E69)</f>
        <v>66.497250098422853</v>
      </c>
      <c r="F70" s="16" t="s">
        <v>19</v>
      </c>
      <c r="G70" s="16"/>
      <c r="H70" s="16"/>
      <c r="I70" s="32">
        <f>SUM(I63:I69)</f>
        <v>66.497250098422867</v>
      </c>
      <c r="J70" s="16" t="s">
        <v>19</v>
      </c>
      <c r="K70" s="16"/>
      <c r="L70" s="16"/>
      <c r="M70" s="32">
        <f>SUM(M63:M69)</f>
        <v>66.497250098422853</v>
      </c>
    </row>
    <row r="71" spans="2:13" ht="17.149999999999999" customHeight="1" x14ac:dyDescent="0.35">
      <c r="B71" s="14" t="s">
        <v>55</v>
      </c>
      <c r="C71" s="14"/>
      <c r="D71" s="14"/>
      <c r="E71" s="85"/>
      <c r="F71" s="14" t="s">
        <v>55</v>
      </c>
      <c r="G71" s="14"/>
      <c r="H71" s="14"/>
      <c r="I71" s="85"/>
      <c r="J71" s="14" t="s">
        <v>55</v>
      </c>
      <c r="K71" s="14"/>
      <c r="L71" s="14"/>
      <c r="M71" s="85"/>
    </row>
    <row r="72" spans="2:13" ht="17.149999999999999" customHeight="1" x14ac:dyDescent="0.35">
      <c r="B72" s="37" t="s">
        <v>56</v>
      </c>
      <c r="C72" s="37" t="s">
        <v>75</v>
      </c>
      <c r="D72" s="24" t="s">
        <v>76</v>
      </c>
      <c r="E72" s="24"/>
      <c r="F72" s="37" t="s">
        <v>56</v>
      </c>
      <c r="G72" s="37" t="s">
        <v>75</v>
      </c>
      <c r="H72" s="24" t="s">
        <v>76</v>
      </c>
      <c r="I72" s="24"/>
      <c r="J72" s="37" t="s">
        <v>56</v>
      </c>
      <c r="K72" s="37" t="s">
        <v>75</v>
      </c>
      <c r="L72" s="24" t="s">
        <v>76</v>
      </c>
      <c r="M72" s="24"/>
    </row>
    <row r="73" spans="2:13" ht="17.149999999999999" customHeight="1" x14ac:dyDescent="0.35">
      <c r="B73" s="37" t="s">
        <v>7</v>
      </c>
      <c r="C73" s="38" t="s">
        <v>77</v>
      </c>
      <c r="D73" s="38"/>
      <c r="E73" s="24">
        <v>0</v>
      </c>
      <c r="F73" s="37" t="s">
        <v>7</v>
      </c>
      <c r="G73" s="38" t="s">
        <v>77</v>
      </c>
      <c r="H73" s="38"/>
      <c r="I73" s="24">
        <v>0</v>
      </c>
      <c r="J73" s="37" t="s">
        <v>7</v>
      </c>
      <c r="K73" s="38" t="s">
        <v>77</v>
      </c>
      <c r="L73" s="38"/>
      <c r="M73" s="24">
        <v>0</v>
      </c>
    </row>
    <row r="74" spans="2:13" ht="17.149999999999999" customHeight="1" x14ac:dyDescent="0.35">
      <c r="B74" s="39" t="s">
        <v>19</v>
      </c>
      <c r="C74" s="40"/>
      <c r="D74" s="40"/>
      <c r="E74" s="41"/>
      <c r="F74" s="39" t="s">
        <v>19</v>
      </c>
      <c r="G74" s="40"/>
      <c r="H74" s="40"/>
      <c r="I74" s="41"/>
      <c r="J74" s="39" t="s">
        <v>19</v>
      </c>
      <c r="K74" s="40"/>
      <c r="L74" s="40"/>
      <c r="M74" s="41"/>
    </row>
    <row r="75" spans="2:13" ht="17.149999999999999" customHeight="1" x14ac:dyDescent="0.35">
      <c r="B75" s="14" t="s">
        <v>58</v>
      </c>
      <c r="C75" s="14"/>
      <c r="D75" s="14"/>
      <c r="E75" s="14"/>
      <c r="F75" s="14" t="s">
        <v>58</v>
      </c>
      <c r="G75" s="14"/>
      <c r="H75" s="14"/>
      <c r="I75" s="14"/>
      <c r="J75" s="14" t="s">
        <v>58</v>
      </c>
      <c r="K75" s="14"/>
      <c r="L75" s="14"/>
      <c r="M75" s="14"/>
    </row>
    <row r="76" spans="2:13" ht="17.149999999999999" customHeight="1" x14ac:dyDescent="0.35">
      <c r="B76" s="37">
        <v>4</v>
      </c>
      <c r="C76" s="38" t="s">
        <v>59</v>
      </c>
      <c r="D76" s="38"/>
      <c r="E76" s="38" t="s">
        <v>76</v>
      </c>
      <c r="F76" s="37">
        <v>4</v>
      </c>
      <c r="G76" s="38" t="s">
        <v>59</v>
      </c>
      <c r="H76" s="38"/>
      <c r="I76" s="38" t="s">
        <v>76</v>
      </c>
      <c r="J76" s="37">
        <v>4</v>
      </c>
      <c r="K76" s="38" t="s">
        <v>59</v>
      </c>
      <c r="L76" s="38"/>
      <c r="M76" s="38" t="s">
        <v>76</v>
      </c>
    </row>
    <row r="77" spans="2:13" ht="17.149999999999999" customHeight="1" x14ac:dyDescent="0.35">
      <c r="B77" s="37" t="s">
        <v>53</v>
      </c>
      <c r="C77" s="38" t="s">
        <v>54</v>
      </c>
      <c r="D77" s="38"/>
      <c r="E77" s="24">
        <f>E70</f>
        <v>66.497250098422853</v>
      </c>
      <c r="F77" s="37" t="s">
        <v>53</v>
      </c>
      <c r="G77" s="38" t="s">
        <v>54</v>
      </c>
      <c r="H77" s="38"/>
      <c r="I77" s="24">
        <f>I70</f>
        <v>66.497250098422867</v>
      </c>
      <c r="J77" s="37" t="s">
        <v>53</v>
      </c>
      <c r="K77" s="38" t="s">
        <v>54</v>
      </c>
      <c r="L77" s="38"/>
      <c r="M77" s="24">
        <f>M70</f>
        <v>66.497250098422853</v>
      </c>
    </row>
    <row r="78" spans="2:13" ht="17.149999999999999" customHeight="1" x14ac:dyDescent="0.35">
      <c r="B78" s="37" t="s">
        <v>56</v>
      </c>
      <c r="C78" s="38" t="s">
        <v>57</v>
      </c>
      <c r="D78" s="38"/>
      <c r="E78" s="24">
        <f>E73</f>
        <v>0</v>
      </c>
      <c r="F78" s="37" t="s">
        <v>56</v>
      </c>
      <c r="G78" s="38" t="s">
        <v>57</v>
      </c>
      <c r="H78" s="38"/>
      <c r="I78" s="24">
        <f>I73</f>
        <v>0</v>
      </c>
      <c r="J78" s="37" t="s">
        <v>56</v>
      </c>
      <c r="K78" s="38" t="s">
        <v>57</v>
      </c>
      <c r="L78" s="38"/>
      <c r="M78" s="24">
        <f>M73</f>
        <v>0</v>
      </c>
    </row>
    <row r="79" spans="2:13" ht="17.149999999999999" customHeight="1" x14ac:dyDescent="0.35">
      <c r="B79" s="16" t="s">
        <v>19</v>
      </c>
      <c r="C79" s="16"/>
      <c r="D79" s="16"/>
      <c r="E79" s="32">
        <f>SUM(E77:E78)</f>
        <v>66.497250098422853</v>
      </c>
      <c r="F79" s="16" t="s">
        <v>19</v>
      </c>
      <c r="G79" s="16"/>
      <c r="H79" s="16"/>
      <c r="I79" s="32">
        <f>SUM(I77:I78)</f>
        <v>66.497250098422867</v>
      </c>
      <c r="J79" s="16" t="s">
        <v>19</v>
      </c>
      <c r="K79" s="16"/>
      <c r="L79" s="16"/>
      <c r="M79" s="32">
        <f>SUM(M77:M78)</f>
        <v>66.497250098422853</v>
      </c>
    </row>
    <row r="80" spans="2:13" ht="17.149999999999999" customHeight="1" x14ac:dyDescent="0.35">
      <c r="B80" s="33"/>
      <c r="C80" s="33"/>
      <c r="D80" s="34"/>
      <c r="E80" s="33"/>
      <c r="F80" s="33"/>
      <c r="G80" s="33"/>
      <c r="H80" s="34"/>
      <c r="I80" s="33"/>
      <c r="J80" s="33"/>
      <c r="K80" s="33"/>
      <c r="L80" s="34"/>
      <c r="M80" s="33"/>
    </row>
    <row r="81" spans="2:13" ht="17.149999999999999" customHeight="1" x14ac:dyDescent="0.35">
      <c r="B81" s="147" t="s">
        <v>60</v>
      </c>
      <c r="C81" s="159"/>
      <c r="D81" s="148"/>
      <c r="E81" s="73" t="s">
        <v>6</v>
      </c>
      <c r="F81" s="147" t="s">
        <v>60</v>
      </c>
      <c r="G81" s="159"/>
      <c r="H81" s="148"/>
      <c r="I81" s="73" t="s">
        <v>6</v>
      </c>
      <c r="J81" s="147" t="s">
        <v>60</v>
      </c>
      <c r="K81" s="159"/>
      <c r="L81" s="148"/>
      <c r="M81" s="73" t="s">
        <v>6</v>
      </c>
    </row>
    <row r="82" spans="2:13" ht="17.149999999999999" customHeight="1" x14ac:dyDescent="0.35">
      <c r="B82" s="2" t="s">
        <v>7</v>
      </c>
      <c r="C82" s="149" t="s">
        <v>83</v>
      </c>
      <c r="D82" s="150"/>
      <c r="E82" s="9">
        <f>'Uniformes e EPIs'!H15</f>
        <v>23.373611111111114</v>
      </c>
      <c r="F82" s="2" t="s">
        <v>7</v>
      </c>
      <c r="G82" s="149" t="s">
        <v>83</v>
      </c>
      <c r="H82" s="150"/>
      <c r="I82" s="9">
        <f>'Uniformes e EPIs'!H15</f>
        <v>23.373611111111114</v>
      </c>
      <c r="J82" s="2" t="s">
        <v>7</v>
      </c>
      <c r="K82" s="149" t="s">
        <v>83</v>
      </c>
      <c r="L82" s="150"/>
      <c r="M82" s="9">
        <f>'Uniformes e EPIs'!H15</f>
        <v>23.373611111111114</v>
      </c>
    </row>
    <row r="83" spans="2:13" ht="17.149999999999999" customHeight="1" x14ac:dyDescent="0.35">
      <c r="B83" s="2" t="s">
        <v>9</v>
      </c>
      <c r="C83" s="149" t="s">
        <v>69</v>
      </c>
      <c r="D83" s="150"/>
      <c r="E83" s="9">
        <f>Insumos!H61</f>
        <v>571.13908436214012</v>
      </c>
      <c r="F83" s="2" t="s">
        <v>9</v>
      </c>
      <c r="G83" s="149" t="s">
        <v>69</v>
      </c>
      <c r="H83" s="150"/>
      <c r="I83" s="9">
        <f>Insumos!P61</f>
        <v>542.37625816993466</v>
      </c>
      <c r="J83" s="2" t="s">
        <v>9</v>
      </c>
      <c r="K83" s="149" t="s">
        <v>69</v>
      </c>
      <c r="L83" s="150"/>
      <c r="M83" s="9">
        <f>Insumos!X61</f>
        <v>709.03061965811969</v>
      </c>
    </row>
    <row r="84" spans="2:13" ht="16.5" customHeight="1" x14ac:dyDescent="0.35">
      <c r="B84" s="2" t="s">
        <v>11</v>
      </c>
      <c r="C84" s="149" t="s">
        <v>82</v>
      </c>
      <c r="D84" s="150"/>
      <c r="E84" s="9">
        <f>Equipamentos!G9</f>
        <v>14.38784711111111</v>
      </c>
      <c r="F84" s="2" t="s">
        <v>11</v>
      </c>
      <c r="G84" s="149" t="s">
        <v>82</v>
      </c>
      <c r="H84" s="150"/>
      <c r="I84" s="9">
        <f>Equipamentos!G16</f>
        <v>15.234191058823528</v>
      </c>
      <c r="J84" s="2" t="s">
        <v>11</v>
      </c>
      <c r="K84" s="149" t="s">
        <v>82</v>
      </c>
      <c r="L84" s="150"/>
      <c r="M84" s="9">
        <f>Equipamentos!G23</f>
        <v>19.92163446153846</v>
      </c>
    </row>
    <row r="85" spans="2:13" ht="17.149999999999999" customHeight="1" x14ac:dyDescent="0.35">
      <c r="B85" s="16" t="s">
        <v>19</v>
      </c>
      <c r="C85" s="156"/>
      <c r="D85" s="158"/>
      <c r="E85" s="32">
        <f>SUM(E82:E84)</f>
        <v>608.90054258436237</v>
      </c>
      <c r="F85" s="16" t="s">
        <v>19</v>
      </c>
      <c r="G85" s="156"/>
      <c r="H85" s="158"/>
      <c r="I85" s="32">
        <f>SUM(I82:I84)</f>
        <v>580.9840603398693</v>
      </c>
      <c r="J85" s="16" t="s">
        <v>19</v>
      </c>
      <c r="K85" s="156"/>
      <c r="L85" s="158"/>
      <c r="M85" s="32">
        <f>SUM(M82:M84)</f>
        <v>752.3258652307693</v>
      </c>
    </row>
    <row r="86" spans="2:13" ht="17.149999999999999" customHeight="1" x14ac:dyDescent="0.35">
      <c r="B86" s="156" t="s">
        <v>79</v>
      </c>
      <c r="C86" s="157"/>
      <c r="D86" s="158"/>
      <c r="E86" s="32">
        <f>E85+E79+E58+E48+E16</f>
        <v>4896.1709749467846</v>
      </c>
      <c r="F86" s="156" t="s">
        <v>79</v>
      </c>
      <c r="G86" s="157"/>
      <c r="H86" s="158"/>
      <c r="I86" s="32">
        <f>I85+I79+I58+I48+I16</f>
        <v>4868.2544927022927</v>
      </c>
      <c r="J86" s="156" t="s">
        <v>79</v>
      </c>
      <c r="K86" s="157"/>
      <c r="L86" s="158"/>
      <c r="M86" s="32">
        <f>M85+M79+M58+M48+M16</f>
        <v>5039.5962975931925</v>
      </c>
    </row>
    <row r="87" spans="2:13" ht="17.149999999999999" customHeight="1" x14ac:dyDescent="0.35">
      <c r="B87" s="42"/>
      <c r="C87" s="42"/>
      <c r="D87" s="43"/>
      <c r="E87" s="42"/>
      <c r="F87" s="42"/>
      <c r="G87" s="42"/>
      <c r="H87" s="43"/>
      <c r="I87" s="42"/>
      <c r="J87" s="42"/>
      <c r="K87" s="42"/>
      <c r="L87" s="43"/>
      <c r="M87" s="42"/>
    </row>
    <row r="88" spans="2:13" ht="17.149999999999999" customHeight="1" x14ac:dyDescent="0.35">
      <c r="B88" s="147" t="s">
        <v>61</v>
      </c>
      <c r="C88" s="148"/>
      <c r="D88" s="75" t="s">
        <v>27</v>
      </c>
      <c r="E88" s="73" t="s">
        <v>6</v>
      </c>
      <c r="F88" s="147" t="s">
        <v>61</v>
      </c>
      <c r="G88" s="148"/>
      <c r="H88" s="75" t="s">
        <v>27</v>
      </c>
      <c r="I88" s="73" t="s">
        <v>6</v>
      </c>
      <c r="J88" s="147" t="s">
        <v>61</v>
      </c>
      <c r="K88" s="148"/>
      <c r="L88" s="75" t="s">
        <v>27</v>
      </c>
      <c r="M88" s="73" t="s">
        <v>6</v>
      </c>
    </row>
    <row r="89" spans="2:13" ht="17.149999999999999" customHeight="1" x14ac:dyDescent="0.35">
      <c r="B89" s="2" t="s">
        <v>7</v>
      </c>
      <c r="C89" s="2" t="s">
        <v>62</v>
      </c>
      <c r="D89" s="35">
        <v>0.05</v>
      </c>
      <c r="E89" s="9">
        <f>E86*$D$89</f>
        <v>244.80854874733924</v>
      </c>
      <c r="F89" s="2" t="s">
        <v>7</v>
      </c>
      <c r="G89" s="2" t="s">
        <v>62</v>
      </c>
      <c r="H89" s="35">
        <v>0.05</v>
      </c>
      <c r="I89" s="9">
        <f>I86*$H$89</f>
        <v>243.41272463511464</v>
      </c>
      <c r="J89" s="2" t="s">
        <v>7</v>
      </c>
      <c r="K89" s="2" t="s">
        <v>62</v>
      </c>
      <c r="L89" s="35">
        <v>0.05</v>
      </c>
      <c r="M89" s="9">
        <f>M86*$L$89</f>
        <v>251.97981487965964</v>
      </c>
    </row>
    <row r="90" spans="2:13" ht="17.149999999999999" customHeight="1" x14ac:dyDescent="0.35">
      <c r="B90" s="2" t="s">
        <v>9</v>
      </c>
      <c r="C90" s="2" t="s">
        <v>63</v>
      </c>
      <c r="D90" s="35">
        <v>0.1</v>
      </c>
      <c r="E90" s="9">
        <f>(E86+E89)*$D$90</f>
        <v>514.09795236941238</v>
      </c>
      <c r="F90" s="2" t="s">
        <v>9</v>
      </c>
      <c r="G90" s="2" t="s">
        <v>63</v>
      </c>
      <c r="H90" s="35">
        <v>0.1</v>
      </c>
      <c r="I90" s="9">
        <f>(I86+I89)*$H$90</f>
        <v>511.16672173374076</v>
      </c>
      <c r="J90" s="2" t="s">
        <v>9</v>
      </c>
      <c r="K90" s="2" t="s">
        <v>63</v>
      </c>
      <c r="L90" s="35">
        <v>0.1</v>
      </c>
      <c r="M90" s="9">
        <f>(M86+M89)*$L$90</f>
        <v>529.15761124728522</v>
      </c>
    </row>
    <row r="91" spans="2:13" ht="17.149999999999999" customHeight="1" x14ac:dyDescent="0.35">
      <c r="B91" s="2" t="s">
        <v>11</v>
      </c>
      <c r="C91" s="2" t="s">
        <v>64</v>
      </c>
      <c r="D91" s="26">
        <f>SUM(D92:D94)</f>
        <v>0.14250000000000002</v>
      </c>
      <c r="E91" s="8"/>
      <c r="F91" s="2" t="s">
        <v>11</v>
      </c>
      <c r="G91" s="2" t="s">
        <v>64</v>
      </c>
      <c r="H91" s="26">
        <f>SUM(H92:H94)</f>
        <v>0.14250000000000002</v>
      </c>
      <c r="I91" s="8"/>
      <c r="J91" s="2" t="s">
        <v>11</v>
      </c>
      <c r="K91" s="2" t="s">
        <v>64</v>
      </c>
      <c r="L91" s="26">
        <f>SUM(L92:L94)</f>
        <v>0.14250000000000002</v>
      </c>
      <c r="M91" s="8"/>
    </row>
    <row r="92" spans="2:13" ht="17.149999999999999" customHeight="1" x14ac:dyDescent="0.35">
      <c r="B92" s="2"/>
      <c r="C92" s="2" t="s">
        <v>70</v>
      </c>
      <c r="D92" s="35">
        <v>1.6500000000000001E-2</v>
      </c>
      <c r="E92" s="9">
        <f>(E86+E89+E90)/(1-$D$91)*$D$92</f>
        <v>108.8149018717765</v>
      </c>
      <c r="F92" s="2"/>
      <c r="G92" s="2" t="s">
        <v>70</v>
      </c>
      <c r="H92" s="35">
        <v>1.6500000000000001E-2</v>
      </c>
      <c r="I92" s="9">
        <f>(I86+I89+I90)/(1-$H$91)*$H$92</f>
        <v>108.19447229699587</v>
      </c>
      <c r="J92" s="2"/>
      <c r="K92" s="2" t="s">
        <v>70</v>
      </c>
      <c r="L92" s="35">
        <v>1.6500000000000001E-2</v>
      </c>
      <c r="M92" s="9">
        <f>(M86+M89+M90)/(1-$L$91)*$L$92</f>
        <v>112.0024564914079</v>
      </c>
    </row>
    <row r="93" spans="2:13" ht="17.149999999999999" customHeight="1" x14ac:dyDescent="0.35">
      <c r="B93" s="2"/>
      <c r="C93" s="2" t="s">
        <v>71</v>
      </c>
      <c r="D93" s="35">
        <v>7.5999999999999998E-2</v>
      </c>
      <c r="E93" s="9">
        <f>(E86+E89+E90)/(1-$D$91)*$D$93</f>
        <v>501.20803286394022</v>
      </c>
      <c r="F93" s="2"/>
      <c r="G93" s="2" t="s">
        <v>71</v>
      </c>
      <c r="H93" s="35">
        <v>7.5999999999999998E-2</v>
      </c>
      <c r="I93" s="9">
        <f>(I86+I89+I90)/(1-$H$91)*$H$93</f>
        <v>498.35029664070822</v>
      </c>
      <c r="J93" s="2"/>
      <c r="K93" s="2" t="s">
        <v>71</v>
      </c>
      <c r="L93" s="35">
        <v>7.5999999999999998E-2</v>
      </c>
      <c r="M93" s="9">
        <f>(M86+M89+M90)/(1-$L$91)*$L$93</f>
        <v>515.89010262709087</v>
      </c>
    </row>
    <row r="94" spans="2:13" ht="17.149999999999999" customHeight="1" x14ac:dyDescent="0.35">
      <c r="B94" s="2"/>
      <c r="C94" s="2" t="s">
        <v>72</v>
      </c>
      <c r="D94" s="29">
        <v>0.05</v>
      </c>
      <c r="E94" s="9">
        <f>(E86+E89+E90)/(1-$D$91)*$D$94</f>
        <v>329.74212688417123</v>
      </c>
      <c r="F94" s="2"/>
      <c r="G94" s="2" t="s">
        <v>72</v>
      </c>
      <c r="H94" s="29">
        <v>0.05</v>
      </c>
      <c r="I94" s="9">
        <f>(I86+I89+I90)/(1-$H$91)*$H$94</f>
        <v>327.86203726362385</v>
      </c>
      <c r="J94" s="2"/>
      <c r="K94" s="2" t="s">
        <v>72</v>
      </c>
      <c r="L94" s="29">
        <v>0.05</v>
      </c>
      <c r="M94" s="9">
        <f>(M86+M89+M90)/(1-$L$91)*$L$94</f>
        <v>339.40138330729667</v>
      </c>
    </row>
    <row r="95" spans="2:13" ht="17.149999999999999" customHeight="1" x14ac:dyDescent="0.35">
      <c r="B95" s="16" t="s">
        <v>19</v>
      </c>
      <c r="C95" s="16"/>
      <c r="D95" s="44"/>
      <c r="E95" s="45">
        <f>SUM(E89:E94)</f>
        <v>1698.6715627366395</v>
      </c>
      <c r="F95" s="16" t="s">
        <v>19</v>
      </c>
      <c r="G95" s="16"/>
      <c r="H95" s="44"/>
      <c r="I95" s="45">
        <f>SUM(I89:I94)</f>
        <v>1688.9862525701833</v>
      </c>
      <c r="J95" s="16" t="s">
        <v>19</v>
      </c>
      <c r="K95" s="16"/>
      <c r="L95" s="44"/>
      <c r="M95" s="45">
        <f>SUM(M89:M94)</f>
        <v>1748.4313685527404</v>
      </c>
    </row>
    <row r="98" spans="2:13" ht="17.149999999999999" customHeight="1" x14ac:dyDescent="0.35">
      <c r="B98" s="15" t="s">
        <v>65</v>
      </c>
      <c r="C98" s="15"/>
      <c r="D98" s="15"/>
      <c r="E98" s="15"/>
      <c r="F98" s="15" t="s">
        <v>65</v>
      </c>
      <c r="G98" s="15"/>
      <c r="H98" s="15"/>
      <c r="I98" s="15"/>
      <c r="J98" s="15" t="s">
        <v>65</v>
      </c>
      <c r="K98" s="15"/>
      <c r="L98" s="15"/>
      <c r="M98" s="15"/>
    </row>
    <row r="99" spans="2:13" ht="17.149999999999999" customHeight="1" x14ac:dyDescent="0.35">
      <c r="B99" s="147" t="s">
        <v>103</v>
      </c>
      <c r="C99" s="159"/>
      <c r="D99" s="148"/>
      <c r="E99" s="67" t="s">
        <v>6</v>
      </c>
      <c r="F99" s="147" t="s">
        <v>103</v>
      </c>
      <c r="G99" s="159"/>
      <c r="H99" s="148"/>
      <c r="I99" s="67" t="s">
        <v>6</v>
      </c>
      <c r="J99" s="147" t="s">
        <v>103</v>
      </c>
      <c r="K99" s="159"/>
      <c r="L99" s="148"/>
      <c r="M99" s="67" t="s">
        <v>6</v>
      </c>
    </row>
    <row r="100" spans="2:13" ht="17.149999999999999" customHeight="1" x14ac:dyDescent="0.35">
      <c r="B100" s="46" t="s">
        <v>7</v>
      </c>
      <c r="C100" s="149" t="s">
        <v>5</v>
      </c>
      <c r="D100" s="150"/>
      <c r="E100" s="7">
        <f>E16</f>
        <v>2076.9</v>
      </c>
      <c r="F100" s="46" t="s">
        <v>7</v>
      </c>
      <c r="G100" s="149" t="s">
        <v>5</v>
      </c>
      <c r="H100" s="150"/>
      <c r="I100" s="7">
        <f>I16</f>
        <v>2076.9</v>
      </c>
      <c r="J100" s="46" t="s">
        <v>7</v>
      </c>
      <c r="K100" s="149" t="s">
        <v>5</v>
      </c>
      <c r="L100" s="150"/>
      <c r="M100" s="7">
        <f>M16</f>
        <v>2076.9</v>
      </c>
    </row>
    <row r="101" spans="2:13" ht="17.149999999999999" customHeight="1" x14ac:dyDescent="0.35">
      <c r="B101" s="2" t="s">
        <v>9</v>
      </c>
      <c r="C101" s="149" t="s">
        <v>20</v>
      </c>
      <c r="D101" s="150"/>
      <c r="E101" s="7">
        <f>E48</f>
        <v>1973.7833244799999</v>
      </c>
      <c r="F101" s="2" t="s">
        <v>9</v>
      </c>
      <c r="G101" s="149" t="s">
        <v>20</v>
      </c>
      <c r="H101" s="150"/>
      <c r="I101" s="7">
        <f>I48</f>
        <v>1973.7833244800004</v>
      </c>
      <c r="J101" s="2" t="s">
        <v>9</v>
      </c>
      <c r="K101" s="149" t="s">
        <v>20</v>
      </c>
      <c r="L101" s="150"/>
      <c r="M101" s="7">
        <f>M48</f>
        <v>1973.7833244799999</v>
      </c>
    </row>
    <row r="102" spans="2:13" ht="17.149999999999999" customHeight="1" x14ac:dyDescent="0.35">
      <c r="B102" s="2" t="s">
        <v>11</v>
      </c>
      <c r="C102" s="149" t="s">
        <v>46</v>
      </c>
      <c r="D102" s="150"/>
      <c r="E102" s="7">
        <f>E58</f>
        <v>170.089857784</v>
      </c>
      <c r="F102" s="2" t="s">
        <v>11</v>
      </c>
      <c r="G102" s="149" t="s">
        <v>46</v>
      </c>
      <c r="H102" s="150"/>
      <c r="I102" s="7">
        <f>I58</f>
        <v>170.089857784</v>
      </c>
      <c r="J102" s="2" t="s">
        <v>11</v>
      </c>
      <c r="K102" s="149" t="s">
        <v>46</v>
      </c>
      <c r="L102" s="150"/>
      <c r="M102" s="7">
        <f>M58</f>
        <v>170.089857784</v>
      </c>
    </row>
    <row r="103" spans="2:13" ht="17.149999999999999" customHeight="1" x14ac:dyDescent="0.35">
      <c r="B103" s="2" t="s">
        <v>13</v>
      </c>
      <c r="C103" s="149" t="s">
        <v>51</v>
      </c>
      <c r="D103" s="150"/>
      <c r="E103" s="7">
        <f>E70</f>
        <v>66.497250098422853</v>
      </c>
      <c r="F103" s="2" t="s">
        <v>13</v>
      </c>
      <c r="G103" s="149" t="s">
        <v>51</v>
      </c>
      <c r="H103" s="150"/>
      <c r="I103" s="7">
        <f>I70</f>
        <v>66.497250098422867</v>
      </c>
      <c r="J103" s="2" t="s">
        <v>13</v>
      </c>
      <c r="K103" s="149" t="s">
        <v>51</v>
      </c>
      <c r="L103" s="150"/>
      <c r="M103" s="7">
        <f>M70</f>
        <v>66.497250098422853</v>
      </c>
    </row>
    <row r="104" spans="2:13" ht="17.149999999999999" customHeight="1" x14ac:dyDescent="0.35">
      <c r="B104" s="2" t="s">
        <v>15</v>
      </c>
      <c r="C104" s="149" t="s">
        <v>60</v>
      </c>
      <c r="D104" s="150"/>
      <c r="E104" s="7">
        <f>E85</f>
        <v>608.90054258436237</v>
      </c>
      <c r="F104" s="2" t="s">
        <v>15</v>
      </c>
      <c r="G104" s="149" t="s">
        <v>60</v>
      </c>
      <c r="H104" s="150"/>
      <c r="I104" s="7">
        <f>I85</f>
        <v>580.9840603398693</v>
      </c>
      <c r="J104" s="2" t="s">
        <v>15</v>
      </c>
      <c r="K104" s="149" t="s">
        <v>60</v>
      </c>
      <c r="L104" s="150"/>
      <c r="M104" s="7">
        <f>M85</f>
        <v>752.3258652307693</v>
      </c>
    </row>
    <row r="105" spans="2:13" ht="17.149999999999999" customHeight="1" x14ac:dyDescent="0.35">
      <c r="B105" s="153" t="s">
        <v>66</v>
      </c>
      <c r="C105" s="154"/>
      <c r="D105" s="155"/>
      <c r="E105" s="49">
        <f>SUM(E100:E104)</f>
        <v>4896.1709749467855</v>
      </c>
      <c r="F105" s="153" t="s">
        <v>66</v>
      </c>
      <c r="G105" s="154"/>
      <c r="H105" s="155"/>
      <c r="I105" s="49">
        <f>SUM(I100:I104)</f>
        <v>4868.2544927022936</v>
      </c>
      <c r="J105" s="153" t="s">
        <v>66</v>
      </c>
      <c r="K105" s="154"/>
      <c r="L105" s="155"/>
      <c r="M105" s="49">
        <f>SUM(M100:M104)</f>
        <v>5039.5962975931925</v>
      </c>
    </row>
    <row r="106" spans="2:13" ht="17.149999999999999" customHeight="1" x14ac:dyDescent="0.35">
      <c r="B106" s="7" t="s">
        <v>33</v>
      </c>
      <c r="C106" s="151" t="s">
        <v>67</v>
      </c>
      <c r="D106" s="152"/>
      <c r="E106" s="7">
        <f>E95</f>
        <v>1698.6715627366395</v>
      </c>
      <c r="F106" s="7" t="s">
        <v>33</v>
      </c>
      <c r="G106" s="151" t="s">
        <v>67</v>
      </c>
      <c r="H106" s="152"/>
      <c r="I106" s="7">
        <f>I95</f>
        <v>1688.9862525701833</v>
      </c>
      <c r="J106" s="7" t="s">
        <v>33</v>
      </c>
      <c r="K106" s="151" t="s">
        <v>67</v>
      </c>
      <c r="L106" s="152"/>
      <c r="M106" s="7">
        <f>M95</f>
        <v>1748.4313685527404</v>
      </c>
    </row>
    <row r="107" spans="2:13" ht="17.149999999999999" customHeight="1" x14ac:dyDescent="0.35">
      <c r="B107" s="17" t="s">
        <v>231</v>
      </c>
      <c r="C107" s="47"/>
      <c r="D107" s="48"/>
      <c r="E107" s="49">
        <f>SUM(E105,E106)</f>
        <v>6594.8425376834248</v>
      </c>
      <c r="F107" s="17" t="s">
        <v>231</v>
      </c>
      <c r="G107" s="47"/>
      <c r="H107" s="48"/>
      <c r="I107" s="49">
        <f>SUM(I105,I106)</f>
        <v>6557.2407452724765</v>
      </c>
      <c r="J107" s="17" t="s">
        <v>231</v>
      </c>
      <c r="K107" s="47"/>
      <c r="L107" s="48"/>
      <c r="M107" s="49">
        <f>SUM(M105,M106)</f>
        <v>6788.0276661459329</v>
      </c>
    </row>
    <row r="109" spans="2:13" ht="17.149999999999999" customHeight="1" x14ac:dyDescent="0.35">
      <c r="B109" s="50"/>
      <c r="F109" s="50"/>
      <c r="J109" s="50"/>
    </row>
    <row r="111" spans="2:13" ht="17.149999999999999" customHeight="1" x14ac:dyDescent="0.35">
      <c r="B111" s="51"/>
      <c r="C111" s="51"/>
      <c r="D111" s="51"/>
      <c r="F111" s="51"/>
      <c r="G111" s="51"/>
      <c r="H111" s="51"/>
      <c r="J111" s="51"/>
      <c r="K111" s="51"/>
      <c r="L111" s="51"/>
    </row>
    <row r="113" spans="2:13" ht="17.149999999999999" customHeight="1" x14ac:dyDescent="0.35">
      <c r="B113" s="52"/>
      <c r="C113" s="53"/>
      <c r="D113" s="53"/>
      <c r="E113" s="53"/>
      <c r="F113" s="52"/>
      <c r="G113" s="53"/>
      <c r="H113" s="53"/>
      <c r="I113" s="53"/>
      <c r="J113" s="52"/>
      <c r="K113" s="53"/>
      <c r="L113" s="53"/>
      <c r="M113" s="53"/>
    </row>
    <row r="114" spans="2:13" ht="17.149999999999999" customHeight="1" x14ac:dyDescent="0.35">
      <c r="B114" s="52"/>
      <c r="C114" s="53"/>
      <c r="D114" s="53"/>
      <c r="E114" s="53"/>
      <c r="F114" s="52"/>
      <c r="G114" s="53"/>
      <c r="H114" s="53"/>
      <c r="I114" s="53"/>
      <c r="J114" s="52"/>
      <c r="K114" s="53"/>
      <c r="L114" s="53"/>
      <c r="M114" s="53"/>
    </row>
    <row r="115" spans="2:13" ht="17.149999999999999" customHeight="1" x14ac:dyDescent="0.35">
      <c r="B115" s="54"/>
      <c r="C115" s="55"/>
      <c r="D115" s="55"/>
      <c r="E115" s="55"/>
      <c r="F115" s="54"/>
      <c r="G115" s="55"/>
      <c r="H115" s="55"/>
      <c r="I115" s="55"/>
      <c r="J115" s="54"/>
      <c r="K115" s="55"/>
      <c r="L115" s="55"/>
      <c r="M115" s="55"/>
    </row>
    <row r="116" spans="2:13" ht="17.149999999999999" customHeight="1" x14ac:dyDescent="0.35">
      <c r="B116" s="54"/>
      <c r="C116" s="55"/>
      <c r="D116" s="55"/>
      <c r="E116" s="55"/>
      <c r="F116" s="54"/>
      <c r="G116" s="55"/>
      <c r="H116" s="55"/>
      <c r="I116" s="55"/>
      <c r="J116" s="54"/>
      <c r="K116" s="55"/>
      <c r="L116" s="55"/>
      <c r="M116" s="55"/>
    </row>
    <row r="117" spans="2:13" ht="17.149999999999999" customHeight="1" x14ac:dyDescent="0.35">
      <c r="B117" s="54"/>
      <c r="C117" s="55"/>
      <c r="D117" s="55"/>
      <c r="E117" s="55"/>
      <c r="F117" s="54"/>
      <c r="G117" s="55"/>
      <c r="H117" s="55"/>
      <c r="I117" s="55"/>
      <c r="J117" s="54"/>
      <c r="K117" s="55"/>
      <c r="L117" s="55"/>
      <c r="M117" s="55"/>
    </row>
    <row r="118" spans="2:13" ht="17.149999999999999" customHeight="1" x14ac:dyDescent="0.35"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</row>
    <row r="120" spans="2:13" ht="17.149999999999999" customHeight="1" x14ac:dyDescent="0.35">
      <c r="B120" s="51"/>
      <c r="F120" s="51"/>
      <c r="J120" s="51"/>
    </row>
    <row r="122" spans="2:13" ht="17.149999999999999" customHeight="1" x14ac:dyDescent="0.35">
      <c r="B122" s="50"/>
      <c r="F122" s="50"/>
      <c r="J122" s="50"/>
    </row>
    <row r="124" spans="2:13" ht="17.149999999999999" customHeight="1" x14ac:dyDescent="0.35">
      <c r="B124" s="55"/>
      <c r="C124" s="52"/>
      <c r="D124" s="52"/>
      <c r="F124" s="55"/>
      <c r="G124" s="52"/>
      <c r="H124" s="52"/>
      <c r="J124" s="55"/>
      <c r="K124" s="52"/>
      <c r="L124" s="52"/>
    </row>
    <row r="125" spans="2:13" ht="17.149999999999999" customHeight="1" x14ac:dyDescent="0.35">
      <c r="B125" s="55"/>
      <c r="C125" s="53"/>
      <c r="D125" s="55"/>
      <c r="F125" s="55"/>
      <c r="G125" s="53"/>
      <c r="H125" s="55"/>
      <c r="J125" s="55"/>
      <c r="K125" s="53"/>
      <c r="L125" s="55"/>
    </row>
    <row r="126" spans="2:13" ht="17.149999999999999" customHeight="1" x14ac:dyDescent="0.35">
      <c r="B126" s="55"/>
      <c r="C126" s="54"/>
      <c r="D126" s="55"/>
      <c r="F126" s="55"/>
      <c r="G126" s="54"/>
      <c r="H126" s="55"/>
      <c r="J126" s="55"/>
      <c r="K126" s="54"/>
      <c r="L126" s="55"/>
    </row>
    <row r="127" spans="2:13" ht="17.149999999999999" customHeight="1" x14ac:dyDescent="0.35">
      <c r="B127" s="55"/>
      <c r="C127" s="54"/>
      <c r="D127" s="55"/>
      <c r="F127" s="55"/>
      <c r="G127" s="54"/>
      <c r="H127" s="55"/>
      <c r="J127" s="55"/>
      <c r="K127" s="54"/>
      <c r="L127" s="55"/>
    </row>
    <row r="128" spans="2:13" ht="17.149999999999999" customHeight="1" x14ac:dyDescent="0.35">
      <c r="B128" s="56"/>
      <c r="C128" s="54"/>
      <c r="D128" s="56"/>
      <c r="F128" s="56"/>
      <c r="G128" s="54"/>
      <c r="H128" s="56"/>
      <c r="J128" s="56"/>
      <c r="K128" s="54"/>
      <c r="L128" s="56"/>
    </row>
    <row r="129" spans="2:12" ht="17.149999999999999" customHeight="1" x14ac:dyDescent="0.35">
      <c r="B129" s="56"/>
      <c r="C129" s="54"/>
      <c r="D129" s="56"/>
      <c r="F129" s="56"/>
      <c r="G129" s="54"/>
      <c r="H129" s="56"/>
      <c r="J129" s="56"/>
      <c r="K129" s="54"/>
      <c r="L129" s="56"/>
    </row>
    <row r="130" spans="2:12" ht="17.149999999999999" customHeight="1" x14ac:dyDescent="0.35">
      <c r="B130" s="57"/>
      <c r="F130" s="57"/>
      <c r="J130" s="57"/>
    </row>
    <row r="131" spans="2:12" ht="17.149999999999999" customHeight="1" x14ac:dyDescent="0.35">
      <c r="B131" s="57"/>
      <c r="F131" s="57"/>
      <c r="J131" s="57"/>
    </row>
  </sheetData>
  <mergeCells count="63">
    <mergeCell ref="C106:D106"/>
    <mergeCell ref="G106:H106"/>
    <mergeCell ref="K106:L106"/>
    <mergeCell ref="C104:D104"/>
    <mergeCell ref="G104:H104"/>
    <mergeCell ref="K104:L104"/>
    <mergeCell ref="B105:D105"/>
    <mergeCell ref="F105:H105"/>
    <mergeCell ref="J105:L105"/>
    <mergeCell ref="C102:D102"/>
    <mergeCell ref="G102:H102"/>
    <mergeCell ref="K102:L102"/>
    <mergeCell ref="C103:D103"/>
    <mergeCell ref="G103:H103"/>
    <mergeCell ref="K103:L103"/>
    <mergeCell ref="C100:D100"/>
    <mergeCell ref="G100:H100"/>
    <mergeCell ref="K100:L100"/>
    <mergeCell ref="C101:D101"/>
    <mergeCell ref="G101:H101"/>
    <mergeCell ref="K101:L101"/>
    <mergeCell ref="B88:C88"/>
    <mergeCell ref="F88:G88"/>
    <mergeCell ref="J88:K88"/>
    <mergeCell ref="B99:D99"/>
    <mergeCell ref="F99:H99"/>
    <mergeCell ref="J99:L99"/>
    <mergeCell ref="C85:D85"/>
    <mergeCell ref="G85:H85"/>
    <mergeCell ref="K85:L85"/>
    <mergeCell ref="B86:D86"/>
    <mergeCell ref="F86:H86"/>
    <mergeCell ref="J86:L86"/>
    <mergeCell ref="C83:D83"/>
    <mergeCell ref="G83:H83"/>
    <mergeCell ref="K83:L83"/>
    <mergeCell ref="C84:D84"/>
    <mergeCell ref="G84:H84"/>
    <mergeCell ref="K84:L84"/>
    <mergeCell ref="B81:D81"/>
    <mergeCell ref="F81:H81"/>
    <mergeCell ref="J81:L81"/>
    <mergeCell ref="C82:D82"/>
    <mergeCell ref="G82:H82"/>
    <mergeCell ref="K82:L82"/>
    <mergeCell ref="B50:C50"/>
    <mergeCell ref="F50:G50"/>
    <mergeCell ref="J50:K50"/>
    <mergeCell ref="B60:E60"/>
    <mergeCell ref="F60:I60"/>
    <mergeCell ref="J60:M60"/>
    <mergeCell ref="B18:E18"/>
    <mergeCell ref="F18:I18"/>
    <mergeCell ref="J18:M18"/>
    <mergeCell ref="B35:E35"/>
    <mergeCell ref="F35:I35"/>
    <mergeCell ref="J35:M35"/>
    <mergeCell ref="B4:E4"/>
    <mergeCell ref="F4:I4"/>
    <mergeCell ref="J4:M4"/>
    <mergeCell ref="B11:C11"/>
    <mergeCell ref="F11:G11"/>
    <mergeCell ref="J11:K1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B1:M131"/>
  <sheetViews>
    <sheetView view="pageBreakPreview" zoomScale="80" zoomScaleNormal="115" zoomScaleSheetLayoutView="80" workbookViewId="0">
      <selection activeCell="M86" sqref="M86"/>
    </sheetView>
  </sheetViews>
  <sheetFormatPr defaultColWidth="8.81640625" defaultRowHeight="17.149999999999999" customHeight="1" x14ac:dyDescent="0.35"/>
  <cols>
    <col min="1" max="1" width="2.453125" customWidth="1"/>
    <col min="2" max="2" width="15" bestFit="1" customWidth="1"/>
    <col min="3" max="3" width="45.453125" customWidth="1"/>
    <col min="4" max="4" width="13.26953125" customWidth="1"/>
    <col min="5" max="5" width="14.1796875" customWidth="1"/>
    <col min="6" max="6" width="15" bestFit="1" customWidth="1"/>
    <col min="7" max="7" width="45.453125" customWidth="1"/>
    <col min="8" max="8" width="13.26953125" customWidth="1"/>
    <col min="9" max="9" width="14.1796875" customWidth="1"/>
    <col min="10" max="10" width="15" bestFit="1" customWidth="1"/>
    <col min="11" max="11" width="45.453125" customWidth="1"/>
    <col min="12" max="12" width="13.26953125" customWidth="1"/>
    <col min="13" max="13" width="14.1796875" customWidth="1"/>
  </cols>
  <sheetData>
    <row r="1" spans="2:13" ht="17.149999999999999" customHeight="1" x14ac:dyDescent="0.35">
      <c r="B1" s="10" t="s">
        <v>89</v>
      </c>
      <c r="C1" s="10"/>
      <c r="D1" s="10" t="str">
        <f>'44H'!D1</f>
        <v>LOTE 1</v>
      </c>
      <c r="E1" s="10"/>
      <c r="F1" s="10" t="s">
        <v>89</v>
      </c>
      <c r="G1" s="10"/>
      <c r="H1" s="10" t="str">
        <f>'44H'!H1</f>
        <v>LOTE 2</v>
      </c>
      <c r="I1" s="10"/>
      <c r="J1" s="10" t="s">
        <v>89</v>
      </c>
      <c r="K1" s="10"/>
      <c r="L1" s="10" t="str">
        <f>'44H'!L1</f>
        <v>LOTE 3</v>
      </c>
      <c r="M1" s="10"/>
    </row>
    <row r="2" spans="2:13" ht="17.149999999999999" customHeight="1" x14ac:dyDescent="0.35">
      <c r="B2" s="5" t="s">
        <v>125</v>
      </c>
      <c r="C2" s="5"/>
      <c r="D2" s="5"/>
      <c r="E2" s="5"/>
      <c r="F2" s="5" t="s">
        <v>125</v>
      </c>
      <c r="G2" s="5"/>
      <c r="H2" s="5"/>
      <c r="I2" s="5"/>
      <c r="J2" s="5" t="s">
        <v>125</v>
      </c>
      <c r="K2" s="5"/>
      <c r="L2" s="5"/>
      <c r="M2" s="5"/>
    </row>
    <row r="4" spans="2:13" ht="17.149999999999999" customHeight="1" x14ac:dyDescent="0.35">
      <c r="B4" s="147" t="s">
        <v>0</v>
      </c>
      <c r="C4" s="159"/>
      <c r="D4" s="159"/>
      <c r="E4" s="148"/>
      <c r="F4" s="147" t="s">
        <v>0</v>
      </c>
      <c r="G4" s="159"/>
      <c r="H4" s="159"/>
      <c r="I4" s="148"/>
      <c r="J4" s="147" t="s">
        <v>0</v>
      </c>
      <c r="K4" s="159"/>
      <c r="L4" s="159"/>
      <c r="M4" s="148"/>
    </row>
    <row r="5" spans="2:13" ht="56" x14ac:dyDescent="0.35">
      <c r="B5" s="2">
        <v>1</v>
      </c>
      <c r="C5" s="92" t="s">
        <v>1</v>
      </c>
      <c r="D5" s="8"/>
      <c r="E5" s="92" t="s">
        <v>112</v>
      </c>
      <c r="F5" s="2">
        <v>1</v>
      </c>
      <c r="G5" s="92" t="s">
        <v>1</v>
      </c>
      <c r="H5" s="8"/>
      <c r="I5" s="92" t="s">
        <v>112</v>
      </c>
      <c r="J5" s="2">
        <v>1</v>
      </c>
      <c r="K5" s="92" t="s">
        <v>1</v>
      </c>
      <c r="L5" s="8"/>
      <c r="M5" s="92" t="s">
        <v>112</v>
      </c>
    </row>
    <row r="6" spans="2:13" ht="17.149999999999999" customHeight="1" x14ac:dyDescent="0.35">
      <c r="B6" s="2">
        <v>2</v>
      </c>
      <c r="C6" s="8" t="s">
        <v>2</v>
      </c>
      <c r="D6" s="8"/>
      <c r="E6" s="20">
        <v>1730.75</v>
      </c>
      <c r="F6" s="2">
        <v>2</v>
      </c>
      <c r="G6" s="8" t="s">
        <v>2</v>
      </c>
      <c r="H6" s="8"/>
      <c r="I6" s="20">
        <v>1730.75</v>
      </c>
      <c r="J6" s="2">
        <v>2</v>
      </c>
      <c r="K6" s="8" t="s">
        <v>2</v>
      </c>
      <c r="L6" s="8"/>
      <c r="M6" s="20">
        <v>1730.75</v>
      </c>
    </row>
    <row r="7" spans="2:13" ht="17.149999999999999" customHeight="1" x14ac:dyDescent="0.35">
      <c r="B7" s="2">
        <v>3</v>
      </c>
      <c r="C7" s="8" t="s">
        <v>3</v>
      </c>
      <c r="D7" s="8"/>
      <c r="E7" s="18" t="s">
        <v>232</v>
      </c>
      <c r="F7" s="2">
        <v>3</v>
      </c>
      <c r="G7" s="8" t="s">
        <v>3</v>
      </c>
      <c r="H7" s="8"/>
      <c r="I7" s="18" t="s">
        <v>232</v>
      </c>
      <c r="J7" s="2">
        <v>3</v>
      </c>
      <c r="K7" s="8" t="s">
        <v>3</v>
      </c>
      <c r="L7" s="8"/>
      <c r="M7" s="18" t="s">
        <v>232</v>
      </c>
    </row>
    <row r="8" spans="2:13" ht="17.149999999999999" customHeight="1" x14ac:dyDescent="0.35">
      <c r="B8" s="2">
        <v>4</v>
      </c>
      <c r="C8" s="8" t="s">
        <v>4</v>
      </c>
      <c r="D8" s="8"/>
      <c r="E8" s="19">
        <v>45775</v>
      </c>
      <c r="F8" s="2">
        <v>4</v>
      </c>
      <c r="G8" s="8" t="s">
        <v>4</v>
      </c>
      <c r="H8" s="8"/>
      <c r="I8" s="19">
        <v>45775</v>
      </c>
      <c r="J8" s="2">
        <v>4</v>
      </c>
      <c r="K8" s="8" t="s">
        <v>4</v>
      </c>
      <c r="L8" s="8"/>
      <c r="M8" s="19">
        <v>45775</v>
      </c>
    </row>
    <row r="9" spans="2:13" ht="17.149999999999999" customHeight="1" x14ac:dyDescent="0.35">
      <c r="B9" s="2">
        <v>5</v>
      </c>
      <c r="C9" s="8" t="s">
        <v>74</v>
      </c>
      <c r="D9" s="8"/>
      <c r="E9" s="8">
        <v>30</v>
      </c>
      <c r="F9" s="2">
        <v>5</v>
      </c>
      <c r="G9" s="8" t="s">
        <v>74</v>
      </c>
      <c r="H9" s="8"/>
      <c r="I9" s="8">
        <v>30</v>
      </c>
      <c r="J9" s="2">
        <v>5</v>
      </c>
      <c r="K9" s="8" t="s">
        <v>74</v>
      </c>
      <c r="L9" s="8"/>
      <c r="M9" s="8">
        <v>30</v>
      </c>
    </row>
    <row r="10" spans="2:13" ht="17.149999999999999" customHeight="1" x14ac:dyDescent="0.3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3" ht="17.149999999999999" customHeight="1" x14ac:dyDescent="0.35">
      <c r="B11" s="147" t="s">
        <v>5</v>
      </c>
      <c r="C11" s="148"/>
      <c r="D11" s="65" t="s">
        <v>27</v>
      </c>
      <c r="E11" s="64" t="s">
        <v>6</v>
      </c>
      <c r="F11" s="147" t="s">
        <v>5</v>
      </c>
      <c r="G11" s="148"/>
      <c r="H11" s="65" t="s">
        <v>27</v>
      </c>
      <c r="I11" s="64" t="s">
        <v>6</v>
      </c>
      <c r="J11" s="147" t="s">
        <v>5</v>
      </c>
      <c r="K11" s="148"/>
      <c r="L11" s="65" t="s">
        <v>27</v>
      </c>
      <c r="M11" s="64" t="s">
        <v>6</v>
      </c>
    </row>
    <row r="12" spans="2:13" ht="17.149999999999999" customHeight="1" x14ac:dyDescent="0.35">
      <c r="B12" s="2" t="s">
        <v>7</v>
      </c>
      <c r="C12" s="8" t="s">
        <v>8</v>
      </c>
      <c r="D12" s="8"/>
      <c r="E12" s="9">
        <f>E6</f>
        <v>1730.75</v>
      </c>
      <c r="F12" s="2" t="s">
        <v>7</v>
      </c>
      <c r="G12" s="8" t="s">
        <v>8</v>
      </c>
      <c r="H12" s="8"/>
      <c r="I12" s="9">
        <f>I6</f>
        <v>1730.75</v>
      </c>
      <c r="J12" s="2" t="s">
        <v>7</v>
      </c>
      <c r="K12" s="8" t="s">
        <v>8</v>
      </c>
      <c r="L12" s="8"/>
      <c r="M12" s="9">
        <f>M6</f>
        <v>1730.75</v>
      </c>
    </row>
    <row r="13" spans="2:13" ht="17.149999999999999" customHeight="1" x14ac:dyDescent="0.35">
      <c r="B13" s="2" t="s">
        <v>9</v>
      </c>
      <c r="C13" s="8" t="s">
        <v>10</v>
      </c>
      <c r="D13" s="8"/>
      <c r="E13" s="9">
        <f>$E$12*D13</f>
        <v>0</v>
      </c>
      <c r="F13" s="2" t="s">
        <v>9</v>
      </c>
      <c r="G13" s="8" t="s">
        <v>10</v>
      </c>
      <c r="H13" s="8"/>
      <c r="I13" s="9">
        <f>$E$12*H13</f>
        <v>0</v>
      </c>
      <c r="J13" s="2" t="s">
        <v>9</v>
      </c>
      <c r="K13" s="8" t="s">
        <v>10</v>
      </c>
      <c r="L13" s="8"/>
      <c r="M13" s="9">
        <f>$E$12*L13</f>
        <v>0</v>
      </c>
    </row>
    <row r="14" spans="2:13" ht="17.149999999999999" customHeight="1" x14ac:dyDescent="0.35">
      <c r="B14" s="2" t="s">
        <v>11</v>
      </c>
      <c r="C14" s="8" t="s">
        <v>12</v>
      </c>
      <c r="D14" s="91">
        <v>0.4</v>
      </c>
      <c r="E14" s="9">
        <f>$E$12*D14</f>
        <v>692.30000000000007</v>
      </c>
      <c r="F14" s="2" t="s">
        <v>11</v>
      </c>
      <c r="G14" s="8" t="s">
        <v>12</v>
      </c>
      <c r="H14" s="91">
        <v>0.4</v>
      </c>
      <c r="I14" s="9">
        <f>$E$12*H14</f>
        <v>692.30000000000007</v>
      </c>
      <c r="J14" s="2" t="s">
        <v>11</v>
      </c>
      <c r="K14" s="8" t="s">
        <v>12</v>
      </c>
      <c r="L14" s="91">
        <v>0.4</v>
      </c>
      <c r="M14" s="9">
        <f>$E$12*L14</f>
        <v>692.30000000000007</v>
      </c>
    </row>
    <row r="15" spans="2:13" ht="17.149999999999999" customHeight="1" x14ac:dyDescent="0.35">
      <c r="B15" s="2" t="s">
        <v>13</v>
      </c>
      <c r="C15" s="8" t="s">
        <v>18</v>
      </c>
      <c r="D15" s="8"/>
      <c r="E15" s="9">
        <f>$E$12*D15</f>
        <v>0</v>
      </c>
      <c r="F15" s="2" t="s">
        <v>13</v>
      </c>
      <c r="G15" s="8" t="s">
        <v>18</v>
      </c>
      <c r="H15" s="8"/>
      <c r="I15" s="9">
        <f>$E$12*H15</f>
        <v>0</v>
      </c>
      <c r="J15" s="2" t="s">
        <v>13</v>
      </c>
      <c r="K15" s="8" t="s">
        <v>18</v>
      </c>
      <c r="L15" s="8"/>
      <c r="M15" s="9">
        <f>$E$12*L15</f>
        <v>0</v>
      </c>
    </row>
    <row r="16" spans="2:13" ht="17.149999999999999" customHeight="1" x14ac:dyDescent="0.35">
      <c r="B16" s="16" t="s">
        <v>19</v>
      </c>
      <c r="C16" s="16"/>
      <c r="D16" s="24"/>
      <c r="E16" s="24">
        <f>SUM(E12:E15)</f>
        <v>2423.0500000000002</v>
      </c>
      <c r="F16" s="16" t="s">
        <v>19</v>
      </c>
      <c r="G16" s="16"/>
      <c r="H16" s="24"/>
      <c r="I16" s="24">
        <f>SUM(I12:I15)</f>
        <v>2423.0500000000002</v>
      </c>
      <c r="J16" s="16" t="s">
        <v>19</v>
      </c>
      <c r="K16" s="16"/>
      <c r="L16" s="24"/>
      <c r="M16" s="24">
        <f>SUM(M12:M15)</f>
        <v>2423.0500000000002</v>
      </c>
    </row>
    <row r="17" spans="2:13" ht="17.149999999999999" customHeight="1" x14ac:dyDescent="0.35">
      <c r="B17" s="25"/>
      <c r="C17" s="25"/>
      <c r="D17" s="7"/>
      <c r="E17" s="7"/>
      <c r="F17" s="25"/>
      <c r="G17" s="25"/>
      <c r="H17" s="7"/>
      <c r="I17" s="7"/>
      <c r="J17" s="25"/>
      <c r="K17" s="25"/>
      <c r="L17" s="7"/>
      <c r="M17" s="7"/>
    </row>
    <row r="18" spans="2:13" ht="17.149999999999999" customHeight="1" x14ac:dyDescent="0.35">
      <c r="B18" s="165" t="s">
        <v>20</v>
      </c>
      <c r="C18" s="165"/>
      <c r="D18" s="165"/>
      <c r="E18" s="165"/>
      <c r="F18" s="165" t="s">
        <v>20</v>
      </c>
      <c r="G18" s="165"/>
      <c r="H18" s="165"/>
      <c r="I18" s="165"/>
      <c r="J18" s="165" t="s">
        <v>20</v>
      </c>
      <c r="K18" s="165"/>
      <c r="L18" s="165"/>
      <c r="M18" s="165"/>
    </row>
    <row r="19" spans="2:13" ht="17.149999999999999" customHeight="1" x14ac:dyDescent="0.35">
      <c r="B19" s="11" t="s">
        <v>21</v>
      </c>
      <c r="C19" s="11"/>
      <c r="D19" s="11"/>
      <c r="E19" s="11"/>
      <c r="F19" s="11" t="s">
        <v>21</v>
      </c>
      <c r="G19" s="11"/>
      <c r="H19" s="11"/>
      <c r="I19" s="11"/>
      <c r="J19" s="11" t="s">
        <v>21</v>
      </c>
      <c r="K19" s="11"/>
      <c r="L19" s="11"/>
      <c r="M19" s="11"/>
    </row>
    <row r="20" spans="2:13" ht="17.149999999999999" customHeight="1" x14ac:dyDescent="0.35">
      <c r="B20" s="2" t="s">
        <v>22</v>
      </c>
      <c r="C20" s="23" t="s">
        <v>23</v>
      </c>
      <c r="D20" s="2" t="s">
        <v>27</v>
      </c>
      <c r="E20" s="8" t="s">
        <v>6</v>
      </c>
      <c r="F20" s="2" t="s">
        <v>22</v>
      </c>
      <c r="G20" s="23" t="s">
        <v>23</v>
      </c>
      <c r="H20" s="2" t="s">
        <v>27</v>
      </c>
      <c r="I20" s="8" t="s">
        <v>6</v>
      </c>
      <c r="J20" s="2" t="s">
        <v>22</v>
      </c>
      <c r="K20" s="23" t="s">
        <v>23</v>
      </c>
      <c r="L20" s="2" t="s">
        <v>27</v>
      </c>
      <c r="M20" s="8" t="s">
        <v>6</v>
      </c>
    </row>
    <row r="21" spans="2:13" ht="17.149999999999999" customHeight="1" x14ac:dyDescent="0.35">
      <c r="B21" s="2" t="s">
        <v>7</v>
      </c>
      <c r="C21" s="8" t="s">
        <v>24</v>
      </c>
      <c r="D21" s="26">
        <v>8.3299999999999999E-2</v>
      </c>
      <c r="E21" s="9">
        <f>$E$16*D21</f>
        <v>201.84006500000001</v>
      </c>
      <c r="F21" s="2" t="s">
        <v>7</v>
      </c>
      <c r="G21" s="8" t="s">
        <v>24</v>
      </c>
      <c r="H21" s="26">
        <v>8.3299999999999999E-2</v>
      </c>
      <c r="I21" s="9">
        <f>$E$16*H21</f>
        <v>201.84006500000001</v>
      </c>
      <c r="J21" s="2" t="s">
        <v>7</v>
      </c>
      <c r="K21" s="8" t="s">
        <v>24</v>
      </c>
      <c r="L21" s="26">
        <v>8.3299999999999999E-2</v>
      </c>
      <c r="M21" s="9">
        <f>$E$16*L21</f>
        <v>201.84006500000001</v>
      </c>
    </row>
    <row r="22" spans="2:13" ht="17.149999999999999" customHeight="1" x14ac:dyDescent="0.35">
      <c r="B22" s="2" t="s">
        <v>9</v>
      </c>
      <c r="C22" s="8" t="s">
        <v>80</v>
      </c>
      <c r="D22" s="26">
        <v>8.3299999999999999E-2</v>
      </c>
      <c r="E22" s="9">
        <f>$E$16*D22</f>
        <v>201.84006500000001</v>
      </c>
      <c r="F22" s="2" t="s">
        <v>9</v>
      </c>
      <c r="G22" s="8" t="s">
        <v>80</v>
      </c>
      <c r="H22" s="26">
        <v>8.3299999999999999E-2</v>
      </c>
      <c r="I22" s="9">
        <f>$E$16*H22</f>
        <v>201.84006500000001</v>
      </c>
      <c r="J22" s="2" t="s">
        <v>9</v>
      </c>
      <c r="K22" s="8" t="s">
        <v>80</v>
      </c>
      <c r="L22" s="26">
        <v>8.3299999999999999E-2</v>
      </c>
      <c r="M22" s="9">
        <f>$E$16*L22</f>
        <v>201.84006500000001</v>
      </c>
    </row>
    <row r="23" spans="2:13" ht="17.149999999999999" customHeight="1" x14ac:dyDescent="0.35">
      <c r="B23" s="2" t="s">
        <v>11</v>
      </c>
      <c r="C23" s="8" t="s">
        <v>81</v>
      </c>
      <c r="D23" s="26">
        <v>2.7799999999999998E-2</v>
      </c>
      <c r="E23" s="9">
        <f>$E$16*D23</f>
        <v>67.360789999999994</v>
      </c>
      <c r="F23" s="2" t="s">
        <v>11</v>
      </c>
      <c r="G23" s="8" t="s">
        <v>81</v>
      </c>
      <c r="H23" s="26">
        <v>2.7799999999999998E-2</v>
      </c>
      <c r="I23" s="9">
        <f>$E$16*H23</f>
        <v>67.360789999999994</v>
      </c>
      <c r="J23" s="2" t="s">
        <v>11</v>
      </c>
      <c r="K23" s="8" t="s">
        <v>81</v>
      </c>
      <c r="L23" s="26">
        <v>2.7799999999999998E-2</v>
      </c>
      <c r="M23" s="9">
        <f>$E$16*L23</f>
        <v>67.360789999999994</v>
      </c>
    </row>
    <row r="24" spans="2:13" ht="17.149999999999999" customHeight="1" x14ac:dyDescent="0.35">
      <c r="B24" s="15" t="s">
        <v>19</v>
      </c>
      <c r="C24" s="15"/>
      <c r="D24" s="27"/>
      <c r="E24" s="9">
        <f>SUM(E21:E23)</f>
        <v>471.04092000000003</v>
      </c>
      <c r="F24" s="15" t="s">
        <v>19</v>
      </c>
      <c r="G24" s="15"/>
      <c r="H24" s="27"/>
      <c r="I24" s="9">
        <f>SUM(I21:I23)</f>
        <v>471.04092000000003</v>
      </c>
      <c r="J24" s="15" t="s">
        <v>19</v>
      </c>
      <c r="K24" s="15"/>
      <c r="L24" s="27"/>
      <c r="M24" s="9">
        <f>SUM(M21:M23)</f>
        <v>471.04092000000003</v>
      </c>
    </row>
    <row r="25" spans="2:13" ht="17.149999999999999" customHeight="1" x14ac:dyDescent="0.35">
      <c r="B25" s="6" t="s">
        <v>25</v>
      </c>
      <c r="C25" s="6" t="s">
        <v>26</v>
      </c>
      <c r="D25" s="6" t="s">
        <v>27</v>
      </c>
      <c r="E25" s="11" t="s">
        <v>6</v>
      </c>
      <c r="F25" s="6" t="s">
        <v>25</v>
      </c>
      <c r="G25" s="6" t="s">
        <v>26</v>
      </c>
      <c r="H25" s="6" t="s">
        <v>27</v>
      </c>
      <c r="I25" s="11" t="s">
        <v>6</v>
      </c>
      <c r="J25" s="6" t="s">
        <v>25</v>
      </c>
      <c r="K25" s="6" t="s">
        <v>26</v>
      </c>
      <c r="L25" s="6" t="s">
        <v>27</v>
      </c>
      <c r="M25" s="11" t="s">
        <v>6</v>
      </c>
    </row>
    <row r="26" spans="2:13" ht="17.149999999999999" customHeight="1" x14ac:dyDescent="0.35">
      <c r="B26" s="2" t="s">
        <v>7</v>
      </c>
      <c r="C26" s="2" t="s">
        <v>28</v>
      </c>
      <c r="D26" s="28">
        <v>0.2</v>
      </c>
      <c r="E26" s="7">
        <f>($E$24+$E$16)*$D$26</f>
        <v>578.81818400000009</v>
      </c>
      <c r="F26" s="2" t="s">
        <v>7</v>
      </c>
      <c r="G26" s="2" t="s">
        <v>28</v>
      </c>
      <c r="H26" s="28">
        <v>0.2</v>
      </c>
      <c r="I26" s="7">
        <f>($I$24+$I$16)*D26</f>
        <v>578.81818400000009</v>
      </c>
      <c r="J26" s="2" t="s">
        <v>7</v>
      </c>
      <c r="K26" s="2" t="s">
        <v>28</v>
      </c>
      <c r="L26" s="28">
        <v>0.2</v>
      </c>
      <c r="M26" s="7">
        <f>($M$16+$M$24)*L26</f>
        <v>578.81818400000009</v>
      </c>
    </row>
    <row r="27" spans="2:13" ht="17.149999999999999" customHeight="1" x14ac:dyDescent="0.35">
      <c r="B27" s="2" t="s">
        <v>9</v>
      </c>
      <c r="C27" s="2" t="s">
        <v>29</v>
      </c>
      <c r="D27" s="26">
        <v>2.5000000000000001E-2</v>
      </c>
      <c r="E27" s="7">
        <f>($E$24+E16)*D27</f>
        <v>72.352273000000011</v>
      </c>
      <c r="F27" s="2" t="s">
        <v>9</v>
      </c>
      <c r="G27" s="2" t="s">
        <v>29</v>
      </c>
      <c r="H27" s="26">
        <v>2.5000000000000001E-2</v>
      </c>
      <c r="I27" s="7">
        <f t="shared" ref="I27:I34" si="0">($I$24+$I$16)*D27</f>
        <v>72.352273000000011</v>
      </c>
      <c r="J27" s="2" t="s">
        <v>9</v>
      </c>
      <c r="K27" s="2" t="s">
        <v>29</v>
      </c>
      <c r="L27" s="26">
        <v>2.5000000000000001E-2</v>
      </c>
      <c r="M27" s="7">
        <f t="shared" ref="M27:M33" si="1">($M$16+$M$24)*L27</f>
        <v>72.352273000000011</v>
      </c>
    </row>
    <row r="28" spans="2:13" ht="17.149999999999999" customHeight="1" x14ac:dyDescent="0.35">
      <c r="B28" s="2" t="s">
        <v>11</v>
      </c>
      <c r="C28" s="2" t="s">
        <v>30</v>
      </c>
      <c r="D28" s="35">
        <v>0.03</v>
      </c>
      <c r="E28" s="30">
        <f>($E$24+E16)*$D$28</f>
        <v>86.822727599999993</v>
      </c>
      <c r="F28" s="2" t="s">
        <v>11</v>
      </c>
      <c r="G28" s="2" t="s">
        <v>30</v>
      </c>
      <c r="H28" s="35">
        <v>0.03</v>
      </c>
      <c r="I28" s="7">
        <f t="shared" si="0"/>
        <v>86.822727599999993</v>
      </c>
      <c r="J28" s="2" t="s">
        <v>11</v>
      </c>
      <c r="K28" s="2" t="s">
        <v>30</v>
      </c>
      <c r="L28" s="35">
        <v>0.03</v>
      </c>
      <c r="M28" s="7">
        <f t="shared" si="1"/>
        <v>86.822727599999993</v>
      </c>
    </row>
    <row r="29" spans="2:13" ht="17.149999999999999" customHeight="1" x14ac:dyDescent="0.35">
      <c r="B29" s="2" t="s">
        <v>13</v>
      </c>
      <c r="C29" s="2" t="s">
        <v>31</v>
      </c>
      <c r="D29" s="26">
        <v>1.4999999999999999E-2</v>
      </c>
      <c r="E29" s="7">
        <f>($E$24+E16)*$D$29</f>
        <v>43.411363799999997</v>
      </c>
      <c r="F29" s="2" t="s">
        <v>13</v>
      </c>
      <c r="G29" s="2" t="s">
        <v>31</v>
      </c>
      <c r="H29" s="26">
        <v>1.4999999999999999E-2</v>
      </c>
      <c r="I29" s="7">
        <f t="shared" si="0"/>
        <v>43.411363799999997</v>
      </c>
      <c r="J29" s="2" t="s">
        <v>13</v>
      </c>
      <c r="K29" s="2" t="s">
        <v>31</v>
      </c>
      <c r="L29" s="26">
        <v>1.4999999999999999E-2</v>
      </c>
      <c r="M29" s="7">
        <f t="shared" si="1"/>
        <v>43.411363799999997</v>
      </c>
    </row>
    <row r="30" spans="2:13" ht="17.149999999999999" customHeight="1" x14ac:dyDescent="0.35">
      <c r="B30" s="2" t="s">
        <v>15</v>
      </c>
      <c r="C30" s="2" t="s">
        <v>32</v>
      </c>
      <c r="D30" s="28">
        <v>0.01</v>
      </c>
      <c r="E30" s="7">
        <f>($E$24+E16)*$D$30</f>
        <v>28.9409092</v>
      </c>
      <c r="F30" s="2" t="s">
        <v>15</v>
      </c>
      <c r="G30" s="2" t="s">
        <v>32</v>
      </c>
      <c r="H30" s="28">
        <v>0.01</v>
      </c>
      <c r="I30" s="7">
        <f t="shared" si="0"/>
        <v>28.9409092</v>
      </c>
      <c r="J30" s="2" t="s">
        <v>15</v>
      </c>
      <c r="K30" s="2" t="s">
        <v>32</v>
      </c>
      <c r="L30" s="28">
        <v>0.01</v>
      </c>
      <c r="M30" s="7">
        <f t="shared" si="1"/>
        <v>28.9409092</v>
      </c>
    </row>
    <row r="31" spans="2:13" ht="17.149999999999999" customHeight="1" x14ac:dyDescent="0.35">
      <c r="B31" s="2" t="s">
        <v>33</v>
      </c>
      <c r="C31" s="2" t="s">
        <v>34</v>
      </c>
      <c r="D31" s="26">
        <v>6.0000000000000001E-3</v>
      </c>
      <c r="E31" s="7">
        <f>($E$24+E16)*$D$31</f>
        <v>17.36454552</v>
      </c>
      <c r="F31" s="2" t="s">
        <v>33</v>
      </c>
      <c r="G31" s="2" t="s">
        <v>34</v>
      </c>
      <c r="H31" s="26">
        <v>6.0000000000000001E-3</v>
      </c>
      <c r="I31" s="7">
        <f t="shared" si="0"/>
        <v>17.36454552</v>
      </c>
      <c r="J31" s="2" t="s">
        <v>33</v>
      </c>
      <c r="K31" s="2" t="s">
        <v>34</v>
      </c>
      <c r="L31" s="26">
        <v>6.0000000000000001E-3</v>
      </c>
      <c r="M31" s="7">
        <f t="shared" si="1"/>
        <v>17.36454552</v>
      </c>
    </row>
    <row r="32" spans="2:13" ht="17.149999999999999" customHeight="1" x14ac:dyDescent="0.35">
      <c r="B32" s="2" t="s">
        <v>17</v>
      </c>
      <c r="C32" s="2" t="s">
        <v>35</v>
      </c>
      <c r="D32" s="26">
        <v>2E-3</v>
      </c>
      <c r="E32" s="7">
        <f>($E$24+E16)*$D$32</f>
        <v>5.78818184</v>
      </c>
      <c r="F32" s="2" t="s">
        <v>17</v>
      </c>
      <c r="G32" s="2" t="s">
        <v>35</v>
      </c>
      <c r="H32" s="26">
        <v>2E-3</v>
      </c>
      <c r="I32" s="7">
        <f t="shared" si="0"/>
        <v>5.78818184</v>
      </c>
      <c r="J32" s="2" t="s">
        <v>17</v>
      </c>
      <c r="K32" s="2" t="s">
        <v>35</v>
      </c>
      <c r="L32" s="26">
        <v>2E-3</v>
      </c>
      <c r="M32" s="7">
        <f t="shared" si="1"/>
        <v>5.78818184</v>
      </c>
    </row>
    <row r="33" spans="2:13" ht="17.149999999999999" customHeight="1" x14ac:dyDescent="0.35">
      <c r="B33" s="2" t="s">
        <v>36</v>
      </c>
      <c r="C33" s="2" t="s">
        <v>37</v>
      </c>
      <c r="D33" s="28">
        <v>0.08</v>
      </c>
      <c r="E33" s="7">
        <f>($E$24+$E$16)*D33</f>
        <v>231.5272736</v>
      </c>
      <c r="F33" s="2" t="s">
        <v>36</v>
      </c>
      <c r="G33" s="2" t="s">
        <v>37</v>
      </c>
      <c r="H33" s="28">
        <v>0.08</v>
      </c>
      <c r="I33" s="7">
        <f t="shared" si="0"/>
        <v>231.5272736</v>
      </c>
      <c r="J33" s="2" t="s">
        <v>36</v>
      </c>
      <c r="K33" s="2" t="s">
        <v>37</v>
      </c>
      <c r="L33" s="28">
        <v>0.08</v>
      </c>
      <c r="M33" s="7">
        <f t="shared" si="1"/>
        <v>231.5272736</v>
      </c>
    </row>
    <row r="34" spans="2:13" ht="17.149999999999999" customHeight="1" x14ac:dyDescent="0.35">
      <c r="B34" s="15" t="s">
        <v>19</v>
      </c>
      <c r="C34" s="15"/>
      <c r="D34" s="90">
        <f>SUM(D26:D33)</f>
        <v>0.36800000000000005</v>
      </c>
      <c r="E34" s="7">
        <f>SUM(E26:E33)</f>
        <v>1065.0254585600001</v>
      </c>
      <c r="F34" s="15" t="s">
        <v>19</v>
      </c>
      <c r="G34" s="15"/>
      <c r="H34" s="90">
        <f>SUM(H26:H33)</f>
        <v>0.36800000000000005</v>
      </c>
      <c r="I34" s="7">
        <f t="shared" si="0"/>
        <v>1065.0254585600003</v>
      </c>
      <c r="J34" s="15" t="s">
        <v>19</v>
      </c>
      <c r="K34" s="15"/>
      <c r="L34" s="90">
        <f>SUM(L26:L33)</f>
        <v>0.36800000000000005</v>
      </c>
      <c r="M34" s="7">
        <f>SUM(M26:M33)</f>
        <v>1065.0254585600001</v>
      </c>
    </row>
    <row r="35" spans="2:13" ht="33" customHeight="1" x14ac:dyDescent="0.35">
      <c r="B35" s="172" t="s">
        <v>38</v>
      </c>
      <c r="C35" s="173"/>
      <c r="D35" s="173"/>
      <c r="E35" s="174"/>
      <c r="F35" s="172" t="s">
        <v>38</v>
      </c>
      <c r="G35" s="173"/>
      <c r="H35" s="173"/>
      <c r="I35" s="174"/>
      <c r="J35" s="172" t="s">
        <v>38</v>
      </c>
      <c r="K35" s="173"/>
      <c r="L35" s="173"/>
      <c r="M35" s="174"/>
    </row>
    <row r="36" spans="2:13" ht="17.149999999999999" customHeight="1" x14ac:dyDescent="0.35">
      <c r="B36" s="11" t="s">
        <v>39</v>
      </c>
      <c r="C36" s="11"/>
      <c r="D36" s="11"/>
      <c r="E36" s="11"/>
      <c r="F36" s="11" t="s">
        <v>39</v>
      </c>
      <c r="G36" s="11"/>
      <c r="H36" s="11"/>
      <c r="I36" s="11"/>
      <c r="J36" s="11" t="s">
        <v>39</v>
      </c>
      <c r="K36" s="11"/>
      <c r="L36" s="11"/>
      <c r="M36" s="11"/>
    </row>
    <row r="37" spans="2:13" ht="17.149999999999999" customHeight="1" x14ac:dyDescent="0.35">
      <c r="B37" s="2" t="s">
        <v>40</v>
      </c>
      <c r="C37" s="8" t="s">
        <v>41</v>
      </c>
      <c r="D37" s="8"/>
      <c r="E37" s="8" t="s">
        <v>6</v>
      </c>
      <c r="F37" s="2" t="s">
        <v>40</v>
      </c>
      <c r="G37" s="8" t="s">
        <v>41</v>
      </c>
      <c r="H37" s="8"/>
      <c r="I37" s="8" t="s">
        <v>6</v>
      </c>
      <c r="J37" s="2" t="s">
        <v>40</v>
      </c>
      <c r="K37" s="8" t="s">
        <v>41</v>
      </c>
      <c r="L37" s="8"/>
      <c r="M37" s="8" t="s">
        <v>6</v>
      </c>
    </row>
    <row r="38" spans="2:13" ht="17.149999999999999" customHeight="1" x14ac:dyDescent="0.35">
      <c r="B38" s="2" t="s">
        <v>7</v>
      </c>
      <c r="C38" s="8" t="s">
        <v>42</v>
      </c>
      <c r="D38" s="30">
        <v>4.7</v>
      </c>
      <c r="E38" s="9">
        <f>D38*2*26-(E12*6%)</f>
        <v>140.55500000000001</v>
      </c>
      <c r="F38" s="2" t="s">
        <v>7</v>
      </c>
      <c r="G38" s="8" t="s">
        <v>42</v>
      </c>
      <c r="H38" s="30">
        <v>4.7</v>
      </c>
      <c r="I38" s="9">
        <f>H38*2*26-(I12*6%)</f>
        <v>140.55500000000001</v>
      </c>
      <c r="J38" s="2" t="s">
        <v>7</v>
      </c>
      <c r="K38" s="8" t="s">
        <v>42</v>
      </c>
      <c r="L38" s="30">
        <v>4.7</v>
      </c>
      <c r="M38" s="9">
        <f>L38*2*26-(M12*6%)</f>
        <v>140.55500000000001</v>
      </c>
    </row>
    <row r="39" spans="2:13" ht="17.149999999999999" customHeight="1" x14ac:dyDescent="0.35">
      <c r="B39" s="2" t="s">
        <v>9</v>
      </c>
      <c r="C39" s="8" t="s">
        <v>43</v>
      </c>
      <c r="D39" s="30">
        <v>25</v>
      </c>
      <c r="E39" s="9">
        <f>D39*22-(D39*22*10%)</f>
        <v>495</v>
      </c>
      <c r="F39" s="2" t="s">
        <v>9</v>
      </c>
      <c r="G39" s="8" t="s">
        <v>43</v>
      </c>
      <c r="H39" s="30">
        <v>25</v>
      </c>
      <c r="I39" s="9">
        <f>H39*22-(H39*22*10%)</f>
        <v>495</v>
      </c>
      <c r="J39" s="2" t="s">
        <v>9</v>
      </c>
      <c r="K39" s="8" t="s">
        <v>43</v>
      </c>
      <c r="L39" s="30">
        <v>25</v>
      </c>
      <c r="M39" s="9">
        <f>L39*22-(L39*22*10%)</f>
        <v>495</v>
      </c>
    </row>
    <row r="40" spans="2:13" ht="17.149999999999999" customHeight="1" x14ac:dyDescent="0.35">
      <c r="B40" s="2" t="s">
        <v>11</v>
      </c>
      <c r="C40" s="8" t="s">
        <v>68</v>
      </c>
      <c r="D40" s="8"/>
      <c r="E40" s="20">
        <v>21.6</v>
      </c>
      <c r="F40" s="2" t="s">
        <v>11</v>
      </c>
      <c r="G40" s="8" t="s">
        <v>68</v>
      </c>
      <c r="H40" s="8"/>
      <c r="I40" s="20">
        <v>21.6</v>
      </c>
      <c r="J40" s="2" t="s">
        <v>11</v>
      </c>
      <c r="K40" s="8" t="s">
        <v>68</v>
      </c>
      <c r="L40" s="8"/>
      <c r="M40" s="20">
        <v>21.6</v>
      </c>
    </row>
    <row r="41" spans="2:13" ht="17.149999999999999" customHeight="1" x14ac:dyDescent="0.35">
      <c r="B41" s="2" t="s">
        <v>13</v>
      </c>
      <c r="C41" s="8" t="s">
        <v>18</v>
      </c>
      <c r="D41" s="8"/>
      <c r="E41" s="8"/>
      <c r="F41" s="2" t="s">
        <v>13</v>
      </c>
      <c r="G41" s="8" t="s">
        <v>18</v>
      </c>
      <c r="H41" s="8"/>
      <c r="I41" s="8"/>
      <c r="J41" s="2" t="s">
        <v>13</v>
      </c>
      <c r="K41" s="8" t="s">
        <v>18</v>
      </c>
      <c r="L41" s="8"/>
      <c r="M41" s="8"/>
    </row>
    <row r="42" spans="2:13" ht="17.149999999999999" customHeight="1" x14ac:dyDescent="0.35">
      <c r="B42" s="15" t="s">
        <v>19</v>
      </c>
      <c r="C42" s="15"/>
      <c r="D42" s="15"/>
      <c r="E42" s="9">
        <f>SUM(E38,E39,E40)</f>
        <v>657.15500000000009</v>
      </c>
      <c r="F42" s="15" t="s">
        <v>19</v>
      </c>
      <c r="G42" s="15"/>
      <c r="H42" s="15"/>
      <c r="I42" s="9">
        <f>SUM(I38,I39,I40)</f>
        <v>657.15500000000009</v>
      </c>
      <c r="J42" s="15" t="s">
        <v>19</v>
      </c>
      <c r="K42" s="15"/>
      <c r="L42" s="15"/>
      <c r="M42" s="9">
        <f>SUM(M38,M39,M40)</f>
        <v>657.15500000000009</v>
      </c>
    </row>
    <row r="43" spans="2:13" ht="17.149999999999999" customHeight="1" x14ac:dyDescent="0.35">
      <c r="B43" s="12" t="s">
        <v>44</v>
      </c>
      <c r="C43" s="13"/>
      <c r="D43" s="13"/>
      <c r="E43" s="13"/>
      <c r="F43" s="12" t="s">
        <v>44</v>
      </c>
      <c r="G43" s="13"/>
      <c r="H43" s="13"/>
      <c r="I43" s="13"/>
      <c r="J43" s="12" t="s">
        <v>44</v>
      </c>
      <c r="K43" s="13"/>
      <c r="L43" s="13"/>
      <c r="M43" s="13"/>
    </row>
    <row r="44" spans="2:13" ht="17.149999999999999" customHeight="1" x14ac:dyDescent="0.35">
      <c r="B44" s="2">
        <v>2</v>
      </c>
      <c r="C44" s="8" t="s">
        <v>45</v>
      </c>
      <c r="D44" s="8"/>
      <c r="E44" s="31" t="s">
        <v>6</v>
      </c>
      <c r="F44" s="2">
        <v>2</v>
      </c>
      <c r="G44" s="8" t="s">
        <v>45</v>
      </c>
      <c r="H44" s="8"/>
      <c r="I44" s="31" t="s">
        <v>6</v>
      </c>
      <c r="J44" s="2">
        <v>2</v>
      </c>
      <c r="K44" s="8" t="s">
        <v>45</v>
      </c>
      <c r="L44" s="8"/>
      <c r="M44" s="31" t="s">
        <v>6</v>
      </c>
    </row>
    <row r="45" spans="2:13" ht="17.149999999999999" customHeight="1" x14ac:dyDescent="0.35">
      <c r="B45" s="2" t="s">
        <v>22</v>
      </c>
      <c r="C45" s="8" t="s">
        <v>23</v>
      </c>
      <c r="D45" s="8"/>
      <c r="E45" s="9">
        <f>E24</f>
        <v>471.04092000000003</v>
      </c>
      <c r="F45" s="2" t="s">
        <v>22</v>
      </c>
      <c r="G45" s="8" t="s">
        <v>23</v>
      </c>
      <c r="H45" s="8"/>
      <c r="I45" s="9">
        <f>I24</f>
        <v>471.04092000000003</v>
      </c>
      <c r="J45" s="2" t="s">
        <v>22</v>
      </c>
      <c r="K45" s="8" t="s">
        <v>23</v>
      </c>
      <c r="L45" s="8"/>
      <c r="M45" s="9">
        <f>M24</f>
        <v>471.04092000000003</v>
      </c>
    </row>
    <row r="46" spans="2:13" ht="17.149999999999999" customHeight="1" x14ac:dyDescent="0.35">
      <c r="B46" s="2" t="s">
        <v>25</v>
      </c>
      <c r="C46" s="8" t="s">
        <v>26</v>
      </c>
      <c r="D46" s="8"/>
      <c r="E46" s="9">
        <f>E34</f>
        <v>1065.0254585600001</v>
      </c>
      <c r="F46" s="2" t="s">
        <v>25</v>
      </c>
      <c r="G46" s="8" t="s">
        <v>26</v>
      </c>
      <c r="H46" s="8"/>
      <c r="I46" s="9">
        <f>I34</f>
        <v>1065.0254585600003</v>
      </c>
      <c r="J46" s="2" t="s">
        <v>25</v>
      </c>
      <c r="K46" s="8" t="s">
        <v>26</v>
      </c>
      <c r="L46" s="8"/>
      <c r="M46" s="9">
        <f>M34</f>
        <v>1065.0254585600001</v>
      </c>
    </row>
    <row r="47" spans="2:13" ht="17.149999999999999" customHeight="1" x14ac:dyDescent="0.35">
      <c r="B47" s="2" t="s">
        <v>40</v>
      </c>
      <c r="C47" s="8" t="s">
        <v>41</v>
      </c>
      <c r="D47" s="8"/>
      <c r="E47" s="9">
        <f>E42</f>
        <v>657.15500000000009</v>
      </c>
      <c r="F47" s="2" t="s">
        <v>40</v>
      </c>
      <c r="G47" s="8" t="s">
        <v>41</v>
      </c>
      <c r="H47" s="8"/>
      <c r="I47" s="9">
        <f>I42</f>
        <v>657.15500000000009</v>
      </c>
      <c r="J47" s="2" t="s">
        <v>40</v>
      </c>
      <c r="K47" s="8" t="s">
        <v>41</v>
      </c>
      <c r="L47" s="8"/>
      <c r="M47" s="9">
        <f>M42</f>
        <v>657.15500000000009</v>
      </c>
    </row>
    <row r="48" spans="2:13" ht="17.149999999999999" customHeight="1" x14ac:dyDescent="0.35">
      <c r="B48" s="16" t="s">
        <v>19</v>
      </c>
      <c r="C48" s="16"/>
      <c r="D48" s="16"/>
      <c r="E48" s="32">
        <f>SUM(E45:E47)</f>
        <v>2193.2213785600002</v>
      </c>
      <c r="F48" s="16" t="s">
        <v>19</v>
      </c>
      <c r="G48" s="16"/>
      <c r="H48" s="16"/>
      <c r="I48" s="32">
        <f>SUM(I45:I47)</f>
        <v>2193.2213785600006</v>
      </c>
      <c r="J48" s="16" t="s">
        <v>19</v>
      </c>
      <c r="K48" s="16"/>
      <c r="L48" s="16"/>
      <c r="M48" s="32">
        <f>SUM(M45:M47)</f>
        <v>2193.2213785600002</v>
      </c>
    </row>
    <row r="49" spans="2:13" ht="17.149999999999999" customHeight="1" x14ac:dyDescent="0.35">
      <c r="B49" s="33"/>
      <c r="C49" s="33"/>
      <c r="D49" s="34"/>
      <c r="E49" s="33"/>
      <c r="F49" s="33"/>
      <c r="G49" s="33"/>
      <c r="H49" s="34"/>
      <c r="I49" s="33"/>
      <c r="J49" s="33"/>
      <c r="K49" s="33"/>
      <c r="L49" s="34"/>
      <c r="M49" s="33"/>
    </row>
    <row r="50" spans="2:13" ht="17.149999999999999" customHeight="1" x14ac:dyDescent="0.35">
      <c r="B50" s="147" t="s">
        <v>46</v>
      </c>
      <c r="C50" s="148"/>
      <c r="D50" s="75" t="s">
        <v>27</v>
      </c>
      <c r="E50" s="73" t="s">
        <v>6</v>
      </c>
      <c r="F50" s="147" t="s">
        <v>46</v>
      </c>
      <c r="G50" s="148"/>
      <c r="H50" s="75" t="s">
        <v>27</v>
      </c>
      <c r="I50" s="73" t="s">
        <v>6</v>
      </c>
      <c r="J50" s="147" t="s">
        <v>46</v>
      </c>
      <c r="K50" s="148"/>
      <c r="L50" s="75" t="s">
        <v>27</v>
      </c>
      <c r="M50" s="73" t="s">
        <v>6</v>
      </c>
    </row>
    <row r="51" spans="2:13" ht="17.149999999999999" customHeight="1" x14ac:dyDescent="0.35">
      <c r="B51" s="2">
        <v>3</v>
      </c>
      <c r="C51" s="2" t="s">
        <v>47</v>
      </c>
      <c r="D51" s="2" t="s">
        <v>27</v>
      </c>
      <c r="E51" s="8" t="s">
        <v>6</v>
      </c>
      <c r="F51" s="2">
        <v>3</v>
      </c>
      <c r="G51" s="2" t="s">
        <v>47</v>
      </c>
      <c r="H51" s="2" t="s">
        <v>27</v>
      </c>
      <c r="I51" s="8" t="s">
        <v>6</v>
      </c>
      <c r="J51" s="2">
        <v>3</v>
      </c>
      <c r="K51" s="2" t="s">
        <v>47</v>
      </c>
      <c r="L51" s="2" t="s">
        <v>27</v>
      </c>
      <c r="M51" s="8" t="s">
        <v>6</v>
      </c>
    </row>
    <row r="52" spans="2:13" ht="17.149999999999999" customHeight="1" x14ac:dyDescent="0.35">
      <c r="B52" s="2" t="s">
        <v>7</v>
      </c>
      <c r="C52" s="31" t="s">
        <v>48</v>
      </c>
      <c r="D52" s="35">
        <f>5%/12</f>
        <v>4.1666666666666666E-3</v>
      </c>
      <c r="E52" s="9">
        <f>($E$16+$E$24)*D52</f>
        <v>12.058712166666666</v>
      </c>
      <c r="F52" s="2" t="s">
        <v>7</v>
      </c>
      <c r="G52" s="31" t="s">
        <v>48</v>
      </c>
      <c r="H52" s="35">
        <f>5%/12</f>
        <v>4.1666666666666666E-3</v>
      </c>
      <c r="I52" s="9">
        <f>($I$16+$I$24)*H52</f>
        <v>12.058712166666666</v>
      </c>
      <c r="J52" s="2" t="s">
        <v>7</v>
      </c>
      <c r="K52" s="31" t="s">
        <v>48</v>
      </c>
      <c r="L52" s="35">
        <f>5%/12</f>
        <v>4.1666666666666666E-3</v>
      </c>
      <c r="M52" s="9">
        <f>($M$16+$M$24)*L52</f>
        <v>12.058712166666666</v>
      </c>
    </row>
    <row r="53" spans="2:13" ht="17.149999999999999" customHeight="1" x14ac:dyDescent="0.35">
      <c r="B53" s="2" t="s">
        <v>9</v>
      </c>
      <c r="C53" s="31" t="s">
        <v>49</v>
      </c>
      <c r="D53" s="35">
        <f>D52*D33</f>
        <v>3.3333333333333332E-4</v>
      </c>
      <c r="E53" s="9">
        <f>($E$16+$E$24)*D53</f>
        <v>0.96469697333333337</v>
      </c>
      <c r="F53" s="2" t="s">
        <v>9</v>
      </c>
      <c r="G53" s="31" t="s">
        <v>49</v>
      </c>
      <c r="H53" s="35">
        <f>H52*H33</f>
        <v>3.3333333333333332E-4</v>
      </c>
      <c r="I53" s="9">
        <f t="shared" ref="I53:I57" si="2">($I$16+$I$24)*H53</f>
        <v>0.96469697333333337</v>
      </c>
      <c r="J53" s="2" t="s">
        <v>9</v>
      </c>
      <c r="K53" s="31" t="s">
        <v>49</v>
      </c>
      <c r="L53" s="35">
        <f>L52*L33</f>
        <v>3.3333333333333332E-4</v>
      </c>
      <c r="M53" s="9">
        <f t="shared" ref="M53:M56" si="3">($M$16+$M$24)*L53</f>
        <v>0.96469697333333337</v>
      </c>
    </row>
    <row r="54" spans="2:13" ht="17.149999999999999" customHeight="1" x14ac:dyDescent="0.35">
      <c r="B54" s="2" t="s">
        <v>11</v>
      </c>
      <c r="C54" s="31" t="s">
        <v>117</v>
      </c>
      <c r="D54" s="35">
        <f>(1+2/12+(1/3*1/12))*0.08*0.4*0.05</f>
        <v>1.9111111111111115E-3</v>
      </c>
      <c r="E54" s="9">
        <f>(E16+E24)*D54</f>
        <v>5.5309293137777793</v>
      </c>
      <c r="F54" s="2" t="s">
        <v>11</v>
      </c>
      <c r="G54" s="31" t="s">
        <v>117</v>
      </c>
      <c r="H54" s="35">
        <f>(1+2/12+(1/3*1/12))*0.08*0.4*0.05</f>
        <v>1.9111111111111115E-3</v>
      </c>
      <c r="I54" s="9">
        <f>(I16+I24)*H54</f>
        <v>5.5309293137777793</v>
      </c>
      <c r="J54" s="2" t="s">
        <v>11</v>
      </c>
      <c r="K54" s="31" t="s">
        <v>117</v>
      </c>
      <c r="L54" s="35">
        <f>(1+2/12+(1/3*1/12))*0.08*0.4*0.05</f>
        <v>1.9111111111111115E-3</v>
      </c>
      <c r="M54" s="9">
        <f>(M16+M24)*L54</f>
        <v>5.5309293137777793</v>
      </c>
    </row>
    <row r="55" spans="2:13" ht="17.149999999999999" customHeight="1" x14ac:dyDescent="0.35">
      <c r="B55" s="2" t="s">
        <v>13</v>
      </c>
      <c r="C55" s="31" t="s">
        <v>50</v>
      </c>
      <c r="D55" s="35">
        <f>7/30/12</f>
        <v>1.9444444444444445E-2</v>
      </c>
      <c r="E55" s="9">
        <f>($E$16+$E$24)*D55</f>
        <v>56.273990111111111</v>
      </c>
      <c r="F55" s="2" t="s">
        <v>13</v>
      </c>
      <c r="G55" s="31" t="s">
        <v>50</v>
      </c>
      <c r="H55" s="35">
        <f>7/30/12</f>
        <v>1.9444444444444445E-2</v>
      </c>
      <c r="I55" s="9">
        <f t="shared" si="2"/>
        <v>56.273990111111111</v>
      </c>
      <c r="J55" s="2" t="s">
        <v>13</v>
      </c>
      <c r="K55" s="31" t="s">
        <v>50</v>
      </c>
      <c r="L55" s="35">
        <f>7/30/12</f>
        <v>1.9444444444444445E-2</v>
      </c>
      <c r="M55" s="9">
        <f>($M$16+$M$24)*L55</f>
        <v>56.273990111111111</v>
      </c>
    </row>
    <row r="56" spans="2:13" ht="22.5" customHeight="1" x14ac:dyDescent="0.35">
      <c r="B56" s="2" t="s">
        <v>15</v>
      </c>
      <c r="C56" s="86" t="s">
        <v>110</v>
      </c>
      <c r="D56" s="35">
        <f>D55*D34</f>
        <v>7.1555555555555565E-3</v>
      </c>
      <c r="E56" s="9">
        <f>($E$16+$E$24)*D56</f>
        <v>20.708828360888891</v>
      </c>
      <c r="F56" s="2" t="s">
        <v>15</v>
      </c>
      <c r="G56" s="86" t="s">
        <v>110</v>
      </c>
      <c r="H56" s="35">
        <f>H55*H34</f>
        <v>7.1555555555555565E-3</v>
      </c>
      <c r="I56" s="9">
        <f t="shared" si="2"/>
        <v>20.708828360888891</v>
      </c>
      <c r="J56" s="2" t="s">
        <v>15</v>
      </c>
      <c r="K56" s="86" t="s">
        <v>110</v>
      </c>
      <c r="L56" s="35">
        <f>L55*L34</f>
        <v>7.1555555555555565E-3</v>
      </c>
      <c r="M56" s="9">
        <f t="shared" si="3"/>
        <v>20.708828360888891</v>
      </c>
    </row>
    <row r="57" spans="2:13" ht="17.149999999999999" customHeight="1" x14ac:dyDescent="0.35">
      <c r="B57" s="2" t="s">
        <v>33</v>
      </c>
      <c r="C57" s="86" t="s">
        <v>118</v>
      </c>
      <c r="D57" s="96">
        <f>100%*8%*40%*(1+1/12*1/3+1/12)</f>
        <v>3.5555555555555549E-2</v>
      </c>
      <c r="E57" s="9">
        <f>($E$16+$E$24)*D57</f>
        <v>102.90101048888887</v>
      </c>
      <c r="F57" s="2" t="s">
        <v>33</v>
      </c>
      <c r="G57" s="86" t="s">
        <v>118</v>
      </c>
      <c r="H57" s="96">
        <f>100%*8%*40%*(1+1/12*1/3+1/12)</f>
        <v>3.5555555555555549E-2</v>
      </c>
      <c r="I57" s="9">
        <f t="shared" si="2"/>
        <v>102.90101048888887</v>
      </c>
      <c r="J57" s="2" t="s">
        <v>33</v>
      </c>
      <c r="K57" s="86" t="s">
        <v>118</v>
      </c>
      <c r="L57" s="96">
        <f>100%*8%*40%*(1+1/12*1/3+1/12)</f>
        <v>3.5555555555555549E-2</v>
      </c>
      <c r="M57" s="9">
        <f>($M$16+$M$24)*L57</f>
        <v>102.90101048888887</v>
      </c>
    </row>
    <row r="58" spans="2:13" ht="17.149999999999999" customHeight="1" x14ac:dyDescent="0.35">
      <c r="B58" s="16" t="s">
        <v>19</v>
      </c>
      <c r="C58" s="16"/>
      <c r="D58" s="16"/>
      <c r="E58" s="32">
        <f>SUM(E52:E57)</f>
        <v>198.43816741466665</v>
      </c>
      <c r="F58" s="16" t="s">
        <v>19</v>
      </c>
      <c r="G58" s="16"/>
      <c r="H58" s="16"/>
      <c r="I58" s="32">
        <f>SUM(I52:I57)</f>
        <v>198.43816741466665</v>
      </c>
      <c r="J58" s="16" t="s">
        <v>19</v>
      </c>
      <c r="K58" s="16"/>
      <c r="L58" s="16"/>
      <c r="M58" s="32">
        <f>SUM(M52:M57)</f>
        <v>198.43816741466665</v>
      </c>
    </row>
    <row r="59" spans="2:13" ht="17.149999999999999" customHeight="1" x14ac:dyDescent="0.35">
      <c r="B59" s="36"/>
      <c r="C59" s="33"/>
      <c r="D59" s="34"/>
      <c r="E59" s="33"/>
      <c r="F59" s="36"/>
      <c r="G59" s="33"/>
      <c r="H59" s="34"/>
      <c r="I59" s="33"/>
      <c r="J59" s="36"/>
      <c r="K59" s="33"/>
      <c r="L59" s="34"/>
      <c r="M59" s="33"/>
    </row>
    <row r="60" spans="2:13" ht="17.149999999999999" customHeight="1" x14ac:dyDescent="0.35">
      <c r="B60" s="147" t="s">
        <v>51</v>
      </c>
      <c r="C60" s="159"/>
      <c r="D60" s="159"/>
      <c r="E60" s="148"/>
      <c r="F60" s="147" t="s">
        <v>51</v>
      </c>
      <c r="G60" s="159"/>
      <c r="H60" s="159"/>
      <c r="I60" s="148"/>
      <c r="J60" s="147" t="s">
        <v>51</v>
      </c>
      <c r="K60" s="159"/>
      <c r="L60" s="159"/>
      <c r="M60" s="148"/>
    </row>
    <row r="61" spans="2:13" ht="17.149999999999999" customHeight="1" x14ac:dyDescent="0.35">
      <c r="B61" s="11" t="s">
        <v>52</v>
      </c>
      <c r="C61" s="11"/>
      <c r="D61" s="11"/>
      <c r="E61" s="11"/>
      <c r="F61" s="11" t="s">
        <v>52</v>
      </c>
      <c r="G61" s="11"/>
      <c r="H61" s="11"/>
      <c r="I61" s="11"/>
      <c r="J61" s="11" t="s">
        <v>52</v>
      </c>
      <c r="K61" s="11"/>
      <c r="L61" s="11"/>
      <c r="M61" s="11"/>
    </row>
    <row r="62" spans="2:13" ht="17.149999999999999" customHeight="1" x14ac:dyDescent="0.35">
      <c r="B62" s="2" t="s">
        <v>53</v>
      </c>
      <c r="C62" s="2" t="s">
        <v>54</v>
      </c>
      <c r="D62" s="27" t="s">
        <v>78</v>
      </c>
      <c r="E62" s="8" t="s">
        <v>6</v>
      </c>
      <c r="F62" s="2" t="s">
        <v>53</v>
      </c>
      <c r="G62" s="2" t="s">
        <v>54</v>
      </c>
      <c r="H62" s="27" t="s">
        <v>78</v>
      </c>
      <c r="I62" s="8" t="s">
        <v>6</v>
      </c>
      <c r="J62" s="2" t="s">
        <v>53</v>
      </c>
      <c r="K62" s="2" t="s">
        <v>54</v>
      </c>
      <c r="L62" s="27" t="s">
        <v>78</v>
      </c>
      <c r="M62" s="8" t="s">
        <v>6</v>
      </c>
    </row>
    <row r="63" spans="2:13" ht="17.149999999999999" customHeight="1" x14ac:dyDescent="0.35">
      <c r="B63" s="2" t="s">
        <v>7</v>
      </c>
      <c r="C63" s="62" t="s">
        <v>104</v>
      </c>
      <c r="D63" s="77">
        <f>(1/12+1/12+1/12/3)/12</f>
        <v>1.6203703703703703E-2</v>
      </c>
      <c r="E63" s="97">
        <f>(E16+E34)*D63</f>
        <v>56.519741226666667</v>
      </c>
      <c r="F63" s="2" t="s">
        <v>7</v>
      </c>
      <c r="G63" s="62" t="s">
        <v>104</v>
      </c>
      <c r="H63" s="77">
        <f>(1/12+1/12+1/12/3)/12</f>
        <v>1.6203703703703703E-2</v>
      </c>
      <c r="I63" s="97">
        <f>(I16+I34)*H63</f>
        <v>56.519741226666675</v>
      </c>
      <c r="J63" s="2" t="s">
        <v>7</v>
      </c>
      <c r="K63" s="62" t="s">
        <v>104</v>
      </c>
      <c r="L63" s="77">
        <f>(1/12+1/12+1/12/3)/12</f>
        <v>1.6203703703703703E-2</v>
      </c>
      <c r="M63" s="97">
        <f>(M16+M34)*L63</f>
        <v>56.519741226666667</v>
      </c>
    </row>
    <row r="64" spans="2:13" ht="17.149999999999999" customHeight="1" x14ac:dyDescent="0.35">
      <c r="B64" s="2" t="s">
        <v>9</v>
      </c>
      <c r="C64" s="62" t="s">
        <v>105</v>
      </c>
      <c r="D64" s="77">
        <f>(1/30/12)</f>
        <v>2.7777777777777779E-3</v>
      </c>
      <c r="E64" s="84">
        <f>E16*D64</f>
        <v>6.7306944444444454</v>
      </c>
      <c r="F64" s="2" t="s">
        <v>9</v>
      </c>
      <c r="G64" s="62" t="s">
        <v>105</v>
      </c>
      <c r="H64" s="77">
        <f>(1/30/12)</f>
        <v>2.7777777777777779E-3</v>
      </c>
      <c r="I64" s="84">
        <f>I16*H64</f>
        <v>6.7306944444444454</v>
      </c>
      <c r="J64" s="2" t="s">
        <v>9</v>
      </c>
      <c r="K64" s="62" t="s">
        <v>105</v>
      </c>
      <c r="L64" s="77">
        <f>(1/30/12)</f>
        <v>2.7777777777777779E-3</v>
      </c>
      <c r="M64" s="84">
        <f>M16*L64</f>
        <v>6.7306944444444454</v>
      </c>
    </row>
    <row r="65" spans="2:13" ht="17.149999999999999" customHeight="1" x14ac:dyDescent="0.35">
      <c r="B65" s="2" t="s">
        <v>11</v>
      </c>
      <c r="C65" s="62" t="s">
        <v>106</v>
      </c>
      <c r="D65" s="77">
        <f>(5/30/12)*0.015</f>
        <v>2.0833333333333332E-4</v>
      </c>
      <c r="E65" s="84">
        <f>E16*D65</f>
        <v>0.50480208333333332</v>
      </c>
      <c r="F65" s="2" t="s">
        <v>11</v>
      </c>
      <c r="G65" s="62" t="s">
        <v>106</v>
      </c>
      <c r="H65" s="77">
        <f>(5/30/12)*0.015</f>
        <v>2.0833333333333332E-4</v>
      </c>
      <c r="I65" s="84">
        <f>I16*H65</f>
        <v>0.50480208333333332</v>
      </c>
      <c r="J65" s="2" t="s">
        <v>11</v>
      </c>
      <c r="K65" s="62" t="s">
        <v>106</v>
      </c>
      <c r="L65" s="77">
        <f>(5/30/12)*0.015</f>
        <v>2.0833333333333332E-4</v>
      </c>
      <c r="M65" s="84">
        <f>M16*L65</f>
        <v>0.50480208333333332</v>
      </c>
    </row>
    <row r="66" spans="2:13" ht="17.149999999999999" customHeight="1" x14ac:dyDescent="0.35">
      <c r="B66" s="2" t="s">
        <v>13</v>
      </c>
      <c r="C66" s="62" t="s">
        <v>107</v>
      </c>
      <c r="D66" s="77">
        <f>(1/12)*0.0178</f>
        <v>1.4833333333333332E-3</v>
      </c>
      <c r="E66" s="84">
        <f>E16*D66</f>
        <v>3.5941908333333332</v>
      </c>
      <c r="F66" s="2" t="s">
        <v>13</v>
      </c>
      <c r="G66" s="62" t="s">
        <v>107</v>
      </c>
      <c r="H66" s="77">
        <f>(1/12)*0.0178</f>
        <v>1.4833333333333332E-3</v>
      </c>
      <c r="I66" s="84">
        <f>I16*H66</f>
        <v>3.5941908333333332</v>
      </c>
      <c r="J66" s="2" t="s">
        <v>13</v>
      </c>
      <c r="K66" s="62" t="s">
        <v>107</v>
      </c>
      <c r="L66" s="77">
        <f>(1/12)*0.0178</f>
        <v>1.4833333333333332E-3</v>
      </c>
      <c r="M66" s="84">
        <f>M16*L66</f>
        <v>3.5941908333333332</v>
      </c>
    </row>
    <row r="67" spans="2:13" ht="17.149999999999999" customHeight="1" x14ac:dyDescent="0.35">
      <c r="B67" s="2" t="s">
        <v>15</v>
      </c>
      <c r="C67" s="62" t="s">
        <v>108</v>
      </c>
      <c r="D67" s="77">
        <f>11.11%*5.28%*50%</f>
        <v>2.9330399999999996E-3</v>
      </c>
      <c r="E67" s="84">
        <f>(E16+(1/12+1/12/3)/12+E34)*D67</f>
        <v>10.230692000752599</v>
      </c>
      <c r="F67" s="2" t="s">
        <v>15</v>
      </c>
      <c r="G67" s="62" t="s">
        <v>108</v>
      </c>
      <c r="H67" s="77">
        <f>11.11%*5.28%*50%</f>
        <v>2.9330399999999996E-3</v>
      </c>
      <c r="I67" s="84">
        <f>(I16+(1/12+1/12/3)/12+I34)*H67</f>
        <v>10.230692000752601</v>
      </c>
      <c r="J67" s="2" t="s">
        <v>15</v>
      </c>
      <c r="K67" s="62" t="s">
        <v>108</v>
      </c>
      <c r="L67" s="77">
        <f>11.11%*5.28%*50%</f>
        <v>2.9330399999999996E-3</v>
      </c>
      <c r="M67" s="84">
        <f>(M16+(1/12+1/12/3)/12+M34)*L67</f>
        <v>10.230692000752599</v>
      </c>
    </row>
    <row r="68" spans="2:13" ht="17.149999999999999" customHeight="1" x14ac:dyDescent="0.35">
      <c r="B68" s="2" t="s">
        <v>33</v>
      </c>
      <c r="C68" s="62" t="s">
        <v>111</v>
      </c>
      <c r="D68" s="35"/>
      <c r="E68" s="84"/>
      <c r="F68" s="2" t="s">
        <v>33</v>
      </c>
      <c r="G68" s="62" t="s">
        <v>111</v>
      </c>
      <c r="H68" s="35"/>
      <c r="I68" s="84"/>
      <c r="J68" s="2" t="s">
        <v>33</v>
      </c>
      <c r="K68" s="62" t="s">
        <v>111</v>
      </c>
      <c r="L68" s="35"/>
      <c r="M68" s="84"/>
    </row>
    <row r="69" spans="2:13" ht="17.149999999999999" customHeight="1" x14ac:dyDescent="0.35">
      <c r="B69" s="2" t="s">
        <v>17</v>
      </c>
      <c r="C69" s="76" t="s">
        <v>109</v>
      </c>
      <c r="D69" s="78">
        <f>SUM(D63:D68)</f>
        <v>2.3606188148148147E-2</v>
      </c>
      <c r="E69" s="84"/>
      <c r="F69" s="2" t="s">
        <v>17</v>
      </c>
      <c r="G69" s="76" t="s">
        <v>109</v>
      </c>
      <c r="H69" s="78">
        <f>SUM(H63:H68)</f>
        <v>2.3606188148148147E-2</v>
      </c>
      <c r="I69" s="84"/>
      <c r="J69" s="2" t="s">
        <v>17</v>
      </c>
      <c r="K69" s="76" t="s">
        <v>109</v>
      </c>
      <c r="L69" s="78">
        <f>SUM(L63:L68)</f>
        <v>2.3606188148148147E-2</v>
      </c>
      <c r="M69" s="84"/>
    </row>
    <row r="70" spans="2:13" ht="17.149999999999999" customHeight="1" x14ac:dyDescent="0.35">
      <c r="B70" s="16" t="s">
        <v>19</v>
      </c>
      <c r="C70" s="16"/>
      <c r="D70" s="16"/>
      <c r="E70" s="32">
        <f>SUM(E63:E69)</f>
        <v>77.580120588530377</v>
      </c>
      <c r="F70" s="16" t="s">
        <v>19</v>
      </c>
      <c r="G70" s="16"/>
      <c r="H70" s="16"/>
      <c r="I70" s="32">
        <f>SUM(I63:I69)</f>
        <v>77.580120588530377</v>
      </c>
      <c r="J70" s="16" t="s">
        <v>19</v>
      </c>
      <c r="K70" s="16"/>
      <c r="L70" s="16"/>
      <c r="M70" s="32">
        <f>SUM(M63:M69)</f>
        <v>77.580120588530377</v>
      </c>
    </row>
    <row r="71" spans="2:13" ht="17.149999999999999" customHeight="1" x14ac:dyDescent="0.35">
      <c r="B71" s="14" t="s">
        <v>55</v>
      </c>
      <c r="C71" s="14"/>
      <c r="D71" s="14"/>
      <c r="E71" s="85"/>
      <c r="F71" s="14" t="s">
        <v>55</v>
      </c>
      <c r="G71" s="14"/>
      <c r="H71" s="14"/>
      <c r="I71" s="85"/>
      <c r="J71" s="14" t="s">
        <v>55</v>
      </c>
      <c r="K71" s="14"/>
      <c r="L71" s="14"/>
      <c r="M71" s="85"/>
    </row>
    <row r="72" spans="2:13" ht="17.149999999999999" customHeight="1" x14ac:dyDescent="0.35">
      <c r="B72" s="37" t="s">
        <v>56</v>
      </c>
      <c r="C72" s="37" t="s">
        <v>75</v>
      </c>
      <c r="D72" s="24" t="s">
        <v>76</v>
      </c>
      <c r="E72" s="24"/>
      <c r="F72" s="37" t="s">
        <v>56</v>
      </c>
      <c r="G72" s="37" t="s">
        <v>75</v>
      </c>
      <c r="H72" s="24" t="s">
        <v>76</v>
      </c>
      <c r="I72" s="24"/>
      <c r="J72" s="37" t="s">
        <v>56</v>
      </c>
      <c r="K72" s="37" t="s">
        <v>75</v>
      </c>
      <c r="L72" s="24" t="s">
        <v>76</v>
      </c>
      <c r="M72" s="24"/>
    </row>
    <row r="73" spans="2:13" ht="17.149999999999999" customHeight="1" x14ac:dyDescent="0.35">
      <c r="B73" s="37" t="s">
        <v>7</v>
      </c>
      <c r="C73" s="38" t="s">
        <v>77</v>
      </c>
      <c r="D73" s="38"/>
      <c r="E73" s="24">
        <v>0</v>
      </c>
      <c r="F73" s="37" t="s">
        <v>7</v>
      </c>
      <c r="G73" s="38" t="s">
        <v>77</v>
      </c>
      <c r="H73" s="38"/>
      <c r="I73" s="24">
        <v>0</v>
      </c>
      <c r="J73" s="37" t="s">
        <v>7</v>
      </c>
      <c r="K73" s="38" t="s">
        <v>77</v>
      </c>
      <c r="L73" s="38"/>
      <c r="M73" s="24">
        <v>0</v>
      </c>
    </row>
    <row r="74" spans="2:13" ht="17.149999999999999" customHeight="1" x14ac:dyDescent="0.35">
      <c r="B74" s="39" t="s">
        <v>19</v>
      </c>
      <c r="C74" s="40"/>
      <c r="D74" s="40"/>
      <c r="E74" s="41"/>
      <c r="F74" s="39" t="s">
        <v>19</v>
      </c>
      <c r="G74" s="40"/>
      <c r="H74" s="40"/>
      <c r="I74" s="41"/>
      <c r="J74" s="39" t="s">
        <v>19</v>
      </c>
      <c r="K74" s="40"/>
      <c r="L74" s="40"/>
      <c r="M74" s="41"/>
    </row>
    <row r="75" spans="2:13" ht="17.149999999999999" customHeight="1" x14ac:dyDescent="0.35">
      <c r="B75" s="14" t="s">
        <v>58</v>
      </c>
      <c r="C75" s="14"/>
      <c r="D75" s="14"/>
      <c r="E75" s="14"/>
      <c r="F75" s="14" t="s">
        <v>58</v>
      </c>
      <c r="G75" s="14"/>
      <c r="H75" s="14"/>
      <c r="I75" s="14"/>
      <c r="J75" s="14" t="s">
        <v>58</v>
      </c>
      <c r="K75" s="14"/>
      <c r="L75" s="14"/>
      <c r="M75" s="14"/>
    </row>
    <row r="76" spans="2:13" ht="17.149999999999999" customHeight="1" x14ac:dyDescent="0.35">
      <c r="B76" s="37">
        <v>4</v>
      </c>
      <c r="C76" s="38" t="s">
        <v>59</v>
      </c>
      <c r="D76" s="38"/>
      <c r="E76" s="38" t="s">
        <v>76</v>
      </c>
      <c r="F76" s="37">
        <v>4</v>
      </c>
      <c r="G76" s="38" t="s">
        <v>59</v>
      </c>
      <c r="H76" s="38"/>
      <c r="I76" s="38" t="s">
        <v>76</v>
      </c>
      <c r="J76" s="37">
        <v>4</v>
      </c>
      <c r="K76" s="38" t="s">
        <v>59</v>
      </c>
      <c r="L76" s="38"/>
      <c r="M76" s="38" t="s">
        <v>76</v>
      </c>
    </row>
    <row r="77" spans="2:13" ht="17.149999999999999" customHeight="1" x14ac:dyDescent="0.35">
      <c r="B77" s="37" t="s">
        <v>53</v>
      </c>
      <c r="C77" s="38" t="s">
        <v>54</v>
      </c>
      <c r="D77" s="38"/>
      <c r="E77" s="24">
        <f>E70</f>
        <v>77.580120588530377</v>
      </c>
      <c r="F77" s="37" t="s">
        <v>53</v>
      </c>
      <c r="G77" s="38" t="s">
        <v>54</v>
      </c>
      <c r="H77" s="38"/>
      <c r="I77" s="24">
        <f>I70</f>
        <v>77.580120588530377</v>
      </c>
      <c r="J77" s="37" t="s">
        <v>53</v>
      </c>
      <c r="K77" s="38" t="s">
        <v>54</v>
      </c>
      <c r="L77" s="38"/>
      <c r="M77" s="24">
        <f>M70</f>
        <v>77.580120588530377</v>
      </c>
    </row>
    <row r="78" spans="2:13" ht="17.149999999999999" customHeight="1" x14ac:dyDescent="0.35">
      <c r="B78" s="37" t="s">
        <v>56</v>
      </c>
      <c r="C78" s="38" t="s">
        <v>57</v>
      </c>
      <c r="D78" s="38"/>
      <c r="E78" s="24">
        <f>E73</f>
        <v>0</v>
      </c>
      <c r="F78" s="37" t="s">
        <v>56</v>
      </c>
      <c r="G78" s="38" t="s">
        <v>57</v>
      </c>
      <c r="H78" s="38"/>
      <c r="I78" s="24">
        <f>I73</f>
        <v>0</v>
      </c>
      <c r="J78" s="37" t="s">
        <v>56</v>
      </c>
      <c r="K78" s="38" t="s">
        <v>57</v>
      </c>
      <c r="L78" s="38"/>
      <c r="M78" s="24">
        <f>M73</f>
        <v>0</v>
      </c>
    </row>
    <row r="79" spans="2:13" ht="17.149999999999999" customHeight="1" x14ac:dyDescent="0.35">
      <c r="B79" s="16" t="s">
        <v>19</v>
      </c>
      <c r="C79" s="16"/>
      <c r="D79" s="16"/>
      <c r="E79" s="32">
        <f>SUM(E77:E78)</f>
        <v>77.580120588530377</v>
      </c>
      <c r="F79" s="16" t="s">
        <v>19</v>
      </c>
      <c r="G79" s="16"/>
      <c r="H79" s="16"/>
      <c r="I79" s="32">
        <f>SUM(I77:I78)</f>
        <v>77.580120588530377</v>
      </c>
      <c r="J79" s="16" t="s">
        <v>19</v>
      </c>
      <c r="K79" s="16"/>
      <c r="L79" s="16"/>
      <c r="M79" s="32">
        <f>SUM(M77:M78)</f>
        <v>77.580120588530377</v>
      </c>
    </row>
    <row r="80" spans="2:13" ht="17.149999999999999" customHeight="1" x14ac:dyDescent="0.35">
      <c r="B80" s="33"/>
      <c r="C80" s="33"/>
      <c r="D80" s="34"/>
      <c r="E80" s="33"/>
      <c r="F80" s="33"/>
      <c r="G80" s="33"/>
      <c r="H80" s="34"/>
      <c r="I80" s="33"/>
      <c r="J80" s="33"/>
      <c r="K80" s="33"/>
      <c r="L80" s="34"/>
      <c r="M80" s="33"/>
    </row>
    <row r="81" spans="2:13" ht="17.149999999999999" customHeight="1" x14ac:dyDescent="0.35">
      <c r="B81" s="147" t="s">
        <v>60</v>
      </c>
      <c r="C81" s="159"/>
      <c r="D81" s="148"/>
      <c r="E81" s="73" t="s">
        <v>6</v>
      </c>
      <c r="F81" s="147" t="s">
        <v>60</v>
      </c>
      <c r="G81" s="159"/>
      <c r="H81" s="148"/>
      <c r="I81" s="73" t="s">
        <v>6</v>
      </c>
      <c r="J81" s="147" t="s">
        <v>60</v>
      </c>
      <c r="K81" s="159"/>
      <c r="L81" s="148"/>
      <c r="M81" s="73" t="s">
        <v>6</v>
      </c>
    </row>
    <row r="82" spans="2:13" ht="17.149999999999999" customHeight="1" x14ac:dyDescent="0.35">
      <c r="B82" s="2" t="s">
        <v>7</v>
      </c>
      <c r="C82" s="149" t="s">
        <v>83</v>
      </c>
      <c r="D82" s="150"/>
      <c r="E82" s="9">
        <f>'Uniformes e EPIs'!H15</f>
        <v>23.373611111111114</v>
      </c>
      <c r="F82" s="2" t="s">
        <v>7</v>
      </c>
      <c r="G82" s="149" t="s">
        <v>83</v>
      </c>
      <c r="H82" s="150"/>
      <c r="I82" s="9">
        <f>'Uniformes e EPIs'!H15</f>
        <v>23.373611111111114</v>
      </c>
      <c r="J82" s="2" t="s">
        <v>7</v>
      </c>
      <c r="K82" s="149" t="s">
        <v>83</v>
      </c>
      <c r="L82" s="150"/>
      <c r="M82" s="9">
        <f>'Uniformes e EPIs'!H15</f>
        <v>23.373611111111114</v>
      </c>
    </row>
    <row r="83" spans="2:13" ht="17.149999999999999" customHeight="1" x14ac:dyDescent="0.35">
      <c r="B83" s="2" t="s">
        <v>9</v>
      </c>
      <c r="C83" s="149" t="s">
        <v>69</v>
      </c>
      <c r="D83" s="150"/>
      <c r="E83" s="9">
        <f>Insumos!H61</f>
        <v>571.13908436214012</v>
      </c>
      <c r="F83" s="2" t="s">
        <v>9</v>
      </c>
      <c r="G83" s="149" t="s">
        <v>69</v>
      </c>
      <c r="H83" s="150"/>
      <c r="I83" s="9">
        <f>Insumos!P61</f>
        <v>542.37625816993466</v>
      </c>
      <c r="J83" s="2" t="s">
        <v>9</v>
      </c>
      <c r="K83" s="149" t="s">
        <v>69</v>
      </c>
      <c r="L83" s="150"/>
      <c r="M83" s="9">
        <f>Insumos!X61</f>
        <v>709.03061965811969</v>
      </c>
    </row>
    <row r="84" spans="2:13" ht="17.149999999999999" customHeight="1" x14ac:dyDescent="0.35">
      <c r="B84" s="2" t="s">
        <v>11</v>
      </c>
      <c r="C84" s="149" t="s">
        <v>82</v>
      </c>
      <c r="D84" s="150"/>
      <c r="E84" s="9">
        <f>Equipamentos!G9</f>
        <v>14.38784711111111</v>
      </c>
      <c r="F84" s="2" t="s">
        <v>11</v>
      </c>
      <c r="G84" s="149" t="s">
        <v>82</v>
      </c>
      <c r="H84" s="150"/>
      <c r="I84" s="9">
        <f>Equipamentos!G16</f>
        <v>15.234191058823528</v>
      </c>
      <c r="J84" s="2" t="s">
        <v>11</v>
      </c>
      <c r="K84" s="149" t="s">
        <v>82</v>
      </c>
      <c r="L84" s="150"/>
      <c r="M84" s="9">
        <f>Equipamentos!G23</f>
        <v>19.92163446153846</v>
      </c>
    </row>
    <row r="85" spans="2:13" ht="17.149999999999999" customHeight="1" x14ac:dyDescent="0.35">
      <c r="B85" s="16" t="s">
        <v>19</v>
      </c>
      <c r="C85" s="156"/>
      <c r="D85" s="158"/>
      <c r="E85" s="32">
        <f>SUM(E82:E84)</f>
        <v>608.90054258436237</v>
      </c>
      <c r="F85" s="16" t="s">
        <v>19</v>
      </c>
      <c r="G85" s="156"/>
      <c r="H85" s="158"/>
      <c r="I85" s="32">
        <f>SUM(I82:I84)</f>
        <v>580.9840603398693</v>
      </c>
      <c r="J85" s="16" t="s">
        <v>19</v>
      </c>
      <c r="K85" s="156"/>
      <c r="L85" s="158"/>
      <c r="M85" s="32">
        <f>SUM(M82:M84)</f>
        <v>752.3258652307693</v>
      </c>
    </row>
    <row r="86" spans="2:13" ht="17.149999999999999" customHeight="1" x14ac:dyDescent="0.35">
      <c r="B86" s="156" t="s">
        <v>79</v>
      </c>
      <c r="C86" s="157"/>
      <c r="D86" s="158"/>
      <c r="E86" s="32">
        <f>E85+E79+E58+E48+E16</f>
        <v>5501.1902091475595</v>
      </c>
      <c r="F86" s="156" t="s">
        <v>79</v>
      </c>
      <c r="G86" s="157"/>
      <c r="H86" s="158"/>
      <c r="I86" s="32">
        <f>I85+I79+I58+I48+I16</f>
        <v>5473.2737269030677</v>
      </c>
      <c r="J86" s="156" t="s">
        <v>79</v>
      </c>
      <c r="K86" s="157"/>
      <c r="L86" s="158"/>
      <c r="M86" s="32">
        <f>M85+M79+M58+M48+M16</f>
        <v>5644.6155317939665</v>
      </c>
    </row>
    <row r="87" spans="2:13" ht="17.149999999999999" customHeight="1" x14ac:dyDescent="0.35">
      <c r="B87" s="42"/>
      <c r="C87" s="42"/>
      <c r="D87" s="43"/>
      <c r="E87" s="42"/>
      <c r="F87" s="42"/>
      <c r="G87" s="42"/>
      <c r="H87" s="43"/>
      <c r="I87" s="42"/>
      <c r="J87" s="42"/>
      <c r="K87" s="42"/>
      <c r="L87" s="43"/>
      <c r="M87" s="42"/>
    </row>
    <row r="88" spans="2:13" ht="17.149999999999999" customHeight="1" x14ac:dyDescent="0.35">
      <c r="B88" s="147" t="s">
        <v>61</v>
      </c>
      <c r="C88" s="148"/>
      <c r="D88" s="75" t="s">
        <v>27</v>
      </c>
      <c r="E88" s="73" t="s">
        <v>6</v>
      </c>
      <c r="F88" s="147" t="s">
        <v>61</v>
      </c>
      <c r="G88" s="148"/>
      <c r="H88" s="75" t="s">
        <v>27</v>
      </c>
      <c r="I88" s="73" t="s">
        <v>6</v>
      </c>
      <c r="J88" s="147" t="s">
        <v>61</v>
      </c>
      <c r="K88" s="148"/>
      <c r="L88" s="75" t="s">
        <v>27</v>
      </c>
      <c r="M88" s="73" t="s">
        <v>6</v>
      </c>
    </row>
    <row r="89" spans="2:13" ht="17.149999999999999" customHeight="1" x14ac:dyDescent="0.35">
      <c r="B89" s="2" t="s">
        <v>7</v>
      </c>
      <c r="C89" s="2" t="s">
        <v>62</v>
      </c>
      <c r="D89" s="35">
        <v>0.05</v>
      </c>
      <c r="E89" s="9">
        <f>E86*$D$89</f>
        <v>275.059510457378</v>
      </c>
      <c r="F89" s="2" t="s">
        <v>7</v>
      </c>
      <c r="G89" s="2" t="s">
        <v>62</v>
      </c>
      <c r="H89" s="35">
        <v>0.05</v>
      </c>
      <c r="I89" s="9">
        <f>I86*$H$89</f>
        <v>273.66368634515339</v>
      </c>
      <c r="J89" s="2" t="s">
        <v>7</v>
      </c>
      <c r="K89" s="2" t="s">
        <v>62</v>
      </c>
      <c r="L89" s="35">
        <v>0.05</v>
      </c>
      <c r="M89" s="9">
        <f>M86*$D$89</f>
        <v>282.23077658969834</v>
      </c>
    </row>
    <row r="90" spans="2:13" ht="17.149999999999999" customHeight="1" x14ac:dyDescent="0.35">
      <c r="B90" s="2" t="s">
        <v>9</v>
      </c>
      <c r="C90" s="2" t="s">
        <v>63</v>
      </c>
      <c r="D90" s="35">
        <v>0.1</v>
      </c>
      <c r="E90" s="9">
        <f>(E86+E89)*$D$90</f>
        <v>577.62497196049378</v>
      </c>
      <c r="F90" s="2" t="s">
        <v>9</v>
      </c>
      <c r="G90" s="2" t="s">
        <v>63</v>
      </c>
      <c r="H90" s="35">
        <v>0.1</v>
      </c>
      <c r="I90" s="9">
        <f>(I86+I89)*$H$90</f>
        <v>574.6937413248221</v>
      </c>
      <c r="J90" s="2" t="s">
        <v>9</v>
      </c>
      <c r="K90" s="2" t="s">
        <v>63</v>
      </c>
      <c r="L90" s="35">
        <v>0.1</v>
      </c>
      <c r="M90" s="9">
        <f>(M86+M89)*$L$90</f>
        <v>592.6846308383665</v>
      </c>
    </row>
    <row r="91" spans="2:13" ht="17.149999999999999" customHeight="1" x14ac:dyDescent="0.35">
      <c r="B91" s="2" t="s">
        <v>11</v>
      </c>
      <c r="C91" s="2" t="s">
        <v>64</v>
      </c>
      <c r="D91" s="26">
        <f>SUM(D92:D94)</f>
        <v>0.14250000000000002</v>
      </c>
      <c r="E91" s="8"/>
      <c r="F91" s="2" t="s">
        <v>11</v>
      </c>
      <c r="G91" s="2" t="s">
        <v>64</v>
      </c>
      <c r="H91" s="26">
        <f>SUM(H92:H94)</f>
        <v>0.14250000000000002</v>
      </c>
      <c r="I91" s="8"/>
      <c r="J91" s="2" t="s">
        <v>11</v>
      </c>
      <c r="K91" s="2" t="s">
        <v>64</v>
      </c>
      <c r="L91" s="26">
        <f>SUM(L92:L94)</f>
        <v>0.14250000000000002</v>
      </c>
      <c r="M91" s="8"/>
    </row>
    <row r="92" spans="2:13" ht="17.149999999999999" customHeight="1" x14ac:dyDescent="0.35">
      <c r="B92" s="2"/>
      <c r="C92" s="2" t="s">
        <v>70</v>
      </c>
      <c r="D92" s="35">
        <v>1.6500000000000001E-2</v>
      </c>
      <c r="E92" s="9">
        <f>(E86+E89+E90)/(1-$D$91)*$D$92</f>
        <v>122.26114566860598</v>
      </c>
      <c r="F92" s="2"/>
      <c r="G92" s="2" t="s">
        <v>70</v>
      </c>
      <c r="H92" s="35">
        <v>1.6500000000000001E-2</v>
      </c>
      <c r="I92" s="9">
        <f>(I86+I89+I90)/(1-$H$91)*$H$92</f>
        <v>121.64071609382535</v>
      </c>
      <c r="J92" s="2"/>
      <c r="K92" s="2" t="s">
        <v>70</v>
      </c>
      <c r="L92" s="35">
        <v>1.6500000000000001E-2</v>
      </c>
      <c r="M92" s="9">
        <f>(M86+M89+M90)/(1-$L$91)*$L$92</f>
        <v>125.44870028823736</v>
      </c>
    </row>
    <row r="93" spans="2:13" ht="17.149999999999999" customHeight="1" x14ac:dyDescent="0.35">
      <c r="B93" s="2"/>
      <c r="C93" s="2" t="s">
        <v>71</v>
      </c>
      <c r="D93" s="35">
        <v>7.5999999999999998E-2</v>
      </c>
      <c r="E93" s="9">
        <f>(E86+E89+E90)/(1-$D$91)*$D$93</f>
        <v>563.14224671600323</v>
      </c>
      <c r="F93" s="2"/>
      <c r="G93" s="2" t="s">
        <v>71</v>
      </c>
      <c r="H93" s="35">
        <v>7.5999999999999998E-2</v>
      </c>
      <c r="I93" s="9">
        <f>(I86+I89+I90)/(1-$H$91)*$H$93</f>
        <v>560.28451049277123</v>
      </c>
      <c r="J93" s="2"/>
      <c r="K93" s="2" t="s">
        <v>71</v>
      </c>
      <c r="L93" s="35">
        <v>7.5999999999999998E-2</v>
      </c>
      <c r="M93" s="9">
        <f>(M86+M89+M90)/(1-$L$91)*$L$93</f>
        <v>577.82431647915382</v>
      </c>
    </row>
    <row r="94" spans="2:13" ht="17.149999999999999" customHeight="1" x14ac:dyDescent="0.35">
      <c r="B94" s="2"/>
      <c r="C94" s="2" t="s">
        <v>72</v>
      </c>
      <c r="D94" s="29">
        <v>0.05</v>
      </c>
      <c r="E94" s="9">
        <f>(E86+E89+E90)/(1-$D$91)*$D$94</f>
        <v>370.48832020789689</v>
      </c>
      <c r="F94" s="2"/>
      <c r="G94" s="2" t="s">
        <v>72</v>
      </c>
      <c r="H94" s="29">
        <v>0.05</v>
      </c>
      <c r="I94" s="9">
        <f>(I86+I89+I90)/(1-$H$91)*$H$94</f>
        <v>368.60823058734951</v>
      </c>
      <c r="J94" s="2"/>
      <c r="K94" s="2" t="s">
        <v>72</v>
      </c>
      <c r="L94" s="29">
        <v>0.05</v>
      </c>
      <c r="M94" s="9">
        <f>(M86+M89+M90)/(1-$L$91)*$L$94</f>
        <v>380.14757663102228</v>
      </c>
    </row>
    <row r="95" spans="2:13" ht="17.149999999999999" customHeight="1" x14ac:dyDescent="0.35">
      <c r="B95" s="16" t="s">
        <v>19</v>
      </c>
      <c r="C95" s="16"/>
      <c r="D95" s="44"/>
      <c r="E95" s="45">
        <f>SUM(E89:E94)</f>
        <v>1908.5761950103779</v>
      </c>
      <c r="F95" s="16" t="s">
        <v>19</v>
      </c>
      <c r="G95" s="16"/>
      <c r="H95" s="44"/>
      <c r="I95" s="45">
        <f>SUM(I89:I94)</f>
        <v>1898.8908848439216</v>
      </c>
      <c r="J95" s="16" t="s">
        <v>19</v>
      </c>
      <c r="K95" s="16"/>
      <c r="L95" s="44"/>
      <c r="M95" s="45">
        <f>SUM(M89:M94)</f>
        <v>1958.3360008264781</v>
      </c>
    </row>
    <row r="98" spans="2:13" ht="17.149999999999999" customHeight="1" x14ac:dyDescent="0.35">
      <c r="B98" s="15" t="s">
        <v>65</v>
      </c>
      <c r="C98" s="15"/>
      <c r="D98" s="15"/>
      <c r="E98" s="15"/>
      <c r="F98" s="15" t="s">
        <v>65</v>
      </c>
      <c r="G98" s="15"/>
      <c r="H98" s="15"/>
      <c r="I98" s="15"/>
      <c r="J98" s="15" t="s">
        <v>65</v>
      </c>
      <c r="K98" s="15"/>
      <c r="L98" s="15"/>
      <c r="M98" s="15"/>
    </row>
    <row r="99" spans="2:13" ht="17.149999999999999" customHeight="1" x14ac:dyDescent="0.35">
      <c r="B99" s="147" t="s">
        <v>103</v>
      </c>
      <c r="C99" s="159"/>
      <c r="D99" s="148"/>
      <c r="E99" s="67" t="s">
        <v>6</v>
      </c>
      <c r="F99" s="147" t="s">
        <v>103</v>
      </c>
      <c r="G99" s="159"/>
      <c r="H99" s="148"/>
      <c r="I99" s="67" t="s">
        <v>6</v>
      </c>
      <c r="J99" s="147" t="s">
        <v>103</v>
      </c>
      <c r="K99" s="159"/>
      <c r="L99" s="148"/>
      <c r="M99" s="67" t="s">
        <v>6</v>
      </c>
    </row>
    <row r="100" spans="2:13" ht="17.149999999999999" customHeight="1" x14ac:dyDescent="0.35">
      <c r="B100" s="46" t="s">
        <v>7</v>
      </c>
      <c r="C100" s="149" t="s">
        <v>5</v>
      </c>
      <c r="D100" s="150"/>
      <c r="E100" s="7">
        <f>E16</f>
        <v>2423.0500000000002</v>
      </c>
      <c r="F100" s="46" t="s">
        <v>7</v>
      </c>
      <c r="G100" s="149" t="s">
        <v>5</v>
      </c>
      <c r="H100" s="150"/>
      <c r="I100" s="7">
        <f>I16</f>
        <v>2423.0500000000002</v>
      </c>
      <c r="J100" s="46" t="s">
        <v>7</v>
      </c>
      <c r="K100" s="149" t="s">
        <v>5</v>
      </c>
      <c r="L100" s="150"/>
      <c r="M100" s="7">
        <f>M16</f>
        <v>2423.0500000000002</v>
      </c>
    </row>
    <row r="101" spans="2:13" ht="17.149999999999999" customHeight="1" x14ac:dyDescent="0.35">
      <c r="B101" s="2" t="s">
        <v>9</v>
      </c>
      <c r="C101" s="149" t="s">
        <v>20</v>
      </c>
      <c r="D101" s="150"/>
      <c r="E101" s="7">
        <f>E48</f>
        <v>2193.2213785600002</v>
      </c>
      <c r="F101" s="2" t="s">
        <v>9</v>
      </c>
      <c r="G101" s="149" t="s">
        <v>20</v>
      </c>
      <c r="H101" s="150"/>
      <c r="I101" s="7">
        <f>I48</f>
        <v>2193.2213785600006</v>
      </c>
      <c r="J101" s="2" t="s">
        <v>9</v>
      </c>
      <c r="K101" s="149" t="s">
        <v>20</v>
      </c>
      <c r="L101" s="150"/>
      <c r="M101" s="7">
        <f>M48</f>
        <v>2193.2213785600002</v>
      </c>
    </row>
    <row r="102" spans="2:13" ht="17.149999999999999" customHeight="1" x14ac:dyDescent="0.35">
      <c r="B102" s="2" t="s">
        <v>11</v>
      </c>
      <c r="C102" s="149" t="s">
        <v>46</v>
      </c>
      <c r="D102" s="150"/>
      <c r="E102" s="7">
        <f>E58</f>
        <v>198.43816741466665</v>
      </c>
      <c r="F102" s="2" t="s">
        <v>11</v>
      </c>
      <c r="G102" s="149" t="s">
        <v>46</v>
      </c>
      <c r="H102" s="150"/>
      <c r="I102" s="7">
        <f>I58</f>
        <v>198.43816741466665</v>
      </c>
      <c r="J102" s="2" t="s">
        <v>11</v>
      </c>
      <c r="K102" s="149" t="s">
        <v>46</v>
      </c>
      <c r="L102" s="150"/>
      <c r="M102" s="7">
        <f>M58</f>
        <v>198.43816741466665</v>
      </c>
    </row>
    <row r="103" spans="2:13" ht="17.149999999999999" customHeight="1" x14ac:dyDescent="0.35">
      <c r="B103" s="2" t="s">
        <v>13</v>
      </c>
      <c r="C103" s="149" t="s">
        <v>51</v>
      </c>
      <c r="D103" s="150"/>
      <c r="E103" s="7">
        <f>E70</f>
        <v>77.580120588530377</v>
      </c>
      <c r="F103" s="2" t="s">
        <v>13</v>
      </c>
      <c r="G103" s="149" t="s">
        <v>51</v>
      </c>
      <c r="H103" s="150"/>
      <c r="I103" s="7">
        <f>I70</f>
        <v>77.580120588530377</v>
      </c>
      <c r="J103" s="2" t="s">
        <v>13</v>
      </c>
      <c r="K103" s="149" t="s">
        <v>51</v>
      </c>
      <c r="L103" s="150"/>
      <c r="M103" s="7">
        <f>M70</f>
        <v>77.580120588530377</v>
      </c>
    </row>
    <row r="104" spans="2:13" ht="17.149999999999999" customHeight="1" x14ac:dyDescent="0.35">
      <c r="B104" s="2" t="s">
        <v>15</v>
      </c>
      <c r="C104" s="149" t="s">
        <v>60</v>
      </c>
      <c r="D104" s="150"/>
      <c r="E104" s="7">
        <f>E85</f>
        <v>608.90054258436237</v>
      </c>
      <c r="F104" s="2" t="s">
        <v>15</v>
      </c>
      <c r="G104" s="149" t="s">
        <v>60</v>
      </c>
      <c r="H104" s="150"/>
      <c r="I104" s="7">
        <f>I85</f>
        <v>580.9840603398693</v>
      </c>
      <c r="J104" s="2" t="s">
        <v>15</v>
      </c>
      <c r="K104" s="149" t="s">
        <v>60</v>
      </c>
      <c r="L104" s="150"/>
      <c r="M104" s="7">
        <f>M85</f>
        <v>752.3258652307693</v>
      </c>
    </row>
    <row r="105" spans="2:13" ht="17.149999999999999" customHeight="1" x14ac:dyDescent="0.35">
      <c r="B105" s="153" t="s">
        <v>66</v>
      </c>
      <c r="C105" s="154"/>
      <c r="D105" s="155"/>
      <c r="E105" s="49">
        <f>SUM(E100:E104)</f>
        <v>5501.1902091475604</v>
      </c>
      <c r="F105" s="153" t="s">
        <v>66</v>
      </c>
      <c r="G105" s="154"/>
      <c r="H105" s="155"/>
      <c r="I105" s="49">
        <f>SUM(I100:I104)</f>
        <v>5473.2737269030677</v>
      </c>
      <c r="J105" s="153" t="s">
        <v>66</v>
      </c>
      <c r="K105" s="154"/>
      <c r="L105" s="155"/>
      <c r="M105" s="49">
        <f>SUM(M100:M104)</f>
        <v>5644.6155317939674</v>
      </c>
    </row>
    <row r="106" spans="2:13" ht="17.149999999999999" customHeight="1" x14ac:dyDescent="0.35">
      <c r="B106" s="7" t="s">
        <v>33</v>
      </c>
      <c r="C106" s="151" t="s">
        <v>67</v>
      </c>
      <c r="D106" s="152"/>
      <c r="E106" s="7">
        <f>E95</f>
        <v>1908.5761950103779</v>
      </c>
      <c r="F106" s="7" t="s">
        <v>33</v>
      </c>
      <c r="G106" s="151" t="s">
        <v>67</v>
      </c>
      <c r="H106" s="152"/>
      <c r="I106" s="7">
        <f>I95</f>
        <v>1898.8908848439216</v>
      </c>
      <c r="J106" s="7" t="s">
        <v>33</v>
      </c>
      <c r="K106" s="151" t="s">
        <v>67</v>
      </c>
      <c r="L106" s="152"/>
      <c r="M106" s="7">
        <f>M95</f>
        <v>1958.3360008264781</v>
      </c>
    </row>
    <row r="107" spans="2:13" ht="17.149999999999999" customHeight="1" x14ac:dyDescent="0.35">
      <c r="B107" s="17" t="s">
        <v>113</v>
      </c>
      <c r="C107" s="47"/>
      <c r="D107" s="48"/>
      <c r="E107" s="49">
        <f>SUM(E105,E106)</f>
        <v>7409.7664041579383</v>
      </c>
      <c r="F107" s="17" t="s">
        <v>113</v>
      </c>
      <c r="G107" s="47"/>
      <c r="H107" s="48"/>
      <c r="I107" s="49">
        <f>SUM(I105,I106)</f>
        <v>7372.1646117469891</v>
      </c>
      <c r="J107" s="17" t="s">
        <v>113</v>
      </c>
      <c r="K107" s="47"/>
      <c r="L107" s="48"/>
      <c r="M107" s="49">
        <f>SUM(M105,M106)</f>
        <v>7602.9515326204455</v>
      </c>
    </row>
    <row r="109" spans="2:13" ht="17.149999999999999" customHeight="1" x14ac:dyDescent="0.35">
      <c r="B109" s="50"/>
      <c r="F109" s="50"/>
      <c r="J109" s="50"/>
    </row>
    <row r="111" spans="2:13" ht="17.149999999999999" customHeight="1" x14ac:dyDescent="0.35">
      <c r="B111" s="51"/>
      <c r="C111" s="51"/>
      <c r="D111" s="51"/>
      <c r="F111" s="51"/>
      <c r="G111" s="51"/>
      <c r="H111" s="51"/>
      <c r="J111" s="51"/>
      <c r="K111" s="51"/>
      <c r="L111" s="51"/>
    </row>
    <row r="113" spans="2:13" ht="17.149999999999999" customHeight="1" x14ac:dyDescent="0.35">
      <c r="B113" s="52"/>
      <c r="C113" s="53"/>
      <c r="D113" s="53"/>
      <c r="E113" s="53"/>
      <c r="F113" s="52"/>
      <c r="G113" s="53"/>
      <c r="H113" s="53"/>
      <c r="I113" s="53"/>
      <c r="J113" s="52"/>
      <c r="K113" s="53"/>
      <c r="L113" s="53"/>
      <c r="M113" s="53"/>
    </row>
    <row r="114" spans="2:13" ht="17.149999999999999" customHeight="1" x14ac:dyDescent="0.35">
      <c r="B114" s="52"/>
      <c r="C114" s="53"/>
      <c r="D114" s="53"/>
      <c r="E114" s="53"/>
      <c r="F114" s="52"/>
      <c r="G114" s="53"/>
      <c r="H114" s="53"/>
      <c r="I114" s="53"/>
      <c r="J114" s="52"/>
      <c r="K114" s="53"/>
      <c r="L114" s="53"/>
      <c r="M114" s="53"/>
    </row>
    <row r="115" spans="2:13" ht="17.149999999999999" customHeight="1" x14ac:dyDescent="0.35">
      <c r="B115" s="54"/>
      <c r="C115" s="55"/>
      <c r="D115" s="55"/>
      <c r="E115" s="55"/>
      <c r="F115" s="54"/>
      <c r="G115" s="55"/>
      <c r="H115" s="55"/>
      <c r="I115" s="55"/>
      <c r="J115" s="54"/>
      <c r="K115" s="55"/>
      <c r="L115" s="55"/>
      <c r="M115" s="55"/>
    </row>
    <row r="116" spans="2:13" ht="17.149999999999999" customHeight="1" x14ac:dyDescent="0.35">
      <c r="B116" s="54"/>
      <c r="C116" s="55"/>
      <c r="D116" s="55"/>
      <c r="E116" s="55"/>
      <c r="F116" s="54"/>
      <c r="G116" s="55"/>
      <c r="H116" s="55"/>
      <c r="I116" s="55"/>
      <c r="J116" s="54"/>
      <c r="K116" s="55"/>
      <c r="L116" s="55"/>
      <c r="M116" s="55"/>
    </row>
    <row r="117" spans="2:13" ht="17.149999999999999" customHeight="1" x14ac:dyDescent="0.35">
      <c r="B117" s="54"/>
      <c r="C117" s="55"/>
      <c r="D117" s="55"/>
      <c r="E117" s="55"/>
      <c r="F117" s="54"/>
      <c r="G117" s="55"/>
      <c r="H117" s="55"/>
      <c r="I117" s="55"/>
      <c r="J117" s="54"/>
      <c r="K117" s="55"/>
      <c r="L117" s="55"/>
      <c r="M117" s="55"/>
    </row>
    <row r="118" spans="2:13" ht="17.149999999999999" customHeight="1" x14ac:dyDescent="0.35"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</row>
    <row r="120" spans="2:13" ht="17.149999999999999" customHeight="1" x14ac:dyDescent="0.35">
      <c r="B120" s="51"/>
      <c r="F120" s="51"/>
      <c r="J120" s="51"/>
    </row>
    <row r="122" spans="2:13" ht="17.149999999999999" customHeight="1" x14ac:dyDescent="0.35">
      <c r="B122" s="50"/>
      <c r="F122" s="50"/>
      <c r="J122" s="50"/>
    </row>
    <row r="124" spans="2:13" ht="17.149999999999999" customHeight="1" x14ac:dyDescent="0.35">
      <c r="B124" s="55"/>
      <c r="C124" s="52"/>
      <c r="D124" s="52"/>
      <c r="F124" s="55"/>
      <c r="G124" s="52"/>
      <c r="H124" s="52"/>
      <c r="J124" s="55"/>
      <c r="K124" s="52"/>
      <c r="L124" s="52"/>
    </row>
    <row r="125" spans="2:13" ht="17.149999999999999" customHeight="1" x14ac:dyDescent="0.35">
      <c r="B125" s="55"/>
      <c r="C125" s="53"/>
      <c r="D125" s="55"/>
      <c r="F125" s="55"/>
      <c r="G125" s="53"/>
      <c r="H125" s="55"/>
      <c r="J125" s="55"/>
      <c r="K125" s="53"/>
      <c r="L125" s="55"/>
    </row>
    <row r="126" spans="2:13" ht="17.149999999999999" customHeight="1" x14ac:dyDescent="0.35">
      <c r="B126" s="55"/>
      <c r="C126" s="54"/>
      <c r="D126" s="55"/>
      <c r="F126" s="55"/>
      <c r="G126" s="54"/>
      <c r="H126" s="55"/>
      <c r="J126" s="55"/>
      <c r="K126" s="54"/>
      <c r="L126" s="55"/>
    </row>
    <row r="127" spans="2:13" ht="17.149999999999999" customHeight="1" x14ac:dyDescent="0.35">
      <c r="B127" s="55"/>
      <c r="C127" s="54"/>
      <c r="D127" s="55"/>
      <c r="F127" s="55"/>
      <c r="G127" s="54"/>
      <c r="H127" s="55"/>
      <c r="J127" s="55"/>
      <c r="K127" s="54"/>
      <c r="L127" s="55"/>
    </row>
    <row r="128" spans="2:13" ht="17.149999999999999" customHeight="1" x14ac:dyDescent="0.35">
      <c r="B128" s="56"/>
      <c r="C128" s="54"/>
      <c r="D128" s="56"/>
      <c r="F128" s="56"/>
      <c r="G128" s="54"/>
      <c r="H128" s="56"/>
      <c r="J128" s="56"/>
      <c r="K128" s="54"/>
      <c r="L128" s="56"/>
    </row>
    <row r="129" spans="2:12" ht="17.149999999999999" customHeight="1" x14ac:dyDescent="0.35">
      <c r="B129" s="56"/>
      <c r="C129" s="54"/>
      <c r="D129" s="56"/>
      <c r="F129" s="56"/>
      <c r="G129" s="54"/>
      <c r="H129" s="56"/>
      <c r="J129" s="56"/>
      <c r="K129" s="54"/>
      <c r="L129" s="56"/>
    </row>
    <row r="130" spans="2:12" ht="17.149999999999999" customHeight="1" x14ac:dyDescent="0.35">
      <c r="B130" s="57"/>
      <c r="F130" s="57"/>
      <c r="J130" s="57"/>
    </row>
    <row r="131" spans="2:12" ht="17.149999999999999" customHeight="1" x14ac:dyDescent="0.35">
      <c r="B131" s="57"/>
      <c r="F131" s="57"/>
      <c r="J131" s="57"/>
    </row>
  </sheetData>
  <mergeCells count="63">
    <mergeCell ref="K106:L106"/>
    <mergeCell ref="J99:L99"/>
    <mergeCell ref="K100:L100"/>
    <mergeCell ref="K101:L101"/>
    <mergeCell ref="K102:L102"/>
    <mergeCell ref="K103:L103"/>
    <mergeCell ref="G106:H106"/>
    <mergeCell ref="J4:M4"/>
    <mergeCell ref="J11:K11"/>
    <mergeCell ref="J18:M18"/>
    <mergeCell ref="J35:M35"/>
    <mergeCell ref="J50:K50"/>
    <mergeCell ref="J60:M60"/>
    <mergeCell ref="J81:L81"/>
    <mergeCell ref="K82:L82"/>
    <mergeCell ref="K83:L83"/>
    <mergeCell ref="K84:L84"/>
    <mergeCell ref="K85:L85"/>
    <mergeCell ref="J86:L86"/>
    <mergeCell ref="J88:K88"/>
    <mergeCell ref="K104:L104"/>
    <mergeCell ref="J105:L105"/>
    <mergeCell ref="G101:H101"/>
    <mergeCell ref="G102:H102"/>
    <mergeCell ref="G103:H103"/>
    <mergeCell ref="G104:H104"/>
    <mergeCell ref="F105:H105"/>
    <mergeCell ref="G85:H85"/>
    <mergeCell ref="F86:H86"/>
    <mergeCell ref="F88:G88"/>
    <mergeCell ref="F99:H99"/>
    <mergeCell ref="G100:H100"/>
    <mergeCell ref="F60:I60"/>
    <mergeCell ref="F81:H81"/>
    <mergeCell ref="G82:H82"/>
    <mergeCell ref="G83:H83"/>
    <mergeCell ref="G84:H84"/>
    <mergeCell ref="F4:I4"/>
    <mergeCell ref="F11:G11"/>
    <mergeCell ref="F18:I18"/>
    <mergeCell ref="F35:I35"/>
    <mergeCell ref="F50:G50"/>
    <mergeCell ref="B35:E35"/>
    <mergeCell ref="B4:E4"/>
    <mergeCell ref="B11:C11"/>
    <mergeCell ref="B18:E18"/>
    <mergeCell ref="B50:C50"/>
    <mergeCell ref="B60:E60"/>
    <mergeCell ref="B81:D81"/>
    <mergeCell ref="C82:D82"/>
    <mergeCell ref="C83:D83"/>
    <mergeCell ref="C84:D84"/>
    <mergeCell ref="C106:D106"/>
    <mergeCell ref="B105:D105"/>
    <mergeCell ref="C104:D104"/>
    <mergeCell ref="C85:D85"/>
    <mergeCell ref="B86:D86"/>
    <mergeCell ref="C101:D101"/>
    <mergeCell ref="C102:D102"/>
    <mergeCell ref="C103:D103"/>
    <mergeCell ref="B88:C88"/>
    <mergeCell ref="B99:D99"/>
    <mergeCell ref="C100:D100"/>
  </mergeCell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/>
  <dimension ref="A1:H15"/>
  <sheetViews>
    <sheetView zoomScale="110" zoomScaleNormal="110" workbookViewId="0">
      <selection activeCell="J19" sqref="J19"/>
    </sheetView>
  </sheetViews>
  <sheetFormatPr defaultColWidth="8.81640625" defaultRowHeight="14.5" x14ac:dyDescent="0.35"/>
  <cols>
    <col min="1" max="1" width="9" customWidth="1"/>
    <col min="2" max="2" width="44.81640625" bestFit="1" customWidth="1"/>
    <col min="3" max="3" width="11.453125" bestFit="1" customWidth="1"/>
    <col min="4" max="4" width="12" customWidth="1"/>
    <col min="7" max="7" width="9.26953125" bestFit="1" customWidth="1"/>
    <col min="8" max="8" width="12.1796875" bestFit="1" customWidth="1"/>
  </cols>
  <sheetData>
    <row r="1" spans="1:8" ht="15.5" x14ac:dyDescent="0.35">
      <c r="B1" s="10" t="s">
        <v>89</v>
      </c>
      <c r="C1" s="10"/>
    </row>
    <row r="2" spans="1:8" x14ac:dyDescent="0.35">
      <c r="B2" s="5" t="s">
        <v>125</v>
      </c>
    </row>
    <row r="4" spans="1:8" ht="53.15" customHeight="1" x14ac:dyDescent="0.35">
      <c r="A4" s="106" t="s">
        <v>126</v>
      </c>
      <c r="B4" s="25" t="s">
        <v>127</v>
      </c>
      <c r="C4" s="106" t="s">
        <v>128</v>
      </c>
      <c r="D4" s="107" t="s">
        <v>120</v>
      </c>
      <c r="E4" s="107" t="s">
        <v>121</v>
      </c>
      <c r="F4" s="107" t="s">
        <v>122</v>
      </c>
      <c r="G4" s="107" t="s">
        <v>123</v>
      </c>
      <c r="H4" s="108" t="s">
        <v>124</v>
      </c>
    </row>
    <row r="5" spans="1:8" ht="16" customHeight="1" x14ac:dyDescent="0.35">
      <c r="A5" s="175" t="s">
        <v>129</v>
      </c>
      <c r="B5" s="2" t="s">
        <v>84</v>
      </c>
      <c r="C5" s="2">
        <v>1</v>
      </c>
      <c r="D5" s="111">
        <v>13.73</v>
      </c>
      <c r="E5" s="111">
        <v>13.4</v>
      </c>
      <c r="F5" s="111">
        <v>23.48</v>
      </c>
      <c r="G5" s="112">
        <f>AVERAGE(D5:F5)</f>
        <v>16.87</v>
      </c>
      <c r="H5" s="100">
        <f>G5*C5</f>
        <v>16.87</v>
      </c>
    </row>
    <row r="6" spans="1:8" x14ac:dyDescent="0.35">
      <c r="A6" s="175"/>
      <c r="B6" s="2" t="s">
        <v>130</v>
      </c>
      <c r="C6" s="2">
        <v>1</v>
      </c>
      <c r="D6" s="100">
        <v>6.22</v>
      </c>
      <c r="E6" s="100">
        <v>5.9</v>
      </c>
      <c r="F6" s="100">
        <v>5.5</v>
      </c>
      <c r="G6" s="112">
        <f>AVERAGE(D6:F6)</f>
        <v>5.873333333333334</v>
      </c>
      <c r="H6" s="100">
        <f>G6*C6</f>
        <v>5.873333333333334</v>
      </c>
    </row>
    <row r="7" spans="1:8" x14ac:dyDescent="0.35">
      <c r="A7" s="175"/>
      <c r="B7" s="2" t="s">
        <v>131</v>
      </c>
      <c r="C7" s="2">
        <v>2</v>
      </c>
      <c r="D7" s="100">
        <v>8.18</v>
      </c>
      <c r="E7" s="100">
        <v>10.71</v>
      </c>
      <c r="F7" s="100">
        <v>7.57</v>
      </c>
      <c r="G7" s="112">
        <f>AVERAGE(D7:F7)</f>
        <v>8.82</v>
      </c>
      <c r="H7" s="100">
        <f>G7*C7</f>
        <v>17.64</v>
      </c>
    </row>
    <row r="8" spans="1:8" x14ac:dyDescent="0.35">
      <c r="A8" s="175"/>
      <c r="B8" s="2" t="s">
        <v>132</v>
      </c>
      <c r="C8" s="2">
        <v>1</v>
      </c>
      <c r="D8" s="111">
        <v>4.3499999999999996</v>
      </c>
      <c r="E8" s="111">
        <v>6.49</v>
      </c>
      <c r="F8" s="111">
        <v>8.9</v>
      </c>
      <c r="G8" s="112">
        <f t="shared" ref="G8:G13" si="0">AVERAGE(D8:F8)</f>
        <v>6.580000000000001</v>
      </c>
      <c r="H8" s="100">
        <f t="shared" ref="H8:H12" si="1">G8*C8</f>
        <v>6.580000000000001</v>
      </c>
    </row>
    <row r="9" spans="1:8" x14ac:dyDescent="0.35">
      <c r="A9" s="175"/>
      <c r="B9" s="2" t="s">
        <v>119</v>
      </c>
      <c r="C9" s="2">
        <v>1</v>
      </c>
      <c r="D9" s="111">
        <v>39.89</v>
      </c>
      <c r="E9" s="111">
        <v>31.1</v>
      </c>
      <c r="F9" s="111">
        <v>33.32</v>
      </c>
      <c r="G9" s="112">
        <f t="shared" si="0"/>
        <v>34.770000000000003</v>
      </c>
      <c r="H9" s="100">
        <f t="shared" si="1"/>
        <v>34.770000000000003</v>
      </c>
    </row>
    <row r="10" spans="1:8" x14ac:dyDescent="0.35">
      <c r="A10" s="175"/>
      <c r="B10" s="2" t="s">
        <v>133</v>
      </c>
      <c r="C10" s="2">
        <v>1</v>
      </c>
      <c r="D10" s="100">
        <v>46.4</v>
      </c>
      <c r="E10" s="100">
        <v>45.8</v>
      </c>
      <c r="F10" s="100">
        <v>46.76</v>
      </c>
      <c r="G10" s="112">
        <f t="shared" si="0"/>
        <v>46.319999999999993</v>
      </c>
      <c r="H10" s="100">
        <f t="shared" si="1"/>
        <v>46.319999999999993</v>
      </c>
    </row>
    <row r="11" spans="1:8" x14ac:dyDescent="0.35">
      <c r="A11" s="175"/>
      <c r="B11" s="2" t="s">
        <v>134</v>
      </c>
      <c r="C11" s="2">
        <v>1</v>
      </c>
      <c r="D11" s="100">
        <v>16</v>
      </c>
      <c r="E11" s="100">
        <v>20</v>
      </c>
      <c r="F11" s="100">
        <v>20.71</v>
      </c>
      <c r="G11" s="112">
        <f t="shared" si="0"/>
        <v>18.903333333333332</v>
      </c>
      <c r="H11" s="100">
        <f t="shared" si="1"/>
        <v>18.903333333333332</v>
      </c>
    </row>
    <row r="12" spans="1:8" x14ac:dyDescent="0.35">
      <c r="A12" s="175"/>
      <c r="B12" s="2" t="s">
        <v>135</v>
      </c>
      <c r="C12" s="2">
        <v>2</v>
      </c>
      <c r="D12" s="111">
        <v>14.6</v>
      </c>
      <c r="E12" s="111">
        <v>16.899999999999999</v>
      </c>
      <c r="F12" s="111">
        <v>18.899999999999999</v>
      </c>
      <c r="G12" s="112">
        <f t="shared" si="0"/>
        <v>16.8</v>
      </c>
      <c r="H12" s="100">
        <f t="shared" si="1"/>
        <v>33.6</v>
      </c>
    </row>
    <row r="13" spans="1:8" ht="16" customHeight="1" x14ac:dyDescent="0.35">
      <c r="A13" s="175"/>
      <c r="B13" s="2" t="s">
        <v>136</v>
      </c>
      <c r="C13" s="2">
        <v>2</v>
      </c>
      <c r="D13" s="100">
        <v>57.9</v>
      </c>
      <c r="E13" s="100">
        <v>43</v>
      </c>
      <c r="F13" s="100">
        <v>48.99</v>
      </c>
      <c r="G13" s="112">
        <f t="shared" si="0"/>
        <v>49.963333333333338</v>
      </c>
      <c r="H13" s="100">
        <f>G13*C13</f>
        <v>99.926666666666677</v>
      </c>
    </row>
    <row r="14" spans="1:8" ht="16" customHeight="1" x14ac:dyDescent="0.35">
      <c r="A14" s="176" t="s">
        <v>85</v>
      </c>
      <c r="B14" s="177"/>
      <c r="C14" s="177"/>
      <c r="D14" s="177"/>
      <c r="E14" s="177"/>
      <c r="F14" s="177"/>
      <c r="G14" s="178"/>
      <c r="H14" s="113">
        <f>SUM(H5:H13)</f>
        <v>280.48333333333335</v>
      </c>
    </row>
    <row r="15" spans="1:8" ht="25" customHeight="1" x14ac:dyDescent="0.35">
      <c r="A15" s="176" t="s">
        <v>90</v>
      </c>
      <c r="B15" s="177"/>
      <c r="C15" s="177"/>
      <c r="D15" s="177"/>
      <c r="E15" s="177"/>
      <c r="F15" s="177"/>
      <c r="G15" s="178"/>
      <c r="H15" s="113">
        <f>H14/12</f>
        <v>23.373611111111114</v>
      </c>
    </row>
  </sheetData>
  <mergeCells count="3">
    <mergeCell ref="A5:A13"/>
    <mergeCell ref="A14:G14"/>
    <mergeCell ref="A15:G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/>
  <dimension ref="B1:X61"/>
  <sheetViews>
    <sheetView view="pageBreakPreview" zoomScale="70" zoomScaleNormal="90" zoomScaleSheetLayoutView="70" workbookViewId="0">
      <selection activeCell="G5" sqref="G5"/>
    </sheetView>
  </sheetViews>
  <sheetFormatPr defaultColWidth="8.81640625" defaultRowHeight="50.15" customHeight="1" x14ac:dyDescent="0.35"/>
  <cols>
    <col min="1" max="1" width="9" customWidth="1"/>
    <col min="2" max="2" width="22.26953125" style="21" customWidth="1"/>
    <col min="3" max="3" width="13" bestFit="1" customWidth="1"/>
    <col min="4" max="6" width="11.81640625" bestFit="1" customWidth="1"/>
    <col min="7" max="7" width="24.54296875" customWidth="1"/>
    <col min="8" max="8" width="26.1796875" customWidth="1"/>
    <col min="9" max="9" width="8.36328125" customWidth="1"/>
    <col min="10" max="10" width="19.7265625" bestFit="1" customWidth="1"/>
    <col min="11" max="11" width="12.81640625" customWidth="1"/>
    <col min="12" max="14" width="13.81640625" customWidth="1"/>
    <col min="15" max="15" width="13.453125" bestFit="1" customWidth="1"/>
    <col min="16" max="16" width="18" bestFit="1" customWidth="1"/>
    <col min="18" max="18" width="19.7265625" bestFit="1" customWidth="1"/>
    <col min="19" max="19" width="9.54296875" bestFit="1" customWidth="1"/>
    <col min="20" max="21" width="11.1796875" bestFit="1" customWidth="1"/>
    <col min="22" max="22" width="10.54296875" bestFit="1" customWidth="1"/>
    <col min="23" max="23" width="13.453125" bestFit="1" customWidth="1"/>
    <col min="24" max="24" width="18.26953125" bestFit="1" customWidth="1"/>
  </cols>
  <sheetData>
    <row r="1" spans="2:24" ht="43.5" customHeight="1" x14ac:dyDescent="0.35">
      <c r="B1" s="179" t="s">
        <v>89</v>
      </c>
      <c r="C1" s="179"/>
      <c r="D1" s="179"/>
      <c r="E1" s="179"/>
      <c r="F1" s="179"/>
      <c r="G1" s="179"/>
      <c r="H1" s="102" t="s">
        <v>87</v>
      </c>
      <c r="J1" s="179" t="s">
        <v>89</v>
      </c>
      <c r="K1" s="179"/>
      <c r="L1" s="179"/>
      <c r="M1" s="179"/>
      <c r="N1" s="179"/>
      <c r="O1" s="179"/>
      <c r="P1" s="102" t="s">
        <v>115</v>
      </c>
      <c r="R1" s="179" t="s">
        <v>89</v>
      </c>
      <c r="S1" s="179"/>
      <c r="T1" s="179"/>
      <c r="U1" s="179"/>
      <c r="V1" s="179"/>
      <c r="W1" s="179"/>
      <c r="X1" s="102" t="s">
        <v>116</v>
      </c>
    </row>
    <row r="2" spans="2:24" ht="17.149999999999999" customHeight="1" x14ac:dyDescent="0.35">
      <c r="B2" s="22" t="s">
        <v>73</v>
      </c>
      <c r="C2" s="186"/>
      <c r="D2" s="186"/>
      <c r="E2" s="186"/>
      <c r="F2" s="186"/>
      <c r="G2" s="186"/>
      <c r="H2" s="186"/>
      <c r="J2" s="22" t="s">
        <v>73</v>
      </c>
      <c r="R2" s="22" t="s">
        <v>73</v>
      </c>
    </row>
    <row r="3" spans="2:24" ht="17.149999999999999" customHeight="1" thickBot="1" x14ac:dyDescent="0.4">
      <c r="B3" s="22"/>
      <c r="J3" s="22"/>
      <c r="R3" s="22"/>
    </row>
    <row r="4" spans="2:24" ht="50.15" customHeight="1" thickBot="1" x14ac:dyDescent="0.4">
      <c r="B4" s="4" t="s">
        <v>86</v>
      </c>
      <c r="C4" s="3" t="s">
        <v>91</v>
      </c>
      <c r="D4" s="98" t="s">
        <v>120</v>
      </c>
      <c r="E4" s="98" t="s">
        <v>121</v>
      </c>
      <c r="F4" s="98" t="s">
        <v>122</v>
      </c>
      <c r="G4" s="98" t="s">
        <v>123</v>
      </c>
      <c r="H4" s="99" t="s">
        <v>124</v>
      </c>
      <c r="J4" s="4" t="s">
        <v>86</v>
      </c>
      <c r="K4" s="3" t="s">
        <v>91</v>
      </c>
      <c r="L4" s="98" t="s">
        <v>120</v>
      </c>
      <c r="M4" s="98" t="s">
        <v>121</v>
      </c>
      <c r="N4" s="98" t="s">
        <v>122</v>
      </c>
      <c r="O4" s="98" t="s">
        <v>123</v>
      </c>
      <c r="P4" s="99" t="s">
        <v>124</v>
      </c>
      <c r="R4" s="4" t="s">
        <v>86</v>
      </c>
      <c r="S4" s="3" t="s">
        <v>91</v>
      </c>
      <c r="T4" s="98" t="s">
        <v>120</v>
      </c>
      <c r="U4" s="98" t="s">
        <v>121</v>
      </c>
      <c r="V4" s="98" t="s">
        <v>122</v>
      </c>
      <c r="W4" s="98" t="s">
        <v>123</v>
      </c>
      <c r="X4" s="99" t="s">
        <v>124</v>
      </c>
    </row>
    <row r="5" spans="2:24" ht="50.15" customHeight="1" x14ac:dyDescent="0.35">
      <c r="B5" s="95" t="s">
        <v>137</v>
      </c>
      <c r="C5" s="1">
        <v>1344</v>
      </c>
      <c r="D5" s="7">
        <v>5</v>
      </c>
      <c r="E5" s="7">
        <v>4.2</v>
      </c>
      <c r="F5" s="7">
        <v>3.8</v>
      </c>
      <c r="G5" s="103">
        <f>MIN(D5:F5)</f>
        <v>3.8</v>
      </c>
      <c r="H5" s="101">
        <f>G5*C5</f>
        <v>5107.2</v>
      </c>
      <c r="J5" s="95" t="s">
        <v>137</v>
      </c>
      <c r="K5" s="1">
        <v>768</v>
      </c>
      <c r="L5" s="7">
        <v>5</v>
      </c>
      <c r="M5" s="7">
        <v>4.2</v>
      </c>
      <c r="N5" s="7">
        <v>3.8</v>
      </c>
      <c r="O5" s="103">
        <f>AVERAGE(L5:N5)</f>
        <v>4.333333333333333</v>
      </c>
      <c r="P5" s="101">
        <f>O5*K5</f>
        <v>3328</v>
      </c>
      <c r="R5" s="95" t="s">
        <v>137</v>
      </c>
      <c r="S5" s="1">
        <v>768</v>
      </c>
      <c r="T5" s="7">
        <v>5</v>
      </c>
      <c r="U5" s="7">
        <v>4.2</v>
      </c>
      <c r="V5" s="7">
        <v>3.8</v>
      </c>
      <c r="W5" s="103">
        <f>AVERAGE(T5:V5)</f>
        <v>4.333333333333333</v>
      </c>
      <c r="X5" s="101">
        <f>W5*S5</f>
        <v>3328</v>
      </c>
    </row>
    <row r="6" spans="2:24" ht="50.15" customHeight="1" x14ac:dyDescent="0.35">
      <c r="B6" s="95" t="s">
        <v>138</v>
      </c>
      <c r="C6" s="1">
        <v>1260</v>
      </c>
      <c r="D6" s="7">
        <v>5.0999999999999996</v>
      </c>
      <c r="E6" s="7">
        <v>5.3</v>
      </c>
      <c r="F6" s="7">
        <v>5.34</v>
      </c>
      <c r="G6" s="103">
        <f t="shared" ref="G6:G58" si="0">AVERAGE(D6:F6)</f>
        <v>5.2466666666666661</v>
      </c>
      <c r="H6" s="101">
        <f t="shared" ref="H6:H58" si="1">G6*C6</f>
        <v>6610.7999999999993</v>
      </c>
      <c r="J6" s="95" t="s">
        <v>138</v>
      </c>
      <c r="K6" s="1">
        <v>720</v>
      </c>
      <c r="L6" s="7">
        <v>5.0999999999999996</v>
      </c>
      <c r="M6" s="7">
        <v>5.3</v>
      </c>
      <c r="N6" s="7">
        <v>5.34</v>
      </c>
      <c r="O6" s="103">
        <f t="shared" ref="O6:O34" si="2">AVERAGE(L6:N6)</f>
        <v>5.2466666666666661</v>
      </c>
      <c r="P6" s="101">
        <f t="shared" ref="P6:P58" si="3">O6*K6</f>
        <v>3777.5999999999995</v>
      </c>
      <c r="R6" s="95" t="s">
        <v>138</v>
      </c>
      <c r="S6" s="1">
        <v>720</v>
      </c>
      <c r="T6" s="7">
        <v>5.0999999999999996</v>
      </c>
      <c r="U6" s="7">
        <v>5.3</v>
      </c>
      <c r="V6" s="7">
        <v>5.34</v>
      </c>
      <c r="W6" s="103">
        <f t="shared" ref="W6:W34" si="4">AVERAGE(T6:V6)</f>
        <v>5.2466666666666661</v>
      </c>
      <c r="X6" s="101">
        <f t="shared" ref="X6:X58" si="5">W6*S6</f>
        <v>3777.5999999999995</v>
      </c>
    </row>
    <row r="7" spans="2:24" ht="50.15" customHeight="1" x14ac:dyDescent="0.35">
      <c r="B7" s="95" t="s">
        <v>139</v>
      </c>
      <c r="C7" s="1">
        <v>76</v>
      </c>
      <c r="D7" s="7">
        <v>5.6</v>
      </c>
      <c r="E7" s="7">
        <v>4.5</v>
      </c>
      <c r="F7" s="7">
        <v>6.1</v>
      </c>
      <c r="G7" s="103">
        <f t="shared" si="0"/>
        <v>5.3999999999999995</v>
      </c>
      <c r="H7" s="101">
        <f t="shared" si="1"/>
        <v>410.4</v>
      </c>
      <c r="J7" s="95" t="s">
        <v>139</v>
      </c>
      <c r="K7" s="1">
        <v>48</v>
      </c>
      <c r="L7" s="7">
        <v>5.6</v>
      </c>
      <c r="M7" s="7">
        <v>4.5</v>
      </c>
      <c r="N7" s="7">
        <v>6.1</v>
      </c>
      <c r="O7" s="103">
        <f t="shared" si="2"/>
        <v>5.3999999999999995</v>
      </c>
      <c r="P7" s="101">
        <f t="shared" si="3"/>
        <v>259.2</v>
      </c>
      <c r="R7" s="95" t="s">
        <v>139</v>
      </c>
      <c r="S7" s="1">
        <v>48</v>
      </c>
      <c r="T7" s="7">
        <v>5.6</v>
      </c>
      <c r="U7" s="7">
        <v>4.5</v>
      </c>
      <c r="V7" s="7">
        <v>6.1</v>
      </c>
      <c r="W7" s="103">
        <f t="shared" si="4"/>
        <v>5.3999999999999995</v>
      </c>
      <c r="X7" s="101">
        <f t="shared" si="5"/>
        <v>259.2</v>
      </c>
    </row>
    <row r="8" spans="2:24" ht="50.15" customHeight="1" x14ac:dyDescent="0.35">
      <c r="B8" s="95" t="s">
        <v>140</v>
      </c>
      <c r="C8" s="1">
        <v>76</v>
      </c>
      <c r="D8" s="7">
        <v>12</v>
      </c>
      <c r="E8" s="7">
        <v>10.9</v>
      </c>
      <c r="F8" s="7">
        <v>10</v>
      </c>
      <c r="G8" s="103">
        <f t="shared" si="0"/>
        <v>10.966666666666667</v>
      </c>
      <c r="H8" s="101">
        <f t="shared" si="1"/>
        <v>833.4666666666667</v>
      </c>
      <c r="J8" s="95" t="s">
        <v>140</v>
      </c>
      <c r="K8" s="1">
        <v>48</v>
      </c>
      <c r="L8" s="7">
        <v>12</v>
      </c>
      <c r="M8" s="7">
        <v>10.9</v>
      </c>
      <c r="N8" s="7">
        <v>10</v>
      </c>
      <c r="O8" s="103">
        <f t="shared" si="2"/>
        <v>10.966666666666667</v>
      </c>
      <c r="P8" s="101">
        <f t="shared" si="3"/>
        <v>526.4</v>
      </c>
      <c r="R8" s="95" t="s">
        <v>140</v>
      </c>
      <c r="S8" s="1">
        <v>48</v>
      </c>
      <c r="T8" s="7">
        <v>12</v>
      </c>
      <c r="U8" s="7">
        <v>10.9</v>
      </c>
      <c r="V8" s="7">
        <v>10</v>
      </c>
      <c r="W8" s="103">
        <f t="shared" si="4"/>
        <v>10.966666666666667</v>
      </c>
      <c r="X8" s="101">
        <f t="shared" si="5"/>
        <v>526.4</v>
      </c>
    </row>
    <row r="9" spans="2:24" ht="50.15" customHeight="1" x14ac:dyDescent="0.35">
      <c r="B9" s="95" t="s">
        <v>141</v>
      </c>
      <c r="C9" s="1">
        <v>84</v>
      </c>
      <c r="D9" s="7">
        <v>27</v>
      </c>
      <c r="E9" s="7">
        <v>28.33</v>
      </c>
      <c r="F9" s="7">
        <v>28.33</v>
      </c>
      <c r="G9" s="103">
        <f t="shared" si="0"/>
        <v>27.886666666666667</v>
      </c>
      <c r="H9" s="101">
        <f t="shared" si="1"/>
        <v>2342.48</v>
      </c>
      <c r="J9" s="95" t="s">
        <v>141</v>
      </c>
      <c r="K9" s="1">
        <v>48</v>
      </c>
      <c r="L9" s="7">
        <v>27</v>
      </c>
      <c r="M9" s="7">
        <v>28.33</v>
      </c>
      <c r="N9" s="7">
        <v>28.33</v>
      </c>
      <c r="O9" s="103">
        <f t="shared" si="2"/>
        <v>27.886666666666667</v>
      </c>
      <c r="P9" s="101">
        <f t="shared" si="3"/>
        <v>1338.56</v>
      </c>
      <c r="R9" s="95" t="s">
        <v>141</v>
      </c>
      <c r="S9" s="1">
        <v>48</v>
      </c>
      <c r="T9" s="7">
        <v>27</v>
      </c>
      <c r="U9" s="7">
        <v>28.33</v>
      </c>
      <c r="V9" s="7">
        <v>28.33</v>
      </c>
      <c r="W9" s="103">
        <f t="shared" si="4"/>
        <v>27.886666666666667</v>
      </c>
      <c r="X9" s="101">
        <f t="shared" si="5"/>
        <v>1338.56</v>
      </c>
    </row>
    <row r="10" spans="2:24" ht="50.15" customHeight="1" x14ac:dyDescent="0.35">
      <c r="B10" s="95" t="s">
        <v>142</v>
      </c>
      <c r="C10" s="1">
        <v>420</v>
      </c>
      <c r="D10" s="7">
        <v>15.9</v>
      </c>
      <c r="E10" s="7">
        <v>16.100000000000001</v>
      </c>
      <c r="F10" s="7">
        <v>10.99</v>
      </c>
      <c r="G10" s="103">
        <f t="shared" si="0"/>
        <v>14.33</v>
      </c>
      <c r="H10" s="101">
        <f t="shared" si="1"/>
        <v>6018.6</v>
      </c>
      <c r="J10" s="95" t="s">
        <v>142</v>
      </c>
      <c r="K10" s="1">
        <v>240</v>
      </c>
      <c r="L10" s="7">
        <v>15.9</v>
      </c>
      <c r="M10" s="7">
        <v>16.100000000000001</v>
      </c>
      <c r="N10" s="7">
        <v>10.99</v>
      </c>
      <c r="O10" s="103">
        <f t="shared" si="2"/>
        <v>14.33</v>
      </c>
      <c r="P10" s="101">
        <f t="shared" si="3"/>
        <v>3439.2</v>
      </c>
      <c r="R10" s="95" t="s">
        <v>142</v>
      </c>
      <c r="S10" s="1">
        <v>240</v>
      </c>
      <c r="T10" s="7">
        <v>15.9</v>
      </c>
      <c r="U10" s="7">
        <v>16.100000000000001</v>
      </c>
      <c r="V10" s="7">
        <v>10.99</v>
      </c>
      <c r="W10" s="103">
        <f t="shared" si="4"/>
        <v>14.33</v>
      </c>
      <c r="X10" s="101">
        <f t="shared" si="5"/>
        <v>3439.2</v>
      </c>
    </row>
    <row r="11" spans="2:24" ht="50.15" customHeight="1" x14ac:dyDescent="0.35">
      <c r="B11" s="95" t="s">
        <v>143</v>
      </c>
      <c r="C11" s="1">
        <v>168</v>
      </c>
      <c r="D11" s="7">
        <v>10.51</v>
      </c>
      <c r="E11" s="7">
        <v>10.51</v>
      </c>
      <c r="F11" s="7">
        <v>11.58</v>
      </c>
      <c r="G11" s="103">
        <f t="shared" si="0"/>
        <v>10.866666666666667</v>
      </c>
      <c r="H11" s="101">
        <f t="shared" si="1"/>
        <v>1825.6000000000001</v>
      </c>
      <c r="J11" s="95" t="s">
        <v>143</v>
      </c>
      <c r="K11" s="1">
        <v>96</v>
      </c>
      <c r="L11" s="7">
        <v>10.51</v>
      </c>
      <c r="M11" s="7">
        <v>10.51</v>
      </c>
      <c r="N11" s="7">
        <v>11.58</v>
      </c>
      <c r="O11" s="103">
        <f t="shared" si="2"/>
        <v>10.866666666666667</v>
      </c>
      <c r="P11" s="101">
        <f t="shared" si="3"/>
        <v>1043.2</v>
      </c>
      <c r="R11" s="95" t="s">
        <v>143</v>
      </c>
      <c r="S11" s="1">
        <v>96</v>
      </c>
      <c r="T11" s="7">
        <v>10.51</v>
      </c>
      <c r="U11" s="7">
        <v>10.51</v>
      </c>
      <c r="V11" s="7">
        <v>11.58</v>
      </c>
      <c r="W11" s="103">
        <f t="shared" si="4"/>
        <v>10.866666666666667</v>
      </c>
      <c r="X11" s="101">
        <f t="shared" si="5"/>
        <v>1043.2</v>
      </c>
    </row>
    <row r="12" spans="2:24" ht="50.15" customHeight="1" x14ac:dyDescent="0.35">
      <c r="B12" s="95" t="s">
        <v>144</v>
      </c>
      <c r="C12" s="1">
        <v>14</v>
      </c>
      <c r="D12" s="7">
        <v>3.32</v>
      </c>
      <c r="E12" s="7">
        <v>2.09</v>
      </c>
      <c r="F12" s="7">
        <v>4.74</v>
      </c>
      <c r="G12" s="103">
        <f t="shared" si="0"/>
        <v>3.3833333333333333</v>
      </c>
      <c r="H12" s="101">
        <f t="shared" si="1"/>
        <v>47.366666666666667</v>
      </c>
      <c r="J12" s="95" t="s">
        <v>144</v>
      </c>
      <c r="K12" s="1">
        <v>8</v>
      </c>
      <c r="L12" s="7">
        <v>3.32</v>
      </c>
      <c r="M12" s="7">
        <v>2.09</v>
      </c>
      <c r="N12" s="7">
        <v>4.74</v>
      </c>
      <c r="O12" s="103">
        <f t="shared" si="2"/>
        <v>3.3833333333333333</v>
      </c>
      <c r="P12" s="101">
        <f t="shared" si="3"/>
        <v>27.066666666666666</v>
      </c>
      <c r="R12" s="95" t="s">
        <v>144</v>
      </c>
      <c r="S12" s="1">
        <v>8</v>
      </c>
      <c r="T12" s="7">
        <v>3.32</v>
      </c>
      <c r="U12" s="7">
        <v>2.09</v>
      </c>
      <c r="V12" s="7">
        <v>4.74</v>
      </c>
      <c r="W12" s="103">
        <f t="shared" si="4"/>
        <v>3.3833333333333333</v>
      </c>
      <c r="X12" s="101">
        <f t="shared" si="5"/>
        <v>27.066666666666666</v>
      </c>
    </row>
    <row r="13" spans="2:24" ht="50.15" customHeight="1" x14ac:dyDescent="0.35">
      <c r="B13" s="95" t="s">
        <v>145</v>
      </c>
      <c r="C13" s="1">
        <v>14</v>
      </c>
      <c r="D13" s="7">
        <v>5.63</v>
      </c>
      <c r="E13" s="7">
        <v>4.8600000000000003</v>
      </c>
      <c r="F13" s="7">
        <v>3.9</v>
      </c>
      <c r="G13" s="103">
        <f t="shared" si="0"/>
        <v>4.7966666666666669</v>
      </c>
      <c r="H13" s="101">
        <f t="shared" si="1"/>
        <v>67.153333333333336</v>
      </c>
      <c r="J13" s="95" t="s">
        <v>145</v>
      </c>
      <c r="K13" s="1">
        <v>8</v>
      </c>
      <c r="L13" s="7">
        <v>5.63</v>
      </c>
      <c r="M13" s="7">
        <v>4.8600000000000003</v>
      </c>
      <c r="N13" s="7">
        <v>3.9</v>
      </c>
      <c r="O13" s="103">
        <f t="shared" si="2"/>
        <v>4.7966666666666669</v>
      </c>
      <c r="P13" s="101">
        <f t="shared" si="3"/>
        <v>38.373333333333335</v>
      </c>
      <c r="R13" s="95" t="s">
        <v>145</v>
      </c>
      <c r="S13" s="1">
        <v>8</v>
      </c>
      <c r="T13" s="7">
        <v>5.63</v>
      </c>
      <c r="U13" s="7">
        <v>4.8600000000000003</v>
      </c>
      <c r="V13" s="7">
        <v>3.9</v>
      </c>
      <c r="W13" s="103">
        <f t="shared" si="4"/>
        <v>4.7966666666666669</v>
      </c>
      <c r="X13" s="101">
        <f t="shared" si="5"/>
        <v>38.373333333333335</v>
      </c>
    </row>
    <row r="14" spans="2:24" ht="50.15" customHeight="1" x14ac:dyDescent="0.35">
      <c r="B14" s="95" t="s">
        <v>146</v>
      </c>
      <c r="C14" s="1">
        <v>420</v>
      </c>
      <c r="D14" s="7">
        <v>11</v>
      </c>
      <c r="E14" s="7">
        <v>11.45</v>
      </c>
      <c r="F14" s="7">
        <v>11.1</v>
      </c>
      <c r="G14" s="103">
        <f t="shared" si="0"/>
        <v>11.183333333333332</v>
      </c>
      <c r="H14" s="101">
        <f t="shared" si="1"/>
        <v>4696.9999999999991</v>
      </c>
      <c r="J14" s="95" t="s">
        <v>146</v>
      </c>
      <c r="K14" s="1">
        <v>240</v>
      </c>
      <c r="L14" s="7">
        <v>11</v>
      </c>
      <c r="M14" s="7">
        <v>11.45</v>
      </c>
      <c r="N14" s="7">
        <v>11.1</v>
      </c>
      <c r="O14" s="103">
        <f t="shared" si="2"/>
        <v>11.183333333333332</v>
      </c>
      <c r="P14" s="101">
        <f t="shared" si="3"/>
        <v>2683.9999999999995</v>
      </c>
      <c r="R14" s="95" t="s">
        <v>146</v>
      </c>
      <c r="S14" s="1">
        <v>240</v>
      </c>
      <c r="T14" s="7">
        <v>11</v>
      </c>
      <c r="U14" s="7">
        <v>11.45</v>
      </c>
      <c r="V14" s="7">
        <v>11.1</v>
      </c>
      <c r="W14" s="103">
        <f t="shared" si="4"/>
        <v>11.183333333333332</v>
      </c>
      <c r="X14" s="101">
        <f t="shared" si="5"/>
        <v>2683.9999999999995</v>
      </c>
    </row>
    <row r="15" spans="2:24" ht="50.15" customHeight="1" x14ac:dyDescent="0.35">
      <c r="B15" s="95" t="s">
        <v>147</v>
      </c>
      <c r="C15" s="1">
        <v>168</v>
      </c>
      <c r="D15" s="7">
        <v>20.3</v>
      </c>
      <c r="E15" s="7">
        <v>19.2</v>
      </c>
      <c r="F15" s="7">
        <v>15.23</v>
      </c>
      <c r="G15" s="103">
        <f t="shared" si="0"/>
        <v>18.243333333333336</v>
      </c>
      <c r="H15" s="101">
        <f t="shared" si="1"/>
        <v>3064.8800000000006</v>
      </c>
      <c r="J15" s="95" t="s">
        <v>147</v>
      </c>
      <c r="K15" s="1">
        <v>96</v>
      </c>
      <c r="L15" s="7">
        <v>20.3</v>
      </c>
      <c r="M15" s="7">
        <v>19.2</v>
      </c>
      <c r="N15" s="7">
        <v>15.23</v>
      </c>
      <c r="O15" s="103">
        <f t="shared" si="2"/>
        <v>18.243333333333336</v>
      </c>
      <c r="P15" s="101">
        <f t="shared" si="3"/>
        <v>1751.3600000000001</v>
      </c>
      <c r="R15" s="95" t="s">
        <v>147</v>
      </c>
      <c r="S15" s="1">
        <v>96</v>
      </c>
      <c r="T15" s="7">
        <v>20.3</v>
      </c>
      <c r="U15" s="7">
        <v>19.2</v>
      </c>
      <c r="V15" s="7">
        <v>15.23</v>
      </c>
      <c r="W15" s="103">
        <f t="shared" si="4"/>
        <v>18.243333333333336</v>
      </c>
      <c r="X15" s="101">
        <f t="shared" si="5"/>
        <v>1751.3600000000001</v>
      </c>
    </row>
    <row r="16" spans="2:24" ht="50.15" customHeight="1" x14ac:dyDescent="0.35">
      <c r="B16" s="95" t="s">
        <v>148</v>
      </c>
      <c r="C16" s="1">
        <v>280</v>
      </c>
      <c r="D16" s="7">
        <v>2.4</v>
      </c>
      <c r="E16" s="7">
        <v>2.95</v>
      </c>
      <c r="F16" s="7">
        <v>2.42</v>
      </c>
      <c r="G16" s="103">
        <f t="shared" si="0"/>
        <v>2.59</v>
      </c>
      <c r="H16" s="101">
        <f t="shared" si="1"/>
        <v>725.19999999999993</v>
      </c>
      <c r="J16" s="95" t="s">
        <v>148</v>
      </c>
      <c r="K16" s="1">
        <v>160</v>
      </c>
      <c r="L16" s="7">
        <v>2.4</v>
      </c>
      <c r="M16" s="7">
        <v>2.95</v>
      </c>
      <c r="N16" s="7">
        <v>2.42</v>
      </c>
      <c r="O16" s="103">
        <f t="shared" si="2"/>
        <v>2.59</v>
      </c>
      <c r="P16" s="101">
        <f t="shared" si="3"/>
        <v>414.4</v>
      </c>
      <c r="R16" s="95" t="s">
        <v>148</v>
      </c>
      <c r="S16" s="1">
        <v>160</v>
      </c>
      <c r="T16" s="7">
        <v>2.4</v>
      </c>
      <c r="U16" s="7">
        <v>2.95</v>
      </c>
      <c r="V16" s="7">
        <v>2.42</v>
      </c>
      <c r="W16" s="103">
        <f t="shared" si="4"/>
        <v>2.59</v>
      </c>
      <c r="X16" s="101">
        <f t="shared" si="5"/>
        <v>414.4</v>
      </c>
    </row>
    <row r="17" spans="2:24" ht="50.15" customHeight="1" x14ac:dyDescent="0.35">
      <c r="B17" s="95" t="s">
        <v>149</v>
      </c>
      <c r="C17" s="1">
        <v>3900</v>
      </c>
      <c r="D17" s="7">
        <v>0.45</v>
      </c>
      <c r="E17" s="7">
        <v>0.54</v>
      </c>
      <c r="F17" s="7">
        <v>0.4</v>
      </c>
      <c r="G17" s="103">
        <f t="shared" si="0"/>
        <v>0.46333333333333337</v>
      </c>
      <c r="H17" s="101">
        <f t="shared" si="1"/>
        <v>1807.0000000000002</v>
      </c>
      <c r="J17" s="95" t="s">
        <v>149</v>
      </c>
      <c r="K17" s="1">
        <v>2400</v>
      </c>
      <c r="L17" s="7">
        <v>0.45</v>
      </c>
      <c r="M17" s="7">
        <v>0.54</v>
      </c>
      <c r="N17" s="7">
        <v>0.4</v>
      </c>
      <c r="O17" s="103">
        <f t="shared" si="2"/>
        <v>0.46333333333333337</v>
      </c>
      <c r="P17" s="101">
        <f t="shared" si="3"/>
        <v>1112</v>
      </c>
      <c r="R17" s="95" t="s">
        <v>149</v>
      </c>
      <c r="S17" s="1">
        <v>2400</v>
      </c>
      <c r="T17" s="7">
        <v>0.45</v>
      </c>
      <c r="U17" s="7">
        <v>0.54</v>
      </c>
      <c r="V17" s="7">
        <v>0.4</v>
      </c>
      <c r="W17" s="103">
        <f t="shared" si="4"/>
        <v>0.46333333333333337</v>
      </c>
      <c r="X17" s="101">
        <f t="shared" si="5"/>
        <v>1112</v>
      </c>
    </row>
    <row r="18" spans="2:24" ht="50.15" customHeight="1" x14ac:dyDescent="0.35">
      <c r="B18" s="95" t="s">
        <v>150</v>
      </c>
      <c r="C18" s="1">
        <v>420</v>
      </c>
      <c r="D18" s="7">
        <v>1.4</v>
      </c>
      <c r="E18" s="7">
        <v>2.78</v>
      </c>
      <c r="F18" s="7">
        <v>1.98</v>
      </c>
      <c r="G18" s="103">
        <f t="shared" si="0"/>
        <v>2.0533333333333332</v>
      </c>
      <c r="H18" s="101">
        <f t="shared" si="1"/>
        <v>862.4</v>
      </c>
      <c r="J18" s="95" t="s">
        <v>150</v>
      </c>
      <c r="K18" s="1">
        <v>240</v>
      </c>
      <c r="L18" s="7">
        <v>1.4</v>
      </c>
      <c r="M18" s="7">
        <v>2.78</v>
      </c>
      <c r="N18" s="7">
        <v>1.98</v>
      </c>
      <c r="O18" s="103">
        <f t="shared" si="2"/>
        <v>2.0533333333333332</v>
      </c>
      <c r="P18" s="101">
        <f t="shared" si="3"/>
        <v>492.79999999999995</v>
      </c>
      <c r="R18" s="95" t="s">
        <v>150</v>
      </c>
      <c r="S18" s="1">
        <v>240</v>
      </c>
      <c r="T18" s="7">
        <v>1.4</v>
      </c>
      <c r="U18" s="7">
        <v>2.78</v>
      </c>
      <c r="V18" s="7">
        <v>1.98</v>
      </c>
      <c r="W18" s="103">
        <f t="shared" si="4"/>
        <v>2.0533333333333332</v>
      </c>
      <c r="X18" s="101">
        <f t="shared" si="5"/>
        <v>492.79999999999995</v>
      </c>
    </row>
    <row r="19" spans="2:24" ht="50.15" customHeight="1" x14ac:dyDescent="0.35">
      <c r="B19" s="95" t="s">
        <v>151</v>
      </c>
      <c r="C19" s="1">
        <v>780</v>
      </c>
      <c r="D19" s="7">
        <v>13.4</v>
      </c>
      <c r="E19" s="7">
        <v>15.87</v>
      </c>
      <c r="F19" s="7">
        <v>11.3</v>
      </c>
      <c r="G19" s="103">
        <f t="shared" si="0"/>
        <v>13.523333333333333</v>
      </c>
      <c r="H19" s="101">
        <f t="shared" si="1"/>
        <v>10548.2</v>
      </c>
      <c r="J19" s="95" t="s">
        <v>151</v>
      </c>
      <c r="K19" s="1">
        <v>480</v>
      </c>
      <c r="L19" s="7">
        <v>13.4</v>
      </c>
      <c r="M19" s="7">
        <v>15.87</v>
      </c>
      <c r="N19" s="7">
        <v>11.3</v>
      </c>
      <c r="O19" s="103">
        <f t="shared" si="2"/>
        <v>13.523333333333333</v>
      </c>
      <c r="P19" s="101">
        <f t="shared" si="3"/>
        <v>6491.2</v>
      </c>
      <c r="R19" s="95" t="s">
        <v>151</v>
      </c>
      <c r="S19" s="1">
        <v>480</v>
      </c>
      <c r="T19" s="7">
        <v>13.4</v>
      </c>
      <c r="U19" s="7">
        <v>15.87</v>
      </c>
      <c r="V19" s="7">
        <v>11.3</v>
      </c>
      <c r="W19" s="103">
        <f t="shared" si="4"/>
        <v>13.523333333333333</v>
      </c>
      <c r="X19" s="101">
        <f t="shared" si="5"/>
        <v>6491.2</v>
      </c>
    </row>
    <row r="20" spans="2:24" ht="50.15" customHeight="1" x14ac:dyDescent="0.35">
      <c r="B20" s="95" t="s">
        <v>152</v>
      </c>
      <c r="C20" s="1">
        <v>168</v>
      </c>
      <c r="D20" s="7">
        <v>10</v>
      </c>
      <c r="E20" s="7">
        <v>8.41</v>
      </c>
      <c r="F20" s="7">
        <v>8.01</v>
      </c>
      <c r="G20" s="103">
        <f t="shared" si="0"/>
        <v>8.8066666666666666</v>
      </c>
      <c r="H20" s="101">
        <f t="shared" si="1"/>
        <v>1479.52</v>
      </c>
      <c r="J20" s="95" t="s">
        <v>152</v>
      </c>
      <c r="K20" s="1">
        <v>96</v>
      </c>
      <c r="L20" s="7">
        <v>10</v>
      </c>
      <c r="M20" s="7">
        <v>8.41</v>
      </c>
      <c r="N20" s="7">
        <v>8.01</v>
      </c>
      <c r="O20" s="103">
        <f t="shared" si="2"/>
        <v>8.8066666666666666</v>
      </c>
      <c r="P20" s="101">
        <f t="shared" si="3"/>
        <v>845.44</v>
      </c>
      <c r="R20" s="95" t="s">
        <v>152</v>
      </c>
      <c r="S20" s="1">
        <v>96</v>
      </c>
      <c r="T20" s="7">
        <v>10</v>
      </c>
      <c r="U20" s="7">
        <v>8.41</v>
      </c>
      <c r="V20" s="7">
        <v>8.01</v>
      </c>
      <c r="W20" s="103">
        <f t="shared" si="4"/>
        <v>8.8066666666666666</v>
      </c>
      <c r="X20" s="101">
        <f t="shared" si="5"/>
        <v>845.44</v>
      </c>
    </row>
    <row r="21" spans="2:24" ht="50.15" customHeight="1" x14ac:dyDescent="0.35">
      <c r="B21" s="95" t="s">
        <v>153</v>
      </c>
      <c r="C21" s="1">
        <v>144</v>
      </c>
      <c r="D21" s="7">
        <v>1.43</v>
      </c>
      <c r="E21" s="7">
        <v>1.78</v>
      </c>
      <c r="F21" s="7">
        <v>3.96</v>
      </c>
      <c r="G21" s="103">
        <f t="shared" si="0"/>
        <v>2.39</v>
      </c>
      <c r="H21" s="101">
        <f t="shared" si="1"/>
        <v>344.16</v>
      </c>
      <c r="J21" s="95" t="s">
        <v>153</v>
      </c>
      <c r="K21" s="1">
        <v>96</v>
      </c>
      <c r="L21" s="7">
        <v>1.43</v>
      </c>
      <c r="M21" s="7">
        <v>1.78</v>
      </c>
      <c r="N21" s="7">
        <v>3.96</v>
      </c>
      <c r="O21" s="103">
        <f t="shared" si="2"/>
        <v>2.39</v>
      </c>
      <c r="P21" s="101">
        <f t="shared" si="3"/>
        <v>229.44</v>
      </c>
      <c r="R21" s="95" t="s">
        <v>153</v>
      </c>
      <c r="S21" s="1">
        <v>96</v>
      </c>
      <c r="T21" s="7">
        <v>1.43</v>
      </c>
      <c r="U21" s="7">
        <v>1.78</v>
      </c>
      <c r="V21" s="7">
        <v>3.96</v>
      </c>
      <c r="W21" s="103">
        <f t="shared" si="4"/>
        <v>2.39</v>
      </c>
      <c r="X21" s="101">
        <f t="shared" si="5"/>
        <v>229.44</v>
      </c>
    </row>
    <row r="22" spans="2:24" ht="50.15" customHeight="1" x14ac:dyDescent="0.35">
      <c r="B22" s="95" t="s">
        <v>154</v>
      </c>
      <c r="C22" s="1">
        <v>84</v>
      </c>
      <c r="D22" s="7">
        <v>30</v>
      </c>
      <c r="E22" s="7">
        <v>20</v>
      </c>
      <c r="F22" s="7">
        <v>23.4</v>
      </c>
      <c r="G22" s="103">
        <f t="shared" si="0"/>
        <v>24.466666666666669</v>
      </c>
      <c r="H22" s="101">
        <f t="shared" si="1"/>
        <v>2055.2000000000003</v>
      </c>
      <c r="J22" s="95" t="s">
        <v>154</v>
      </c>
      <c r="K22" s="1">
        <v>48</v>
      </c>
      <c r="L22" s="7">
        <v>30</v>
      </c>
      <c r="M22" s="7">
        <v>20</v>
      </c>
      <c r="N22" s="7">
        <v>23.4</v>
      </c>
      <c r="O22" s="103">
        <f t="shared" si="2"/>
        <v>24.466666666666669</v>
      </c>
      <c r="P22" s="101">
        <f t="shared" si="3"/>
        <v>1174.4000000000001</v>
      </c>
      <c r="R22" s="95" t="s">
        <v>154</v>
      </c>
      <c r="S22" s="1">
        <v>48</v>
      </c>
      <c r="T22" s="7">
        <v>30</v>
      </c>
      <c r="U22" s="7">
        <v>20</v>
      </c>
      <c r="V22" s="7">
        <v>23.4</v>
      </c>
      <c r="W22" s="103">
        <f t="shared" si="4"/>
        <v>24.466666666666669</v>
      </c>
      <c r="X22" s="101">
        <f t="shared" si="5"/>
        <v>1174.4000000000001</v>
      </c>
    </row>
    <row r="23" spans="2:24" ht="70.5" customHeight="1" x14ac:dyDescent="0.35">
      <c r="B23" s="95" t="s">
        <v>155</v>
      </c>
      <c r="C23" s="1">
        <v>2232</v>
      </c>
      <c r="D23" s="7">
        <v>2.19</v>
      </c>
      <c r="E23" s="7">
        <v>2.16</v>
      </c>
      <c r="F23" s="7">
        <v>2.0499999999999998</v>
      </c>
      <c r="G23" s="103">
        <f t="shared" si="0"/>
        <v>2.1333333333333333</v>
      </c>
      <c r="H23" s="101">
        <f t="shared" si="1"/>
        <v>4761.6000000000004</v>
      </c>
      <c r="J23" s="95" t="s">
        <v>155</v>
      </c>
      <c r="K23" s="1">
        <v>1488</v>
      </c>
      <c r="L23" s="7">
        <v>2.19</v>
      </c>
      <c r="M23" s="7">
        <v>2.16</v>
      </c>
      <c r="N23" s="7">
        <v>2.0499999999999998</v>
      </c>
      <c r="O23" s="103">
        <f t="shared" si="2"/>
        <v>2.1333333333333333</v>
      </c>
      <c r="P23" s="101">
        <f t="shared" si="3"/>
        <v>3174.4</v>
      </c>
      <c r="R23" s="95" t="s">
        <v>155</v>
      </c>
      <c r="S23" s="1">
        <v>1488</v>
      </c>
      <c r="T23" s="7">
        <v>2.19</v>
      </c>
      <c r="U23" s="7">
        <v>2.16</v>
      </c>
      <c r="V23" s="7">
        <v>2.0499999999999998</v>
      </c>
      <c r="W23" s="103">
        <f t="shared" si="4"/>
        <v>2.1333333333333333</v>
      </c>
      <c r="X23" s="101">
        <f t="shared" si="5"/>
        <v>3174.4</v>
      </c>
    </row>
    <row r="24" spans="2:24" ht="50.15" customHeight="1" x14ac:dyDescent="0.35">
      <c r="B24" s="95" t="s">
        <v>156</v>
      </c>
      <c r="C24" s="1">
        <v>2232</v>
      </c>
      <c r="D24" s="7">
        <v>4.95</v>
      </c>
      <c r="E24" s="7">
        <v>6.1</v>
      </c>
      <c r="F24" s="7">
        <v>4.5999999999999996</v>
      </c>
      <c r="G24" s="103">
        <f t="shared" si="0"/>
        <v>5.2166666666666668</v>
      </c>
      <c r="H24" s="101">
        <f t="shared" si="1"/>
        <v>11643.6</v>
      </c>
      <c r="J24" s="95" t="s">
        <v>156</v>
      </c>
      <c r="K24" s="1">
        <v>1488</v>
      </c>
      <c r="L24" s="7">
        <v>4.95</v>
      </c>
      <c r="M24" s="7">
        <v>6.1</v>
      </c>
      <c r="N24" s="7">
        <v>4.5999999999999996</v>
      </c>
      <c r="O24" s="103">
        <f t="shared" si="2"/>
        <v>5.2166666666666668</v>
      </c>
      <c r="P24" s="101">
        <f t="shared" si="3"/>
        <v>7762.4000000000005</v>
      </c>
      <c r="R24" s="95" t="s">
        <v>156</v>
      </c>
      <c r="S24" s="1">
        <v>1488</v>
      </c>
      <c r="T24" s="7">
        <v>4.95</v>
      </c>
      <c r="U24" s="7">
        <v>6.1</v>
      </c>
      <c r="V24" s="7">
        <v>4.5999999999999996</v>
      </c>
      <c r="W24" s="103">
        <f t="shared" si="4"/>
        <v>5.2166666666666668</v>
      </c>
      <c r="X24" s="101">
        <f t="shared" si="5"/>
        <v>7762.4000000000005</v>
      </c>
    </row>
    <row r="25" spans="2:24" ht="50.15" customHeight="1" x14ac:dyDescent="0.35">
      <c r="B25" s="95" t="s">
        <v>157</v>
      </c>
      <c r="C25" s="1">
        <v>168</v>
      </c>
      <c r="D25" s="7">
        <v>14.28</v>
      </c>
      <c r="E25" s="7">
        <v>18.47</v>
      </c>
      <c r="F25" s="7">
        <v>22.8</v>
      </c>
      <c r="G25" s="103">
        <f t="shared" si="0"/>
        <v>18.516666666666666</v>
      </c>
      <c r="H25" s="101">
        <f t="shared" si="1"/>
        <v>3110.7999999999997</v>
      </c>
      <c r="J25" s="95" t="s">
        <v>157</v>
      </c>
      <c r="K25" s="1">
        <v>96</v>
      </c>
      <c r="L25" s="7">
        <v>14.28</v>
      </c>
      <c r="M25" s="7">
        <v>18.47</v>
      </c>
      <c r="N25" s="7">
        <v>22.8</v>
      </c>
      <c r="O25" s="103">
        <f t="shared" si="2"/>
        <v>18.516666666666666</v>
      </c>
      <c r="P25" s="101">
        <f t="shared" si="3"/>
        <v>1777.6</v>
      </c>
      <c r="R25" s="95" t="s">
        <v>157</v>
      </c>
      <c r="S25" s="1">
        <v>96</v>
      </c>
      <c r="T25" s="7">
        <v>14.28</v>
      </c>
      <c r="U25" s="7">
        <v>18.47</v>
      </c>
      <c r="V25" s="7">
        <v>22.8</v>
      </c>
      <c r="W25" s="103">
        <f t="shared" si="4"/>
        <v>18.516666666666666</v>
      </c>
      <c r="X25" s="101">
        <f t="shared" si="5"/>
        <v>1777.6</v>
      </c>
    </row>
    <row r="26" spans="2:24" ht="50.15" customHeight="1" x14ac:dyDescent="0.35">
      <c r="B26" s="95" t="s">
        <v>158</v>
      </c>
      <c r="C26" s="1">
        <v>216</v>
      </c>
      <c r="D26" s="7">
        <f>3.5*2</f>
        <v>7</v>
      </c>
      <c r="E26" s="7">
        <f>5.89*2</f>
        <v>11.78</v>
      </c>
      <c r="F26" s="7">
        <f>3.67*2</f>
        <v>7.34</v>
      </c>
      <c r="G26" s="103">
        <f t="shared" si="0"/>
        <v>8.706666666666667</v>
      </c>
      <c r="H26" s="101">
        <f t="shared" si="1"/>
        <v>1880.64</v>
      </c>
      <c r="J26" s="95" t="s">
        <v>158</v>
      </c>
      <c r="K26" s="1">
        <v>144</v>
      </c>
      <c r="L26" s="7">
        <f>3.5*2</f>
        <v>7</v>
      </c>
      <c r="M26" s="7">
        <f>5.89*2</f>
        <v>11.78</v>
      </c>
      <c r="N26" s="7">
        <f>3.67*2</f>
        <v>7.34</v>
      </c>
      <c r="O26" s="103">
        <f t="shared" si="2"/>
        <v>8.706666666666667</v>
      </c>
      <c r="P26" s="101">
        <f t="shared" si="3"/>
        <v>1253.76</v>
      </c>
      <c r="R26" s="95" t="s">
        <v>158</v>
      </c>
      <c r="S26" s="1">
        <v>144</v>
      </c>
      <c r="T26" s="7">
        <f>3.5*2</f>
        <v>7</v>
      </c>
      <c r="U26" s="7">
        <f>5.89*2</f>
        <v>11.78</v>
      </c>
      <c r="V26" s="7">
        <f>3.67*2</f>
        <v>7.34</v>
      </c>
      <c r="W26" s="103">
        <f t="shared" si="4"/>
        <v>8.706666666666667</v>
      </c>
      <c r="X26" s="101">
        <f t="shared" si="5"/>
        <v>1253.76</v>
      </c>
    </row>
    <row r="27" spans="2:24" ht="50.15" customHeight="1" x14ac:dyDescent="0.35">
      <c r="B27" s="95" t="s">
        <v>159</v>
      </c>
      <c r="C27" s="1">
        <v>2304</v>
      </c>
      <c r="D27" s="7">
        <v>1.76</v>
      </c>
      <c r="E27" s="7">
        <v>1.59</v>
      </c>
      <c r="F27" s="7">
        <v>1.48</v>
      </c>
      <c r="G27" s="103">
        <f t="shared" si="0"/>
        <v>1.61</v>
      </c>
      <c r="H27" s="101">
        <f t="shared" si="1"/>
        <v>3709.44</v>
      </c>
      <c r="J27" s="95" t="s">
        <v>159</v>
      </c>
      <c r="K27" s="1">
        <v>1536</v>
      </c>
      <c r="L27" s="7">
        <v>1.76</v>
      </c>
      <c r="M27" s="7">
        <v>1.59</v>
      </c>
      <c r="N27" s="7">
        <v>1.48</v>
      </c>
      <c r="O27" s="103">
        <f t="shared" si="2"/>
        <v>1.61</v>
      </c>
      <c r="P27" s="101">
        <f t="shared" si="3"/>
        <v>2472.96</v>
      </c>
      <c r="R27" s="95" t="s">
        <v>159</v>
      </c>
      <c r="S27" s="1">
        <v>1536</v>
      </c>
      <c r="T27" s="7">
        <v>1.76</v>
      </c>
      <c r="U27" s="7">
        <v>1.59</v>
      </c>
      <c r="V27" s="7">
        <v>1.48</v>
      </c>
      <c r="W27" s="103">
        <f t="shared" si="4"/>
        <v>1.61</v>
      </c>
      <c r="X27" s="101">
        <f t="shared" si="5"/>
        <v>2472.96</v>
      </c>
    </row>
    <row r="28" spans="2:24" ht="50.15" customHeight="1" x14ac:dyDescent="0.35">
      <c r="B28" s="95" t="s">
        <v>160</v>
      </c>
      <c r="C28" s="1">
        <v>840</v>
      </c>
      <c r="D28" s="7">
        <v>13.54</v>
      </c>
      <c r="E28" s="7">
        <v>15.13</v>
      </c>
      <c r="F28" s="7">
        <v>12</v>
      </c>
      <c r="G28" s="103">
        <f t="shared" si="0"/>
        <v>13.556666666666667</v>
      </c>
      <c r="H28" s="101">
        <f t="shared" si="1"/>
        <v>11387.6</v>
      </c>
      <c r="J28" s="95" t="s">
        <v>160</v>
      </c>
      <c r="K28" s="1">
        <v>480</v>
      </c>
      <c r="L28" s="7">
        <v>13.54</v>
      </c>
      <c r="M28" s="7">
        <v>15.13</v>
      </c>
      <c r="N28" s="7">
        <v>12</v>
      </c>
      <c r="O28" s="103">
        <f t="shared" si="2"/>
        <v>13.556666666666667</v>
      </c>
      <c r="P28" s="101">
        <f t="shared" si="3"/>
        <v>6507.2</v>
      </c>
      <c r="R28" s="95" t="s">
        <v>160</v>
      </c>
      <c r="S28" s="1">
        <v>480</v>
      </c>
      <c r="T28" s="7">
        <v>13.54</v>
      </c>
      <c r="U28" s="7">
        <v>15.13</v>
      </c>
      <c r="V28" s="7">
        <v>12</v>
      </c>
      <c r="W28" s="103">
        <f t="shared" si="4"/>
        <v>13.556666666666667</v>
      </c>
      <c r="X28" s="101">
        <f t="shared" si="5"/>
        <v>6507.2</v>
      </c>
    </row>
    <row r="29" spans="2:24" ht="50.15" customHeight="1" x14ac:dyDescent="0.35">
      <c r="B29" s="95" t="s">
        <v>161</v>
      </c>
      <c r="C29" s="1">
        <v>4200</v>
      </c>
      <c r="D29" s="7">
        <v>3.26</v>
      </c>
      <c r="E29" s="7">
        <v>3.3</v>
      </c>
      <c r="F29" s="7"/>
      <c r="G29" s="103">
        <f t="shared" si="0"/>
        <v>3.28</v>
      </c>
      <c r="H29" s="101">
        <f t="shared" si="1"/>
        <v>13776</v>
      </c>
      <c r="J29" s="95" t="s">
        <v>161</v>
      </c>
      <c r="K29" s="1">
        <v>2400</v>
      </c>
      <c r="L29" s="7">
        <v>3.26</v>
      </c>
      <c r="M29" s="7">
        <v>3.3</v>
      </c>
      <c r="N29" s="7"/>
      <c r="O29" s="103">
        <f t="shared" si="2"/>
        <v>3.28</v>
      </c>
      <c r="P29" s="101">
        <f t="shared" si="3"/>
        <v>7871.9999999999991</v>
      </c>
      <c r="R29" s="95" t="s">
        <v>161</v>
      </c>
      <c r="S29" s="1">
        <v>2400</v>
      </c>
      <c r="T29" s="7">
        <v>3.26</v>
      </c>
      <c r="U29" s="7">
        <v>3.3</v>
      </c>
      <c r="V29" s="7"/>
      <c r="W29" s="103">
        <f t="shared" si="4"/>
        <v>3.28</v>
      </c>
      <c r="X29" s="101">
        <f t="shared" si="5"/>
        <v>7871.9999999999991</v>
      </c>
    </row>
    <row r="30" spans="2:24" ht="50.15" customHeight="1" x14ac:dyDescent="0.35">
      <c r="B30" s="95" t="s">
        <v>162</v>
      </c>
      <c r="C30" s="1">
        <v>168</v>
      </c>
      <c r="D30" s="7">
        <v>33.700000000000003</v>
      </c>
      <c r="E30" s="7">
        <v>46.7</v>
      </c>
      <c r="F30" s="7">
        <v>34.79</v>
      </c>
      <c r="G30" s="103">
        <f t="shared" si="0"/>
        <v>38.396666666666668</v>
      </c>
      <c r="H30" s="101">
        <f t="shared" si="1"/>
        <v>6450.64</v>
      </c>
      <c r="J30" s="95" t="s">
        <v>162</v>
      </c>
      <c r="K30" s="1">
        <v>96</v>
      </c>
      <c r="L30" s="7">
        <v>33.700000000000003</v>
      </c>
      <c r="M30" s="7">
        <v>46.7</v>
      </c>
      <c r="N30" s="7">
        <v>34.79</v>
      </c>
      <c r="O30" s="103">
        <f t="shared" si="2"/>
        <v>38.396666666666668</v>
      </c>
      <c r="P30" s="101">
        <f t="shared" si="3"/>
        <v>3686.08</v>
      </c>
      <c r="R30" s="95" t="s">
        <v>162</v>
      </c>
      <c r="S30" s="1">
        <v>96</v>
      </c>
      <c r="T30" s="7">
        <v>33.700000000000003</v>
      </c>
      <c r="U30" s="7">
        <v>46.7</v>
      </c>
      <c r="V30" s="7">
        <v>34.79</v>
      </c>
      <c r="W30" s="103">
        <f t="shared" si="4"/>
        <v>38.396666666666668</v>
      </c>
      <c r="X30" s="101">
        <f t="shared" si="5"/>
        <v>3686.08</v>
      </c>
    </row>
    <row r="31" spans="2:24" ht="50.15" customHeight="1" x14ac:dyDescent="0.35">
      <c r="B31" s="95" t="s">
        <v>163</v>
      </c>
      <c r="C31" s="1">
        <v>840</v>
      </c>
      <c r="D31" s="7">
        <v>13</v>
      </c>
      <c r="E31" s="7">
        <v>12.94</v>
      </c>
      <c r="F31" s="7">
        <v>11.16</v>
      </c>
      <c r="G31" s="103">
        <f t="shared" si="0"/>
        <v>12.366666666666665</v>
      </c>
      <c r="H31" s="101">
        <f t="shared" si="1"/>
        <v>10387.999999999998</v>
      </c>
      <c r="J31" s="95" t="s">
        <v>163</v>
      </c>
      <c r="K31" s="1">
        <v>480</v>
      </c>
      <c r="L31" s="7">
        <v>13</v>
      </c>
      <c r="M31" s="7">
        <v>12.94</v>
      </c>
      <c r="N31" s="7">
        <v>11.16</v>
      </c>
      <c r="O31" s="103">
        <f t="shared" si="2"/>
        <v>12.366666666666665</v>
      </c>
      <c r="P31" s="101">
        <f t="shared" si="3"/>
        <v>5935.9999999999991</v>
      </c>
      <c r="R31" s="95" t="s">
        <v>163</v>
      </c>
      <c r="S31" s="1">
        <v>480</v>
      </c>
      <c r="T31" s="7">
        <v>13</v>
      </c>
      <c r="U31" s="7">
        <v>12.94</v>
      </c>
      <c r="V31" s="7">
        <v>11.16</v>
      </c>
      <c r="W31" s="103">
        <f t="shared" si="4"/>
        <v>12.366666666666665</v>
      </c>
      <c r="X31" s="101">
        <f t="shared" si="5"/>
        <v>5935.9999999999991</v>
      </c>
    </row>
    <row r="32" spans="2:24" ht="50.15" customHeight="1" x14ac:dyDescent="0.35">
      <c r="B32" s="95" t="s">
        <v>164</v>
      </c>
      <c r="C32" s="1">
        <v>84</v>
      </c>
      <c r="D32" s="7">
        <v>36.21</v>
      </c>
      <c r="E32" s="7">
        <v>29.99</v>
      </c>
      <c r="F32" s="7">
        <v>44</v>
      </c>
      <c r="G32" s="103">
        <f t="shared" si="0"/>
        <v>36.733333333333334</v>
      </c>
      <c r="H32" s="101">
        <f t="shared" si="1"/>
        <v>3085.6</v>
      </c>
      <c r="J32" s="95" t="s">
        <v>164</v>
      </c>
      <c r="K32" s="1">
        <v>48</v>
      </c>
      <c r="L32" s="7">
        <v>36.21</v>
      </c>
      <c r="M32" s="7">
        <v>29.99</v>
      </c>
      <c r="N32" s="7">
        <v>44</v>
      </c>
      <c r="O32" s="103">
        <f t="shared" si="2"/>
        <v>36.733333333333334</v>
      </c>
      <c r="P32" s="101">
        <f t="shared" si="3"/>
        <v>1763.2</v>
      </c>
      <c r="R32" s="95" t="s">
        <v>164</v>
      </c>
      <c r="S32" s="1">
        <v>48</v>
      </c>
      <c r="T32" s="7">
        <v>36.21</v>
      </c>
      <c r="U32" s="7">
        <v>29.99</v>
      </c>
      <c r="V32" s="7">
        <v>44</v>
      </c>
      <c r="W32" s="103">
        <f t="shared" si="4"/>
        <v>36.733333333333334</v>
      </c>
      <c r="X32" s="101">
        <f t="shared" si="5"/>
        <v>1763.2</v>
      </c>
    </row>
    <row r="33" spans="2:24" ht="50.15" customHeight="1" x14ac:dyDescent="0.35">
      <c r="B33" s="95" t="s">
        <v>165</v>
      </c>
      <c r="C33" s="1">
        <v>28</v>
      </c>
      <c r="D33" s="7">
        <v>5.48</v>
      </c>
      <c r="E33" s="7">
        <v>5.45</v>
      </c>
      <c r="F33" s="7">
        <v>5.14</v>
      </c>
      <c r="G33" s="103">
        <f t="shared" si="0"/>
        <v>5.3566666666666665</v>
      </c>
      <c r="H33" s="101">
        <f t="shared" si="1"/>
        <v>149.98666666666665</v>
      </c>
      <c r="J33" s="95" t="s">
        <v>165</v>
      </c>
      <c r="K33" s="1">
        <v>16</v>
      </c>
      <c r="L33" s="7">
        <v>5.48</v>
      </c>
      <c r="M33" s="7">
        <v>5.45</v>
      </c>
      <c r="N33" s="7">
        <v>5.14</v>
      </c>
      <c r="O33" s="103">
        <f t="shared" si="2"/>
        <v>5.3566666666666665</v>
      </c>
      <c r="P33" s="101">
        <f t="shared" si="3"/>
        <v>85.706666666666663</v>
      </c>
      <c r="R33" s="95" t="s">
        <v>165</v>
      </c>
      <c r="S33" s="1">
        <v>16</v>
      </c>
      <c r="T33" s="7">
        <v>5.48</v>
      </c>
      <c r="U33" s="7">
        <v>5.45</v>
      </c>
      <c r="V33" s="7">
        <v>5.14</v>
      </c>
      <c r="W33" s="103">
        <f t="shared" si="4"/>
        <v>5.3566666666666665</v>
      </c>
      <c r="X33" s="101">
        <f t="shared" si="5"/>
        <v>85.706666666666663</v>
      </c>
    </row>
    <row r="34" spans="2:24" ht="50.15" customHeight="1" x14ac:dyDescent="0.35">
      <c r="B34" s="95" t="s">
        <v>166</v>
      </c>
      <c r="C34" s="1">
        <v>168</v>
      </c>
      <c r="D34" s="7">
        <v>7.48</v>
      </c>
      <c r="E34" s="7">
        <v>7.8</v>
      </c>
      <c r="F34" s="7">
        <v>7.2</v>
      </c>
      <c r="G34" s="103">
        <f t="shared" si="0"/>
        <v>7.4933333333333332</v>
      </c>
      <c r="H34" s="101">
        <f t="shared" si="1"/>
        <v>1258.8799999999999</v>
      </c>
      <c r="J34" s="95" t="s">
        <v>166</v>
      </c>
      <c r="K34" s="1">
        <v>96</v>
      </c>
      <c r="L34" s="7">
        <v>7.48</v>
      </c>
      <c r="M34" s="7">
        <v>7.8</v>
      </c>
      <c r="N34" s="7">
        <v>7.2</v>
      </c>
      <c r="O34" s="103">
        <f t="shared" si="2"/>
        <v>7.4933333333333332</v>
      </c>
      <c r="P34" s="101">
        <f t="shared" si="3"/>
        <v>719.36</v>
      </c>
      <c r="R34" s="95" t="s">
        <v>166</v>
      </c>
      <c r="S34" s="1">
        <v>96</v>
      </c>
      <c r="T34" s="7">
        <v>7.48</v>
      </c>
      <c r="U34" s="7">
        <v>7.8</v>
      </c>
      <c r="V34" s="7">
        <v>7.2</v>
      </c>
      <c r="W34" s="103">
        <f t="shared" si="4"/>
        <v>7.4933333333333332</v>
      </c>
      <c r="X34" s="101">
        <f t="shared" si="5"/>
        <v>719.36</v>
      </c>
    </row>
    <row r="35" spans="2:24" ht="50.15" customHeight="1" x14ac:dyDescent="0.35">
      <c r="B35" s="95" t="s">
        <v>167</v>
      </c>
      <c r="C35" s="1">
        <v>252</v>
      </c>
      <c r="D35" s="7">
        <v>12.34</v>
      </c>
      <c r="E35" s="7">
        <v>13.5</v>
      </c>
      <c r="F35" s="7">
        <v>10.79</v>
      </c>
      <c r="G35" s="103">
        <f t="shared" si="0"/>
        <v>12.209999999999999</v>
      </c>
      <c r="H35" s="101">
        <f t="shared" si="1"/>
        <v>3076.9199999999996</v>
      </c>
      <c r="J35" s="95" t="s">
        <v>167</v>
      </c>
      <c r="K35" s="1">
        <v>144</v>
      </c>
      <c r="L35" s="7">
        <v>12.34</v>
      </c>
      <c r="M35" s="7">
        <v>13.5</v>
      </c>
      <c r="N35" s="7">
        <v>10.79</v>
      </c>
      <c r="O35" s="103">
        <f>AVERAGE(L35:N35)</f>
        <v>12.209999999999999</v>
      </c>
      <c r="P35" s="101">
        <f t="shared" si="3"/>
        <v>1758.2399999999998</v>
      </c>
      <c r="R35" s="95" t="s">
        <v>167</v>
      </c>
      <c r="S35" s="1">
        <v>144</v>
      </c>
      <c r="T35" s="7">
        <v>12.34</v>
      </c>
      <c r="U35" s="7">
        <v>13.5</v>
      </c>
      <c r="V35" s="7">
        <v>10.79</v>
      </c>
      <c r="W35" s="103">
        <f>AVERAGE(T35:V35)</f>
        <v>12.209999999999999</v>
      </c>
      <c r="X35" s="101">
        <f t="shared" si="5"/>
        <v>1758.2399999999998</v>
      </c>
    </row>
    <row r="36" spans="2:24" ht="50.15" customHeight="1" x14ac:dyDescent="0.35">
      <c r="B36" s="95" t="s">
        <v>168</v>
      </c>
      <c r="C36" s="1">
        <v>840</v>
      </c>
      <c r="D36" s="7">
        <v>19.27</v>
      </c>
      <c r="E36" s="7">
        <v>10.9</v>
      </c>
      <c r="F36" s="7">
        <v>18.13</v>
      </c>
      <c r="G36" s="103">
        <f t="shared" si="0"/>
        <v>16.099999999999998</v>
      </c>
      <c r="H36" s="101">
        <f t="shared" si="1"/>
        <v>13523.999999999998</v>
      </c>
      <c r="J36" s="95" t="s">
        <v>168</v>
      </c>
      <c r="K36" s="1">
        <v>480</v>
      </c>
      <c r="L36" s="7">
        <v>19.27</v>
      </c>
      <c r="M36" s="7">
        <v>10.9</v>
      </c>
      <c r="N36" s="7">
        <v>18.13</v>
      </c>
      <c r="O36" s="103">
        <f t="shared" ref="O36:O58" si="6">AVERAGE(L36:N36)</f>
        <v>16.099999999999998</v>
      </c>
      <c r="P36" s="101">
        <f t="shared" si="3"/>
        <v>7727.9999999999991</v>
      </c>
      <c r="R36" s="95" t="s">
        <v>168</v>
      </c>
      <c r="S36" s="1">
        <v>480</v>
      </c>
      <c r="T36" s="7">
        <v>19.27</v>
      </c>
      <c r="U36" s="7">
        <v>10.9</v>
      </c>
      <c r="V36" s="7">
        <v>18.13</v>
      </c>
      <c r="W36" s="103">
        <f t="shared" ref="W36:W58" si="7">AVERAGE(T36:V36)</f>
        <v>16.099999999999998</v>
      </c>
      <c r="X36" s="101">
        <f t="shared" si="5"/>
        <v>7727.9999999999991</v>
      </c>
    </row>
    <row r="37" spans="2:24" ht="50.15" customHeight="1" x14ac:dyDescent="0.35">
      <c r="B37" s="95" t="s">
        <v>169</v>
      </c>
      <c r="C37" s="1">
        <v>144</v>
      </c>
      <c r="D37" s="7">
        <v>40.5</v>
      </c>
      <c r="E37" s="7">
        <v>42.5</v>
      </c>
      <c r="F37" s="7">
        <v>45</v>
      </c>
      <c r="G37" s="103">
        <f t="shared" si="0"/>
        <v>42.666666666666664</v>
      </c>
      <c r="H37" s="101">
        <f t="shared" si="1"/>
        <v>6144</v>
      </c>
      <c r="J37" s="95" t="s">
        <v>169</v>
      </c>
      <c r="K37" s="1">
        <v>96</v>
      </c>
      <c r="L37" s="7">
        <v>40.5</v>
      </c>
      <c r="M37" s="7">
        <v>42.5</v>
      </c>
      <c r="N37" s="7">
        <v>45</v>
      </c>
      <c r="O37" s="103">
        <f t="shared" si="6"/>
        <v>42.666666666666664</v>
      </c>
      <c r="P37" s="101">
        <f t="shared" si="3"/>
        <v>4096</v>
      </c>
      <c r="R37" s="95" t="s">
        <v>169</v>
      </c>
      <c r="S37" s="1">
        <v>96</v>
      </c>
      <c r="T37" s="7">
        <v>40.5</v>
      </c>
      <c r="U37" s="7">
        <v>42.5</v>
      </c>
      <c r="V37" s="7">
        <v>45</v>
      </c>
      <c r="W37" s="103">
        <f t="shared" si="7"/>
        <v>42.666666666666664</v>
      </c>
      <c r="X37" s="101">
        <f t="shared" si="5"/>
        <v>4096</v>
      </c>
    </row>
    <row r="38" spans="2:24" ht="50.15" customHeight="1" x14ac:dyDescent="0.35">
      <c r="B38" s="95" t="s">
        <v>170</v>
      </c>
      <c r="C38" s="1">
        <v>72</v>
      </c>
      <c r="D38" s="7">
        <v>50</v>
      </c>
      <c r="E38" s="7">
        <v>50</v>
      </c>
      <c r="F38" s="7">
        <v>50</v>
      </c>
      <c r="G38" s="103">
        <f t="shared" si="0"/>
        <v>50</v>
      </c>
      <c r="H38" s="101">
        <f t="shared" si="1"/>
        <v>3600</v>
      </c>
      <c r="J38" s="95" t="s">
        <v>170</v>
      </c>
      <c r="K38" s="1">
        <v>48</v>
      </c>
      <c r="L38" s="7">
        <v>50</v>
      </c>
      <c r="M38" s="7">
        <v>50</v>
      </c>
      <c r="N38" s="7">
        <v>50</v>
      </c>
      <c r="O38" s="103">
        <f t="shared" si="6"/>
        <v>50</v>
      </c>
      <c r="P38" s="101">
        <f t="shared" si="3"/>
        <v>2400</v>
      </c>
      <c r="R38" s="95" t="s">
        <v>170</v>
      </c>
      <c r="S38" s="1">
        <v>48</v>
      </c>
      <c r="T38" s="7">
        <v>50</v>
      </c>
      <c r="U38" s="7">
        <v>50</v>
      </c>
      <c r="V38" s="7">
        <v>50</v>
      </c>
      <c r="W38" s="103">
        <f t="shared" si="7"/>
        <v>50</v>
      </c>
      <c r="X38" s="101">
        <f t="shared" si="5"/>
        <v>2400</v>
      </c>
    </row>
    <row r="39" spans="2:24" ht="50.15" customHeight="1" x14ac:dyDescent="0.35">
      <c r="B39" s="95" t="s">
        <v>171</v>
      </c>
      <c r="C39" s="1">
        <v>144</v>
      </c>
      <c r="D39" s="7">
        <v>14.99</v>
      </c>
      <c r="E39" s="7">
        <v>13</v>
      </c>
      <c r="F39" s="7">
        <v>15</v>
      </c>
      <c r="G39" s="103">
        <f t="shared" si="0"/>
        <v>14.33</v>
      </c>
      <c r="H39" s="101">
        <f t="shared" si="1"/>
        <v>2063.52</v>
      </c>
      <c r="J39" s="95" t="s">
        <v>171</v>
      </c>
      <c r="K39" s="1">
        <v>96</v>
      </c>
      <c r="L39" s="7">
        <v>14.99</v>
      </c>
      <c r="M39" s="7">
        <v>13</v>
      </c>
      <c r="N39" s="7">
        <v>15</v>
      </c>
      <c r="O39" s="103">
        <f t="shared" si="6"/>
        <v>14.33</v>
      </c>
      <c r="P39" s="101">
        <f t="shared" si="3"/>
        <v>1375.68</v>
      </c>
      <c r="R39" s="95" t="s">
        <v>171</v>
      </c>
      <c r="S39" s="1">
        <v>96</v>
      </c>
      <c r="T39" s="7">
        <v>14.99</v>
      </c>
      <c r="U39" s="7">
        <v>13</v>
      </c>
      <c r="V39" s="7">
        <v>15</v>
      </c>
      <c r="W39" s="103">
        <f t="shared" si="7"/>
        <v>14.33</v>
      </c>
      <c r="X39" s="101">
        <f t="shared" si="5"/>
        <v>1375.68</v>
      </c>
    </row>
    <row r="40" spans="2:24" ht="50.15" customHeight="1" x14ac:dyDescent="0.35">
      <c r="B40" s="95" t="s">
        <v>172</v>
      </c>
      <c r="C40" s="1">
        <v>72</v>
      </c>
      <c r="D40" s="7">
        <v>60</v>
      </c>
      <c r="E40" s="7">
        <v>49.9</v>
      </c>
      <c r="F40" s="7">
        <v>110</v>
      </c>
      <c r="G40" s="103">
        <f t="shared" si="0"/>
        <v>73.3</v>
      </c>
      <c r="H40" s="101">
        <f t="shared" si="1"/>
        <v>5277.5999999999995</v>
      </c>
      <c r="J40" s="95" t="s">
        <v>172</v>
      </c>
      <c r="K40" s="1">
        <v>48</v>
      </c>
      <c r="L40" s="7">
        <v>60</v>
      </c>
      <c r="M40" s="7">
        <v>49.9</v>
      </c>
      <c r="N40" s="7">
        <v>110</v>
      </c>
      <c r="O40" s="103">
        <f t="shared" si="6"/>
        <v>73.3</v>
      </c>
      <c r="P40" s="101">
        <f t="shared" si="3"/>
        <v>3518.3999999999996</v>
      </c>
      <c r="R40" s="95" t="s">
        <v>172</v>
      </c>
      <c r="S40" s="1">
        <v>48</v>
      </c>
      <c r="T40" s="7">
        <v>60</v>
      </c>
      <c r="U40" s="7">
        <v>49.9</v>
      </c>
      <c r="V40" s="7">
        <v>110</v>
      </c>
      <c r="W40" s="103">
        <f t="shared" si="7"/>
        <v>73.3</v>
      </c>
      <c r="X40" s="101">
        <f t="shared" si="5"/>
        <v>3518.3999999999996</v>
      </c>
    </row>
    <row r="41" spans="2:24" ht="50.15" customHeight="1" x14ac:dyDescent="0.35">
      <c r="B41" s="95" t="s">
        <v>173</v>
      </c>
      <c r="C41" s="1">
        <v>84</v>
      </c>
      <c r="D41" s="7">
        <v>33.479999999999997</v>
      </c>
      <c r="E41" s="7">
        <v>39.99</v>
      </c>
      <c r="F41" s="7">
        <v>33.9</v>
      </c>
      <c r="G41" s="103">
        <f t="shared" si="0"/>
        <v>35.79</v>
      </c>
      <c r="H41" s="101">
        <f t="shared" si="1"/>
        <v>3006.36</v>
      </c>
      <c r="J41" s="95" t="s">
        <v>173</v>
      </c>
      <c r="K41" s="1">
        <v>48</v>
      </c>
      <c r="L41" s="7">
        <v>33.479999999999997</v>
      </c>
      <c r="M41" s="7">
        <v>39.99</v>
      </c>
      <c r="N41" s="7">
        <v>33.9</v>
      </c>
      <c r="O41" s="103">
        <f t="shared" si="6"/>
        <v>35.79</v>
      </c>
      <c r="P41" s="101">
        <f t="shared" si="3"/>
        <v>1717.92</v>
      </c>
      <c r="R41" s="95" t="s">
        <v>173</v>
      </c>
      <c r="S41" s="1">
        <v>48</v>
      </c>
      <c r="T41" s="7">
        <v>33.479999999999997</v>
      </c>
      <c r="U41" s="7">
        <v>39.99</v>
      </c>
      <c r="V41" s="7">
        <v>33.9</v>
      </c>
      <c r="W41" s="103">
        <f t="shared" si="7"/>
        <v>35.79</v>
      </c>
      <c r="X41" s="101">
        <f t="shared" si="5"/>
        <v>1717.92</v>
      </c>
    </row>
    <row r="42" spans="2:24" ht="50.15" customHeight="1" x14ac:dyDescent="0.35">
      <c r="B42" s="95" t="s">
        <v>174</v>
      </c>
      <c r="C42" s="1">
        <v>84</v>
      </c>
      <c r="D42" s="7">
        <v>42.88</v>
      </c>
      <c r="E42" s="7">
        <v>39.979999999999997</v>
      </c>
      <c r="F42" s="7">
        <v>26.5</v>
      </c>
      <c r="G42" s="103">
        <f t="shared" si="0"/>
        <v>36.453333333333333</v>
      </c>
      <c r="H42" s="101">
        <f t="shared" si="1"/>
        <v>3062.08</v>
      </c>
      <c r="J42" s="95" t="s">
        <v>174</v>
      </c>
      <c r="K42" s="1">
        <v>48</v>
      </c>
      <c r="L42" s="7">
        <v>42.88</v>
      </c>
      <c r="M42" s="7">
        <v>39.979999999999997</v>
      </c>
      <c r="N42" s="7">
        <v>26.5</v>
      </c>
      <c r="O42" s="103">
        <f t="shared" si="6"/>
        <v>36.453333333333333</v>
      </c>
      <c r="P42" s="101">
        <f t="shared" si="3"/>
        <v>1749.76</v>
      </c>
      <c r="R42" s="95" t="s">
        <v>174</v>
      </c>
      <c r="S42" s="1">
        <v>48</v>
      </c>
      <c r="T42" s="7">
        <v>42.88</v>
      </c>
      <c r="U42" s="7">
        <v>39.979999999999997</v>
      </c>
      <c r="V42" s="7">
        <v>26.5</v>
      </c>
      <c r="W42" s="103">
        <f t="shared" si="7"/>
        <v>36.453333333333333</v>
      </c>
      <c r="X42" s="101">
        <f t="shared" si="5"/>
        <v>1749.76</v>
      </c>
    </row>
    <row r="43" spans="2:24" ht="50.15" customHeight="1" x14ac:dyDescent="0.35">
      <c r="B43" s="95" t="s">
        <v>175</v>
      </c>
      <c r="C43" s="1">
        <v>84</v>
      </c>
      <c r="D43" s="7">
        <v>103.33</v>
      </c>
      <c r="E43" s="7">
        <v>74.83</v>
      </c>
      <c r="F43" s="7">
        <v>60</v>
      </c>
      <c r="G43" s="103">
        <f t="shared" si="0"/>
        <v>79.38666666666667</v>
      </c>
      <c r="H43" s="101">
        <f t="shared" si="1"/>
        <v>6668.4800000000005</v>
      </c>
      <c r="J43" s="95" t="s">
        <v>175</v>
      </c>
      <c r="K43" s="1">
        <v>48</v>
      </c>
      <c r="L43" s="7">
        <v>103.33</v>
      </c>
      <c r="M43" s="7">
        <v>74.83</v>
      </c>
      <c r="N43" s="7">
        <v>60</v>
      </c>
      <c r="O43" s="103">
        <f t="shared" si="6"/>
        <v>79.38666666666667</v>
      </c>
      <c r="P43" s="101">
        <f t="shared" si="3"/>
        <v>3810.5600000000004</v>
      </c>
      <c r="R43" s="95" t="s">
        <v>175</v>
      </c>
      <c r="S43" s="1">
        <v>48</v>
      </c>
      <c r="T43" s="7">
        <v>103.33</v>
      </c>
      <c r="U43" s="7">
        <v>74.83</v>
      </c>
      <c r="V43" s="7">
        <v>60</v>
      </c>
      <c r="W43" s="103">
        <f t="shared" si="7"/>
        <v>79.38666666666667</v>
      </c>
      <c r="X43" s="101">
        <f t="shared" si="5"/>
        <v>3810.5600000000004</v>
      </c>
    </row>
    <row r="44" spans="2:24" ht="50.15" customHeight="1" x14ac:dyDescent="0.35">
      <c r="B44" s="95" t="s">
        <v>176</v>
      </c>
      <c r="C44" s="1">
        <v>84</v>
      </c>
      <c r="D44" s="7">
        <v>8</v>
      </c>
      <c r="E44" s="7">
        <v>8.7799999999999994</v>
      </c>
      <c r="F44" s="7">
        <v>9.9</v>
      </c>
      <c r="G44" s="103">
        <f t="shared" si="0"/>
        <v>8.8933333333333326</v>
      </c>
      <c r="H44" s="101">
        <f t="shared" si="1"/>
        <v>747.04</v>
      </c>
      <c r="J44" s="95" t="s">
        <v>176</v>
      </c>
      <c r="K44" s="1">
        <v>48</v>
      </c>
      <c r="L44" s="7">
        <v>8</v>
      </c>
      <c r="M44" s="7">
        <v>8.7799999999999994</v>
      </c>
      <c r="N44" s="7">
        <v>9.9</v>
      </c>
      <c r="O44" s="103">
        <f t="shared" si="6"/>
        <v>8.8933333333333326</v>
      </c>
      <c r="P44" s="101">
        <f t="shared" si="3"/>
        <v>426.88</v>
      </c>
      <c r="R44" s="95" t="s">
        <v>176</v>
      </c>
      <c r="S44" s="1">
        <v>48</v>
      </c>
      <c r="T44" s="7">
        <v>8</v>
      </c>
      <c r="U44" s="7">
        <v>8.7799999999999994</v>
      </c>
      <c r="V44" s="7">
        <v>9.9</v>
      </c>
      <c r="W44" s="103">
        <f t="shared" si="7"/>
        <v>8.8933333333333326</v>
      </c>
      <c r="X44" s="101">
        <f t="shared" si="5"/>
        <v>426.88</v>
      </c>
    </row>
    <row r="45" spans="2:24" ht="50.15" customHeight="1" x14ac:dyDescent="0.35">
      <c r="B45" s="95" t="s">
        <v>177</v>
      </c>
      <c r="C45" s="1">
        <v>168</v>
      </c>
      <c r="D45" s="7">
        <v>17.07</v>
      </c>
      <c r="E45" s="7">
        <v>18.64</v>
      </c>
      <c r="F45" s="7">
        <v>11.16</v>
      </c>
      <c r="G45" s="103">
        <f t="shared" si="0"/>
        <v>15.623333333333335</v>
      </c>
      <c r="H45" s="101">
        <f t="shared" si="1"/>
        <v>2624.7200000000003</v>
      </c>
      <c r="J45" s="95" t="s">
        <v>177</v>
      </c>
      <c r="K45" s="1">
        <v>96</v>
      </c>
      <c r="L45" s="7">
        <v>17.07</v>
      </c>
      <c r="M45" s="7">
        <v>18.64</v>
      </c>
      <c r="N45" s="7">
        <v>11.16</v>
      </c>
      <c r="O45" s="103">
        <f t="shared" si="6"/>
        <v>15.623333333333335</v>
      </c>
      <c r="P45" s="101">
        <f t="shared" si="3"/>
        <v>1499.8400000000001</v>
      </c>
      <c r="R45" s="95" t="s">
        <v>177</v>
      </c>
      <c r="S45" s="1">
        <v>96</v>
      </c>
      <c r="T45" s="7">
        <v>17.07</v>
      </c>
      <c r="U45" s="7">
        <v>18.64</v>
      </c>
      <c r="V45" s="7">
        <v>11.16</v>
      </c>
      <c r="W45" s="103">
        <f t="shared" si="7"/>
        <v>15.623333333333335</v>
      </c>
      <c r="X45" s="101">
        <f t="shared" si="5"/>
        <v>1499.8400000000001</v>
      </c>
    </row>
    <row r="46" spans="2:24" ht="50.15" customHeight="1" x14ac:dyDescent="0.35">
      <c r="B46" s="95" t="s">
        <v>178</v>
      </c>
      <c r="C46" s="1">
        <v>252</v>
      </c>
      <c r="D46" s="7">
        <v>8.76</v>
      </c>
      <c r="E46" s="7">
        <v>5.68</v>
      </c>
      <c r="F46" s="7">
        <v>5.2</v>
      </c>
      <c r="G46" s="103">
        <f t="shared" si="0"/>
        <v>6.5466666666666669</v>
      </c>
      <c r="H46" s="101">
        <f t="shared" si="1"/>
        <v>1649.76</v>
      </c>
      <c r="J46" s="95" t="s">
        <v>178</v>
      </c>
      <c r="K46" s="1">
        <v>144</v>
      </c>
      <c r="L46" s="7">
        <v>8.76</v>
      </c>
      <c r="M46" s="7">
        <v>5.68</v>
      </c>
      <c r="N46" s="7">
        <v>5.2</v>
      </c>
      <c r="O46" s="103">
        <f t="shared" si="6"/>
        <v>6.5466666666666669</v>
      </c>
      <c r="P46" s="101">
        <f t="shared" si="3"/>
        <v>942.72</v>
      </c>
      <c r="R46" s="95" t="s">
        <v>178</v>
      </c>
      <c r="S46" s="1">
        <v>144</v>
      </c>
      <c r="T46" s="7">
        <v>8.76</v>
      </c>
      <c r="U46" s="7">
        <v>5.68</v>
      </c>
      <c r="V46" s="7">
        <v>5.2</v>
      </c>
      <c r="W46" s="103">
        <f t="shared" si="7"/>
        <v>6.5466666666666669</v>
      </c>
      <c r="X46" s="101">
        <f t="shared" si="5"/>
        <v>942.72</v>
      </c>
    </row>
    <row r="47" spans="2:24" ht="50.15" customHeight="1" x14ac:dyDescent="0.35">
      <c r="B47" s="95" t="s">
        <v>179</v>
      </c>
      <c r="C47" s="1">
        <v>0</v>
      </c>
      <c r="D47" s="7">
        <v>15.99</v>
      </c>
      <c r="E47" s="7">
        <v>18.600000000000001</v>
      </c>
      <c r="F47" s="7">
        <v>19.38</v>
      </c>
      <c r="G47" s="103">
        <f t="shared" si="0"/>
        <v>17.989999999999998</v>
      </c>
      <c r="H47" s="101">
        <f t="shared" si="1"/>
        <v>0</v>
      </c>
      <c r="J47" s="95" t="s">
        <v>179</v>
      </c>
      <c r="K47" s="1">
        <v>3</v>
      </c>
      <c r="L47" s="7">
        <v>15.99</v>
      </c>
      <c r="M47" s="7">
        <v>18.600000000000001</v>
      </c>
      <c r="N47" s="7">
        <v>19.38</v>
      </c>
      <c r="O47" s="103">
        <f t="shared" si="6"/>
        <v>17.989999999999998</v>
      </c>
      <c r="P47" s="101">
        <f t="shared" si="3"/>
        <v>53.97</v>
      </c>
      <c r="R47" s="95" t="s">
        <v>179</v>
      </c>
      <c r="S47" s="1">
        <v>1</v>
      </c>
      <c r="T47" s="7">
        <v>15.99</v>
      </c>
      <c r="U47" s="7">
        <v>18.600000000000001</v>
      </c>
      <c r="V47" s="7">
        <v>19.38</v>
      </c>
      <c r="W47" s="103">
        <f t="shared" si="7"/>
        <v>17.989999999999998</v>
      </c>
      <c r="X47" s="101">
        <f t="shared" si="5"/>
        <v>17.989999999999998</v>
      </c>
    </row>
    <row r="48" spans="2:24" ht="50.15" customHeight="1" x14ac:dyDescent="0.35">
      <c r="B48" s="95" t="s">
        <v>180</v>
      </c>
      <c r="C48" s="1">
        <v>14</v>
      </c>
      <c r="D48" s="7">
        <v>2.7</v>
      </c>
      <c r="E48" s="7">
        <v>3.79</v>
      </c>
      <c r="F48" s="7">
        <v>2.44</v>
      </c>
      <c r="G48" s="103">
        <f t="shared" si="0"/>
        <v>2.9766666666666666</v>
      </c>
      <c r="H48" s="101">
        <f t="shared" si="1"/>
        <v>41.673333333333332</v>
      </c>
      <c r="J48" s="95" t="s">
        <v>180</v>
      </c>
      <c r="K48" s="1">
        <v>8</v>
      </c>
      <c r="L48" s="7">
        <v>2.7</v>
      </c>
      <c r="M48" s="7">
        <v>3.79</v>
      </c>
      <c r="N48" s="7">
        <v>2.44</v>
      </c>
      <c r="O48" s="103">
        <f t="shared" si="6"/>
        <v>2.9766666666666666</v>
      </c>
      <c r="P48" s="101">
        <f t="shared" si="3"/>
        <v>23.813333333333333</v>
      </c>
      <c r="R48" s="95" t="s">
        <v>180</v>
      </c>
      <c r="S48" s="1">
        <v>8</v>
      </c>
      <c r="T48" s="7">
        <v>2.7</v>
      </c>
      <c r="U48" s="7">
        <v>3.79</v>
      </c>
      <c r="V48" s="7">
        <v>2.44</v>
      </c>
      <c r="W48" s="103">
        <f t="shared" si="7"/>
        <v>2.9766666666666666</v>
      </c>
      <c r="X48" s="101">
        <f t="shared" si="5"/>
        <v>23.813333333333333</v>
      </c>
    </row>
    <row r="49" spans="2:24" ht="50.15" customHeight="1" x14ac:dyDescent="0.35">
      <c r="B49" s="95" t="s">
        <v>181</v>
      </c>
      <c r="C49" s="1">
        <v>14</v>
      </c>
      <c r="D49" s="7">
        <v>14.15</v>
      </c>
      <c r="E49" s="7">
        <v>15.98</v>
      </c>
      <c r="F49" s="7">
        <v>16.899999999999999</v>
      </c>
      <c r="G49" s="103">
        <f t="shared" si="0"/>
        <v>15.676666666666668</v>
      </c>
      <c r="H49" s="101">
        <f t="shared" si="1"/>
        <v>219.47333333333336</v>
      </c>
      <c r="J49" s="95" t="s">
        <v>181</v>
      </c>
      <c r="K49" s="1">
        <v>8</v>
      </c>
      <c r="L49" s="7">
        <v>14.15</v>
      </c>
      <c r="M49" s="7">
        <v>15.98</v>
      </c>
      <c r="N49" s="7">
        <v>16.899999999999999</v>
      </c>
      <c r="O49" s="103">
        <f t="shared" si="6"/>
        <v>15.676666666666668</v>
      </c>
      <c r="P49" s="101">
        <f t="shared" si="3"/>
        <v>125.41333333333334</v>
      </c>
      <c r="R49" s="95" t="s">
        <v>181</v>
      </c>
      <c r="S49" s="1">
        <v>8</v>
      </c>
      <c r="T49" s="7">
        <v>14.15</v>
      </c>
      <c r="U49" s="7">
        <v>15.98</v>
      </c>
      <c r="V49" s="7">
        <v>16.899999999999999</v>
      </c>
      <c r="W49" s="103">
        <f t="shared" si="7"/>
        <v>15.676666666666668</v>
      </c>
      <c r="X49" s="101">
        <f t="shared" si="5"/>
        <v>125.41333333333334</v>
      </c>
    </row>
    <row r="50" spans="2:24" ht="50.15" customHeight="1" x14ac:dyDescent="0.35">
      <c r="B50" s="95" t="s">
        <v>182</v>
      </c>
      <c r="C50" s="1">
        <v>14</v>
      </c>
      <c r="D50" s="7">
        <v>9.5</v>
      </c>
      <c r="E50" s="7">
        <v>9.5</v>
      </c>
      <c r="F50" s="7">
        <v>14.38</v>
      </c>
      <c r="G50" s="103">
        <f t="shared" si="0"/>
        <v>11.126666666666667</v>
      </c>
      <c r="H50" s="101">
        <f t="shared" si="1"/>
        <v>155.77333333333334</v>
      </c>
      <c r="J50" s="95" t="s">
        <v>182</v>
      </c>
      <c r="K50" s="1">
        <v>8</v>
      </c>
      <c r="L50" s="7">
        <v>9.5</v>
      </c>
      <c r="M50" s="7">
        <v>9.5</v>
      </c>
      <c r="N50" s="7">
        <v>14.38</v>
      </c>
      <c r="O50" s="103">
        <f t="shared" si="6"/>
        <v>11.126666666666667</v>
      </c>
      <c r="P50" s="101">
        <f t="shared" si="3"/>
        <v>89.013333333333335</v>
      </c>
      <c r="R50" s="95" t="s">
        <v>182</v>
      </c>
      <c r="S50" s="1">
        <v>8</v>
      </c>
      <c r="T50" s="7">
        <v>9.5</v>
      </c>
      <c r="U50" s="7">
        <v>9.5</v>
      </c>
      <c r="V50" s="7">
        <v>14.38</v>
      </c>
      <c r="W50" s="103">
        <f t="shared" si="7"/>
        <v>11.126666666666667</v>
      </c>
      <c r="X50" s="101">
        <f t="shared" si="5"/>
        <v>89.013333333333335</v>
      </c>
    </row>
    <row r="51" spans="2:24" ht="50.15" customHeight="1" x14ac:dyDescent="0.35">
      <c r="B51" s="95" t="s">
        <v>183</v>
      </c>
      <c r="C51" s="1">
        <v>168</v>
      </c>
      <c r="D51" s="7">
        <v>8.75</v>
      </c>
      <c r="E51" s="7">
        <v>8.25</v>
      </c>
      <c r="F51" s="7">
        <v>8.1</v>
      </c>
      <c r="G51" s="103">
        <f t="shared" si="0"/>
        <v>8.3666666666666671</v>
      </c>
      <c r="H51" s="101">
        <f t="shared" si="1"/>
        <v>1405.6000000000001</v>
      </c>
      <c r="J51" s="95" t="s">
        <v>183</v>
      </c>
      <c r="K51" s="1">
        <v>96</v>
      </c>
      <c r="L51" s="7">
        <v>8.75</v>
      </c>
      <c r="M51" s="7">
        <v>8.25</v>
      </c>
      <c r="N51" s="7">
        <v>8.1</v>
      </c>
      <c r="O51" s="103">
        <f t="shared" si="6"/>
        <v>8.3666666666666671</v>
      </c>
      <c r="P51" s="101">
        <f t="shared" si="3"/>
        <v>803.2</v>
      </c>
      <c r="R51" s="95" t="s">
        <v>183</v>
      </c>
      <c r="S51" s="1">
        <v>96</v>
      </c>
      <c r="T51" s="7">
        <v>8.75</v>
      </c>
      <c r="U51" s="7">
        <v>8.25</v>
      </c>
      <c r="V51" s="7">
        <v>8.1</v>
      </c>
      <c r="W51" s="103">
        <f t="shared" si="7"/>
        <v>8.3666666666666671</v>
      </c>
      <c r="X51" s="101">
        <f t="shared" si="5"/>
        <v>803.2</v>
      </c>
    </row>
    <row r="52" spans="2:24" ht="50.15" customHeight="1" x14ac:dyDescent="0.35">
      <c r="B52" s="95" t="s">
        <v>184</v>
      </c>
      <c r="C52" s="1">
        <v>16</v>
      </c>
      <c r="D52" s="7">
        <v>6.35</v>
      </c>
      <c r="E52" s="7">
        <v>9.5</v>
      </c>
      <c r="F52" s="7">
        <v>7.19</v>
      </c>
      <c r="G52" s="103">
        <f t="shared" si="0"/>
        <v>7.68</v>
      </c>
      <c r="H52" s="101">
        <f t="shared" si="1"/>
        <v>122.88</v>
      </c>
      <c r="J52" s="95" t="s">
        <v>184</v>
      </c>
      <c r="K52" s="1">
        <v>10</v>
      </c>
      <c r="L52" s="7">
        <v>6.35</v>
      </c>
      <c r="M52" s="7">
        <v>9.5</v>
      </c>
      <c r="N52" s="7">
        <v>7.19</v>
      </c>
      <c r="O52" s="103">
        <f t="shared" si="6"/>
        <v>7.68</v>
      </c>
      <c r="P52" s="101">
        <f t="shared" si="3"/>
        <v>76.8</v>
      </c>
      <c r="R52" s="95" t="s">
        <v>184</v>
      </c>
      <c r="S52" s="1">
        <v>10</v>
      </c>
      <c r="T52" s="7">
        <v>6.35</v>
      </c>
      <c r="U52" s="7">
        <v>9.5</v>
      </c>
      <c r="V52" s="7">
        <v>7.19</v>
      </c>
      <c r="W52" s="103">
        <f t="shared" si="7"/>
        <v>7.68</v>
      </c>
      <c r="X52" s="101">
        <f t="shared" si="5"/>
        <v>76.8</v>
      </c>
    </row>
    <row r="53" spans="2:24" ht="50.15" customHeight="1" x14ac:dyDescent="0.35">
      <c r="B53" s="95" t="s">
        <v>185</v>
      </c>
      <c r="C53" s="1">
        <v>21</v>
      </c>
      <c r="D53" s="7">
        <v>97.62</v>
      </c>
      <c r="E53" s="7">
        <v>67.5</v>
      </c>
      <c r="F53" s="7">
        <v>84.9</v>
      </c>
      <c r="G53" s="103">
        <f t="shared" si="0"/>
        <v>83.34</v>
      </c>
      <c r="H53" s="101">
        <f t="shared" si="1"/>
        <v>1750.14</v>
      </c>
      <c r="J53" s="95" t="s">
        <v>185</v>
      </c>
      <c r="K53" s="1">
        <v>12</v>
      </c>
      <c r="L53" s="7">
        <v>97.62</v>
      </c>
      <c r="M53" s="7">
        <v>67.5</v>
      </c>
      <c r="N53" s="7">
        <v>84.9</v>
      </c>
      <c r="O53" s="103">
        <f t="shared" si="6"/>
        <v>83.34</v>
      </c>
      <c r="P53" s="101">
        <f t="shared" si="3"/>
        <v>1000.08</v>
      </c>
      <c r="R53" s="95" t="s">
        <v>185</v>
      </c>
      <c r="S53" s="1">
        <v>12</v>
      </c>
      <c r="T53" s="7">
        <v>97.62</v>
      </c>
      <c r="U53" s="7">
        <v>67.5</v>
      </c>
      <c r="V53" s="7">
        <v>84.9</v>
      </c>
      <c r="W53" s="103">
        <f t="shared" si="7"/>
        <v>83.34</v>
      </c>
      <c r="X53" s="101">
        <f t="shared" si="5"/>
        <v>1000.08</v>
      </c>
    </row>
    <row r="54" spans="2:24" ht="50.15" customHeight="1" x14ac:dyDescent="0.35">
      <c r="B54" s="95" t="s">
        <v>186</v>
      </c>
      <c r="C54" s="1">
        <v>21</v>
      </c>
      <c r="D54" s="7">
        <v>349.93</v>
      </c>
      <c r="E54" s="7">
        <v>259.3</v>
      </c>
      <c r="F54" s="7">
        <v>139.9</v>
      </c>
      <c r="G54" s="103">
        <f t="shared" si="0"/>
        <v>249.71</v>
      </c>
      <c r="H54" s="101">
        <f t="shared" si="1"/>
        <v>5243.91</v>
      </c>
      <c r="J54" s="95" t="s">
        <v>186</v>
      </c>
      <c r="K54" s="1">
        <v>12</v>
      </c>
      <c r="L54" s="7">
        <v>349.93</v>
      </c>
      <c r="M54" s="7">
        <v>259.3</v>
      </c>
      <c r="N54" s="7">
        <v>139.9</v>
      </c>
      <c r="O54" s="103">
        <f t="shared" si="6"/>
        <v>249.71</v>
      </c>
      <c r="P54" s="101">
        <f t="shared" si="3"/>
        <v>2996.52</v>
      </c>
      <c r="R54" s="95" t="s">
        <v>186</v>
      </c>
      <c r="S54" s="1">
        <v>12</v>
      </c>
      <c r="T54" s="7">
        <v>349.93</v>
      </c>
      <c r="U54" s="7">
        <v>259.3</v>
      </c>
      <c r="V54" s="7">
        <v>139.9</v>
      </c>
      <c r="W54" s="103">
        <f t="shared" si="7"/>
        <v>249.71</v>
      </c>
      <c r="X54" s="101">
        <f t="shared" si="5"/>
        <v>2996.52</v>
      </c>
    </row>
    <row r="55" spans="2:24" ht="50.15" customHeight="1" x14ac:dyDescent="0.35">
      <c r="B55" s="95" t="s">
        <v>187</v>
      </c>
      <c r="C55" s="1">
        <v>42</v>
      </c>
      <c r="D55" s="7">
        <v>28.42</v>
      </c>
      <c r="E55" s="7">
        <v>26.65</v>
      </c>
      <c r="F55" s="7">
        <v>21.29</v>
      </c>
      <c r="G55" s="103">
        <f t="shared" si="0"/>
        <v>25.453333333333333</v>
      </c>
      <c r="H55" s="101">
        <f t="shared" si="1"/>
        <v>1069.04</v>
      </c>
      <c r="J55" s="95" t="s">
        <v>187</v>
      </c>
      <c r="K55" s="1">
        <v>24</v>
      </c>
      <c r="L55" s="7">
        <v>28.42</v>
      </c>
      <c r="M55" s="7">
        <v>26.65</v>
      </c>
      <c r="N55" s="7">
        <v>21.29</v>
      </c>
      <c r="O55" s="103">
        <f t="shared" si="6"/>
        <v>25.453333333333333</v>
      </c>
      <c r="P55" s="101">
        <f t="shared" si="3"/>
        <v>610.88</v>
      </c>
      <c r="R55" s="95" t="s">
        <v>187</v>
      </c>
      <c r="S55" s="1">
        <v>24</v>
      </c>
      <c r="T55" s="7">
        <v>28.42</v>
      </c>
      <c r="U55" s="7">
        <v>26.65</v>
      </c>
      <c r="V55" s="7">
        <v>21.29</v>
      </c>
      <c r="W55" s="103">
        <f t="shared" si="7"/>
        <v>25.453333333333333</v>
      </c>
      <c r="X55" s="101">
        <f t="shared" si="5"/>
        <v>610.88</v>
      </c>
    </row>
    <row r="56" spans="2:24" ht="50.15" customHeight="1" x14ac:dyDescent="0.35">
      <c r="B56" s="95" t="s">
        <v>188</v>
      </c>
      <c r="C56" s="1">
        <v>42</v>
      </c>
      <c r="D56" s="7">
        <v>38.479999999999997</v>
      </c>
      <c r="E56" s="7">
        <v>37</v>
      </c>
      <c r="F56" s="7">
        <v>39.020000000000003</v>
      </c>
      <c r="G56" s="103">
        <f t="shared" si="0"/>
        <v>38.166666666666664</v>
      </c>
      <c r="H56" s="101">
        <f t="shared" si="1"/>
        <v>1603</v>
      </c>
      <c r="J56" s="95" t="s">
        <v>188</v>
      </c>
      <c r="K56" s="1">
        <v>24</v>
      </c>
      <c r="L56" s="7">
        <v>38.479999999999997</v>
      </c>
      <c r="M56" s="7">
        <v>37</v>
      </c>
      <c r="N56" s="7">
        <v>39.020000000000003</v>
      </c>
      <c r="O56" s="103">
        <f t="shared" si="6"/>
        <v>38.166666666666664</v>
      </c>
      <c r="P56" s="101">
        <f t="shared" si="3"/>
        <v>916</v>
      </c>
      <c r="R56" s="95" t="s">
        <v>188</v>
      </c>
      <c r="S56" s="1">
        <v>24</v>
      </c>
      <c r="T56" s="7">
        <v>38.479999999999997</v>
      </c>
      <c r="U56" s="7">
        <v>37</v>
      </c>
      <c r="V56" s="7">
        <v>39.020000000000003</v>
      </c>
      <c r="W56" s="103">
        <f t="shared" si="7"/>
        <v>38.166666666666664</v>
      </c>
      <c r="X56" s="101">
        <f t="shared" si="5"/>
        <v>916</v>
      </c>
    </row>
    <row r="57" spans="2:24" ht="50.15" customHeight="1" x14ac:dyDescent="0.35">
      <c r="B57" s="95" t="s">
        <v>189</v>
      </c>
      <c r="C57" s="1">
        <v>21</v>
      </c>
      <c r="D57" s="7">
        <v>44.15</v>
      </c>
      <c r="E57" s="7">
        <v>45</v>
      </c>
      <c r="F57" s="7">
        <v>41.89</v>
      </c>
      <c r="G57" s="103">
        <f t="shared" si="0"/>
        <v>43.680000000000007</v>
      </c>
      <c r="H57" s="101">
        <f t="shared" si="1"/>
        <v>917.2800000000002</v>
      </c>
      <c r="J57" s="95" t="s">
        <v>189</v>
      </c>
      <c r="K57" s="1">
        <v>12</v>
      </c>
      <c r="L57" s="7">
        <v>44.15</v>
      </c>
      <c r="M57" s="7">
        <v>45</v>
      </c>
      <c r="N57" s="7">
        <v>41.89</v>
      </c>
      <c r="O57" s="103">
        <f t="shared" si="6"/>
        <v>43.680000000000007</v>
      </c>
      <c r="P57" s="101">
        <f t="shared" si="3"/>
        <v>524.16000000000008</v>
      </c>
      <c r="R57" s="95" t="s">
        <v>189</v>
      </c>
      <c r="S57" s="1">
        <v>12</v>
      </c>
      <c r="T57" s="7">
        <v>44.15</v>
      </c>
      <c r="U57" s="7">
        <v>45</v>
      </c>
      <c r="V57" s="7">
        <v>41.89</v>
      </c>
      <c r="W57" s="103">
        <f t="shared" si="7"/>
        <v>43.680000000000007</v>
      </c>
      <c r="X57" s="101">
        <f t="shared" si="5"/>
        <v>524.16000000000008</v>
      </c>
    </row>
    <row r="58" spans="2:24" ht="28" x14ac:dyDescent="0.35">
      <c r="B58" s="95" t="s">
        <v>190</v>
      </c>
      <c r="C58" s="1">
        <v>72</v>
      </c>
      <c r="D58" s="7">
        <v>9</v>
      </c>
      <c r="E58" s="7">
        <v>8.5500000000000007</v>
      </c>
      <c r="F58" s="7">
        <v>8.5500000000000007</v>
      </c>
      <c r="G58" s="103">
        <f t="shared" si="0"/>
        <v>8.7000000000000011</v>
      </c>
      <c r="H58" s="101">
        <f t="shared" si="1"/>
        <v>626.40000000000009</v>
      </c>
      <c r="J58" s="95" t="s">
        <v>190</v>
      </c>
      <c r="K58" s="1">
        <v>48</v>
      </c>
      <c r="L58" s="7">
        <v>9</v>
      </c>
      <c r="M58" s="7">
        <v>8.5500000000000007</v>
      </c>
      <c r="N58" s="7">
        <v>8.5500000000000007</v>
      </c>
      <c r="O58" s="103">
        <f t="shared" si="6"/>
        <v>8.7000000000000011</v>
      </c>
      <c r="P58" s="101">
        <f t="shared" si="3"/>
        <v>417.6</v>
      </c>
      <c r="R58" s="95" t="s">
        <v>190</v>
      </c>
      <c r="S58" s="1">
        <v>48</v>
      </c>
      <c r="T58" s="7">
        <v>9</v>
      </c>
      <c r="U58" s="7">
        <v>8.5500000000000007</v>
      </c>
      <c r="V58" s="7">
        <v>8.5500000000000007</v>
      </c>
      <c r="W58" s="103">
        <f t="shared" si="7"/>
        <v>8.7000000000000011</v>
      </c>
      <c r="X58" s="101">
        <f t="shared" si="5"/>
        <v>417.6</v>
      </c>
    </row>
    <row r="59" spans="2:24" ht="50.15" customHeight="1" x14ac:dyDescent="0.35">
      <c r="B59" s="183" t="s">
        <v>85</v>
      </c>
      <c r="C59" s="184"/>
      <c r="D59" s="184"/>
      <c r="E59" s="184"/>
      <c r="F59" s="184"/>
      <c r="G59" s="185"/>
      <c r="H59" s="101">
        <f>SUM(H5:H58)</f>
        <v>185049.06333333338</v>
      </c>
      <c r="J59" s="183" t="s">
        <v>85</v>
      </c>
      <c r="K59" s="184"/>
      <c r="L59" s="184"/>
      <c r="M59" s="184"/>
      <c r="N59" s="184"/>
      <c r="O59" s="185"/>
      <c r="P59" s="101">
        <f>SUM(P5:P58)</f>
        <v>110644.75666666667</v>
      </c>
      <c r="R59" s="183" t="s">
        <v>85</v>
      </c>
      <c r="S59" s="184"/>
      <c r="T59" s="184"/>
      <c r="U59" s="184"/>
      <c r="V59" s="184"/>
      <c r="W59" s="185"/>
      <c r="X59" s="101">
        <f>SUM(X5:X58)</f>
        <v>110608.77666666667</v>
      </c>
    </row>
    <row r="60" spans="2:24" ht="50.15" customHeight="1" x14ac:dyDescent="0.35">
      <c r="B60" s="180" t="s">
        <v>92</v>
      </c>
      <c r="C60" s="181"/>
      <c r="D60" s="181"/>
      <c r="E60" s="181"/>
      <c r="F60" s="181"/>
      <c r="G60" s="182"/>
      <c r="H60" s="101">
        <f>H59/'Colaboradores por produtividade'!P14</f>
        <v>6853.669012345681</v>
      </c>
      <c r="J60" s="180" t="s">
        <v>92</v>
      </c>
      <c r="K60" s="181"/>
      <c r="L60" s="181"/>
      <c r="M60" s="181"/>
      <c r="N60" s="181"/>
      <c r="O60" s="182"/>
      <c r="P60" s="101">
        <f>P59/'Colaboradores por produtividade'!P27</f>
        <v>6508.5150980392154</v>
      </c>
      <c r="R60" s="180" t="s">
        <v>92</v>
      </c>
      <c r="S60" s="181"/>
      <c r="T60" s="181"/>
      <c r="U60" s="181"/>
      <c r="V60" s="181"/>
      <c r="W60" s="182"/>
      <c r="X60" s="101">
        <f>X59/'Colaboradores por produtividade'!P40</f>
        <v>8508.3674358974367</v>
      </c>
    </row>
    <row r="61" spans="2:24" ht="50.15" customHeight="1" x14ac:dyDescent="0.35">
      <c r="B61" s="180" t="s">
        <v>93</v>
      </c>
      <c r="C61" s="181"/>
      <c r="D61" s="181"/>
      <c r="E61" s="181"/>
      <c r="F61" s="181"/>
      <c r="G61" s="182"/>
      <c r="H61" s="101">
        <f>H60/12</f>
        <v>571.13908436214012</v>
      </c>
      <c r="J61" s="180" t="s">
        <v>93</v>
      </c>
      <c r="K61" s="181"/>
      <c r="L61" s="181"/>
      <c r="M61" s="181"/>
      <c r="N61" s="181"/>
      <c r="O61" s="182"/>
      <c r="P61" s="101">
        <f>P60/12</f>
        <v>542.37625816993466</v>
      </c>
      <c r="R61" s="180" t="s">
        <v>93</v>
      </c>
      <c r="S61" s="181"/>
      <c r="T61" s="181"/>
      <c r="U61" s="181"/>
      <c r="V61" s="181"/>
      <c r="W61" s="182"/>
      <c r="X61" s="101">
        <f>X60/12</f>
        <v>709.03061965811969</v>
      </c>
    </row>
  </sheetData>
  <mergeCells count="13">
    <mergeCell ref="B60:G60"/>
    <mergeCell ref="B61:G61"/>
    <mergeCell ref="C2:H2"/>
    <mergeCell ref="B1:G1"/>
    <mergeCell ref="J1:O1"/>
    <mergeCell ref="B59:G59"/>
    <mergeCell ref="J59:O59"/>
    <mergeCell ref="R1:W1"/>
    <mergeCell ref="R60:W60"/>
    <mergeCell ref="R61:W61"/>
    <mergeCell ref="R59:W59"/>
    <mergeCell ref="J60:O60"/>
    <mergeCell ref="J61:O61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1E7C-4D91-447D-B355-2117A9900AE5}">
  <dimension ref="A1:G23"/>
  <sheetViews>
    <sheetView workbookViewId="0">
      <selection activeCell="I22" sqref="I22"/>
    </sheetView>
  </sheetViews>
  <sheetFormatPr defaultColWidth="8.81640625" defaultRowHeight="14.5" x14ac:dyDescent="0.35"/>
  <cols>
    <col min="1" max="1" width="44.81640625" bestFit="1" customWidth="1"/>
    <col min="2" max="2" width="11.453125" bestFit="1" customWidth="1"/>
    <col min="3" max="3" width="12" customWidth="1"/>
    <col min="4" max="6" width="10.7265625" bestFit="1" customWidth="1"/>
    <col min="7" max="7" width="12.1796875" bestFit="1" customWidth="1"/>
  </cols>
  <sheetData>
    <row r="1" spans="1:7" ht="15.5" x14ac:dyDescent="0.35">
      <c r="A1" s="10" t="s">
        <v>89</v>
      </c>
      <c r="B1" s="10"/>
    </row>
    <row r="2" spans="1:7" x14ac:dyDescent="0.35">
      <c r="A2" s="5" t="s">
        <v>125</v>
      </c>
    </row>
    <row r="3" spans="1:7" ht="21.75" customHeight="1" x14ac:dyDescent="0.35">
      <c r="A3" s="187" t="s">
        <v>208</v>
      </c>
      <c r="B3" s="187"/>
      <c r="C3" s="187"/>
      <c r="D3" s="187"/>
      <c r="E3" s="187"/>
      <c r="F3" s="187"/>
      <c r="G3" s="187"/>
    </row>
    <row r="4" spans="1:7" ht="53.15" customHeight="1" x14ac:dyDescent="0.35">
      <c r="A4" s="25" t="s">
        <v>127</v>
      </c>
      <c r="B4" s="106" t="s">
        <v>128</v>
      </c>
      <c r="C4" s="107" t="s">
        <v>120</v>
      </c>
      <c r="D4" s="107" t="s">
        <v>121</v>
      </c>
      <c r="E4" s="107" t="s">
        <v>122</v>
      </c>
      <c r="F4" s="107" t="s">
        <v>123</v>
      </c>
      <c r="G4" s="108" t="s">
        <v>124</v>
      </c>
    </row>
    <row r="5" spans="1:7" ht="42" x14ac:dyDescent="0.35">
      <c r="A5" s="95" t="s">
        <v>225</v>
      </c>
      <c r="B5" s="2">
        <v>12</v>
      </c>
      <c r="C5" s="111">
        <v>2880</v>
      </c>
      <c r="D5" s="111">
        <v>2544</v>
      </c>
      <c r="E5" s="111">
        <v>2318</v>
      </c>
      <c r="F5" s="112">
        <f t="shared" ref="F5:F6" si="0">AVERAGE(C5:E5)</f>
        <v>2580.6666666666665</v>
      </c>
      <c r="G5" s="100">
        <f>F5*B5</f>
        <v>30968</v>
      </c>
    </row>
    <row r="6" spans="1:7" x14ac:dyDescent="0.35">
      <c r="A6" s="2" t="s">
        <v>226</v>
      </c>
      <c r="B6" s="2">
        <v>12</v>
      </c>
      <c r="C6" s="100">
        <v>1623.96</v>
      </c>
      <c r="D6" s="100">
        <v>1140</v>
      </c>
      <c r="E6" s="100">
        <v>1195</v>
      </c>
      <c r="F6" s="112">
        <f t="shared" si="0"/>
        <v>1319.6533333333334</v>
      </c>
      <c r="G6" s="100">
        <f>F6*B6</f>
        <v>15835.84</v>
      </c>
    </row>
    <row r="7" spans="1:7" ht="16" customHeight="1" x14ac:dyDescent="0.35">
      <c r="A7" s="175" t="s">
        <v>85</v>
      </c>
      <c r="B7" s="175"/>
      <c r="C7" s="175"/>
      <c r="D7" s="175"/>
      <c r="E7" s="175"/>
      <c r="F7" s="175"/>
      <c r="G7" s="113">
        <f>SUM(G5:G6)</f>
        <v>46803.839999999997</v>
      </c>
    </row>
    <row r="8" spans="1:7" ht="16" customHeight="1" x14ac:dyDescent="0.35">
      <c r="A8" s="175" t="s">
        <v>228</v>
      </c>
      <c r="B8" s="175"/>
      <c r="C8" s="175"/>
      <c r="D8" s="175"/>
      <c r="E8" s="175"/>
      <c r="F8" s="175"/>
      <c r="G8" s="113">
        <f>G7*0.83%</f>
        <v>388.47187199999996</v>
      </c>
    </row>
    <row r="9" spans="1:7" ht="16" customHeight="1" x14ac:dyDescent="0.35">
      <c r="A9" s="175" t="s">
        <v>229</v>
      </c>
      <c r="B9" s="175"/>
      <c r="C9" s="175"/>
      <c r="D9" s="175"/>
      <c r="E9" s="175"/>
      <c r="F9" s="175"/>
      <c r="G9" s="113">
        <f>G8/'Colaboradores por produtividade'!P14</f>
        <v>14.38784711111111</v>
      </c>
    </row>
    <row r="10" spans="1:7" ht="21" customHeight="1" x14ac:dyDescent="0.35">
      <c r="A10" s="188" t="s">
        <v>191</v>
      </c>
      <c r="B10" s="188"/>
      <c r="C10" s="188"/>
      <c r="D10" s="188"/>
      <c r="E10" s="188"/>
      <c r="F10" s="188"/>
      <c r="G10" s="188"/>
    </row>
    <row r="11" spans="1:7" ht="43.5" x14ac:dyDescent="0.35">
      <c r="A11" s="25" t="s">
        <v>127</v>
      </c>
      <c r="B11" s="106" t="s">
        <v>128</v>
      </c>
      <c r="C11" s="107" t="s">
        <v>120</v>
      </c>
      <c r="D11" s="107" t="s">
        <v>121</v>
      </c>
      <c r="E11" s="107" t="s">
        <v>122</v>
      </c>
      <c r="F11" s="107" t="s">
        <v>123</v>
      </c>
      <c r="G11" s="108" t="s">
        <v>124</v>
      </c>
    </row>
    <row r="12" spans="1:7" ht="42" x14ac:dyDescent="0.35">
      <c r="A12" s="95" t="s">
        <v>225</v>
      </c>
      <c r="B12" s="1">
        <v>8</v>
      </c>
      <c r="C12" s="111">
        <v>2880</v>
      </c>
      <c r="D12" s="111">
        <v>2544</v>
      </c>
      <c r="E12" s="111">
        <v>2318</v>
      </c>
      <c r="F12" s="110">
        <f>AVERAGE(C12:E12)</f>
        <v>2580.6666666666665</v>
      </c>
      <c r="G12" s="109">
        <f>F12*B12</f>
        <v>20645.333333333332</v>
      </c>
    </row>
    <row r="13" spans="1:7" ht="16" customHeight="1" x14ac:dyDescent="0.35">
      <c r="A13" s="2" t="s">
        <v>226</v>
      </c>
      <c r="B13" s="1">
        <v>8</v>
      </c>
      <c r="C13" s="100">
        <v>1623.96</v>
      </c>
      <c r="D13" s="100">
        <v>1140</v>
      </c>
      <c r="E13" s="100">
        <v>1195</v>
      </c>
      <c r="F13" s="110">
        <f>AVERAGE(C13:E13)</f>
        <v>1319.6533333333334</v>
      </c>
      <c r="G13" s="109">
        <f>F13*B13</f>
        <v>10557.226666666667</v>
      </c>
    </row>
    <row r="14" spans="1:7" ht="16" customHeight="1" x14ac:dyDescent="0.35">
      <c r="A14" s="175" t="s">
        <v>85</v>
      </c>
      <c r="B14" s="175"/>
      <c r="C14" s="175"/>
      <c r="D14" s="175"/>
      <c r="E14" s="175"/>
      <c r="F14" s="175"/>
      <c r="G14" s="113">
        <f>SUM(G12:G13)</f>
        <v>31202.559999999998</v>
      </c>
    </row>
    <row r="15" spans="1:7" ht="15" customHeight="1" x14ac:dyDescent="0.35">
      <c r="A15" s="175" t="s">
        <v>228</v>
      </c>
      <c r="B15" s="175"/>
      <c r="C15" s="175"/>
      <c r="D15" s="175"/>
      <c r="E15" s="175"/>
      <c r="F15" s="175"/>
      <c r="G15" s="113">
        <f>G14*0.83%</f>
        <v>258.98124799999999</v>
      </c>
    </row>
    <row r="16" spans="1:7" x14ac:dyDescent="0.35">
      <c r="A16" s="175" t="s">
        <v>229</v>
      </c>
      <c r="B16" s="175"/>
      <c r="C16" s="175"/>
      <c r="D16" s="175"/>
      <c r="E16" s="175"/>
      <c r="F16" s="175"/>
      <c r="G16" s="113">
        <f>G15/'Colaboradores por produtividade'!P27</f>
        <v>15.234191058823528</v>
      </c>
    </row>
    <row r="17" spans="1:7" x14ac:dyDescent="0.35">
      <c r="A17" s="187" t="s">
        <v>216</v>
      </c>
      <c r="B17" s="187"/>
      <c r="C17" s="187"/>
      <c r="D17" s="187"/>
      <c r="E17" s="187"/>
      <c r="F17" s="187"/>
      <c r="G17" s="187"/>
    </row>
    <row r="18" spans="1:7" ht="43.5" x14ac:dyDescent="0.35">
      <c r="A18" s="25" t="s">
        <v>127</v>
      </c>
      <c r="B18" s="106" t="s">
        <v>128</v>
      </c>
      <c r="C18" s="107" t="s">
        <v>120</v>
      </c>
      <c r="D18" s="107" t="s">
        <v>121</v>
      </c>
      <c r="E18" s="107" t="s">
        <v>122</v>
      </c>
      <c r="F18" s="107" t="s">
        <v>123</v>
      </c>
      <c r="G18" s="108" t="s">
        <v>124</v>
      </c>
    </row>
    <row r="19" spans="1:7" ht="42" x14ac:dyDescent="0.35">
      <c r="A19" s="95" t="s">
        <v>225</v>
      </c>
      <c r="B19" s="2">
        <v>8</v>
      </c>
      <c r="C19" s="111">
        <v>2880</v>
      </c>
      <c r="D19" s="111">
        <v>2544</v>
      </c>
      <c r="E19" s="111">
        <v>2318</v>
      </c>
      <c r="F19" s="112">
        <f t="shared" ref="F19:F20" si="1">AVERAGE(C19:E19)</f>
        <v>2580.6666666666665</v>
      </c>
      <c r="G19" s="100">
        <f>F19*B19</f>
        <v>20645.333333333332</v>
      </c>
    </row>
    <row r="20" spans="1:7" x14ac:dyDescent="0.35">
      <c r="A20" s="2" t="s">
        <v>226</v>
      </c>
      <c r="B20" s="2">
        <v>8</v>
      </c>
      <c r="C20" s="100">
        <v>1623.96</v>
      </c>
      <c r="D20" s="100">
        <v>1140</v>
      </c>
      <c r="E20" s="100">
        <v>1195</v>
      </c>
      <c r="F20" s="112">
        <f t="shared" si="1"/>
        <v>1319.6533333333334</v>
      </c>
      <c r="G20" s="100">
        <f>F20*B20</f>
        <v>10557.226666666667</v>
      </c>
    </row>
    <row r="21" spans="1:7" x14ac:dyDescent="0.35">
      <c r="A21" s="175" t="s">
        <v>85</v>
      </c>
      <c r="B21" s="175"/>
      <c r="C21" s="175"/>
      <c r="D21" s="175"/>
      <c r="E21" s="175"/>
      <c r="F21" s="175"/>
      <c r="G21" s="113">
        <f>SUM(G19:G20)</f>
        <v>31202.559999999998</v>
      </c>
    </row>
    <row r="22" spans="1:7" x14ac:dyDescent="0.35">
      <c r="A22" s="175" t="s">
        <v>228</v>
      </c>
      <c r="B22" s="175"/>
      <c r="C22" s="175"/>
      <c r="D22" s="175"/>
      <c r="E22" s="175"/>
      <c r="F22" s="175"/>
      <c r="G22" s="113">
        <f>G21*0.83%</f>
        <v>258.98124799999999</v>
      </c>
    </row>
    <row r="23" spans="1:7" x14ac:dyDescent="0.35">
      <c r="A23" s="175" t="s">
        <v>229</v>
      </c>
      <c r="B23" s="175"/>
      <c r="C23" s="175"/>
      <c r="D23" s="175"/>
      <c r="E23" s="175"/>
      <c r="F23" s="175"/>
      <c r="G23" s="113">
        <f>G22/'Colaboradores por produtividade'!P40</f>
        <v>19.92163446153846</v>
      </c>
    </row>
  </sheetData>
  <mergeCells count="12">
    <mergeCell ref="A3:G3"/>
    <mergeCell ref="A10:G10"/>
    <mergeCell ref="A17:G17"/>
    <mergeCell ref="A7:F7"/>
    <mergeCell ref="A9:F9"/>
    <mergeCell ref="A23:F23"/>
    <mergeCell ref="A21:F21"/>
    <mergeCell ref="A8:F8"/>
    <mergeCell ref="A22:F22"/>
    <mergeCell ref="A16:F16"/>
    <mergeCell ref="A14:F14"/>
    <mergeCell ref="A15:F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21B9-84B8-4C32-8705-E1A6316460FB}">
  <dimension ref="A3:Z40"/>
  <sheetViews>
    <sheetView topLeftCell="A5" workbookViewId="0">
      <selection activeCell="Z12" sqref="Z12"/>
    </sheetView>
  </sheetViews>
  <sheetFormatPr defaultRowHeight="14.5" x14ac:dyDescent="0.35"/>
  <cols>
    <col min="1" max="1" width="20.1796875" customWidth="1"/>
    <col min="5" max="5" width="15.1796875" customWidth="1"/>
    <col min="10" max="10" width="10.453125" bestFit="1" customWidth="1"/>
    <col min="12" max="12" width="12.1796875" bestFit="1" customWidth="1"/>
    <col min="16" max="16" width="11.54296875" customWidth="1"/>
    <col min="20" max="20" width="32.81640625" customWidth="1"/>
  </cols>
  <sheetData>
    <row r="3" spans="1:26" x14ac:dyDescent="0.35">
      <c r="A3" s="201" t="s">
        <v>208</v>
      </c>
      <c r="B3" s="202"/>
      <c r="C3" s="202"/>
      <c r="D3" s="202"/>
      <c r="E3" s="202"/>
      <c r="F3" s="202"/>
      <c r="G3" s="202"/>
      <c r="H3" s="202"/>
      <c r="I3" s="203" t="s">
        <v>227</v>
      </c>
      <c r="J3" s="203"/>
      <c r="K3" s="203"/>
      <c r="L3" s="203"/>
      <c r="M3" s="203"/>
      <c r="N3" s="203"/>
      <c r="O3" s="203"/>
      <c r="P3" s="194" t="s">
        <v>192</v>
      </c>
    </row>
    <row r="4" spans="1:26" ht="29.25" customHeight="1" thickBot="1" x14ac:dyDescent="0.4">
      <c r="A4" s="197" t="s">
        <v>193</v>
      </c>
      <c r="B4" s="205" t="s">
        <v>194</v>
      </c>
      <c r="C4" s="206"/>
      <c r="D4" s="206"/>
      <c r="E4" s="206"/>
      <c r="F4" s="206"/>
      <c r="G4" s="206"/>
      <c r="H4" s="206"/>
      <c r="I4" s="194" t="s">
        <v>195</v>
      </c>
      <c r="J4" s="194"/>
      <c r="K4" s="195" t="s">
        <v>196</v>
      </c>
      <c r="L4" s="195" t="s">
        <v>197</v>
      </c>
      <c r="M4" s="194" t="s">
        <v>198</v>
      </c>
      <c r="N4" s="194" t="s">
        <v>199</v>
      </c>
      <c r="O4" s="195" t="s">
        <v>85</v>
      </c>
      <c r="P4" s="194"/>
    </row>
    <row r="5" spans="1:26" ht="25.5" customHeight="1" thickBot="1" x14ac:dyDescent="0.4">
      <c r="A5" s="204"/>
      <c r="B5" s="205" t="s">
        <v>195</v>
      </c>
      <c r="C5" s="207"/>
      <c r="D5" s="208" t="s">
        <v>196</v>
      </c>
      <c r="E5" s="208" t="s">
        <v>197</v>
      </c>
      <c r="F5" s="197" t="s">
        <v>198</v>
      </c>
      <c r="G5" s="197" t="s">
        <v>199</v>
      </c>
      <c r="H5" s="199" t="s">
        <v>85</v>
      </c>
      <c r="I5" s="116" t="s">
        <v>200</v>
      </c>
      <c r="J5" s="114" t="s">
        <v>201</v>
      </c>
      <c r="K5" s="195"/>
      <c r="L5" s="195"/>
      <c r="M5" s="194"/>
      <c r="N5" s="194"/>
      <c r="O5" s="195"/>
      <c r="P5" s="194"/>
      <c r="T5" s="189" t="s">
        <v>208</v>
      </c>
      <c r="U5" s="190"/>
      <c r="V5" s="190"/>
      <c r="W5" s="190"/>
      <c r="X5" s="190"/>
      <c r="Y5" s="191"/>
    </row>
    <row r="6" spans="1:26" ht="58" x14ac:dyDescent="0.35">
      <c r="A6" s="198"/>
      <c r="B6" s="123" t="s">
        <v>200</v>
      </c>
      <c r="C6" s="124" t="s">
        <v>201</v>
      </c>
      <c r="D6" s="209"/>
      <c r="E6" s="209"/>
      <c r="F6" s="198"/>
      <c r="G6" s="198"/>
      <c r="H6" s="200"/>
      <c r="I6" s="118">
        <v>360</v>
      </c>
      <c r="J6" s="118">
        <v>360</v>
      </c>
      <c r="K6" s="118">
        <v>200</v>
      </c>
      <c r="L6" s="118">
        <v>800</v>
      </c>
      <c r="M6" s="118">
        <v>1800</v>
      </c>
      <c r="N6" s="118">
        <v>300</v>
      </c>
      <c r="O6" s="118" t="s">
        <v>202</v>
      </c>
      <c r="P6" s="194"/>
      <c r="T6" s="135" t="s">
        <v>221</v>
      </c>
      <c r="U6" s="133">
        <v>0.4</v>
      </c>
      <c r="V6" s="132" t="s">
        <v>222</v>
      </c>
      <c r="W6" s="134" t="s">
        <v>223</v>
      </c>
      <c r="X6" s="134" t="s">
        <v>224</v>
      </c>
      <c r="Y6" s="136" t="s">
        <v>230</v>
      </c>
    </row>
    <row r="7" spans="1:26" ht="28" x14ac:dyDescent="0.35">
      <c r="A7" s="125" t="s">
        <v>209</v>
      </c>
      <c r="B7" s="126">
        <v>66.900000000000006</v>
      </c>
      <c r="C7" s="125">
        <v>23.9</v>
      </c>
      <c r="D7" s="126">
        <v>11.6</v>
      </c>
      <c r="E7" s="126">
        <v>101.9</v>
      </c>
      <c r="F7" s="126">
        <v>12.2</v>
      </c>
      <c r="G7" s="126">
        <v>18.82</v>
      </c>
      <c r="H7" s="127">
        <v>235.32</v>
      </c>
      <c r="I7" s="119">
        <f>B7/$I$6</f>
        <v>0.18583333333333335</v>
      </c>
      <c r="J7" s="119">
        <f>C7/$J$6</f>
        <v>6.6388888888888886E-2</v>
      </c>
      <c r="K7" s="119">
        <f>D7/$K$6</f>
        <v>5.7999999999999996E-2</v>
      </c>
      <c r="L7" s="119">
        <f>E7/$L$6</f>
        <v>0.12737500000000002</v>
      </c>
      <c r="M7" s="119">
        <f>F7/$M$6</f>
        <v>6.7777777777777775E-3</v>
      </c>
      <c r="N7" s="119">
        <f>G7/$N$6</f>
        <v>6.2733333333333335E-2</v>
      </c>
      <c r="O7" s="119">
        <f>SUM(I7:N7)</f>
        <v>0.50710833333333338</v>
      </c>
      <c r="P7" s="114">
        <v>1</v>
      </c>
      <c r="T7" s="137" t="s">
        <v>209</v>
      </c>
      <c r="U7" s="1">
        <f>SUM(I7,K7)</f>
        <v>0.24383333333333335</v>
      </c>
      <c r="V7" s="1">
        <f>U7+J7</f>
        <v>0.31022222222222223</v>
      </c>
      <c r="W7" s="1">
        <f>IF(U7&gt;1,2,IF(U7&lt;1,1))</f>
        <v>1</v>
      </c>
      <c r="X7" s="1">
        <f>IF(V7-W7&gt;0.1,1,0)</f>
        <v>0</v>
      </c>
      <c r="Y7" s="138">
        <f>P7-(W7+X7)</f>
        <v>0</v>
      </c>
    </row>
    <row r="8" spans="1:26" ht="28" x14ac:dyDescent="0.35">
      <c r="A8" s="125" t="s">
        <v>210</v>
      </c>
      <c r="B8" s="126">
        <v>17.899999999999999</v>
      </c>
      <c r="C8" s="125">
        <v>0</v>
      </c>
      <c r="D8" s="126">
        <v>41.6</v>
      </c>
      <c r="E8" s="126">
        <v>687.95</v>
      </c>
      <c r="F8" s="126">
        <v>0</v>
      </c>
      <c r="G8" s="126">
        <v>22.45</v>
      </c>
      <c r="H8" s="127">
        <v>769.9</v>
      </c>
      <c r="I8" s="119">
        <f t="shared" ref="I8:I14" si="0">B8/$I$6</f>
        <v>4.9722222222222216E-2</v>
      </c>
      <c r="J8" s="119">
        <f t="shared" ref="J8:J14" si="1">C8/$J$6</f>
        <v>0</v>
      </c>
      <c r="K8" s="119">
        <f t="shared" ref="K8:K14" si="2">D8/$K$6</f>
        <v>0.20800000000000002</v>
      </c>
      <c r="L8" s="119">
        <f t="shared" ref="L8:L14" si="3">E8/$L$6</f>
        <v>0.85993750000000002</v>
      </c>
      <c r="M8" s="119">
        <f t="shared" ref="M8:M14" si="4">F8/$M$6</f>
        <v>0</v>
      </c>
      <c r="N8" s="119">
        <f t="shared" ref="N8:N14" si="5">G8/$N$6</f>
        <v>7.4833333333333335E-2</v>
      </c>
      <c r="O8" s="119">
        <f t="shared" ref="O8:O14" si="6">SUM(I8:N8)</f>
        <v>1.1924930555555555</v>
      </c>
      <c r="P8" s="119">
        <v>2</v>
      </c>
      <c r="T8" s="137" t="s">
        <v>210</v>
      </c>
      <c r="U8" s="1">
        <f t="shared" ref="U8:U13" si="7">SUM(I8,K8)</f>
        <v>0.25772222222222224</v>
      </c>
      <c r="V8" s="1">
        <f t="shared" ref="V8:V13" si="8">U8+J8</f>
        <v>0.25772222222222224</v>
      </c>
      <c r="W8" s="1">
        <f>IF(U8&gt;1,2,IF(U8&lt;1,1))</f>
        <v>1</v>
      </c>
      <c r="X8" s="1">
        <f t="shared" ref="X8:X13" si="9">IF(V8-W8&gt;0.1,1,0)</f>
        <v>0</v>
      </c>
      <c r="Y8" s="138">
        <f t="shared" ref="Y8:Y13" si="10">P8-(W8+X8)</f>
        <v>1</v>
      </c>
    </row>
    <row r="9" spans="1:26" x14ac:dyDescent="0.35">
      <c r="A9" s="125" t="s">
        <v>211</v>
      </c>
      <c r="B9" s="126">
        <v>392.96</v>
      </c>
      <c r="C9" s="125">
        <v>137.43</v>
      </c>
      <c r="D9" s="126">
        <v>62.31</v>
      </c>
      <c r="E9" s="126">
        <v>343.48</v>
      </c>
      <c r="F9" s="128">
        <v>1598.65</v>
      </c>
      <c r="G9" s="126">
        <v>87.72</v>
      </c>
      <c r="H9" s="129">
        <v>2622.55</v>
      </c>
      <c r="I9" s="119">
        <f t="shared" si="0"/>
        <v>1.0915555555555554</v>
      </c>
      <c r="J9" s="119">
        <f t="shared" si="1"/>
        <v>0.38175000000000003</v>
      </c>
      <c r="K9" s="119">
        <f t="shared" si="2"/>
        <v>0.31154999999999999</v>
      </c>
      <c r="L9" s="119">
        <f t="shared" si="3"/>
        <v>0.42935000000000001</v>
      </c>
      <c r="M9" s="119">
        <f t="shared" si="4"/>
        <v>0.88813888888888892</v>
      </c>
      <c r="N9" s="119">
        <f t="shared" si="5"/>
        <v>0.29239999999999999</v>
      </c>
      <c r="O9" s="119">
        <f t="shared" si="6"/>
        <v>3.3947444444444441</v>
      </c>
      <c r="P9" s="119">
        <v>4</v>
      </c>
      <c r="T9" s="137" t="s">
        <v>211</v>
      </c>
      <c r="U9" s="1">
        <f t="shared" si="7"/>
        <v>1.4031055555555554</v>
      </c>
      <c r="V9" s="1">
        <f t="shared" si="8"/>
        <v>1.7848555555555554</v>
      </c>
      <c r="W9" s="1">
        <f>IF(U9&gt;1,2,IF(U9&lt;1,1))</f>
        <v>2</v>
      </c>
      <c r="X9" s="1">
        <f t="shared" si="9"/>
        <v>0</v>
      </c>
      <c r="Y9" s="138">
        <f t="shared" si="10"/>
        <v>2</v>
      </c>
    </row>
    <row r="10" spans="1:26" ht="23" x14ac:dyDescent="0.35">
      <c r="A10" s="125" t="s">
        <v>212</v>
      </c>
      <c r="B10" s="125">
        <v>376.46</v>
      </c>
      <c r="C10" s="125">
        <v>221.12</v>
      </c>
      <c r="D10" s="126">
        <v>73.45</v>
      </c>
      <c r="E10" s="126">
        <v>334</v>
      </c>
      <c r="F10" s="128">
        <v>2691.56</v>
      </c>
      <c r="G10" s="126">
        <v>151</v>
      </c>
      <c r="H10" s="129">
        <v>3847.59</v>
      </c>
      <c r="I10" s="119">
        <f t="shared" si="0"/>
        <v>1.0457222222222222</v>
      </c>
      <c r="J10" s="119">
        <f t="shared" si="1"/>
        <v>0.61422222222222222</v>
      </c>
      <c r="K10" s="119">
        <f t="shared" si="2"/>
        <v>0.36725000000000002</v>
      </c>
      <c r="L10" s="119">
        <f t="shared" si="3"/>
        <v>0.41749999999999998</v>
      </c>
      <c r="M10" s="119">
        <f t="shared" si="4"/>
        <v>1.495311111111111</v>
      </c>
      <c r="N10" s="119">
        <f t="shared" si="5"/>
        <v>0.5033333333333333</v>
      </c>
      <c r="O10" s="119">
        <f t="shared" si="6"/>
        <v>4.4433388888888885</v>
      </c>
      <c r="P10" s="119">
        <v>5</v>
      </c>
      <c r="T10" s="137" t="s">
        <v>212</v>
      </c>
      <c r="U10" s="1">
        <f t="shared" si="7"/>
        <v>1.4129722222222223</v>
      </c>
      <c r="V10" s="1">
        <f t="shared" si="8"/>
        <v>2.0271944444444445</v>
      </c>
      <c r="W10" s="1">
        <f>IF(U10&gt;1,2,IF(U10&lt;1,1))</f>
        <v>2</v>
      </c>
      <c r="X10" s="1">
        <f t="shared" si="9"/>
        <v>0</v>
      </c>
      <c r="Y10" s="138">
        <f t="shared" si="10"/>
        <v>3</v>
      </c>
    </row>
    <row r="11" spans="1:26" ht="23" x14ac:dyDescent="0.35">
      <c r="A11" s="125" t="s">
        <v>213</v>
      </c>
      <c r="B11" s="125">
        <v>376.46</v>
      </c>
      <c r="C11" s="125">
        <v>221.12</v>
      </c>
      <c r="D11" s="126">
        <v>73.45</v>
      </c>
      <c r="E11" s="126">
        <v>334</v>
      </c>
      <c r="F11" s="128">
        <v>2539.36</v>
      </c>
      <c r="G11" s="126">
        <v>151</v>
      </c>
      <c r="H11" s="129">
        <v>3695.39</v>
      </c>
      <c r="I11" s="119">
        <f t="shared" si="0"/>
        <v>1.0457222222222222</v>
      </c>
      <c r="J11" s="119">
        <f t="shared" si="1"/>
        <v>0.61422222222222222</v>
      </c>
      <c r="K11" s="119">
        <f t="shared" si="2"/>
        <v>0.36725000000000002</v>
      </c>
      <c r="L11" s="119">
        <f t="shared" si="3"/>
        <v>0.41749999999999998</v>
      </c>
      <c r="M11" s="119">
        <f t="shared" si="4"/>
        <v>1.4107555555555555</v>
      </c>
      <c r="N11" s="119">
        <f t="shared" si="5"/>
        <v>0.5033333333333333</v>
      </c>
      <c r="O11" s="119">
        <f t="shared" si="6"/>
        <v>4.3587833333333332</v>
      </c>
      <c r="P11" s="119">
        <v>5</v>
      </c>
      <c r="T11" s="137" t="s">
        <v>213</v>
      </c>
      <c r="U11" s="1">
        <f t="shared" si="7"/>
        <v>1.4129722222222223</v>
      </c>
      <c r="V11" s="1">
        <f t="shared" si="8"/>
        <v>2.0271944444444445</v>
      </c>
      <c r="W11" s="1">
        <f>IF(U11&gt;1,2,IF(U11&lt;1,1))</f>
        <v>2</v>
      </c>
      <c r="X11" s="1">
        <f t="shared" si="9"/>
        <v>0</v>
      </c>
      <c r="Y11" s="138">
        <f t="shared" si="10"/>
        <v>3</v>
      </c>
    </row>
    <row r="12" spans="1:26" x14ac:dyDescent="0.35">
      <c r="A12" s="125" t="s">
        <v>214</v>
      </c>
      <c r="B12" s="125">
        <v>376.46</v>
      </c>
      <c r="C12" s="125">
        <v>221.12</v>
      </c>
      <c r="D12" s="126">
        <v>73.45</v>
      </c>
      <c r="E12" s="126">
        <v>334</v>
      </c>
      <c r="F12" s="128">
        <v>2148.1</v>
      </c>
      <c r="G12" s="126">
        <v>151</v>
      </c>
      <c r="H12" s="129">
        <v>3304.13</v>
      </c>
      <c r="I12" s="119">
        <f t="shared" si="0"/>
        <v>1.0457222222222222</v>
      </c>
      <c r="J12" s="119">
        <f t="shared" si="1"/>
        <v>0.61422222222222222</v>
      </c>
      <c r="K12" s="119">
        <f t="shared" si="2"/>
        <v>0.36725000000000002</v>
      </c>
      <c r="L12" s="119">
        <f t="shared" si="3"/>
        <v>0.41749999999999998</v>
      </c>
      <c r="M12" s="119">
        <f t="shared" si="4"/>
        <v>1.1933888888888888</v>
      </c>
      <c r="N12" s="119">
        <f t="shared" si="5"/>
        <v>0.5033333333333333</v>
      </c>
      <c r="O12" s="119">
        <f t="shared" si="6"/>
        <v>4.1414166666666663</v>
      </c>
      <c r="P12" s="119">
        <v>5</v>
      </c>
      <c r="T12" s="137" t="s">
        <v>214</v>
      </c>
      <c r="U12" s="1">
        <f t="shared" si="7"/>
        <v>1.4129722222222223</v>
      </c>
      <c r="V12" s="1">
        <f t="shared" si="8"/>
        <v>2.0271944444444445</v>
      </c>
      <c r="W12" s="1">
        <f>IF(U12&gt;1,2,IF(U12&lt;1,1))</f>
        <v>2</v>
      </c>
      <c r="X12" s="1">
        <f t="shared" si="9"/>
        <v>0</v>
      </c>
      <c r="Y12" s="138">
        <f t="shared" si="10"/>
        <v>3</v>
      </c>
    </row>
    <row r="13" spans="1:26" x14ac:dyDescent="0.35">
      <c r="A13" s="125" t="s">
        <v>215</v>
      </c>
      <c r="B13" s="125">
        <v>376.46</v>
      </c>
      <c r="C13" s="125">
        <v>221.12</v>
      </c>
      <c r="D13" s="126">
        <v>73.45</v>
      </c>
      <c r="E13" s="126">
        <v>334</v>
      </c>
      <c r="F13" s="128">
        <v>2657.15</v>
      </c>
      <c r="G13" s="126">
        <v>151</v>
      </c>
      <c r="H13" s="129">
        <v>3813.18</v>
      </c>
      <c r="I13" s="119">
        <f t="shared" si="0"/>
        <v>1.0457222222222222</v>
      </c>
      <c r="J13" s="119">
        <f t="shared" si="1"/>
        <v>0.61422222222222222</v>
      </c>
      <c r="K13" s="119">
        <f t="shared" si="2"/>
        <v>0.36725000000000002</v>
      </c>
      <c r="L13" s="119">
        <f t="shared" si="3"/>
        <v>0.41749999999999998</v>
      </c>
      <c r="M13" s="119">
        <f t="shared" si="4"/>
        <v>1.4761944444444446</v>
      </c>
      <c r="N13" s="119">
        <f t="shared" si="5"/>
        <v>0.5033333333333333</v>
      </c>
      <c r="O13" s="119">
        <f t="shared" si="6"/>
        <v>4.4242222222222223</v>
      </c>
      <c r="P13" s="119">
        <v>5</v>
      </c>
      <c r="T13" s="137" t="s">
        <v>215</v>
      </c>
      <c r="U13" s="1">
        <f t="shared" si="7"/>
        <v>1.4129722222222223</v>
      </c>
      <c r="V13" s="1">
        <f t="shared" si="8"/>
        <v>2.0271944444444445</v>
      </c>
      <c r="W13" s="1">
        <f>IF(U13&gt;1,2,IF(U13&lt;1,1))</f>
        <v>2</v>
      </c>
      <c r="X13" s="1">
        <f t="shared" si="9"/>
        <v>0</v>
      </c>
      <c r="Y13" s="138">
        <f t="shared" si="10"/>
        <v>3</v>
      </c>
    </row>
    <row r="14" spans="1:26" ht="22.5" customHeight="1" thickBot="1" x14ac:dyDescent="0.4">
      <c r="A14" s="125" t="s">
        <v>85</v>
      </c>
      <c r="B14" s="130">
        <v>1983.6</v>
      </c>
      <c r="C14" s="130">
        <v>1045.81</v>
      </c>
      <c r="D14" s="126">
        <v>409.31</v>
      </c>
      <c r="E14" s="128">
        <v>2469.33</v>
      </c>
      <c r="F14" s="128">
        <v>11647.02</v>
      </c>
      <c r="G14" s="126">
        <v>732.99</v>
      </c>
      <c r="H14" s="129">
        <v>18288.060000000001</v>
      </c>
      <c r="I14" s="119">
        <f t="shared" si="0"/>
        <v>5.51</v>
      </c>
      <c r="J14" s="119">
        <f t="shared" si="1"/>
        <v>2.9050277777777778</v>
      </c>
      <c r="K14" s="119">
        <f t="shared" si="2"/>
        <v>2.0465499999999999</v>
      </c>
      <c r="L14" s="119">
        <f t="shared" si="3"/>
        <v>3.0866625000000001</v>
      </c>
      <c r="M14" s="119">
        <f t="shared" si="4"/>
        <v>6.4705666666666666</v>
      </c>
      <c r="N14" s="119">
        <f t="shared" si="5"/>
        <v>2.4433000000000002</v>
      </c>
      <c r="O14" s="119">
        <f t="shared" si="6"/>
        <v>22.462106944444443</v>
      </c>
      <c r="P14" s="119">
        <f>SUM(P7:P13)</f>
        <v>27</v>
      </c>
      <c r="T14" s="210" t="s">
        <v>85</v>
      </c>
      <c r="U14" s="211"/>
      <c r="V14" s="211"/>
      <c r="W14" s="140">
        <f>SUM(W7:W13)</f>
        <v>12</v>
      </c>
      <c r="X14" s="143">
        <f>SUM(X7:X13)</f>
        <v>0</v>
      </c>
      <c r="Y14" s="141">
        <f>SUM(Y7:Y13)</f>
        <v>15</v>
      </c>
      <c r="Z14">
        <f>SUM(W14:Y14)</f>
        <v>27</v>
      </c>
    </row>
    <row r="18" spans="1:26" x14ac:dyDescent="0.35">
      <c r="A18" s="196" t="s">
        <v>191</v>
      </c>
      <c r="B18" s="196"/>
      <c r="C18" s="196"/>
      <c r="D18" s="196"/>
      <c r="E18" s="196"/>
      <c r="F18" s="196"/>
      <c r="G18" s="196"/>
      <c r="H18" s="196"/>
      <c r="I18" s="203" t="s">
        <v>227</v>
      </c>
      <c r="J18" s="203"/>
      <c r="K18" s="203"/>
      <c r="L18" s="203"/>
      <c r="M18" s="203"/>
      <c r="N18" s="203"/>
      <c r="O18" s="203"/>
      <c r="P18" s="194" t="s">
        <v>192</v>
      </c>
    </row>
    <row r="19" spans="1:26" ht="30.75" customHeight="1" thickBot="1" x14ac:dyDescent="0.4">
      <c r="A19" s="192" t="s">
        <v>193</v>
      </c>
      <c r="B19" s="192" t="s">
        <v>194</v>
      </c>
      <c r="C19" s="192"/>
      <c r="D19" s="192"/>
      <c r="E19" s="192"/>
      <c r="F19" s="192"/>
      <c r="G19" s="192"/>
      <c r="H19" s="192"/>
      <c r="I19" s="194" t="s">
        <v>195</v>
      </c>
      <c r="J19" s="194"/>
      <c r="K19" s="195" t="s">
        <v>196</v>
      </c>
      <c r="L19" s="195" t="s">
        <v>197</v>
      </c>
      <c r="M19" s="194" t="s">
        <v>198</v>
      </c>
      <c r="N19" s="194" t="s">
        <v>199</v>
      </c>
      <c r="O19" s="195" t="s">
        <v>85</v>
      </c>
      <c r="P19" s="194"/>
    </row>
    <row r="20" spans="1:26" ht="27" customHeight="1" x14ac:dyDescent="0.35">
      <c r="A20" s="192"/>
      <c r="B20" s="192" t="s">
        <v>195</v>
      </c>
      <c r="C20" s="192"/>
      <c r="D20" s="193" t="s">
        <v>196</v>
      </c>
      <c r="E20" s="193" t="s">
        <v>197</v>
      </c>
      <c r="F20" s="192" t="s">
        <v>198</v>
      </c>
      <c r="G20" s="192" t="s">
        <v>199</v>
      </c>
      <c r="H20" s="193" t="s">
        <v>85</v>
      </c>
      <c r="I20" s="116" t="s">
        <v>200</v>
      </c>
      <c r="J20" s="114" t="s">
        <v>201</v>
      </c>
      <c r="K20" s="195"/>
      <c r="L20" s="195"/>
      <c r="M20" s="194"/>
      <c r="N20" s="194"/>
      <c r="O20" s="195"/>
      <c r="P20" s="194"/>
      <c r="T20" s="213" t="s">
        <v>191</v>
      </c>
      <c r="U20" s="214"/>
      <c r="V20" s="214"/>
      <c r="W20" s="214"/>
      <c r="X20" s="214"/>
      <c r="Y20" s="215"/>
    </row>
    <row r="21" spans="1:26" ht="58" x14ac:dyDescent="0.35">
      <c r="A21" s="192"/>
      <c r="B21" s="115" t="s">
        <v>200</v>
      </c>
      <c r="C21" s="115" t="s">
        <v>201</v>
      </c>
      <c r="D21" s="193"/>
      <c r="E21" s="193"/>
      <c r="F21" s="192"/>
      <c r="G21" s="192"/>
      <c r="H21" s="193"/>
      <c r="I21" s="118">
        <v>360</v>
      </c>
      <c r="J21" s="118">
        <v>360</v>
      </c>
      <c r="K21" s="118">
        <v>200</v>
      </c>
      <c r="L21" s="118">
        <v>800</v>
      </c>
      <c r="M21" s="118">
        <v>1800</v>
      </c>
      <c r="N21" s="118">
        <v>300</v>
      </c>
      <c r="O21" s="118" t="s">
        <v>202</v>
      </c>
      <c r="P21" s="194"/>
      <c r="T21" s="1" t="s">
        <v>221</v>
      </c>
      <c r="U21" s="216">
        <v>0.4</v>
      </c>
      <c r="V21" s="1" t="s">
        <v>222</v>
      </c>
      <c r="W21" s="217" t="s">
        <v>223</v>
      </c>
      <c r="X21" s="217" t="s">
        <v>224</v>
      </c>
      <c r="Y21" s="217" t="s">
        <v>230</v>
      </c>
    </row>
    <row r="22" spans="1:26" ht="28" x14ac:dyDescent="0.35">
      <c r="A22" s="115" t="s">
        <v>203</v>
      </c>
      <c r="B22" s="115">
        <v>0</v>
      </c>
      <c r="C22" s="115">
        <v>0</v>
      </c>
      <c r="D22" s="117">
        <v>18.239999999999998</v>
      </c>
      <c r="E22" s="117">
        <v>139.43</v>
      </c>
      <c r="F22" s="117">
        <v>286.23</v>
      </c>
      <c r="G22" s="117">
        <v>65.8</v>
      </c>
      <c r="H22" s="117">
        <v>509.7</v>
      </c>
      <c r="I22" s="119">
        <f>B22/$I$21</f>
        <v>0</v>
      </c>
      <c r="J22" s="119">
        <f>C22/$J$21</f>
        <v>0</v>
      </c>
      <c r="K22" s="119">
        <f>D22/$K$21</f>
        <v>9.1199999999999989E-2</v>
      </c>
      <c r="L22" s="119">
        <f>E22/$L$21</f>
        <v>0.17428750000000001</v>
      </c>
      <c r="M22" s="119">
        <f>F22/$M$21</f>
        <v>0.15901666666666667</v>
      </c>
      <c r="N22" s="119">
        <f>G22/$N$21</f>
        <v>0.21933333333333332</v>
      </c>
      <c r="O22" s="119">
        <f t="shared" ref="O22:O27" si="11">SUM(I22:N22)</f>
        <v>0.64383750000000006</v>
      </c>
      <c r="P22" s="119">
        <v>1</v>
      </c>
      <c r="T22" s="142" t="s">
        <v>203</v>
      </c>
      <c r="U22" s="1">
        <f>I22+K22</f>
        <v>9.1199999999999989E-2</v>
      </c>
      <c r="V22" s="1">
        <f>U22+J22</f>
        <v>9.1199999999999989E-2</v>
      </c>
      <c r="W22" s="1">
        <f>IF(U22&gt;1,2,IF(U22&lt;1,1))</f>
        <v>1</v>
      </c>
      <c r="X22" s="1">
        <f t="shared" ref="X22:X26" si="12">IF(V22-W22&gt;0.1,1,0)</f>
        <v>0</v>
      </c>
      <c r="Y22" s="1">
        <f>P22-(W22+X22)</f>
        <v>0</v>
      </c>
    </row>
    <row r="23" spans="1:26" ht="24" x14ac:dyDescent="0.35">
      <c r="A23" s="120" t="s">
        <v>204</v>
      </c>
      <c r="B23" s="115">
        <v>38.78</v>
      </c>
      <c r="C23" s="115">
        <v>9.61</v>
      </c>
      <c r="D23" s="117">
        <v>5.7</v>
      </c>
      <c r="E23" s="117">
        <v>30.86</v>
      </c>
      <c r="F23" s="117">
        <v>75</v>
      </c>
      <c r="G23" s="117">
        <v>4.08</v>
      </c>
      <c r="H23" s="117">
        <v>164.03</v>
      </c>
      <c r="I23" s="119">
        <f t="shared" ref="I23:I27" si="13">B23/$I$21</f>
        <v>0.10772222222222222</v>
      </c>
      <c r="J23" s="119">
        <f t="shared" ref="J23:J27" si="14">C23/$J$21</f>
        <v>2.6694444444444444E-2</v>
      </c>
      <c r="K23" s="119">
        <f t="shared" ref="K23:K27" si="15">D23/$K$21</f>
        <v>2.8500000000000001E-2</v>
      </c>
      <c r="L23" s="119">
        <f t="shared" ref="L23:L27" si="16">E23/$L$21</f>
        <v>3.8574999999999998E-2</v>
      </c>
      <c r="M23" s="119">
        <f t="shared" ref="M23:M27" si="17">F23/$M$21</f>
        <v>4.1666666666666664E-2</v>
      </c>
      <c r="N23" s="119">
        <f t="shared" ref="N23:N27" si="18">G23/$N$21</f>
        <v>1.3600000000000001E-2</v>
      </c>
      <c r="O23" s="119">
        <f t="shared" si="11"/>
        <v>0.25675833333333331</v>
      </c>
      <c r="P23" s="119">
        <v>1</v>
      </c>
      <c r="T23" s="217" t="s">
        <v>204</v>
      </c>
      <c r="U23" s="1">
        <f>I23+K23</f>
        <v>0.13622222222222222</v>
      </c>
      <c r="V23" s="1">
        <f>U23+J23</f>
        <v>0.16291666666666665</v>
      </c>
      <c r="W23" s="1">
        <f>IF(U23&gt;1,2,IF(U23&lt;1,1))</f>
        <v>1</v>
      </c>
      <c r="X23" s="1">
        <f t="shared" si="12"/>
        <v>0</v>
      </c>
      <c r="Y23" s="1">
        <f>P23-(W23+X23)</f>
        <v>0</v>
      </c>
    </row>
    <row r="24" spans="1:26" ht="35.25" customHeight="1" x14ac:dyDescent="0.35">
      <c r="A24" s="115" t="s">
        <v>205</v>
      </c>
      <c r="B24" s="115">
        <v>376.46</v>
      </c>
      <c r="C24" s="115">
        <v>221.12</v>
      </c>
      <c r="D24" s="117">
        <v>73.45</v>
      </c>
      <c r="E24" s="117">
        <v>334</v>
      </c>
      <c r="F24" s="121">
        <v>3133.24</v>
      </c>
      <c r="G24" s="117">
        <v>151</v>
      </c>
      <c r="H24" s="121">
        <v>4289.2700000000004</v>
      </c>
      <c r="I24" s="119">
        <f t="shared" si="13"/>
        <v>1.0457222222222222</v>
      </c>
      <c r="J24" s="119">
        <f t="shared" si="14"/>
        <v>0.61422222222222222</v>
      </c>
      <c r="K24" s="119">
        <f t="shared" si="15"/>
        <v>0.36725000000000002</v>
      </c>
      <c r="L24" s="119">
        <f t="shared" si="16"/>
        <v>0.41749999999999998</v>
      </c>
      <c r="M24" s="119">
        <f t="shared" si="17"/>
        <v>1.7406888888888887</v>
      </c>
      <c r="N24" s="119">
        <f t="shared" si="18"/>
        <v>0.5033333333333333</v>
      </c>
      <c r="O24" s="119">
        <f t="shared" si="11"/>
        <v>4.6887166666666662</v>
      </c>
      <c r="P24" s="119">
        <v>5</v>
      </c>
      <c r="T24" s="142" t="s">
        <v>205</v>
      </c>
      <c r="U24" s="1">
        <f>I24+K24</f>
        <v>1.4129722222222223</v>
      </c>
      <c r="V24" s="1">
        <f>U24+J24</f>
        <v>2.0271944444444445</v>
      </c>
      <c r="W24" s="1">
        <f>IF(U24&gt;1,2,IF(U24&lt;1,1))</f>
        <v>2</v>
      </c>
      <c r="X24" s="1">
        <f t="shared" si="12"/>
        <v>0</v>
      </c>
      <c r="Y24" s="1">
        <f>P24-(W24+X24)</f>
        <v>3</v>
      </c>
    </row>
    <row r="25" spans="1:26" x14ac:dyDescent="0.35">
      <c r="A25" s="115" t="s">
        <v>206</v>
      </c>
      <c r="B25" s="115">
        <v>376.46</v>
      </c>
      <c r="C25" s="115">
        <v>221.12</v>
      </c>
      <c r="D25" s="117">
        <v>73.45</v>
      </c>
      <c r="E25" s="117">
        <v>334</v>
      </c>
      <c r="F25" s="121">
        <v>2575.7800000000002</v>
      </c>
      <c r="G25" s="117">
        <v>151</v>
      </c>
      <c r="H25" s="121">
        <v>3731.81</v>
      </c>
      <c r="I25" s="119">
        <f t="shared" si="13"/>
        <v>1.0457222222222222</v>
      </c>
      <c r="J25" s="119">
        <f t="shared" si="14"/>
        <v>0.61422222222222222</v>
      </c>
      <c r="K25" s="119">
        <f t="shared" si="15"/>
        <v>0.36725000000000002</v>
      </c>
      <c r="L25" s="119">
        <f t="shared" si="16"/>
        <v>0.41749999999999998</v>
      </c>
      <c r="M25" s="119">
        <f t="shared" si="17"/>
        <v>1.4309888888888891</v>
      </c>
      <c r="N25" s="119">
        <f t="shared" si="18"/>
        <v>0.5033333333333333</v>
      </c>
      <c r="O25" s="119">
        <f t="shared" si="11"/>
        <v>4.3790166666666668</v>
      </c>
      <c r="P25" s="119">
        <v>5</v>
      </c>
      <c r="T25" s="142" t="s">
        <v>206</v>
      </c>
      <c r="U25" s="1">
        <f>I25+K25</f>
        <v>1.4129722222222223</v>
      </c>
      <c r="V25" s="1">
        <f>U25+J25</f>
        <v>2.0271944444444445</v>
      </c>
      <c r="W25" s="1">
        <f>IF(U25&gt;1,2,IF(U25&lt;1,1))</f>
        <v>2</v>
      </c>
      <c r="X25" s="1">
        <f t="shared" si="12"/>
        <v>0</v>
      </c>
      <c r="Y25" s="1">
        <f>P25-(W25+X25)</f>
        <v>3</v>
      </c>
    </row>
    <row r="26" spans="1:26" x14ac:dyDescent="0.35">
      <c r="A26" s="115" t="s">
        <v>207</v>
      </c>
      <c r="B26" s="115">
        <v>376.46</v>
      </c>
      <c r="C26" s="115">
        <v>221.12</v>
      </c>
      <c r="D26" s="117">
        <v>73.45</v>
      </c>
      <c r="E26" s="117">
        <v>334</v>
      </c>
      <c r="F26" s="121">
        <v>3607.9</v>
      </c>
      <c r="G26" s="117">
        <v>151</v>
      </c>
      <c r="H26" s="121">
        <v>4763.93</v>
      </c>
      <c r="I26" s="119">
        <f t="shared" si="13"/>
        <v>1.0457222222222222</v>
      </c>
      <c r="J26" s="119">
        <f t="shared" si="14"/>
        <v>0.61422222222222222</v>
      </c>
      <c r="K26" s="119">
        <f t="shared" si="15"/>
        <v>0.36725000000000002</v>
      </c>
      <c r="L26" s="119">
        <f t="shared" si="16"/>
        <v>0.41749999999999998</v>
      </c>
      <c r="M26" s="119">
        <f t="shared" si="17"/>
        <v>2.0043888888888888</v>
      </c>
      <c r="N26" s="119">
        <f t="shared" si="18"/>
        <v>0.5033333333333333</v>
      </c>
      <c r="O26" s="119">
        <f t="shared" si="11"/>
        <v>4.9524166666666662</v>
      </c>
      <c r="P26" s="119">
        <v>5</v>
      </c>
      <c r="T26" s="142" t="s">
        <v>207</v>
      </c>
      <c r="U26" s="1">
        <f>I26+K26</f>
        <v>1.4129722222222223</v>
      </c>
      <c r="V26" s="1">
        <f>U26+J26</f>
        <v>2.0271944444444445</v>
      </c>
      <c r="W26" s="1">
        <f>IF(U26&gt;1,2,IF(U26&lt;1,1))</f>
        <v>2</v>
      </c>
      <c r="X26" s="1">
        <f t="shared" si="12"/>
        <v>0</v>
      </c>
      <c r="Y26" s="1">
        <f>P26-(W26+X26)</f>
        <v>3</v>
      </c>
    </row>
    <row r="27" spans="1:26" x14ac:dyDescent="0.35">
      <c r="A27" s="115" t="s">
        <v>85</v>
      </c>
      <c r="B27" s="122">
        <v>1168.1600000000001</v>
      </c>
      <c r="C27" s="115">
        <v>672.97</v>
      </c>
      <c r="D27" s="117">
        <v>244.29</v>
      </c>
      <c r="E27" s="121">
        <v>1172.29</v>
      </c>
      <c r="F27" s="121">
        <f>SUM(F22:F26)</f>
        <v>9678.15</v>
      </c>
      <c r="G27" s="121">
        <f>SUM(G22:G26)</f>
        <v>522.88</v>
      </c>
      <c r="H27" s="121">
        <f>SUM(H22:H26)</f>
        <v>13458.74</v>
      </c>
      <c r="I27" s="119">
        <f t="shared" si="13"/>
        <v>3.2448888888888892</v>
      </c>
      <c r="J27" s="119">
        <f t="shared" si="14"/>
        <v>1.8693611111111113</v>
      </c>
      <c r="K27" s="119">
        <f t="shared" si="15"/>
        <v>1.2214499999999999</v>
      </c>
      <c r="L27" s="119">
        <f t="shared" si="16"/>
        <v>1.4653624999999999</v>
      </c>
      <c r="M27" s="119">
        <f t="shared" si="17"/>
        <v>5.3767499999999995</v>
      </c>
      <c r="N27" s="119">
        <f t="shared" si="18"/>
        <v>1.7429333333333332</v>
      </c>
      <c r="O27" s="119">
        <f t="shared" si="11"/>
        <v>14.920745833333333</v>
      </c>
      <c r="P27" s="119">
        <f>SUM(P22:P26)</f>
        <v>17</v>
      </c>
      <c r="T27" s="1" t="s">
        <v>85</v>
      </c>
      <c r="U27" s="1"/>
      <c r="V27" s="1"/>
      <c r="W27" s="1">
        <f>SUM(W22:W26)</f>
        <v>8</v>
      </c>
      <c r="X27" s="1">
        <f>SUM(X22:X26)</f>
        <v>0</v>
      </c>
      <c r="Y27" s="1">
        <f>Y22+Y23+Y24+Y25+Y26</f>
        <v>9</v>
      </c>
      <c r="Z27">
        <f>SUM(W27:Y27)</f>
        <v>17</v>
      </c>
    </row>
    <row r="28" spans="1:26" x14ac:dyDescent="0.35">
      <c r="W28" s="212"/>
      <c r="X28" s="212"/>
    </row>
    <row r="31" spans="1:26" x14ac:dyDescent="0.35">
      <c r="A31" s="196" t="s">
        <v>216</v>
      </c>
      <c r="B31" s="196"/>
      <c r="C31" s="196"/>
      <c r="D31" s="196"/>
      <c r="E31" s="196"/>
      <c r="F31" s="196"/>
      <c r="G31" s="196"/>
      <c r="H31" s="196"/>
      <c r="I31" s="203" t="s">
        <v>227</v>
      </c>
      <c r="J31" s="203"/>
      <c r="K31" s="203"/>
      <c r="L31" s="203"/>
      <c r="M31" s="203"/>
      <c r="N31" s="203"/>
      <c r="O31" s="203"/>
      <c r="P31" s="194" t="s">
        <v>192</v>
      </c>
    </row>
    <row r="32" spans="1:26" ht="24.75" customHeight="1" thickBot="1" x14ac:dyDescent="0.4">
      <c r="A32" s="192" t="s">
        <v>193</v>
      </c>
      <c r="B32" s="192" t="s">
        <v>194</v>
      </c>
      <c r="C32" s="192"/>
      <c r="D32" s="192"/>
      <c r="E32" s="192"/>
      <c r="F32" s="192"/>
      <c r="G32" s="192"/>
      <c r="H32" s="192"/>
      <c r="I32" s="194" t="s">
        <v>195</v>
      </c>
      <c r="J32" s="194"/>
      <c r="K32" s="195" t="s">
        <v>196</v>
      </c>
      <c r="L32" s="195" t="s">
        <v>197</v>
      </c>
      <c r="M32" s="194" t="s">
        <v>198</v>
      </c>
      <c r="N32" s="194" t="s">
        <v>199</v>
      </c>
      <c r="O32" s="195" t="s">
        <v>85</v>
      </c>
      <c r="P32" s="194"/>
    </row>
    <row r="33" spans="1:26" ht="25.5" customHeight="1" thickBot="1" x14ac:dyDescent="0.4">
      <c r="A33" s="192"/>
      <c r="B33" s="192" t="s">
        <v>195</v>
      </c>
      <c r="C33" s="192"/>
      <c r="D33" s="193" t="s">
        <v>196</v>
      </c>
      <c r="E33" s="193" t="s">
        <v>197</v>
      </c>
      <c r="F33" s="192" t="s">
        <v>198</v>
      </c>
      <c r="G33" s="192" t="s">
        <v>199</v>
      </c>
      <c r="H33" s="193" t="s">
        <v>85</v>
      </c>
      <c r="I33" s="116" t="s">
        <v>200</v>
      </c>
      <c r="J33" s="114" t="s">
        <v>201</v>
      </c>
      <c r="K33" s="195"/>
      <c r="L33" s="195"/>
      <c r="M33" s="194"/>
      <c r="N33" s="194"/>
      <c r="O33" s="195"/>
      <c r="P33" s="194"/>
      <c r="T33" s="189" t="s">
        <v>216</v>
      </c>
      <c r="U33" s="190"/>
      <c r="V33" s="190"/>
      <c r="W33" s="190"/>
      <c r="X33" s="190"/>
      <c r="Y33" s="191"/>
    </row>
    <row r="34" spans="1:26" ht="58" x14ac:dyDescent="0.35">
      <c r="A34" s="192"/>
      <c r="B34" s="115" t="s">
        <v>200</v>
      </c>
      <c r="C34" s="115" t="s">
        <v>201</v>
      </c>
      <c r="D34" s="193"/>
      <c r="E34" s="193"/>
      <c r="F34" s="192"/>
      <c r="G34" s="192"/>
      <c r="H34" s="193"/>
      <c r="I34" s="118">
        <v>360</v>
      </c>
      <c r="J34" s="118">
        <v>360</v>
      </c>
      <c r="K34" s="118">
        <v>200</v>
      </c>
      <c r="L34" s="118">
        <v>800</v>
      </c>
      <c r="M34" s="118">
        <v>1800</v>
      </c>
      <c r="N34" s="118">
        <v>300</v>
      </c>
      <c r="O34" s="118" t="s">
        <v>202</v>
      </c>
      <c r="P34" s="194"/>
      <c r="T34" s="135" t="s">
        <v>221</v>
      </c>
      <c r="U34" s="133">
        <v>0.4</v>
      </c>
      <c r="V34" s="134" t="s">
        <v>222</v>
      </c>
      <c r="W34" s="134" t="s">
        <v>223</v>
      </c>
      <c r="X34" s="134" t="s">
        <v>224</v>
      </c>
      <c r="Y34" s="136" t="s">
        <v>230</v>
      </c>
    </row>
    <row r="35" spans="1:26" ht="28" x14ac:dyDescent="0.35">
      <c r="A35" s="115" t="s">
        <v>217</v>
      </c>
      <c r="B35" s="115">
        <v>0</v>
      </c>
      <c r="C35" s="115">
        <v>0</v>
      </c>
      <c r="D35" s="117">
        <v>17</v>
      </c>
      <c r="E35" s="117">
        <v>375.55</v>
      </c>
      <c r="F35" s="117">
        <v>419.83</v>
      </c>
      <c r="G35" s="117">
        <v>52.43</v>
      </c>
      <c r="H35" s="117">
        <v>969.49</v>
      </c>
      <c r="I35" s="119">
        <f>B35/$I$34</f>
        <v>0</v>
      </c>
      <c r="J35" s="119">
        <f>C35/$J$34</f>
        <v>0</v>
      </c>
      <c r="K35" s="119">
        <f>D35/$K$34</f>
        <v>8.5000000000000006E-2</v>
      </c>
      <c r="L35" s="119">
        <f>E35/$L$34</f>
        <v>0.46943750000000001</v>
      </c>
      <c r="M35" s="119">
        <f>F35/$M$34</f>
        <v>0.23323888888888888</v>
      </c>
      <c r="N35" s="119">
        <f>G35/$N$34</f>
        <v>0.17476666666666665</v>
      </c>
      <c r="O35" s="119">
        <f>SUM(I35:N35)</f>
        <v>0.96244305555555554</v>
      </c>
      <c r="P35" s="119">
        <v>1</v>
      </c>
      <c r="T35" s="137" t="s">
        <v>217</v>
      </c>
      <c r="U35" s="1">
        <f>I35+K35</f>
        <v>8.5000000000000006E-2</v>
      </c>
      <c r="V35" s="1">
        <f>U35+J35</f>
        <v>8.5000000000000006E-2</v>
      </c>
      <c r="W35" s="1">
        <f>IF(U35&gt;1,2,IF(U35&lt;1,1))</f>
        <v>1</v>
      </c>
      <c r="X35" s="1">
        <f t="shared" ref="X35:X39" si="19">IF(V35-W35&gt;0.1,1,0)</f>
        <v>0</v>
      </c>
      <c r="Y35" s="138">
        <f>P35-(W35+X35)</f>
        <v>0</v>
      </c>
    </row>
    <row r="36" spans="1:26" ht="28" x14ac:dyDescent="0.35">
      <c r="A36" s="115" t="s">
        <v>217</v>
      </c>
      <c r="B36" s="115">
        <v>85.93</v>
      </c>
      <c r="C36" s="115">
        <v>0</v>
      </c>
      <c r="D36" s="117">
        <v>11.37</v>
      </c>
      <c r="E36" s="117">
        <v>38.39</v>
      </c>
      <c r="F36" s="117">
        <v>63.44</v>
      </c>
      <c r="G36" s="117">
        <v>18.28</v>
      </c>
      <c r="H36" s="117">
        <v>217.41</v>
      </c>
      <c r="I36" s="119">
        <f t="shared" ref="I36:I40" si="20">B36/$I$34</f>
        <v>0.23869444444444446</v>
      </c>
      <c r="J36" s="119">
        <f t="shared" ref="J36:J40" si="21">C36/$J$34</f>
        <v>0</v>
      </c>
      <c r="K36" s="119">
        <f t="shared" ref="K36:K40" si="22">D36/$K$34</f>
        <v>5.6849999999999998E-2</v>
      </c>
      <c r="L36" s="119">
        <f t="shared" ref="L36:L40" si="23">E36/$L$34</f>
        <v>4.7987500000000002E-2</v>
      </c>
      <c r="M36" s="119">
        <f t="shared" ref="M36:M40" si="24">F36/$M$34</f>
        <v>3.5244444444444446E-2</v>
      </c>
      <c r="N36" s="119">
        <f t="shared" ref="N36:N40" si="25">G36/$N$34</f>
        <v>6.0933333333333339E-2</v>
      </c>
      <c r="O36" s="119">
        <f t="shared" ref="O36:O39" si="26">SUM(I36:N36)</f>
        <v>0.43970972222222227</v>
      </c>
      <c r="P36" s="119">
        <v>1</v>
      </c>
      <c r="T36" s="137" t="s">
        <v>217</v>
      </c>
      <c r="U36" s="1">
        <f t="shared" ref="U36:U39" si="27">I36+K36</f>
        <v>0.29554444444444444</v>
      </c>
      <c r="V36" s="1">
        <f t="shared" ref="V36:V39" si="28">U36+J36</f>
        <v>0.29554444444444444</v>
      </c>
      <c r="W36" s="1">
        <f t="shared" ref="W36:W39" si="29">IF(U36&gt;1,2,IF(U36&lt;1,1))</f>
        <v>1</v>
      </c>
      <c r="X36" s="1">
        <f t="shared" si="19"/>
        <v>0</v>
      </c>
      <c r="Y36" s="138">
        <f t="shared" ref="Y36:Y39" si="30">P36-(W36+X36)</f>
        <v>0</v>
      </c>
    </row>
    <row r="37" spans="1:26" x14ac:dyDescent="0.35">
      <c r="A37" s="115" t="s">
        <v>218</v>
      </c>
      <c r="B37" s="115">
        <v>376.46</v>
      </c>
      <c r="C37" s="115">
        <v>221.12</v>
      </c>
      <c r="D37" s="117">
        <v>73.45</v>
      </c>
      <c r="E37" s="117">
        <v>334</v>
      </c>
      <c r="F37" s="121">
        <v>2108.5</v>
      </c>
      <c r="G37" s="117">
        <v>151</v>
      </c>
      <c r="H37" s="121">
        <v>3264.53</v>
      </c>
      <c r="I37" s="119">
        <f t="shared" si="20"/>
        <v>1.0457222222222222</v>
      </c>
      <c r="J37" s="119">
        <f t="shared" si="21"/>
        <v>0.61422222222222222</v>
      </c>
      <c r="K37" s="119">
        <f t="shared" si="22"/>
        <v>0.36725000000000002</v>
      </c>
      <c r="L37" s="119">
        <f t="shared" si="23"/>
        <v>0.41749999999999998</v>
      </c>
      <c r="M37" s="119">
        <f t="shared" si="24"/>
        <v>1.1713888888888888</v>
      </c>
      <c r="N37" s="119">
        <f t="shared" si="25"/>
        <v>0.5033333333333333</v>
      </c>
      <c r="O37" s="119">
        <f t="shared" si="26"/>
        <v>4.1194166666666661</v>
      </c>
      <c r="P37" s="119">
        <v>5</v>
      </c>
      <c r="T37" s="137" t="s">
        <v>218</v>
      </c>
      <c r="U37" s="1">
        <f t="shared" si="27"/>
        <v>1.4129722222222223</v>
      </c>
      <c r="V37" s="1">
        <f t="shared" si="28"/>
        <v>2.0271944444444445</v>
      </c>
      <c r="W37" s="1">
        <f t="shared" si="29"/>
        <v>2</v>
      </c>
      <c r="X37" s="1">
        <f t="shared" si="19"/>
        <v>0</v>
      </c>
      <c r="Y37" s="138">
        <f t="shared" si="30"/>
        <v>3</v>
      </c>
    </row>
    <row r="38" spans="1:26" x14ac:dyDescent="0.35">
      <c r="A38" s="115" t="s">
        <v>219</v>
      </c>
      <c r="B38" s="115">
        <v>188.8</v>
      </c>
      <c r="C38" s="115">
        <v>150.93</v>
      </c>
      <c r="D38" s="117">
        <v>12.06</v>
      </c>
      <c r="E38" s="117">
        <v>35.28</v>
      </c>
      <c r="F38" s="117">
        <v>225</v>
      </c>
      <c r="G38" s="117">
        <v>57.12</v>
      </c>
      <c r="H38" s="117">
        <v>586.72</v>
      </c>
      <c r="I38" s="119">
        <f t="shared" si="20"/>
        <v>0.52444444444444449</v>
      </c>
      <c r="J38" s="119">
        <f t="shared" si="21"/>
        <v>0.41925000000000001</v>
      </c>
      <c r="K38" s="119">
        <f t="shared" si="22"/>
        <v>6.0299999999999999E-2</v>
      </c>
      <c r="L38" s="119">
        <f t="shared" si="23"/>
        <v>4.41E-2</v>
      </c>
      <c r="M38" s="119">
        <f t="shared" si="24"/>
        <v>0.125</v>
      </c>
      <c r="N38" s="119">
        <f t="shared" si="25"/>
        <v>0.19039999999999999</v>
      </c>
      <c r="O38" s="119">
        <f t="shared" si="26"/>
        <v>1.3634944444444443</v>
      </c>
      <c r="P38" s="119">
        <v>2</v>
      </c>
      <c r="T38" s="137" t="s">
        <v>219</v>
      </c>
      <c r="U38" s="1">
        <f t="shared" si="27"/>
        <v>0.58474444444444451</v>
      </c>
      <c r="V38" s="1">
        <f t="shared" si="28"/>
        <v>1.0039944444444444</v>
      </c>
      <c r="W38" s="1">
        <f t="shared" si="29"/>
        <v>1</v>
      </c>
      <c r="X38" s="1">
        <f t="shared" si="19"/>
        <v>0</v>
      </c>
      <c r="Y38" s="138">
        <f t="shared" si="30"/>
        <v>1</v>
      </c>
    </row>
    <row r="39" spans="1:26" ht="24" customHeight="1" x14ac:dyDescent="0.35">
      <c r="A39" s="115" t="s">
        <v>220</v>
      </c>
      <c r="B39" s="115">
        <v>391.95</v>
      </c>
      <c r="C39" s="115">
        <v>322.97000000000003</v>
      </c>
      <c r="D39" s="117">
        <v>95</v>
      </c>
      <c r="E39" s="117">
        <v>661.1</v>
      </c>
      <c r="F39" s="117">
        <v>663.45</v>
      </c>
      <c r="G39" s="117">
        <v>44.38</v>
      </c>
      <c r="H39" s="121">
        <v>2178.85</v>
      </c>
      <c r="I39" s="119">
        <f t="shared" si="20"/>
        <v>1.0887499999999999</v>
      </c>
      <c r="J39" s="119">
        <f t="shared" si="21"/>
        <v>0.89713888888888893</v>
      </c>
      <c r="K39" s="119">
        <f t="shared" si="22"/>
        <v>0.47499999999999998</v>
      </c>
      <c r="L39" s="119">
        <f t="shared" si="23"/>
        <v>0.82637500000000008</v>
      </c>
      <c r="M39" s="119">
        <f t="shared" si="24"/>
        <v>0.36858333333333337</v>
      </c>
      <c r="N39" s="119">
        <f t="shared" si="25"/>
        <v>0.14793333333333333</v>
      </c>
      <c r="O39" s="119">
        <f t="shared" si="26"/>
        <v>3.8037805555555559</v>
      </c>
      <c r="P39" s="119">
        <v>4</v>
      </c>
      <c r="T39" s="137" t="s">
        <v>220</v>
      </c>
      <c r="U39" s="1">
        <f t="shared" si="27"/>
        <v>1.5637499999999998</v>
      </c>
      <c r="V39" s="1">
        <f t="shared" si="28"/>
        <v>2.4608888888888885</v>
      </c>
      <c r="W39" s="1">
        <f>IF(U39&gt;1,2,IF(U39&lt;1,1))</f>
        <v>2</v>
      </c>
      <c r="X39" s="1">
        <f>IF(V39-W39&gt;0.1,1,0)</f>
        <v>1</v>
      </c>
      <c r="Y39" s="138">
        <f>P39-(W39+X39)</f>
        <v>1</v>
      </c>
    </row>
    <row r="40" spans="1:26" ht="15" thickBot="1" x14ac:dyDescent="0.4">
      <c r="A40" s="115" t="s">
        <v>85</v>
      </c>
      <c r="B40" s="122">
        <v>1043.1400000000001</v>
      </c>
      <c r="C40" s="115">
        <v>695.02</v>
      </c>
      <c r="D40" s="117">
        <v>208.88</v>
      </c>
      <c r="E40" s="121">
        <v>1444.32</v>
      </c>
      <c r="F40" s="121">
        <v>3480.22</v>
      </c>
      <c r="G40" s="117">
        <v>323.20999999999998</v>
      </c>
      <c r="H40" s="131">
        <v>7217</v>
      </c>
      <c r="I40" s="119">
        <f t="shared" si="20"/>
        <v>2.8976111111111114</v>
      </c>
      <c r="J40" s="119">
        <f t="shared" si="21"/>
        <v>1.9306111111111111</v>
      </c>
      <c r="K40" s="119">
        <f t="shared" si="22"/>
        <v>1.0444</v>
      </c>
      <c r="L40" s="119">
        <f t="shared" si="23"/>
        <v>1.8053999999999999</v>
      </c>
      <c r="M40" s="119">
        <f t="shared" si="24"/>
        <v>1.9334555555555555</v>
      </c>
      <c r="N40" s="119">
        <f t="shared" si="25"/>
        <v>1.0773666666666666</v>
      </c>
      <c r="O40" s="119">
        <f>SUM(I40:N40)</f>
        <v>10.688844444444443</v>
      </c>
      <c r="P40" s="119">
        <f>SUM(P35:P39)</f>
        <v>13</v>
      </c>
      <c r="T40" s="139" t="s">
        <v>85</v>
      </c>
      <c r="U40" s="140"/>
      <c r="V40" s="140"/>
      <c r="W40" s="140">
        <f>SUM(W35:W39)</f>
        <v>7</v>
      </c>
      <c r="X40" s="140">
        <f>SUM(X35:X39)</f>
        <v>1</v>
      </c>
      <c r="Y40" s="141">
        <f>SUM(Y35:Y39)</f>
        <v>5</v>
      </c>
      <c r="Z40">
        <f>SUM(W40:Y40)</f>
        <v>13</v>
      </c>
    </row>
  </sheetData>
  <mergeCells count="55">
    <mergeCell ref="T14:V14"/>
    <mergeCell ref="I31:O31"/>
    <mergeCell ref="D33:D34"/>
    <mergeCell ref="E33:E34"/>
    <mergeCell ref="A18:H18"/>
    <mergeCell ref="I18:O18"/>
    <mergeCell ref="B20:C20"/>
    <mergeCell ref="D20:D21"/>
    <mergeCell ref="E20:E21"/>
    <mergeCell ref="F20:F21"/>
    <mergeCell ref="A32:A34"/>
    <mergeCell ref="B32:H32"/>
    <mergeCell ref="I32:J32"/>
    <mergeCell ref="K32:K33"/>
    <mergeCell ref="L32:L33"/>
    <mergeCell ref="B33:C33"/>
    <mergeCell ref="A3:H3"/>
    <mergeCell ref="I3:O3"/>
    <mergeCell ref="P3:P6"/>
    <mergeCell ref="A4:A6"/>
    <mergeCell ref="B4:H4"/>
    <mergeCell ref="I4:J4"/>
    <mergeCell ref="K4:K5"/>
    <mergeCell ref="L4:L5"/>
    <mergeCell ref="M4:M5"/>
    <mergeCell ref="N4:N5"/>
    <mergeCell ref="O4:O5"/>
    <mergeCell ref="B5:C5"/>
    <mergeCell ref="D5:D6"/>
    <mergeCell ref="E5:E6"/>
    <mergeCell ref="F5:F6"/>
    <mergeCell ref="G5:G6"/>
    <mergeCell ref="L19:L20"/>
    <mergeCell ref="M19:M20"/>
    <mergeCell ref="N19:N20"/>
    <mergeCell ref="O19:O20"/>
    <mergeCell ref="G20:G21"/>
    <mergeCell ref="H20:H21"/>
    <mergeCell ref="H5:H6"/>
    <mergeCell ref="T5:Y5"/>
    <mergeCell ref="T20:Y20"/>
    <mergeCell ref="T33:Y33"/>
    <mergeCell ref="F33:F34"/>
    <mergeCell ref="G33:G34"/>
    <mergeCell ref="H33:H34"/>
    <mergeCell ref="P31:P34"/>
    <mergeCell ref="M32:M33"/>
    <mergeCell ref="N32:N33"/>
    <mergeCell ref="O32:O33"/>
    <mergeCell ref="A31:H31"/>
    <mergeCell ref="P18:P21"/>
    <mergeCell ref="A19:A21"/>
    <mergeCell ref="B19:H19"/>
    <mergeCell ref="I19:J19"/>
    <mergeCell ref="K19:K20"/>
  </mergeCells>
  <conditionalFormatting sqref="A22:A27">
    <cfRule type="duplicateValues" dxfId="1" priority="2"/>
  </conditionalFormatting>
  <conditionalFormatting sqref="T22:T26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44H</vt:lpstr>
      <vt:lpstr>44h+20%</vt:lpstr>
      <vt:lpstr>44H+40%</vt:lpstr>
      <vt:lpstr>Uniformes e EPIs</vt:lpstr>
      <vt:lpstr>Insumos</vt:lpstr>
      <vt:lpstr>Equipamentos</vt:lpstr>
      <vt:lpstr>Colaboradores por produtividade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Fabiane Cruz</dc:creator>
  <cp:lastModifiedBy>Fabiane Cruz</cp:lastModifiedBy>
  <cp:lastPrinted>2025-11-04T19:37:01Z</cp:lastPrinted>
  <dcterms:created xsi:type="dcterms:W3CDTF">2020-07-01T22:19:30Z</dcterms:created>
  <dcterms:modified xsi:type="dcterms:W3CDTF">2026-01-23T19:31:05Z</dcterms:modified>
</cp:coreProperties>
</file>