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embeddings/oleObject3.bin" ContentType="application/vnd.openxmlformats-officedocument.oleObject"/>
  <Override PartName="/xl/drawings/drawing5.xml" ContentType="application/vnd.openxmlformats-officedocument.drawing+xml"/>
  <Override PartName="/xl/drawings/drawing6.xml" ContentType="application/vnd.openxmlformats-officedocument.drawing+xml"/>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D:\Secretaria de Obras\OBRAS A PARTIR DE 2021\Ampliação 7 salas Emeif Pref Antonio Filier\DOCTOS PARA LICITAÇÃO\"/>
    </mc:Choice>
  </mc:AlternateContent>
  <xr:revisionPtr revIDLastSave="0" documentId="13_ncr:1_{2565FDF2-26A7-42B8-AAB7-4FECA6723172}" xr6:coauthVersionLast="47" xr6:coauthVersionMax="47" xr10:uidLastSave="{00000000-0000-0000-0000-000000000000}"/>
  <bookViews>
    <workbookView xWindow="-108" yWindow="-108" windowWidth="23256" windowHeight="12576" xr2:uid="{00000000-000D-0000-FFFF-FFFF00000000}"/>
  </bookViews>
  <sheets>
    <sheet name="Orçamento Sintético" sheetId="3" r:id="rId1"/>
    <sheet name="Itens de relevância" sheetId="19" r:id="rId2"/>
    <sheet name="Memorial de Cálculo" sheetId="11" r:id="rId3"/>
    <sheet name="CROQUI BOTA-FORA" sheetId="18" r:id="rId4"/>
    <sheet name="CRONOG" sheetId="5" r:id="rId5"/>
    <sheet name="BDI" sheetId="14" r:id="rId6"/>
    <sheet name="Curva ABC de Insumos" sheetId="15"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__shared_1_0_0" localSheetId="5">#REF!</definedName>
    <definedName name="__shared_1_0_0" localSheetId="3">#REF!</definedName>
    <definedName name="__shared_1_0_0" localSheetId="6">#REF!</definedName>
    <definedName name="__shared_1_0_0" localSheetId="2">#REF!</definedName>
    <definedName name="__shared_1_0_0">#REF!</definedName>
    <definedName name="__shared_1_0_1">#N/A</definedName>
    <definedName name="__shared_1_0_10">#N/A</definedName>
    <definedName name="__shared_1_0_100">#N/A</definedName>
    <definedName name="__shared_1_0_101">#N/A</definedName>
    <definedName name="__shared_1_0_102">#N/A</definedName>
    <definedName name="__shared_1_0_103">#N/A</definedName>
    <definedName name="__shared_1_0_104">#N/A</definedName>
    <definedName name="__shared_1_0_105">#N/A</definedName>
    <definedName name="__shared_1_0_106">#N/A</definedName>
    <definedName name="__shared_1_0_107">#N/A</definedName>
    <definedName name="__shared_1_0_108">#N/A</definedName>
    <definedName name="__shared_1_0_109">#N/A</definedName>
    <definedName name="__shared_1_0_11" localSheetId="5">#REF!</definedName>
    <definedName name="__shared_1_0_11" localSheetId="3">#REF!</definedName>
    <definedName name="__shared_1_0_11" localSheetId="6">#REF!</definedName>
    <definedName name="__shared_1_0_11" localSheetId="2">#REF!</definedName>
    <definedName name="__shared_1_0_11">#REF!</definedName>
    <definedName name="__shared_1_0_110">#N/A</definedName>
    <definedName name="__shared_1_0_111">#N/A</definedName>
    <definedName name="__shared_1_0_112">#N/A</definedName>
    <definedName name="__shared_1_0_113">#N/A</definedName>
    <definedName name="__shared_1_0_114">#N/A</definedName>
    <definedName name="__shared_1_0_115">#N/A</definedName>
    <definedName name="__shared_1_0_116">#N/A</definedName>
    <definedName name="__shared_1_0_117">#N/A</definedName>
    <definedName name="__shared_1_0_118">#N/A</definedName>
    <definedName name="__shared_1_0_119">#N/A</definedName>
    <definedName name="__shared_1_0_12">#N/A</definedName>
    <definedName name="__shared_1_0_120">#N/A</definedName>
    <definedName name="__shared_1_0_121">#N/A</definedName>
    <definedName name="__shared_1_0_122" localSheetId="5">#REF!</definedName>
    <definedName name="__shared_1_0_122" localSheetId="3">#REF!</definedName>
    <definedName name="__shared_1_0_122" localSheetId="6">#REF!</definedName>
    <definedName name="__shared_1_0_122" localSheetId="2">#REF!</definedName>
    <definedName name="__shared_1_0_122">#REF!</definedName>
    <definedName name="__shared_1_0_123">#N/A</definedName>
    <definedName name="__shared_1_0_124">#N/A</definedName>
    <definedName name="__shared_1_0_125">#N/A</definedName>
    <definedName name="__shared_1_0_126">#N/A</definedName>
    <definedName name="__shared_1_0_127">#N/A</definedName>
    <definedName name="__shared_1_0_128">#N/A</definedName>
    <definedName name="__shared_1_0_129">#N/A</definedName>
    <definedName name="__shared_1_0_13">#N/A</definedName>
    <definedName name="__shared_1_0_130">#N/A</definedName>
    <definedName name="__shared_1_0_131">#N/A</definedName>
    <definedName name="__shared_1_0_132">#N/A</definedName>
    <definedName name="__shared_1_0_133">#N/A</definedName>
    <definedName name="__shared_1_0_134">#N/A</definedName>
    <definedName name="__shared_1_0_135">#N/A</definedName>
    <definedName name="__shared_1_0_136">#N/A</definedName>
    <definedName name="__shared_1_0_137">#N/A</definedName>
    <definedName name="__shared_1_0_138">#N/A</definedName>
    <definedName name="__shared_1_0_139" localSheetId="5">#REF!</definedName>
    <definedName name="__shared_1_0_139" localSheetId="3">#REF!</definedName>
    <definedName name="__shared_1_0_139" localSheetId="6">#REF!</definedName>
    <definedName name="__shared_1_0_139" localSheetId="2">#REF!</definedName>
    <definedName name="__shared_1_0_139">#REF!</definedName>
    <definedName name="__shared_1_0_14">#N/A</definedName>
    <definedName name="__shared_1_0_140">#N/A</definedName>
    <definedName name="__shared_1_0_141">#N/A</definedName>
    <definedName name="__shared_1_0_142">#N/A</definedName>
    <definedName name="__shared_1_0_143">#N/A</definedName>
    <definedName name="__shared_1_0_144">#N/A</definedName>
    <definedName name="__shared_1_0_145">#N/A</definedName>
    <definedName name="__shared_1_0_146">#N/A</definedName>
    <definedName name="__shared_1_0_147">#N/A</definedName>
    <definedName name="__shared_1_0_148">#N/A</definedName>
    <definedName name="__shared_1_0_149">#N/A</definedName>
    <definedName name="__shared_1_0_15">#N/A</definedName>
    <definedName name="__shared_1_0_150">#N/A</definedName>
    <definedName name="__shared_1_0_151" localSheetId="5">#REF!</definedName>
    <definedName name="__shared_1_0_151" localSheetId="3">#REF!</definedName>
    <definedName name="__shared_1_0_151" localSheetId="6">#REF!</definedName>
    <definedName name="__shared_1_0_151" localSheetId="2">#REF!</definedName>
    <definedName name="__shared_1_0_151">#REF!</definedName>
    <definedName name="__shared_1_0_152">#N/A</definedName>
    <definedName name="__shared_1_0_153">#N/A</definedName>
    <definedName name="__shared_1_0_154">#N/A</definedName>
    <definedName name="__shared_1_0_155">#N/A</definedName>
    <definedName name="__shared_1_0_156">#N/A</definedName>
    <definedName name="__shared_1_0_157">#N/A</definedName>
    <definedName name="__shared_1_0_158">#N/A</definedName>
    <definedName name="__shared_1_0_159">#N/A</definedName>
    <definedName name="__shared_1_0_16">#N/A</definedName>
    <definedName name="__shared_1_0_160">#N/A</definedName>
    <definedName name="__shared_1_0_161">#N/A</definedName>
    <definedName name="__shared_1_0_162">#N/A</definedName>
    <definedName name="__shared_1_0_163" localSheetId="5">#REF!</definedName>
    <definedName name="__shared_1_0_163" localSheetId="3">#REF!</definedName>
    <definedName name="__shared_1_0_163" localSheetId="6">#REF!</definedName>
    <definedName name="__shared_1_0_163" localSheetId="2">#REF!</definedName>
    <definedName name="__shared_1_0_163">#REF!</definedName>
    <definedName name="__shared_1_0_164">#N/A</definedName>
    <definedName name="__shared_1_0_165">#N/A</definedName>
    <definedName name="__shared_1_0_166">#N/A</definedName>
    <definedName name="__shared_1_0_167">#N/A</definedName>
    <definedName name="__shared_1_0_168">#N/A</definedName>
    <definedName name="__shared_1_0_169">#N/A</definedName>
    <definedName name="__shared_1_0_17">#N/A</definedName>
    <definedName name="__shared_1_0_170">#N/A</definedName>
    <definedName name="__shared_1_0_171">#N/A</definedName>
    <definedName name="__shared_1_0_172">#N/A</definedName>
    <definedName name="__shared_1_0_173">#N/A</definedName>
    <definedName name="__shared_1_0_174">#N/A</definedName>
    <definedName name="__shared_1_0_175">#N/A</definedName>
    <definedName name="__shared_1_0_176" localSheetId="5">#REF!</definedName>
    <definedName name="__shared_1_0_176" localSheetId="3">#REF!</definedName>
    <definedName name="__shared_1_0_176" localSheetId="6">#REF!</definedName>
    <definedName name="__shared_1_0_176" localSheetId="2">#REF!</definedName>
    <definedName name="__shared_1_0_176">#REF!</definedName>
    <definedName name="__shared_1_0_177">#N/A</definedName>
    <definedName name="__shared_1_0_178">#N/A</definedName>
    <definedName name="__shared_1_0_179">#N/A</definedName>
    <definedName name="__shared_1_0_18">#N/A</definedName>
    <definedName name="__shared_1_0_180">#N/A</definedName>
    <definedName name="__shared_1_0_181">#N/A</definedName>
    <definedName name="__shared_1_0_182">#N/A</definedName>
    <definedName name="__shared_1_0_183">#N/A</definedName>
    <definedName name="__shared_1_0_184">#N/A</definedName>
    <definedName name="__shared_1_0_185">#N/A</definedName>
    <definedName name="__shared_1_0_186">#N/A</definedName>
    <definedName name="__shared_1_0_187" localSheetId="5">#REF!</definedName>
    <definedName name="__shared_1_0_187" localSheetId="3">#REF!</definedName>
    <definedName name="__shared_1_0_187" localSheetId="6">#REF!</definedName>
    <definedName name="__shared_1_0_187" localSheetId="2">#REF!</definedName>
    <definedName name="__shared_1_0_187">#REF!</definedName>
    <definedName name="__shared_1_0_188">#N/A</definedName>
    <definedName name="__shared_1_0_189">#N/A</definedName>
    <definedName name="__shared_1_0_19">#N/A</definedName>
    <definedName name="__shared_1_0_190">#N/A</definedName>
    <definedName name="__shared_1_0_191">#N/A</definedName>
    <definedName name="__shared_1_0_192">#N/A</definedName>
    <definedName name="__shared_1_0_193">#N/A</definedName>
    <definedName name="__shared_1_0_194">#N/A</definedName>
    <definedName name="__shared_1_0_195">#N/A</definedName>
    <definedName name="__shared_1_0_196">#N/A</definedName>
    <definedName name="__shared_1_0_197">#N/A</definedName>
    <definedName name="__shared_1_0_198" localSheetId="5">#REF!</definedName>
    <definedName name="__shared_1_0_198" localSheetId="3">#REF!</definedName>
    <definedName name="__shared_1_0_198" localSheetId="6">#REF!</definedName>
    <definedName name="__shared_1_0_198" localSheetId="2">#REF!</definedName>
    <definedName name="__shared_1_0_198">#REF!</definedName>
    <definedName name="__shared_1_0_199">#N/A</definedName>
    <definedName name="__shared_1_0_2">#N/A</definedName>
    <definedName name="__shared_1_0_20">#N/A</definedName>
    <definedName name="__shared_1_0_200">#N/A</definedName>
    <definedName name="__shared_1_0_201">#N/A</definedName>
    <definedName name="__shared_1_0_202">#N/A</definedName>
    <definedName name="__shared_1_0_203">#N/A</definedName>
    <definedName name="__shared_1_0_204">#N/A</definedName>
    <definedName name="__shared_1_0_205">#N/A</definedName>
    <definedName name="__shared_1_0_206">#N/A</definedName>
    <definedName name="__shared_1_0_207">#N/A</definedName>
    <definedName name="__shared_1_0_208">#N/A</definedName>
    <definedName name="__shared_1_0_209" localSheetId="5">#REF!</definedName>
    <definedName name="__shared_1_0_209" localSheetId="3">#REF!</definedName>
    <definedName name="__shared_1_0_209" localSheetId="6">#REF!</definedName>
    <definedName name="__shared_1_0_209" localSheetId="2">#REF!</definedName>
    <definedName name="__shared_1_0_209">#REF!</definedName>
    <definedName name="__shared_1_0_21">#N/A</definedName>
    <definedName name="__shared_1_0_210">#N/A</definedName>
    <definedName name="__shared_1_0_211">#N/A</definedName>
    <definedName name="__shared_1_0_212">#N/A</definedName>
    <definedName name="__shared_1_0_213">#N/A</definedName>
    <definedName name="__shared_1_0_214">#N/A</definedName>
    <definedName name="__shared_1_0_215">#N/A</definedName>
    <definedName name="__shared_1_0_216">#N/A</definedName>
    <definedName name="__shared_1_0_217">#N/A</definedName>
    <definedName name="__shared_1_0_218">#N/A</definedName>
    <definedName name="__shared_1_0_219">#N/A</definedName>
    <definedName name="__shared_1_0_22" localSheetId="5">#REF!</definedName>
    <definedName name="__shared_1_0_22" localSheetId="3">#REF!</definedName>
    <definedName name="__shared_1_0_22" localSheetId="6">#REF!</definedName>
    <definedName name="__shared_1_0_22" localSheetId="2">#REF!</definedName>
    <definedName name="__shared_1_0_22">#REF!</definedName>
    <definedName name="__shared_1_0_220" localSheetId="3">#REF!</definedName>
    <definedName name="__shared_1_0_220" localSheetId="2">#REF!</definedName>
    <definedName name="__shared_1_0_220">#REF!</definedName>
    <definedName name="__shared_1_0_221">#N/A</definedName>
    <definedName name="__shared_1_0_222">#N/A</definedName>
    <definedName name="__shared_1_0_223">#N/A</definedName>
    <definedName name="__shared_1_0_224">#N/A</definedName>
    <definedName name="__shared_1_0_225">#N/A</definedName>
    <definedName name="__shared_1_0_226">#N/A</definedName>
    <definedName name="__shared_1_0_227">#N/A</definedName>
    <definedName name="__shared_1_0_228">#N/A</definedName>
    <definedName name="__shared_1_0_229">#N/A</definedName>
    <definedName name="__shared_1_0_23">#N/A</definedName>
    <definedName name="__shared_1_0_230">#N/A</definedName>
    <definedName name="__shared_1_0_231">#N/A</definedName>
    <definedName name="__shared_1_0_232" localSheetId="5">#REF!</definedName>
    <definedName name="__shared_1_0_232" localSheetId="3">#REF!</definedName>
    <definedName name="__shared_1_0_232" localSheetId="6">#REF!</definedName>
    <definedName name="__shared_1_0_232" localSheetId="2">#REF!</definedName>
    <definedName name="__shared_1_0_232">#REF!</definedName>
    <definedName name="__shared_1_0_233">#N/A</definedName>
    <definedName name="__shared_1_0_234">#N/A</definedName>
    <definedName name="__shared_1_0_235">#N/A</definedName>
    <definedName name="__shared_1_0_236">#N/A</definedName>
    <definedName name="__shared_1_0_237">#N/A</definedName>
    <definedName name="__shared_1_0_238">#N/A</definedName>
    <definedName name="__shared_1_0_239">#N/A</definedName>
    <definedName name="__shared_1_0_24">#N/A</definedName>
    <definedName name="__shared_1_0_240">#N/A</definedName>
    <definedName name="__shared_1_0_241">#N/A</definedName>
    <definedName name="__shared_1_0_242">#N/A</definedName>
    <definedName name="__shared_1_0_243" localSheetId="5">#REF!</definedName>
    <definedName name="__shared_1_0_243" localSheetId="3">#REF!</definedName>
    <definedName name="__shared_1_0_243" localSheetId="6">#REF!</definedName>
    <definedName name="__shared_1_0_243" localSheetId="2">#REF!</definedName>
    <definedName name="__shared_1_0_243">#REF!</definedName>
    <definedName name="__shared_1_0_244">#N/A</definedName>
    <definedName name="__shared_1_0_245">#N/A</definedName>
    <definedName name="__shared_1_0_246">#N/A</definedName>
    <definedName name="__shared_1_0_247">#N/A</definedName>
    <definedName name="__shared_1_0_248">#N/A</definedName>
    <definedName name="__shared_1_0_249">#N/A</definedName>
    <definedName name="__shared_1_0_25">#N/A</definedName>
    <definedName name="__shared_1_0_250">#N/A</definedName>
    <definedName name="__shared_1_0_251">#N/A</definedName>
    <definedName name="__shared_1_0_252">#N/A</definedName>
    <definedName name="__shared_1_0_253">#N/A</definedName>
    <definedName name="__shared_1_0_254" localSheetId="5">#REF!</definedName>
    <definedName name="__shared_1_0_254" localSheetId="3">#REF!</definedName>
    <definedName name="__shared_1_0_254" localSheetId="6">#REF!</definedName>
    <definedName name="__shared_1_0_254" localSheetId="2">#REF!</definedName>
    <definedName name="__shared_1_0_254">#REF!</definedName>
    <definedName name="__shared_1_0_255">#N/A</definedName>
    <definedName name="__shared_1_0_256">#N/A</definedName>
    <definedName name="__shared_1_0_257">#N/A</definedName>
    <definedName name="__shared_1_0_258">#N/A</definedName>
    <definedName name="__shared_1_0_259">#N/A</definedName>
    <definedName name="__shared_1_0_26">#N/A</definedName>
    <definedName name="__shared_1_0_260">#N/A</definedName>
    <definedName name="__shared_1_0_261">#N/A</definedName>
    <definedName name="__shared_1_0_262">#N/A</definedName>
    <definedName name="__shared_1_0_263">#N/A</definedName>
    <definedName name="__shared_1_0_264">#N/A</definedName>
    <definedName name="__shared_1_0_265" localSheetId="5">#REF!</definedName>
    <definedName name="__shared_1_0_265" localSheetId="3">#REF!</definedName>
    <definedName name="__shared_1_0_265" localSheetId="6">#REF!</definedName>
    <definedName name="__shared_1_0_265" localSheetId="2">#REF!</definedName>
    <definedName name="__shared_1_0_265">#REF!</definedName>
    <definedName name="__shared_1_0_266">#N/A</definedName>
    <definedName name="__shared_1_0_267">#N/A</definedName>
    <definedName name="__shared_1_0_268">#N/A</definedName>
    <definedName name="__shared_1_0_269">#N/A</definedName>
    <definedName name="__shared_1_0_27">#N/A</definedName>
    <definedName name="__shared_1_0_270">#N/A</definedName>
    <definedName name="__shared_1_0_271">#N/A</definedName>
    <definedName name="__shared_1_0_272">#N/A</definedName>
    <definedName name="__shared_1_0_273">#N/A</definedName>
    <definedName name="__shared_1_0_274">#N/A</definedName>
    <definedName name="__shared_1_0_275">#N/A</definedName>
    <definedName name="__shared_1_0_276" localSheetId="5">#REF!</definedName>
    <definedName name="__shared_1_0_276" localSheetId="3">#REF!</definedName>
    <definedName name="__shared_1_0_276" localSheetId="6">#REF!</definedName>
    <definedName name="__shared_1_0_276" localSheetId="2">#REF!</definedName>
    <definedName name="__shared_1_0_276">#REF!</definedName>
    <definedName name="__shared_1_0_277">#N/A</definedName>
    <definedName name="__shared_1_0_278">#N/A</definedName>
    <definedName name="__shared_1_0_279">#N/A</definedName>
    <definedName name="__shared_1_0_28">#N/A</definedName>
    <definedName name="__shared_1_0_280">#N/A</definedName>
    <definedName name="__shared_1_0_281">#N/A</definedName>
    <definedName name="__shared_1_0_282">#N/A</definedName>
    <definedName name="__shared_1_0_283">#N/A</definedName>
    <definedName name="__shared_1_0_284">#N/A</definedName>
    <definedName name="__shared_1_0_285">#N/A</definedName>
    <definedName name="__shared_1_0_286">#N/A</definedName>
    <definedName name="__shared_1_0_287" localSheetId="5">#REF!</definedName>
    <definedName name="__shared_1_0_287" localSheetId="3">#REF!</definedName>
    <definedName name="__shared_1_0_287" localSheetId="6">#REF!</definedName>
    <definedName name="__shared_1_0_287" localSheetId="2">#REF!</definedName>
    <definedName name="__shared_1_0_287">#REF!</definedName>
    <definedName name="__shared_1_0_288">#N/A</definedName>
    <definedName name="__shared_1_0_289">#N/A</definedName>
    <definedName name="__shared_1_0_29">#N/A</definedName>
    <definedName name="__shared_1_0_290">#N/A</definedName>
    <definedName name="__shared_1_0_291">#N/A</definedName>
    <definedName name="__shared_1_0_292">#N/A</definedName>
    <definedName name="__shared_1_0_293">#N/A</definedName>
    <definedName name="__shared_1_0_294">#N/A</definedName>
    <definedName name="__shared_1_0_295">#N/A</definedName>
    <definedName name="__shared_1_0_296">#N/A</definedName>
    <definedName name="__shared_1_0_297">#N/A</definedName>
    <definedName name="__shared_1_0_298" localSheetId="5">#REF!</definedName>
    <definedName name="__shared_1_0_298" localSheetId="3">#REF!</definedName>
    <definedName name="__shared_1_0_298" localSheetId="6">#REF!</definedName>
    <definedName name="__shared_1_0_298" localSheetId="2">#REF!</definedName>
    <definedName name="__shared_1_0_298">#REF!</definedName>
    <definedName name="__shared_1_0_299">#N/A</definedName>
    <definedName name="__shared_1_0_3">#N/A</definedName>
    <definedName name="__shared_1_0_30">#N/A</definedName>
    <definedName name="__shared_1_0_300">#N/A</definedName>
    <definedName name="__shared_1_0_301">#N/A</definedName>
    <definedName name="__shared_1_0_302">#N/A</definedName>
    <definedName name="__shared_1_0_303">#N/A</definedName>
    <definedName name="__shared_1_0_304">#N/A</definedName>
    <definedName name="__shared_1_0_305">#N/A</definedName>
    <definedName name="__shared_1_0_306">#N/A</definedName>
    <definedName name="__shared_1_0_307">#N/A</definedName>
    <definedName name="__shared_1_0_308">#N/A</definedName>
    <definedName name="__shared_1_0_309" localSheetId="5">#REF!</definedName>
    <definedName name="__shared_1_0_309" localSheetId="3">#REF!</definedName>
    <definedName name="__shared_1_0_309" localSheetId="6">#REF!</definedName>
    <definedName name="__shared_1_0_309" localSheetId="2">#REF!</definedName>
    <definedName name="__shared_1_0_309">#REF!</definedName>
    <definedName name="__shared_1_0_31">#N/A</definedName>
    <definedName name="__shared_1_0_310">#N/A</definedName>
    <definedName name="__shared_1_0_311">#N/A</definedName>
    <definedName name="__shared_1_0_312">#N/A</definedName>
    <definedName name="__shared_1_0_313">#N/A</definedName>
    <definedName name="__shared_1_0_314">#N/A</definedName>
    <definedName name="__shared_1_0_315">#N/A</definedName>
    <definedName name="__shared_1_0_316">#N/A</definedName>
    <definedName name="__shared_1_0_317">#N/A</definedName>
    <definedName name="__shared_1_0_318">#N/A</definedName>
    <definedName name="__shared_1_0_319">#N/A</definedName>
    <definedName name="__shared_1_0_32">#N/A</definedName>
    <definedName name="__shared_1_0_320" localSheetId="5">#REF!</definedName>
    <definedName name="__shared_1_0_320" localSheetId="3">#REF!</definedName>
    <definedName name="__shared_1_0_320" localSheetId="6">#REF!</definedName>
    <definedName name="__shared_1_0_320" localSheetId="2">#REF!</definedName>
    <definedName name="__shared_1_0_320">#REF!</definedName>
    <definedName name="__shared_1_0_321">#N/A</definedName>
    <definedName name="__shared_1_0_322">#N/A</definedName>
    <definedName name="__shared_1_0_323">#N/A</definedName>
    <definedName name="__shared_1_0_324">#N/A</definedName>
    <definedName name="__shared_1_0_325">#N/A</definedName>
    <definedName name="__shared_1_0_326">#N/A</definedName>
    <definedName name="__shared_1_0_327">#N/A</definedName>
    <definedName name="__shared_1_0_328">#N/A</definedName>
    <definedName name="__shared_1_0_329">#N/A</definedName>
    <definedName name="__shared_1_0_33" localSheetId="5">#REF!</definedName>
    <definedName name="__shared_1_0_33" localSheetId="3">#REF!</definedName>
    <definedName name="__shared_1_0_33" localSheetId="6">#REF!</definedName>
    <definedName name="__shared_1_0_33" localSheetId="2">#REF!</definedName>
    <definedName name="__shared_1_0_33">#REF!</definedName>
    <definedName name="__shared_1_0_330">#N/A</definedName>
    <definedName name="__shared_1_0_331" localSheetId="5">#REF!</definedName>
    <definedName name="__shared_1_0_331" localSheetId="3">#REF!</definedName>
    <definedName name="__shared_1_0_331" localSheetId="6">#REF!</definedName>
    <definedName name="__shared_1_0_331" localSheetId="2">#REF!</definedName>
    <definedName name="__shared_1_0_331">#REF!</definedName>
    <definedName name="__shared_1_0_332">#N/A</definedName>
    <definedName name="__shared_1_0_333">#N/A</definedName>
    <definedName name="__shared_1_0_334">#N/A</definedName>
    <definedName name="__shared_1_0_335">#N/A</definedName>
    <definedName name="__shared_1_0_336">#N/A</definedName>
    <definedName name="__shared_1_0_337">#N/A</definedName>
    <definedName name="__shared_1_0_338">#N/A</definedName>
    <definedName name="__shared_1_0_339">#N/A</definedName>
    <definedName name="__shared_1_0_34">#N/A</definedName>
    <definedName name="__shared_1_0_340">#N/A</definedName>
    <definedName name="__shared_1_0_341">#N/A</definedName>
    <definedName name="__shared_1_0_342" localSheetId="5">#REF!</definedName>
    <definedName name="__shared_1_0_342" localSheetId="3">#REF!</definedName>
    <definedName name="__shared_1_0_342" localSheetId="6">#REF!</definedName>
    <definedName name="__shared_1_0_342" localSheetId="2">#REF!</definedName>
    <definedName name="__shared_1_0_342">#REF!</definedName>
    <definedName name="__shared_1_0_342_1" localSheetId="2">#REF!</definedName>
    <definedName name="__shared_1_0_342_1">#REF!</definedName>
    <definedName name="__shared_1_0_343">#N/A</definedName>
    <definedName name="__shared_1_0_344">#N/A</definedName>
    <definedName name="__shared_1_0_345">#N/A</definedName>
    <definedName name="__shared_1_0_346">#N/A</definedName>
    <definedName name="__shared_1_0_347">#N/A</definedName>
    <definedName name="__shared_1_0_348">#N/A</definedName>
    <definedName name="__shared_1_0_349">#N/A</definedName>
    <definedName name="__shared_1_0_35">#N/A</definedName>
    <definedName name="__shared_1_0_350">#N/A</definedName>
    <definedName name="__shared_1_0_351">#N/A</definedName>
    <definedName name="__shared_1_0_352">#N/A</definedName>
    <definedName name="__shared_1_0_353" localSheetId="5">#REF!</definedName>
    <definedName name="__shared_1_0_353" localSheetId="3">#REF!</definedName>
    <definedName name="__shared_1_0_353" localSheetId="6">#REF!</definedName>
    <definedName name="__shared_1_0_353" localSheetId="2">#REF!</definedName>
    <definedName name="__shared_1_0_353">#REF!</definedName>
    <definedName name="__shared_1_0_354">#N/A</definedName>
    <definedName name="__shared_1_0_355">#N/A</definedName>
    <definedName name="__shared_1_0_356">#N/A</definedName>
    <definedName name="__shared_1_0_357">#N/A</definedName>
    <definedName name="__shared_1_0_358">#N/A</definedName>
    <definedName name="__shared_1_0_359">#N/A</definedName>
    <definedName name="__shared_1_0_36">#N/A</definedName>
    <definedName name="__shared_1_0_360">#N/A</definedName>
    <definedName name="__shared_1_0_361">#N/A</definedName>
    <definedName name="__shared_1_0_362">#N/A</definedName>
    <definedName name="__shared_1_0_363">#N/A</definedName>
    <definedName name="__shared_1_0_364" localSheetId="5">#REF!</definedName>
    <definedName name="__shared_1_0_364" localSheetId="3">#REF!</definedName>
    <definedName name="__shared_1_0_364" localSheetId="6">#REF!</definedName>
    <definedName name="__shared_1_0_364" localSheetId="2">#REF!</definedName>
    <definedName name="__shared_1_0_364">#REF!</definedName>
    <definedName name="__shared_1_0_365">#N/A</definedName>
    <definedName name="__shared_1_0_366">#N/A</definedName>
    <definedName name="__shared_1_0_367">#N/A</definedName>
    <definedName name="__shared_1_0_368">#N/A</definedName>
    <definedName name="__shared_1_0_369">#N/A</definedName>
    <definedName name="__shared_1_0_37">#N/A</definedName>
    <definedName name="__shared_1_0_370">#N/A</definedName>
    <definedName name="__shared_1_0_371">#N/A</definedName>
    <definedName name="__shared_1_0_372">#N/A</definedName>
    <definedName name="__shared_1_0_373">#N/A</definedName>
    <definedName name="__shared_1_0_374">#N/A</definedName>
    <definedName name="__shared_1_0_375" localSheetId="5">#REF!</definedName>
    <definedName name="__shared_1_0_375" localSheetId="3">#REF!</definedName>
    <definedName name="__shared_1_0_375" localSheetId="6">#REF!</definedName>
    <definedName name="__shared_1_0_375" localSheetId="2">#REF!</definedName>
    <definedName name="__shared_1_0_375">#REF!</definedName>
    <definedName name="__shared_1_0_376">#N/A</definedName>
    <definedName name="__shared_1_0_377">#N/A</definedName>
    <definedName name="__shared_1_0_378">#N/A</definedName>
    <definedName name="__shared_1_0_379">#N/A</definedName>
    <definedName name="__shared_1_0_38">#N/A</definedName>
    <definedName name="__shared_1_0_380">#N/A</definedName>
    <definedName name="__shared_1_0_381">#N/A</definedName>
    <definedName name="__shared_1_0_382">#N/A</definedName>
    <definedName name="__shared_1_0_383">#N/A</definedName>
    <definedName name="__shared_1_0_384">#N/A</definedName>
    <definedName name="__shared_1_0_385">#N/A</definedName>
    <definedName name="__shared_1_0_386" localSheetId="5">#REF!</definedName>
    <definedName name="__shared_1_0_386" localSheetId="3">#REF!</definedName>
    <definedName name="__shared_1_0_386" localSheetId="6">#REF!</definedName>
    <definedName name="__shared_1_0_386" localSheetId="2">#REF!</definedName>
    <definedName name="__shared_1_0_386">#REF!</definedName>
    <definedName name="__shared_1_0_387">#N/A</definedName>
    <definedName name="__shared_1_0_388">#N/A</definedName>
    <definedName name="__shared_1_0_389">#N/A</definedName>
    <definedName name="__shared_1_0_39">#N/A</definedName>
    <definedName name="__shared_1_0_390">#N/A</definedName>
    <definedName name="__shared_1_0_391">#N/A</definedName>
    <definedName name="__shared_1_0_392">#N/A</definedName>
    <definedName name="__shared_1_0_393">#N/A</definedName>
    <definedName name="__shared_1_0_394">#N/A</definedName>
    <definedName name="__shared_1_0_395">#N/A</definedName>
    <definedName name="__shared_1_0_396">#N/A</definedName>
    <definedName name="__shared_1_0_397" localSheetId="5">#REF!</definedName>
    <definedName name="__shared_1_0_397" localSheetId="3">#REF!</definedName>
    <definedName name="__shared_1_0_397" localSheetId="6">#REF!</definedName>
    <definedName name="__shared_1_0_397" localSheetId="2">#REF!</definedName>
    <definedName name="__shared_1_0_397">#REF!</definedName>
    <definedName name="__shared_1_0_398">#N/A</definedName>
    <definedName name="__shared_1_0_399">#N/A</definedName>
    <definedName name="__shared_1_0_4">#N/A</definedName>
    <definedName name="__shared_1_0_40">#N/A</definedName>
    <definedName name="__shared_1_0_400">#N/A</definedName>
    <definedName name="__shared_1_0_401">#N/A</definedName>
    <definedName name="__shared_1_0_402">#N/A</definedName>
    <definedName name="__shared_1_0_403">#N/A</definedName>
    <definedName name="__shared_1_0_404">#N/A</definedName>
    <definedName name="__shared_1_0_405">#N/A</definedName>
    <definedName name="__shared_1_0_406">#N/A</definedName>
    <definedName name="__shared_1_0_407">#N/A</definedName>
    <definedName name="__shared_1_0_408" localSheetId="5">#REF!</definedName>
    <definedName name="__shared_1_0_408" localSheetId="3">#REF!</definedName>
    <definedName name="__shared_1_0_408" localSheetId="6">#REF!</definedName>
    <definedName name="__shared_1_0_408" localSheetId="2">#REF!</definedName>
    <definedName name="__shared_1_0_408">#REF!</definedName>
    <definedName name="__shared_1_0_409">#N/A</definedName>
    <definedName name="__shared_1_0_41">#N/A</definedName>
    <definedName name="__shared_1_0_410">#N/A</definedName>
    <definedName name="__shared_1_0_411">#N/A</definedName>
    <definedName name="__shared_1_0_412">#N/A</definedName>
    <definedName name="__shared_1_0_413">#N/A</definedName>
    <definedName name="__shared_1_0_414">#N/A</definedName>
    <definedName name="__shared_1_0_415">#N/A</definedName>
    <definedName name="__shared_1_0_416">#N/A</definedName>
    <definedName name="__shared_1_0_417">#N/A</definedName>
    <definedName name="__shared_1_0_418">#N/A</definedName>
    <definedName name="__shared_1_0_419" localSheetId="5">#REF!</definedName>
    <definedName name="__shared_1_0_419" localSheetId="3">#REF!</definedName>
    <definedName name="__shared_1_0_419" localSheetId="6">#REF!</definedName>
    <definedName name="__shared_1_0_419" localSheetId="2">#REF!</definedName>
    <definedName name="__shared_1_0_419">#REF!</definedName>
    <definedName name="__shared_1_0_42">#N/A</definedName>
    <definedName name="__shared_1_0_420">#N/A</definedName>
    <definedName name="__shared_1_0_421">#N/A</definedName>
    <definedName name="__shared_1_0_422">#N/A</definedName>
    <definedName name="__shared_1_0_423">#N/A</definedName>
    <definedName name="__shared_1_0_424">#N/A</definedName>
    <definedName name="__shared_1_0_425">#N/A</definedName>
    <definedName name="__shared_1_0_426">#N/A</definedName>
    <definedName name="__shared_1_0_427">#N/A</definedName>
    <definedName name="__shared_1_0_428">#N/A</definedName>
    <definedName name="__shared_1_0_429">#N/A</definedName>
    <definedName name="__shared_1_0_43">#N/A</definedName>
    <definedName name="__shared_1_0_430" localSheetId="5">#REF!</definedName>
    <definedName name="__shared_1_0_430" localSheetId="3">#REF!</definedName>
    <definedName name="__shared_1_0_430" localSheetId="6">#REF!</definedName>
    <definedName name="__shared_1_0_430" localSheetId="2">#REF!</definedName>
    <definedName name="__shared_1_0_430">#REF!</definedName>
    <definedName name="__shared_1_0_431">#N/A</definedName>
    <definedName name="__shared_1_0_432">#N/A</definedName>
    <definedName name="__shared_1_0_433">#N/A</definedName>
    <definedName name="__shared_1_0_434">#N/A</definedName>
    <definedName name="__shared_1_0_435">#N/A</definedName>
    <definedName name="__shared_1_0_436">#N/A</definedName>
    <definedName name="__shared_1_0_437">#N/A</definedName>
    <definedName name="__shared_1_0_438">#N/A</definedName>
    <definedName name="__shared_1_0_439">#N/A</definedName>
    <definedName name="__shared_1_0_44" localSheetId="5">#REF!</definedName>
    <definedName name="__shared_1_0_44" localSheetId="3">#REF!</definedName>
    <definedName name="__shared_1_0_44" localSheetId="6">#REF!</definedName>
    <definedName name="__shared_1_0_44" localSheetId="2">#REF!</definedName>
    <definedName name="__shared_1_0_44">#REF!</definedName>
    <definedName name="__shared_1_0_440">#N/A</definedName>
    <definedName name="__shared_1_0_441" localSheetId="5">#REF!</definedName>
    <definedName name="__shared_1_0_441" localSheetId="3">#REF!</definedName>
    <definedName name="__shared_1_0_441" localSheetId="6">#REF!</definedName>
    <definedName name="__shared_1_0_441" localSheetId="2">#REF!</definedName>
    <definedName name="__shared_1_0_441">#REF!</definedName>
    <definedName name="__shared_1_0_442">#N/A</definedName>
    <definedName name="__shared_1_0_443">#N/A</definedName>
    <definedName name="__shared_1_0_444">#N/A</definedName>
    <definedName name="__shared_1_0_445">#N/A</definedName>
    <definedName name="__shared_1_0_446">#N/A</definedName>
    <definedName name="__shared_1_0_447">#N/A</definedName>
    <definedName name="__shared_1_0_448">#N/A</definedName>
    <definedName name="__shared_1_0_449">#N/A</definedName>
    <definedName name="__shared_1_0_45">#N/A</definedName>
    <definedName name="__shared_1_0_450">#N/A</definedName>
    <definedName name="__shared_1_0_451">#N/A</definedName>
    <definedName name="__shared_1_0_452">#N/A</definedName>
    <definedName name="__shared_1_0_453">#N/A</definedName>
    <definedName name="__shared_1_0_454" localSheetId="5">#REF!</definedName>
    <definedName name="__shared_1_0_454" localSheetId="3">#REF!</definedName>
    <definedName name="__shared_1_0_454" localSheetId="6">#REF!</definedName>
    <definedName name="__shared_1_0_454" localSheetId="2">#REF!</definedName>
    <definedName name="__shared_1_0_454">#REF!</definedName>
    <definedName name="__shared_1_0_455">#N/A</definedName>
    <definedName name="__shared_1_0_456">#N/A</definedName>
    <definedName name="__shared_1_0_457">#N/A</definedName>
    <definedName name="__shared_1_0_458">#N/A</definedName>
    <definedName name="__shared_1_0_459">#N/A</definedName>
    <definedName name="__shared_1_0_46">#N/A</definedName>
    <definedName name="__shared_1_0_460">#N/A</definedName>
    <definedName name="__shared_1_0_461">#N/A</definedName>
    <definedName name="__shared_1_0_462">#N/A</definedName>
    <definedName name="__shared_1_0_463">#N/A</definedName>
    <definedName name="__shared_1_0_464">#N/A</definedName>
    <definedName name="__shared_1_0_465" localSheetId="5">#REF!</definedName>
    <definedName name="__shared_1_0_465" localSheetId="3">#REF!</definedName>
    <definedName name="__shared_1_0_465" localSheetId="6">#REF!</definedName>
    <definedName name="__shared_1_0_465" localSheetId="2">#REF!</definedName>
    <definedName name="__shared_1_0_465">#REF!</definedName>
    <definedName name="__shared_1_0_466">#N/A</definedName>
    <definedName name="__shared_1_0_467">#N/A</definedName>
    <definedName name="__shared_1_0_468">#N/A</definedName>
    <definedName name="__shared_1_0_469">#N/A</definedName>
    <definedName name="__shared_1_0_47">#N/A</definedName>
    <definedName name="__shared_1_0_470">#N/A</definedName>
    <definedName name="__shared_1_0_471">#N/A</definedName>
    <definedName name="__shared_1_0_472">#N/A</definedName>
    <definedName name="__shared_1_0_473">#N/A</definedName>
    <definedName name="__shared_1_0_474">#N/A</definedName>
    <definedName name="__shared_1_0_475">#N/A</definedName>
    <definedName name="__shared_1_0_476">#N/A</definedName>
    <definedName name="__shared_1_0_477" localSheetId="5">#REF!</definedName>
    <definedName name="__shared_1_0_477" localSheetId="3">#REF!</definedName>
    <definedName name="__shared_1_0_477" localSheetId="6">#REF!</definedName>
    <definedName name="__shared_1_0_477" localSheetId="2">#REF!</definedName>
    <definedName name="__shared_1_0_477">#REF!</definedName>
    <definedName name="__shared_1_0_478">#N/A</definedName>
    <definedName name="__shared_1_0_479">#N/A</definedName>
    <definedName name="__shared_1_0_48">#N/A</definedName>
    <definedName name="__shared_1_0_480">#N/A</definedName>
    <definedName name="__shared_1_0_481">#N/A</definedName>
    <definedName name="__shared_1_0_482">#N/A</definedName>
    <definedName name="__shared_1_0_483">#N/A</definedName>
    <definedName name="__shared_1_0_484">#N/A</definedName>
    <definedName name="__shared_1_0_485">#N/A</definedName>
    <definedName name="__shared_1_0_486">#N/A</definedName>
    <definedName name="__shared_1_0_487">#N/A</definedName>
    <definedName name="__shared_1_0_488" localSheetId="5">#REF!</definedName>
    <definedName name="__shared_1_0_488" localSheetId="3">#REF!</definedName>
    <definedName name="__shared_1_0_488" localSheetId="6">#REF!</definedName>
    <definedName name="__shared_1_0_488" localSheetId="2">#REF!</definedName>
    <definedName name="__shared_1_0_488">#REF!</definedName>
    <definedName name="__shared_1_0_489">#N/A</definedName>
    <definedName name="__shared_1_0_49">#N/A</definedName>
    <definedName name="__shared_1_0_490">#N/A</definedName>
    <definedName name="__shared_1_0_491">#N/A</definedName>
    <definedName name="__shared_1_0_492">#N/A</definedName>
    <definedName name="__shared_1_0_493">#N/A</definedName>
    <definedName name="__shared_1_0_494">#N/A</definedName>
    <definedName name="__shared_1_0_495">#N/A</definedName>
    <definedName name="__shared_1_0_496">#N/A</definedName>
    <definedName name="__shared_1_0_497">#N/A</definedName>
    <definedName name="__shared_1_0_498">#N/A</definedName>
    <definedName name="__shared_1_0_5">#N/A</definedName>
    <definedName name="__shared_1_0_50">#N/A</definedName>
    <definedName name="__shared_1_0_51">#N/A</definedName>
    <definedName name="__shared_1_0_52">#N/A</definedName>
    <definedName name="__shared_1_0_53">#N/A</definedName>
    <definedName name="__shared_1_0_54">#N/A</definedName>
    <definedName name="__shared_1_0_55" localSheetId="5">#REF!</definedName>
    <definedName name="__shared_1_0_55" localSheetId="3">#REF!</definedName>
    <definedName name="__shared_1_0_55" localSheetId="6">#REF!</definedName>
    <definedName name="__shared_1_0_55" localSheetId="2">#REF!</definedName>
    <definedName name="__shared_1_0_55">#REF!</definedName>
    <definedName name="__shared_1_0_56">#N/A</definedName>
    <definedName name="__shared_1_0_57">#N/A</definedName>
    <definedName name="__shared_1_0_58">#N/A</definedName>
    <definedName name="__shared_1_0_59">#N/A</definedName>
    <definedName name="__shared_1_0_6">#N/A</definedName>
    <definedName name="__shared_1_0_60">#N/A</definedName>
    <definedName name="__shared_1_0_61">#N/A</definedName>
    <definedName name="__shared_1_0_62">#N/A</definedName>
    <definedName name="__shared_1_0_63">#N/A</definedName>
    <definedName name="__shared_1_0_64">#N/A</definedName>
    <definedName name="__shared_1_0_65">#N/A</definedName>
    <definedName name="__shared_1_0_66" localSheetId="5">#REF!</definedName>
    <definedName name="__shared_1_0_66" localSheetId="3">#REF!</definedName>
    <definedName name="__shared_1_0_66" localSheetId="6">#REF!</definedName>
    <definedName name="__shared_1_0_66" localSheetId="2">#REF!</definedName>
    <definedName name="__shared_1_0_66">#REF!</definedName>
    <definedName name="__shared_1_0_67">#N/A</definedName>
    <definedName name="__shared_1_0_68">#N/A</definedName>
    <definedName name="__shared_1_0_69">#N/A</definedName>
    <definedName name="__shared_1_0_7">#N/A</definedName>
    <definedName name="__shared_1_0_70">#N/A</definedName>
    <definedName name="__shared_1_0_71">#N/A</definedName>
    <definedName name="__shared_1_0_72">#N/A</definedName>
    <definedName name="__shared_1_0_73">#N/A</definedName>
    <definedName name="__shared_1_0_74">#N/A</definedName>
    <definedName name="__shared_1_0_75">#N/A</definedName>
    <definedName name="__shared_1_0_76">#N/A</definedName>
    <definedName name="__shared_1_0_77">#N/A</definedName>
    <definedName name="__shared_1_0_78" localSheetId="5">#REF!</definedName>
    <definedName name="__shared_1_0_78" localSheetId="3">#REF!</definedName>
    <definedName name="__shared_1_0_78" localSheetId="6">#REF!</definedName>
    <definedName name="__shared_1_0_78" localSheetId="2">#REF!</definedName>
    <definedName name="__shared_1_0_78">#REF!</definedName>
    <definedName name="__shared_1_0_79">#N/A</definedName>
    <definedName name="__shared_1_0_8">#N/A</definedName>
    <definedName name="__shared_1_0_80">#N/A</definedName>
    <definedName name="__shared_1_0_81">#N/A</definedName>
    <definedName name="__shared_1_0_82">#N/A</definedName>
    <definedName name="__shared_1_0_83">#N/A</definedName>
    <definedName name="__shared_1_0_84">#N/A</definedName>
    <definedName name="__shared_1_0_85">#N/A</definedName>
    <definedName name="__shared_1_0_86">#N/A</definedName>
    <definedName name="__shared_1_0_87">#N/A</definedName>
    <definedName name="__shared_1_0_88">#N/A</definedName>
    <definedName name="__shared_1_0_89">#N/A</definedName>
    <definedName name="__shared_1_0_9">#N/A</definedName>
    <definedName name="__shared_1_0_90">#N/A</definedName>
    <definedName name="__shared_1_0_91">#N/A</definedName>
    <definedName name="__shared_1_0_92" localSheetId="5">#REF!</definedName>
    <definedName name="__shared_1_0_92" localSheetId="3">#REF!</definedName>
    <definedName name="__shared_1_0_92" localSheetId="6">#REF!</definedName>
    <definedName name="__shared_1_0_92" localSheetId="2">#REF!</definedName>
    <definedName name="__shared_1_0_92">#REF!</definedName>
    <definedName name="__shared_1_0_93">#N/A</definedName>
    <definedName name="__shared_1_0_94">#N/A</definedName>
    <definedName name="__shared_1_0_95">#N/A</definedName>
    <definedName name="__shared_1_0_96">#N/A</definedName>
    <definedName name="__shared_1_0_97">#N/A</definedName>
    <definedName name="__shared_1_0_98">#N/A</definedName>
    <definedName name="__shared_1_0_99">#N/A</definedName>
    <definedName name="__shared_2_0_0">#N/A</definedName>
    <definedName name="__shared_2_0_1">#N/A</definedName>
    <definedName name="__shared_2_0_2">#N/A</definedName>
    <definedName name="__shared_2_0_3">#N/A</definedName>
    <definedName name="__shared_2_0_4">#N/A</definedName>
    <definedName name="A" localSheetId="5">#REF!</definedName>
    <definedName name="A" localSheetId="6">#REF!</definedName>
    <definedName name="A" localSheetId="2">#REF!</definedName>
    <definedName name="A">#REF!</definedName>
    <definedName name="A_1" localSheetId="2">#REF!</definedName>
    <definedName name="A_1">#REF!</definedName>
    <definedName name="A_2" localSheetId="2">#REF!</definedName>
    <definedName name="A_2">#REF!</definedName>
    <definedName name="AA" localSheetId="2">#REF!</definedName>
    <definedName name="AA">#REF!</definedName>
    <definedName name="AAA" localSheetId="2">#REF!</definedName>
    <definedName name="AAA">#REF!</definedName>
    <definedName name="AAAAA" localSheetId="2">#REF!</definedName>
    <definedName name="AAAAA">#REF!</definedName>
    <definedName name="ANCORAGEM" localSheetId="2">#REF!</definedName>
    <definedName name="ANCORAGEM">#REF!</definedName>
    <definedName name="_xlnm.Print_Area" localSheetId="5">BDI!$A$1:$R$49</definedName>
    <definedName name="_xlnm.Print_Area" localSheetId="4">CRONOG!$A$1:$M$49</definedName>
    <definedName name="_xlnm.Print_Area" localSheetId="3">'CROQUI BOTA-FORA'!$A$1:$K$70</definedName>
    <definedName name="_xlnm.Print_Area" localSheetId="6">'Curva ABC de Insumos'!$A$1:$O$3</definedName>
    <definedName name="_xlnm.Print_Area" localSheetId="2">'Memorial de Cálculo'!$A$1:$G$228</definedName>
    <definedName name="_xlnm.Print_Area" localSheetId="0">'Orçamento Sintético'!$A$1:$J$234</definedName>
    <definedName name="B" localSheetId="5">#REF!</definedName>
    <definedName name="B" localSheetId="6">#REF!</definedName>
    <definedName name="B" localSheetId="2">#REF!</definedName>
    <definedName name="B">#REF!</definedName>
    <definedName name="B_1" localSheetId="2">#REF!</definedName>
    <definedName name="B_1">#REF!</definedName>
    <definedName name="B_2" localSheetId="2">#REF!</definedName>
    <definedName name="B_2">#REF!</definedName>
    <definedName name="_xlnm.Database">TEXT(Import.DataBase,"mm-aaaa")</definedName>
    <definedName name="BDI" localSheetId="2">[1]PREÇOS!#REF!</definedName>
    <definedName name="BDI">[1]PREÇOS!#REF!</definedName>
    <definedName name="BLOCOANCORAGEMNOVO" localSheetId="5">#REF!</definedName>
    <definedName name="BLOCOANCORAGEMNOVO" localSheetId="6">#REF!</definedName>
    <definedName name="BLOCOANCORAGEMNOVO" localSheetId="2">#REF!</definedName>
    <definedName name="BLOCOANCORAGEMNOVO">#REF!</definedName>
    <definedName name="Critérios_IM" localSheetId="2">#REF!</definedName>
    <definedName name="Critérios_IM">#REF!</definedName>
    <definedName name="Cronograma1">#N/A</definedName>
    <definedName name="custo_canal_diversos" localSheetId="5">#REF!</definedName>
    <definedName name="custo_canal_diversos" localSheetId="6">#REF!</definedName>
    <definedName name="custo_canal_diversos" localSheetId="2">#REF!</definedName>
    <definedName name="custo_canal_diversos">#REF!</definedName>
    <definedName name="custo_canal_k" localSheetId="2">#REF!</definedName>
    <definedName name="custo_canal_k">#REF!</definedName>
    <definedName name="custo_viario_diversos" localSheetId="2">#REF!</definedName>
    <definedName name="custo_viario_diversos">#REF!</definedName>
    <definedName name="custo_viario_k" localSheetId="2">#REF!</definedName>
    <definedName name="custo_viario_k">#REF!</definedName>
    <definedName name="D" localSheetId="2">#REF!</definedName>
    <definedName name="D">#REF!</definedName>
    <definedName name="E" localSheetId="2">#REF!</definedName>
    <definedName name="E">#REF!</definedName>
    <definedName name="ELEV" localSheetId="2">#REF!</definedName>
    <definedName name="ELEV">#REF!</definedName>
    <definedName name="Excel_BuiltIn_Criteria" localSheetId="2">#REF!</definedName>
    <definedName name="Excel_BuiltIn_Criteria">#REF!</definedName>
    <definedName name="F" localSheetId="2">#REF!</definedName>
    <definedName name="F">#REF!</definedName>
    <definedName name="Fl_01">#N/A</definedName>
    <definedName name="G" localSheetId="5">#REF!</definedName>
    <definedName name="G" localSheetId="6">#REF!</definedName>
    <definedName name="G" localSheetId="2">#REF!</definedName>
    <definedName name="G">#REF!</definedName>
    <definedName name="H" localSheetId="2">#REF!</definedName>
    <definedName name="H">#REF!</definedName>
    <definedName name="Import.DataBase">[2]DADOS!$A$38</definedName>
    <definedName name="INDIC" localSheetId="2">#REF!</definedName>
    <definedName name="INDIC">#REF!</definedName>
    <definedName name="ÍNDICE" localSheetId="2">#REF!</definedName>
    <definedName name="ÍNDICE">#REF!</definedName>
    <definedName name="INFR" localSheetId="2">#REF!</definedName>
    <definedName name="INFR">#REF!</definedName>
    <definedName name="INFRATEC" localSheetId="2">#REF!</definedName>
    <definedName name="INFRATEC">#REF!</definedName>
    <definedName name="INFRETÉCNICA" localSheetId="2">[1]PREÇOS!#REF!</definedName>
    <definedName name="INFRETÉCNICA">[1]PREÇOS!#REF!</definedName>
    <definedName name="kkkkkkkkkk" localSheetId="5">#REF!</definedName>
    <definedName name="kkkkkkkkkk" localSheetId="6">#REF!</definedName>
    <definedName name="kkkkkkkkkk" localSheetId="2">#REF!</definedName>
    <definedName name="kkkkkkkkkk">#REF!</definedName>
    <definedName name="MÊS" localSheetId="2">#REF!</definedName>
    <definedName name="MÊS">#REF!</definedName>
    <definedName name="pla">#N/A</definedName>
    <definedName name="PLAN" localSheetId="5">#REF!</definedName>
    <definedName name="PLAN" localSheetId="6">#REF!</definedName>
    <definedName name="PLAN" localSheetId="2">#REF!</definedName>
    <definedName name="PLAN">#REF!</definedName>
    <definedName name="planilha">#N/A</definedName>
    <definedName name="Print_Area_MI" localSheetId="5">#REF!</definedName>
    <definedName name="Print_Area_MI" localSheetId="6">#REF!</definedName>
    <definedName name="Print_Area_MI" localSheetId="2">#REF!</definedName>
    <definedName name="Print_Area_MI">#REF!</definedName>
    <definedName name="Referencia.Descricao">IF(ISNUMBER([2]PO!linhaSINAPIxls),INDEX(INDIRECT("'[Referência "&amp;_xlnm.Database&amp;".xls]Banco'!$b:$g"),[2]PO!linhaSINAPIxls,3),"")</definedName>
    <definedName name="Referencia.Unidade">IF(ISNUMBER([3]PO!linhaSINAPIxls),INDEX(INDIRECT("'[Referência "&amp;_xlnm.Database&amp;".xls]Banco'!$b:$g"),[3]PO!linhaSINAPIxls,4),"")</definedName>
    <definedName name="SHARED_FORMULA_10_144_10_144_0" localSheetId="3">#REF!</definedName>
    <definedName name="SHARED_FORMULA_10_144_10_144_0" localSheetId="2">#REF!</definedName>
    <definedName name="SHARED_FORMULA_10_144_10_144_0">#REF!</definedName>
    <definedName name="SHARED_FORMULA_10_176_10_176_0" localSheetId="3">#REF!</definedName>
    <definedName name="SHARED_FORMULA_10_176_10_176_0" localSheetId="2">#REF!</definedName>
    <definedName name="SHARED_FORMULA_10_176_10_176_0">#REF!</definedName>
    <definedName name="SHARED_FORMULA_11_144_11_144_0" localSheetId="5">#REF!*#REF!</definedName>
    <definedName name="SHARED_FORMULA_11_144_11_144_0" localSheetId="3">#REF!*#REF!</definedName>
    <definedName name="SHARED_FORMULA_11_144_11_144_0" localSheetId="6">#REF!*#REF!</definedName>
    <definedName name="SHARED_FORMULA_11_144_11_144_0" localSheetId="2">#REF!*#REF!</definedName>
    <definedName name="SHARED_FORMULA_11_144_11_144_0">#REF!*#REF!</definedName>
    <definedName name="SHARED_FORMULA_11_176_11_176_0" localSheetId="3">#REF!*#REF!</definedName>
    <definedName name="SHARED_FORMULA_11_176_11_176_0" localSheetId="2">#REF!*#REF!</definedName>
    <definedName name="SHARED_FORMULA_11_176_11_176_0">#REF!*#REF!</definedName>
    <definedName name="SHARED_FORMULA_12_144_12_144_0" localSheetId="3">#REF!*#REF!</definedName>
    <definedName name="SHARED_FORMULA_12_144_12_144_0" localSheetId="2">#REF!*#REF!</definedName>
    <definedName name="SHARED_FORMULA_12_144_12_144_0">#REF!*#REF!</definedName>
    <definedName name="SHARED_FORMULA_12_176_12_176_0" localSheetId="3">#REF!*#REF!</definedName>
    <definedName name="SHARED_FORMULA_12_176_12_176_0" localSheetId="2">#REF!*#REF!</definedName>
    <definedName name="SHARED_FORMULA_12_176_12_176_0">#REF!*#REF!</definedName>
    <definedName name="SHARED_FORMULA_13_144_13_144_0" localSheetId="3">#REF!*#REF!</definedName>
    <definedName name="SHARED_FORMULA_13_144_13_144_0" localSheetId="2">#REF!*#REF!</definedName>
    <definedName name="SHARED_FORMULA_13_144_13_144_0">#REF!*#REF!</definedName>
    <definedName name="SHARED_FORMULA_13_176_13_176_0" localSheetId="3">#REF!*#REF!</definedName>
    <definedName name="SHARED_FORMULA_13_176_13_176_0" localSheetId="2">#REF!*#REF!</definedName>
    <definedName name="SHARED_FORMULA_13_176_13_176_0">#REF!*#REF!</definedName>
    <definedName name="SHARED_FORMULA_14_144_14_144_0" localSheetId="3">#REF!*#REF!</definedName>
    <definedName name="SHARED_FORMULA_14_144_14_144_0" localSheetId="2">#REF!*#REF!</definedName>
    <definedName name="SHARED_FORMULA_14_144_14_144_0">#REF!*#REF!</definedName>
    <definedName name="SHARED_FORMULA_14_176_14_176_0" localSheetId="3">#REF!*#REF!</definedName>
    <definedName name="SHARED_FORMULA_14_176_14_176_0" localSheetId="2">#REF!*#REF!</definedName>
    <definedName name="SHARED_FORMULA_14_176_14_176_0">#REF!*#REF!</definedName>
    <definedName name="SHARED_FORMULA_15_144_15_144_0" localSheetId="5">(((#REF!+#REF!+#REF!)*(1+#REF!))*(1+#REF!))</definedName>
    <definedName name="SHARED_FORMULA_15_144_15_144_0" localSheetId="3">(((#REF!+#REF!+#REF!)*(1+#REF!))*(1+#REF!))</definedName>
    <definedName name="SHARED_FORMULA_15_144_15_144_0" localSheetId="6">(((#REF!+#REF!+#REF!)*(1+#REF!))*(1+#REF!))</definedName>
    <definedName name="SHARED_FORMULA_15_144_15_144_0" localSheetId="2">(((#REF!+#REF!+#REF!)*(1+#REF!))*(1+#REF!))</definedName>
    <definedName name="SHARED_FORMULA_15_144_15_144_0">(((#REF!+#REF!+#REF!)*(1+#REF!))*(1+#REF!))</definedName>
    <definedName name="SHARED_FORMULA_15_176_15_176_0" localSheetId="3">(((#REF!+#REF!+#REF!)*(1+#REF!))*(1+#REF!))</definedName>
    <definedName name="SHARED_FORMULA_15_176_15_176_0" localSheetId="2">(((#REF!+#REF!+#REF!)*(1+#REF!))*(1+#REF!))</definedName>
    <definedName name="SHARED_FORMULA_15_176_15_176_0">(((#REF!+#REF!+#REF!)*(1+#REF!))*(1+#REF!))</definedName>
    <definedName name="SHARED_FORMULA_16_144_16_144_0" localSheetId="3">(((#REF!+#REF!+#REF!)*(1+#REF!))*(1+#REF!))</definedName>
    <definedName name="SHARED_FORMULA_16_144_16_144_0" localSheetId="2">(((#REF!+#REF!+#REF!)*(1+#REF!))*(1+#REF!))</definedName>
    <definedName name="SHARED_FORMULA_16_144_16_144_0">(((#REF!+#REF!+#REF!)*(1+#REF!))*(1+#REF!))</definedName>
    <definedName name="SHARED_FORMULA_16_176_16_176_0" localSheetId="3">(((#REF!+#REF!+#REF!)*(1+#REF!))*(1+#REF!))</definedName>
    <definedName name="SHARED_FORMULA_16_176_16_176_0" localSheetId="2">(((#REF!+#REF!+#REF!)*(1+#REF!))*(1+#REF!))</definedName>
    <definedName name="SHARED_FORMULA_16_176_16_176_0">(((#REF!+#REF!+#REF!)*(1+#REF!))*(1+#REF!))</definedName>
    <definedName name="SHARED_FORMULA_17_144_17_144_0" localSheetId="3">#REF!+#REF!</definedName>
    <definedName name="SHARED_FORMULA_17_144_17_144_0" localSheetId="2">#REF!+#REF!</definedName>
    <definedName name="SHARED_FORMULA_17_144_17_144_0">#REF!+#REF!</definedName>
    <definedName name="SHARED_FORMULA_17_176_17_176_0" localSheetId="3">#REF!+#REF!</definedName>
    <definedName name="SHARED_FORMULA_17_176_17_176_0" localSheetId="2">#REF!+#REF!</definedName>
    <definedName name="SHARED_FORMULA_17_176_17_176_0">#REF!+#REF!</definedName>
    <definedName name="SHARED_FORMULA_18_144_18_144_0" localSheetId="3">#REF!*#REF!</definedName>
    <definedName name="SHARED_FORMULA_18_144_18_144_0" localSheetId="2">#REF!*#REF!</definedName>
    <definedName name="SHARED_FORMULA_18_144_18_144_0">#REF!*#REF!</definedName>
    <definedName name="SHARED_FORMULA_18_176_18_176_0" localSheetId="3">#REF!*#REF!</definedName>
    <definedName name="SHARED_FORMULA_18_176_18_176_0" localSheetId="2">#REF!*#REF!</definedName>
    <definedName name="SHARED_FORMULA_18_176_18_176_0">#REF!*#REF!</definedName>
    <definedName name="SHARED_FORMULA_19_145_19_145_0" localSheetId="3">#REF!*#REF!</definedName>
    <definedName name="SHARED_FORMULA_19_145_19_145_0" localSheetId="2">#REF!*#REF!</definedName>
    <definedName name="SHARED_FORMULA_19_145_19_145_0">#REF!*#REF!</definedName>
    <definedName name="SHARED_FORMULA_19_177_19_177_0" localSheetId="3">#REF!*#REF!</definedName>
    <definedName name="SHARED_FORMULA_19_177_19_177_0" localSheetId="2">#REF!*#REF!</definedName>
    <definedName name="SHARED_FORMULA_19_177_19_177_0">#REF!*#REF!</definedName>
    <definedName name="SHARED_FORMULA_20_145_20_145_0" localSheetId="3">#REF!+#REF!</definedName>
    <definedName name="SHARED_FORMULA_20_145_20_145_0" localSheetId="2">#REF!+#REF!</definedName>
    <definedName name="SHARED_FORMULA_20_145_20_145_0">#REF!+#REF!</definedName>
    <definedName name="SHARED_FORMULA_20_177_20_177_0" localSheetId="3">#REF!+#REF!</definedName>
    <definedName name="SHARED_FORMULA_20_177_20_177_0" localSheetId="2">#REF!+#REF!</definedName>
    <definedName name="SHARED_FORMULA_20_177_20_177_0">#REF!+#REF!</definedName>
    <definedName name="SHARED_FORMULA_29_145_29_145_0" localSheetId="3">UPPER(#REF!)</definedName>
    <definedName name="SHARED_FORMULA_29_145_29_145_0" localSheetId="2">UPPER(#REF!)</definedName>
    <definedName name="SHARED_FORMULA_29_145_29_145_0">UPPER(#REF!)</definedName>
    <definedName name="SHARED_FORMULA_29_177_29_177_0" localSheetId="3">UPPER(#REF!)</definedName>
    <definedName name="SHARED_FORMULA_29_177_29_177_0" localSheetId="2">UPPER(#REF!)</definedName>
    <definedName name="SHARED_FORMULA_29_177_29_177_0">UPPER(#REF!)</definedName>
    <definedName name="SHARED_FORMULA_6_103_6_103_3" localSheetId="3">SUM(#REF!)</definedName>
    <definedName name="SHARED_FORMULA_6_103_6_103_3" localSheetId="2">SUM(#REF!)</definedName>
    <definedName name="SHARED_FORMULA_6_103_6_103_3">SUM(#REF!)</definedName>
    <definedName name="SHARED_FORMULA_6_124_6_124_3" localSheetId="3">SUM(#REF!)</definedName>
    <definedName name="SHARED_FORMULA_6_124_6_124_3" localSheetId="2">SUM(#REF!)</definedName>
    <definedName name="SHARED_FORMULA_6_124_6_124_3">SUM(#REF!)</definedName>
    <definedName name="SHARED_FORMULA_6_134_6_134_3" localSheetId="3">SUM(#REF!)</definedName>
    <definedName name="SHARED_FORMULA_6_134_6_134_3" localSheetId="2">SUM(#REF!)</definedName>
    <definedName name="SHARED_FORMULA_6_134_6_134_3">SUM(#REF!)</definedName>
    <definedName name="SHARED_FORMULA_6_152_6_152_3" localSheetId="3">SUM(#REF!)</definedName>
    <definedName name="SHARED_FORMULA_6_152_6_152_3" localSheetId="2">SUM(#REF!)</definedName>
    <definedName name="SHARED_FORMULA_6_152_6_152_3">SUM(#REF!)</definedName>
    <definedName name="SHARED_FORMULA_6_162_6_162_3" localSheetId="3">SUM(#REF!)</definedName>
    <definedName name="SHARED_FORMULA_6_162_6_162_3" localSheetId="2">SUM(#REF!)</definedName>
    <definedName name="SHARED_FORMULA_6_162_6_162_3">SUM(#REF!)</definedName>
    <definedName name="SHARED_FORMULA_6_176_6_176_3" localSheetId="3">SUM(#REF!)</definedName>
    <definedName name="SHARED_FORMULA_6_176_6_176_3" localSheetId="2">SUM(#REF!)</definedName>
    <definedName name="SHARED_FORMULA_6_176_6_176_3">SUM(#REF!)</definedName>
    <definedName name="SHARED_FORMULA_6_20_6_20_3" localSheetId="3">SUM(#REF!)</definedName>
    <definedName name="SHARED_FORMULA_6_20_6_20_3" localSheetId="2">SUM(#REF!)</definedName>
    <definedName name="SHARED_FORMULA_6_20_6_20_3">SUM(#REF!)</definedName>
    <definedName name="SHARED_FORMULA_6_44_6_44_3" localSheetId="3">SUM(#REF!)</definedName>
    <definedName name="SHARED_FORMULA_6_44_6_44_3" localSheetId="2">SUM(#REF!)</definedName>
    <definedName name="SHARED_FORMULA_6_44_6_44_3">SUM(#REF!)</definedName>
    <definedName name="SHARED_FORMULA_6_60_6_60_3" localSheetId="3">SUM(#REF!)</definedName>
    <definedName name="SHARED_FORMULA_6_60_6_60_3" localSheetId="2">SUM(#REF!)</definedName>
    <definedName name="SHARED_FORMULA_6_60_6_60_3">SUM(#REF!)</definedName>
    <definedName name="SHARED_FORMULA_6_69_6_69_3" localSheetId="3">SUM(#REF!)</definedName>
    <definedName name="SHARED_FORMULA_6_69_6_69_3" localSheetId="2">SUM(#REF!)</definedName>
    <definedName name="SHARED_FORMULA_6_69_6_69_3">SUM(#REF!)</definedName>
    <definedName name="SHARED_FORMULA_6_80_6_80_3" localSheetId="3">SUM(#REF!)</definedName>
    <definedName name="SHARED_FORMULA_6_80_6_80_3" localSheetId="2">SUM(#REF!)</definedName>
    <definedName name="SHARED_FORMULA_6_80_6_80_3">SUM(#REF!)</definedName>
    <definedName name="SHARED_FORMULA_6_95_6_95_3" localSheetId="3">SUM(#REF!)</definedName>
    <definedName name="SHARED_FORMULA_6_95_6_95_3" localSheetId="2">SUM(#REF!)</definedName>
    <definedName name="SHARED_FORMULA_6_95_6_95_3">SUM(#REF!)</definedName>
    <definedName name="sqsa" localSheetId="2">#REF!</definedName>
    <definedName name="sqsa">#REF!</definedName>
    <definedName name="tbjan01" localSheetId="2">#REF!</definedName>
    <definedName name="tbjan01">#REF!</definedName>
    <definedName name="TBJUL01" localSheetId="2">#REF!</definedName>
    <definedName name="TBJUL01">#REF!</definedName>
    <definedName name="TESTE" localSheetId="2">#REF!</definedName>
    <definedName name="TESTE">#REF!</definedName>
    <definedName name="TipoOrçamento">"BASE"</definedName>
    <definedName name="_xlnm.Print_Titles" localSheetId="2">'Memorial de Cálculo'!$7:$7</definedName>
    <definedName name="_xlnm.Print_Titles" localSheetId="0">'Orçamento Sintético'!$7:$7</definedName>
    <definedName name="TRAVESSIA" localSheetId="5">#REF!</definedName>
    <definedName name="TRAVESSIA" localSheetId="6">#REF!</definedName>
    <definedName name="TRAVESSIA" localSheetId="2">#REF!</definedName>
    <definedName name="TRAVESSIA">#REF!</definedName>
    <definedName name="VENDA_CANAL_DIVERSOS" localSheetId="2">#REF!</definedName>
    <definedName name="VENDA_CANAL_DIVERSOS">#REF!</definedName>
    <definedName name="VENDA_CANAL_K" localSheetId="2">#REF!</definedName>
    <definedName name="VENDA_CANAL_K">#REF!</definedName>
    <definedName name="VENDA_CANAL_PI_R" localSheetId="2">#REF!</definedName>
    <definedName name="VENDA_CANAL_PI_R">#REF!</definedName>
    <definedName name="VENDA_VIARIO_DIVERSOS" localSheetId="2">#REF!</definedName>
    <definedName name="VENDA_VIARIO_DIVERSOS">#REF!</definedName>
    <definedName name="VENDA_VIARIO_K" localSheetId="2">#REF!</definedName>
    <definedName name="VENDA_VIARIO_K">#REF!</definedName>
    <definedName name="VENDA_VIARIO_PI_R" localSheetId="2">#REF!</definedName>
    <definedName name="VENDA_VIARIO_PI_R">#REF!</definedName>
    <definedName name="X_1" localSheetId="2">#REF!</definedName>
    <definedName name="X_1">#REF!</definedName>
    <definedName name="X_2" localSheetId="2">#REF!</definedName>
    <definedName name="X_2">#REF!</definedName>
    <definedName name="X_3" localSheetId="2">#REF!</definedName>
    <definedName name="X_3">#REF!</definedName>
    <definedName name="X_4" localSheetId="2">#REF!</definedName>
    <definedName name="X_4">#REF!</definedName>
    <definedName name="X_INT" localSheetId="2">#REF!</definedName>
    <definedName name="X_INT">#REF!</definedName>
    <definedName name="Y_1" localSheetId="2">#REF!</definedName>
    <definedName name="Y_1">#REF!</definedName>
    <definedName name="Y_2" localSheetId="2">#REF!</definedName>
    <definedName name="Y_2">#REF!</definedName>
    <definedName name="Y_3" localSheetId="2">#REF!</definedName>
    <definedName name="Y_3">#REF!</definedName>
    <definedName name="Y_4" localSheetId="2">#REF!</definedName>
    <definedName name="Y_4">#REF!</definedName>
  </definedNames>
  <calcPr calcId="181029"/>
</workbook>
</file>

<file path=xl/calcChain.xml><?xml version="1.0" encoding="utf-8"?>
<calcChain xmlns="http://schemas.openxmlformats.org/spreadsheetml/2006/main">
  <c r="D12" i="19" l="1"/>
  <c r="E12" i="19" s="1"/>
  <c r="C12" i="19"/>
  <c r="B12" i="19"/>
  <c r="A12" i="19"/>
  <c r="D11" i="19"/>
  <c r="C11" i="19"/>
  <c r="B11" i="19"/>
  <c r="A11" i="19"/>
  <c r="D10" i="19"/>
  <c r="E10" i="19" s="1"/>
  <c r="C10" i="19"/>
  <c r="B10" i="19"/>
  <c r="A10" i="19"/>
  <c r="D9" i="19"/>
  <c r="C9" i="19"/>
  <c r="B9" i="19"/>
  <c r="A9" i="19"/>
  <c r="D8" i="19"/>
  <c r="C8" i="19"/>
  <c r="B8" i="19"/>
  <c r="A8" i="19"/>
  <c r="E9" i="19"/>
  <c r="E11" i="19"/>
  <c r="E8" i="19"/>
  <c r="F57" i="11"/>
  <c r="F57" i="3" l="1"/>
  <c r="F45" i="11"/>
  <c r="B37" i="5"/>
  <c r="B35" i="5"/>
  <c r="B33" i="5"/>
  <c r="B31" i="5"/>
  <c r="B29" i="5"/>
  <c r="B27" i="5"/>
  <c r="B25" i="5"/>
  <c r="B23" i="5"/>
  <c r="B21" i="5"/>
  <c r="B19" i="5"/>
  <c r="B17" i="5"/>
  <c r="B15" i="5"/>
  <c r="B13" i="5"/>
  <c r="B11" i="5"/>
  <c r="B9" i="5"/>
  <c r="B7" i="5"/>
  <c r="B5" i="5"/>
  <c r="F200" i="3"/>
  <c r="F194" i="3"/>
  <c r="F193" i="3"/>
  <c r="F192" i="3"/>
  <c r="F160" i="3"/>
  <c r="F158" i="3"/>
  <c r="F117" i="3"/>
  <c r="F68" i="3"/>
  <c r="F67" i="3" s="1"/>
  <c r="F55" i="3"/>
  <c r="F29" i="3"/>
  <c r="F28" i="3"/>
  <c r="F29" i="11"/>
  <c r="F160" i="11" l="1"/>
  <c r="F158" i="11"/>
  <c r="F70" i="11" l="1"/>
  <c r="F68" i="11"/>
  <c r="F67" i="11" s="1"/>
  <c r="F61" i="11" l="1"/>
  <c r="F60" i="11"/>
  <c r="F182" i="11" l="1"/>
  <c r="F94" i="11"/>
  <c r="F93" i="11"/>
  <c r="F90" i="11"/>
  <c r="F89" i="11"/>
  <c r="F87" i="11"/>
  <c r="F76" i="11"/>
  <c r="F75" i="11"/>
  <c r="F73" i="11"/>
  <c r="F117" i="11" l="1"/>
  <c r="F64" i="11"/>
  <c r="F55" i="11" l="1"/>
  <c r="F50" i="11"/>
  <c r="F63" i="11" l="1"/>
  <c r="F62" i="11"/>
  <c r="F53" i="11" l="1"/>
  <c r="F52" i="11"/>
  <c r="F51" i="11"/>
  <c r="F12" i="11" l="1"/>
  <c r="F19" i="11"/>
  <c r="F21" i="11"/>
  <c r="F26" i="11"/>
  <c r="F33" i="11"/>
  <c r="F49" i="11"/>
  <c r="F54" i="11"/>
  <c r="F58" i="11"/>
  <c r="F74" i="11"/>
  <c r="F84" i="11"/>
  <c r="F85" i="11"/>
  <c r="F86" i="11"/>
  <c r="G159" i="11"/>
  <c r="G163" i="11"/>
  <c r="F169" i="11"/>
  <c r="F172" i="11"/>
  <c r="F175" i="11"/>
  <c r="F179" i="11"/>
  <c r="G180" i="11"/>
  <c r="F184" i="11"/>
  <c r="F186" i="11"/>
  <c r="F188" i="11"/>
  <c r="F196" i="11"/>
  <c r="F197" i="11"/>
  <c r="F205" i="11"/>
  <c r="F207" i="11"/>
  <c r="F208" i="11"/>
  <c r="F211" i="11"/>
  <c r="F213" i="11"/>
  <c r="F220" i="11"/>
  <c r="F28" i="11" l="1"/>
  <c r="F174" i="11"/>
  <c r="F193" i="11"/>
  <c r="F192" i="11"/>
  <c r="F194" i="11"/>
  <c r="F180" i="11"/>
  <c r="F195" i="11"/>
  <c r="F189" i="11"/>
  <c r="F91" i="11"/>
  <c r="F206" i="11"/>
  <c r="F23" i="11"/>
  <c r="F20" i="11"/>
  <c r="F218" i="11"/>
  <c r="F185" i="11"/>
  <c r="C2" i="15" l="1"/>
  <c r="E2" i="15" l="1"/>
  <c r="I49" i="14"/>
  <c r="I48" i="14"/>
  <c r="J47" i="14"/>
  <c r="A44" i="14"/>
  <c r="A45" i="14" s="1"/>
  <c r="C43" i="14"/>
  <c r="A38" i="14"/>
  <c r="A39" i="14" s="1"/>
  <c r="C37" i="14"/>
  <c r="I34" i="14"/>
  <c r="M31" i="14"/>
  <c r="I28" i="14"/>
  <c r="A27" i="14"/>
  <c r="C27" i="14" s="1"/>
  <c r="C26" i="14"/>
  <c r="N23" i="14"/>
  <c r="N25" i="14" s="1"/>
  <c r="M21" i="14"/>
  <c r="I21" i="14"/>
  <c r="A21" i="14"/>
  <c r="C21" i="14" s="1"/>
  <c r="M20" i="14"/>
  <c r="I20" i="14"/>
  <c r="C20" i="14"/>
  <c r="M19" i="14"/>
  <c r="I19" i="14"/>
  <c r="M18" i="14"/>
  <c r="I18" i="14"/>
  <c r="M17" i="14"/>
  <c r="I17" i="14"/>
  <c r="A14" i="14"/>
  <c r="C14" i="14" s="1"/>
  <c r="C13" i="14"/>
  <c r="C12" i="14"/>
  <c r="C11" i="14"/>
  <c r="Q10" i="14"/>
  <c r="L31" i="14" s="1"/>
  <c r="C10" i="14"/>
  <c r="C9" i="14"/>
  <c r="C8" i="14"/>
  <c r="I7" i="14"/>
  <c r="C7" i="14"/>
  <c r="A3" i="14"/>
  <c r="C3" i="14" s="1"/>
  <c r="C2" i="14"/>
  <c r="A2" i="5"/>
  <c r="A1" i="5"/>
  <c r="B4" i="18"/>
  <c r="B3" i="18"/>
  <c r="B2" i="18"/>
  <c r="A2" i="11"/>
  <c r="A1" i="11"/>
  <c r="R17" i="14" l="1"/>
  <c r="A16" i="14"/>
  <c r="A22" i="14"/>
  <c r="A23" i="14" s="1"/>
  <c r="A24" i="14" s="1"/>
  <c r="A25" i="14" s="1"/>
  <c r="C25" i="14" s="1"/>
  <c r="A28" i="14"/>
  <c r="I36" i="14"/>
  <c r="A40" i="14"/>
  <c r="C39" i="14"/>
  <c r="C45" i="14"/>
  <c r="A46" i="14"/>
  <c r="Q18" i="14"/>
  <c r="P18" i="14"/>
  <c r="R18" i="14"/>
  <c r="A4" i="14"/>
  <c r="P17" i="14"/>
  <c r="Q17" i="14"/>
  <c r="N24" i="14"/>
  <c r="O24" i="14" s="1"/>
  <c r="M32" i="14"/>
  <c r="C44" i="14"/>
  <c r="C38" i="14"/>
  <c r="C23" i="14" l="1"/>
  <c r="C24" i="14"/>
  <c r="C22" i="14"/>
  <c r="C16" i="14"/>
  <c r="A17" i="14"/>
  <c r="A31" i="14"/>
  <c r="C28" i="14"/>
  <c r="N26" i="14"/>
  <c r="A5" i="14"/>
  <c r="C4" i="14"/>
  <c r="A47" i="14"/>
  <c r="C46" i="14"/>
  <c r="A41" i="14"/>
  <c r="C40" i="14"/>
  <c r="A18" i="14" l="1"/>
  <c r="C17" i="14"/>
  <c r="A32" i="14"/>
  <c r="C31" i="14"/>
  <c r="A42" i="14"/>
  <c r="C42" i="14" s="1"/>
  <c r="C41" i="14"/>
  <c r="A48" i="14"/>
  <c r="C48" i="14" s="1"/>
  <c r="C47" i="14"/>
  <c r="C5" i="14"/>
  <c r="P20" i="14" s="1"/>
  <c r="R19" i="14"/>
  <c r="Q19" i="14"/>
  <c r="P19" i="14"/>
  <c r="G1" i="3"/>
  <c r="H57" i="3" s="1"/>
  <c r="I57" i="3" s="1"/>
  <c r="E2" i="5"/>
  <c r="H218" i="3" l="1"/>
  <c r="I218" i="3" s="1"/>
  <c r="I217" i="3" s="1"/>
  <c r="H207" i="3"/>
  <c r="I207" i="3" s="1"/>
  <c r="H198" i="3"/>
  <c r="I198" i="3" s="1"/>
  <c r="H184" i="3"/>
  <c r="I184" i="3" s="1"/>
  <c r="H174" i="3"/>
  <c r="I174" i="3" s="1"/>
  <c r="H168" i="3"/>
  <c r="I168" i="3" s="1"/>
  <c r="H162" i="3"/>
  <c r="I162" i="3" s="1"/>
  <c r="H157" i="3"/>
  <c r="I157" i="3" s="1"/>
  <c r="H153" i="3"/>
  <c r="I153" i="3" s="1"/>
  <c r="H143" i="3"/>
  <c r="I143" i="3" s="1"/>
  <c r="H138" i="3"/>
  <c r="I138" i="3" s="1"/>
  <c r="H134" i="3"/>
  <c r="I134" i="3" s="1"/>
  <c r="H126" i="3"/>
  <c r="I126" i="3" s="1"/>
  <c r="H114" i="3"/>
  <c r="I114" i="3" s="1"/>
  <c r="H108" i="3"/>
  <c r="I108" i="3" s="1"/>
  <c r="H101" i="3"/>
  <c r="I101" i="3" s="1"/>
  <c r="H97" i="3"/>
  <c r="I97" i="3" s="1"/>
  <c r="H91" i="3"/>
  <c r="I91" i="3" s="1"/>
  <c r="H84" i="3"/>
  <c r="I84" i="3" s="1"/>
  <c r="H75" i="3"/>
  <c r="I75" i="3" s="1"/>
  <c r="H68" i="3"/>
  <c r="I68" i="3" s="1"/>
  <c r="H58" i="3"/>
  <c r="I58" i="3" s="1"/>
  <c r="H52" i="3"/>
  <c r="I52" i="3" s="1"/>
  <c r="H46" i="3"/>
  <c r="I46" i="3" s="1"/>
  <c r="H40" i="3"/>
  <c r="I40" i="3" s="1"/>
  <c r="H33" i="3"/>
  <c r="I33" i="3" s="1"/>
  <c r="I32" i="3" s="1"/>
  <c r="H21" i="3"/>
  <c r="I21" i="3" s="1"/>
  <c r="H12" i="3"/>
  <c r="I12" i="3" s="1"/>
  <c r="H206" i="3"/>
  <c r="I206" i="3" s="1"/>
  <c r="H197" i="3"/>
  <c r="I197" i="3" s="1"/>
  <c r="H192" i="3"/>
  <c r="I192" i="3" s="1"/>
  <c r="H182" i="3"/>
  <c r="I182" i="3" s="1"/>
  <c r="I181" i="3" s="1"/>
  <c r="H173" i="3"/>
  <c r="I173" i="3" s="1"/>
  <c r="H156" i="3"/>
  <c r="I156" i="3" s="1"/>
  <c r="H152" i="3"/>
  <c r="I152" i="3" s="1"/>
  <c r="H148" i="3"/>
  <c r="I148" i="3" s="1"/>
  <c r="H137" i="3"/>
  <c r="I137" i="3" s="1"/>
  <c r="H133" i="3"/>
  <c r="I133" i="3" s="1"/>
  <c r="H125" i="3"/>
  <c r="I125" i="3" s="1"/>
  <c r="H121" i="3"/>
  <c r="I121" i="3" s="1"/>
  <c r="H113" i="3"/>
  <c r="I113" i="3" s="1"/>
  <c r="H107" i="3"/>
  <c r="I107" i="3" s="1"/>
  <c r="H100" i="3"/>
  <c r="I100" i="3" s="1"/>
  <c r="H90" i="3"/>
  <c r="I90" i="3" s="1"/>
  <c r="H81" i="3"/>
  <c r="I81" i="3" s="1"/>
  <c r="H74" i="3"/>
  <c r="I74" i="3" s="1"/>
  <c r="H67" i="3"/>
  <c r="I67" i="3" s="1"/>
  <c r="H56" i="3"/>
  <c r="I56" i="3" s="1"/>
  <c r="H45" i="3"/>
  <c r="H39" i="3"/>
  <c r="I39" i="3" s="1"/>
  <c r="H30" i="3"/>
  <c r="I30" i="3" s="1"/>
  <c r="H11" i="3"/>
  <c r="I11" i="3" s="1"/>
  <c r="H16" i="3"/>
  <c r="I16" i="3" s="1"/>
  <c r="I15" i="3" s="1"/>
  <c r="H69" i="3"/>
  <c r="I69" i="3" s="1"/>
  <c r="H35" i="3"/>
  <c r="I35" i="3" s="1"/>
  <c r="H215" i="3"/>
  <c r="I215" i="3" s="1"/>
  <c r="I214" i="3" s="1"/>
  <c r="C35" i="5" s="1"/>
  <c r="M35" i="5" s="1"/>
  <c r="H20" i="3"/>
  <c r="I20" i="3" s="1"/>
  <c r="H213" i="3"/>
  <c r="I213" i="3" s="1"/>
  <c r="I212" i="3" s="1"/>
  <c r="H205" i="3"/>
  <c r="I205" i="3" s="1"/>
  <c r="H196" i="3"/>
  <c r="I196" i="3" s="1"/>
  <c r="H189" i="3"/>
  <c r="I189" i="3" s="1"/>
  <c r="H180" i="3"/>
  <c r="I180" i="3" s="1"/>
  <c r="H172" i="3"/>
  <c r="I172" i="3" s="1"/>
  <c r="H166" i="3"/>
  <c r="I166" i="3" s="1"/>
  <c r="H161" i="3"/>
  <c r="I161" i="3" s="1"/>
  <c r="H151" i="3"/>
  <c r="I151" i="3" s="1"/>
  <c r="H147" i="3"/>
  <c r="I147" i="3" s="1"/>
  <c r="H142" i="3"/>
  <c r="I142" i="3" s="1"/>
  <c r="H132" i="3"/>
  <c r="I132" i="3" s="1"/>
  <c r="H124" i="3"/>
  <c r="I124" i="3" s="1"/>
  <c r="H120" i="3"/>
  <c r="I120" i="3" s="1"/>
  <c r="H112" i="3"/>
  <c r="I112" i="3" s="1"/>
  <c r="H106" i="3"/>
  <c r="I106" i="3" s="1"/>
  <c r="H99" i="3"/>
  <c r="I99" i="3" s="1"/>
  <c r="H94" i="3"/>
  <c r="I94" i="3" s="1"/>
  <c r="H89" i="3"/>
  <c r="I89" i="3" s="1"/>
  <c r="H80" i="3"/>
  <c r="I80" i="3" s="1"/>
  <c r="H73" i="3"/>
  <c r="I73" i="3" s="1"/>
  <c r="H64" i="3"/>
  <c r="I64" i="3" s="1"/>
  <c r="H55" i="3"/>
  <c r="I55" i="3" s="1"/>
  <c r="H51" i="3"/>
  <c r="I51" i="3" s="1"/>
  <c r="H44" i="3"/>
  <c r="I44" i="3" s="1"/>
  <c r="H38" i="3"/>
  <c r="I38" i="3" s="1"/>
  <c r="H29" i="3"/>
  <c r="I29" i="3" s="1"/>
  <c r="H19" i="3"/>
  <c r="I19" i="3" s="1"/>
  <c r="H202" i="3"/>
  <c r="I202" i="3" s="1"/>
  <c r="H195" i="3"/>
  <c r="I195" i="3" s="1"/>
  <c r="H188" i="3"/>
  <c r="I188" i="3" s="1"/>
  <c r="H179" i="3"/>
  <c r="I179" i="3" s="1"/>
  <c r="I178" i="3" s="1"/>
  <c r="H171" i="3"/>
  <c r="I171" i="3" s="1"/>
  <c r="H165" i="3"/>
  <c r="I165" i="3" s="1"/>
  <c r="H160" i="3"/>
  <c r="I160" i="3" s="1"/>
  <c r="H155" i="3"/>
  <c r="I155" i="3" s="1"/>
  <c r="H150" i="3"/>
  <c r="I150" i="3" s="1"/>
  <c r="H146" i="3"/>
  <c r="I146" i="3" s="1"/>
  <c r="H141" i="3"/>
  <c r="I141" i="3" s="1"/>
  <c r="H136" i="3"/>
  <c r="I136" i="3" s="1"/>
  <c r="H131" i="3"/>
  <c r="I131" i="3" s="1"/>
  <c r="H119" i="3"/>
  <c r="I119" i="3" s="1"/>
  <c r="H105" i="3"/>
  <c r="I105" i="3" s="1"/>
  <c r="H79" i="3"/>
  <c r="I79" i="3" s="1"/>
  <c r="H71" i="3"/>
  <c r="I71" i="3" s="1"/>
  <c r="H63" i="3"/>
  <c r="I63" i="3" s="1"/>
  <c r="H54" i="3"/>
  <c r="I54" i="3" s="1"/>
  <c r="H50" i="3"/>
  <c r="I50" i="3" s="1"/>
  <c r="H43" i="3"/>
  <c r="I43" i="3" s="1"/>
  <c r="H37" i="3"/>
  <c r="I37" i="3" s="1"/>
  <c r="H28" i="3"/>
  <c r="I28" i="3" s="1"/>
  <c r="I27" i="3" s="1"/>
  <c r="H13" i="3"/>
  <c r="I13" i="3" s="1"/>
  <c r="H211" i="3"/>
  <c r="I211" i="3" s="1"/>
  <c r="H87" i="3"/>
  <c r="I87" i="3" s="1"/>
  <c r="H41" i="3"/>
  <c r="I41" i="3" s="1"/>
  <c r="H61" i="3"/>
  <c r="I61" i="3" s="1"/>
  <c r="H210" i="3"/>
  <c r="I210" i="3" s="1"/>
  <c r="H201" i="3"/>
  <c r="I201" i="3" s="1"/>
  <c r="H194" i="3"/>
  <c r="I194" i="3" s="1"/>
  <c r="H186" i="3"/>
  <c r="I186" i="3" s="1"/>
  <c r="H176" i="3"/>
  <c r="I176" i="3" s="1"/>
  <c r="H170" i="3"/>
  <c r="I170" i="3" s="1"/>
  <c r="H164" i="3"/>
  <c r="I164" i="3" s="1"/>
  <c r="H159" i="3"/>
  <c r="I159" i="3" s="1"/>
  <c r="H145" i="3"/>
  <c r="I145" i="3" s="1"/>
  <c r="H140" i="3"/>
  <c r="I140" i="3" s="1"/>
  <c r="H135" i="3"/>
  <c r="I135" i="3" s="1"/>
  <c r="H130" i="3"/>
  <c r="I130" i="3" s="1"/>
  <c r="H123" i="3"/>
  <c r="I123" i="3" s="1"/>
  <c r="H117" i="3"/>
  <c r="I117" i="3" s="1"/>
  <c r="I116" i="3" s="1"/>
  <c r="H111" i="3"/>
  <c r="I111" i="3" s="1"/>
  <c r="H104" i="3"/>
  <c r="I104" i="3" s="1"/>
  <c r="H98" i="3"/>
  <c r="I98" i="3" s="1"/>
  <c r="H93" i="3"/>
  <c r="I93" i="3" s="1"/>
  <c r="H86" i="3"/>
  <c r="I86" i="3" s="1"/>
  <c r="H78" i="3"/>
  <c r="I78" i="3" s="1"/>
  <c r="H70" i="3"/>
  <c r="I70" i="3" s="1"/>
  <c r="H62" i="3"/>
  <c r="I62" i="3" s="1"/>
  <c r="H53" i="3"/>
  <c r="I53" i="3" s="1"/>
  <c r="H49" i="3"/>
  <c r="I49" i="3" s="1"/>
  <c r="H42" i="3"/>
  <c r="I42" i="3" s="1"/>
  <c r="H36" i="3"/>
  <c r="I36" i="3" s="1"/>
  <c r="H26" i="3"/>
  <c r="I26" i="3" s="1"/>
  <c r="I25" i="3" s="1"/>
  <c r="H14" i="3"/>
  <c r="I14" i="3" s="1"/>
  <c r="H208" i="3"/>
  <c r="I208" i="3" s="1"/>
  <c r="H200" i="3"/>
  <c r="I200" i="3" s="1"/>
  <c r="H193" i="3"/>
  <c r="I193" i="3" s="1"/>
  <c r="H185" i="3"/>
  <c r="I185" i="3" s="1"/>
  <c r="H175" i="3"/>
  <c r="I175" i="3" s="1"/>
  <c r="H169" i="3"/>
  <c r="I169" i="3" s="1"/>
  <c r="H163" i="3"/>
  <c r="I163" i="3" s="1"/>
  <c r="H158" i="3"/>
  <c r="I158" i="3" s="1"/>
  <c r="H154" i="3"/>
  <c r="I154" i="3" s="1"/>
  <c r="H149" i="3"/>
  <c r="I149" i="3" s="1"/>
  <c r="H144" i="3"/>
  <c r="I144" i="3" s="1"/>
  <c r="H139" i="3"/>
  <c r="I139" i="3" s="1"/>
  <c r="H127" i="3"/>
  <c r="I127" i="3" s="1"/>
  <c r="H122" i="3"/>
  <c r="I122" i="3" s="1"/>
  <c r="H115" i="3"/>
  <c r="I115" i="3" s="1"/>
  <c r="H109" i="3"/>
  <c r="I109" i="3" s="1"/>
  <c r="H103" i="3"/>
  <c r="I103" i="3" s="1"/>
  <c r="H92" i="3"/>
  <c r="I92" i="3" s="1"/>
  <c r="H85" i="3"/>
  <c r="I85" i="3" s="1"/>
  <c r="H76" i="3"/>
  <c r="I76" i="3" s="1"/>
  <c r="H60" i="3"/>
  <c r="I60" i="3" s="1"/>
  <c r="H47" i="3"/>
  <c r="I47" i="3" s="1"/>
  <c r="H23" i="3"/>
  <c r="I23" i="3" s="1"/>
  <c r="I22" i="3" s="1"/>
  <c r="H220" i="3"/>
  <c r="I220" i="3" s="1"/>
  <c r="I219" i="3" s="1"/>
  <c r="Q20" i="14"/>
  <c r="A19" i="14"/>
  <c r="C19" i="14" s="1"/>
  <c r="C18" i="14"/>
  <c r="A33" i="14"/>
  <c r="C33" i="14" s="1"/>
  <c r="C32" i="14"/>
  <c r="P25" i="14"/>
  <c r="A6" i="14"/>
  <c r="C6" i="14" s="1"/>
  <c r="Q25" i="14" s="1"/>
  <c r="R20" i="14"/>
  <c r="I209" i="3" l="1"/>
  <c r="I18" i="3"/>
  <c r="I177" i="3"/>
  <c r="C25" i="5" s="1"/>
  <c r="L25" i="5" s="1"/>
  <c r="I77" i="3"/>
  <c r="I48" i="3"/>
  <c r="C13" i="5" s="1"/>
  <c r="J13" i="5" s="1"/>
  <c r="I17" i="3"/>
  <c r="C7" i="5" s="1"/>
  <c r="D7" i="5" s="1"/>
  <c r="I191" i="3"/>
  <c r="I83" i="3"/>
  <c r="I216" i="3"/>
  <c r="C37" i="5" s="1"/>
  <c r="M37" i="5" s="1"/>
  <c r="I59" i="3"/>
  <c r="C15" i="5" s="1"/>
  <c r="I24" i="3"/>
  <c r="C9" i="5" s="1"/>
  <c r="I72" i="3"/>
  <c r="I167" i="3"/>
  <c r="I129" i="3"/>
  <c r="I204" i="3"/>
  <c r="I203" i="3" s="1"/>
  <c r="C33" i="5" s="1"/>
  <c r="I66" i="3"/>
  <c r="I96" i="3"/>
  <c r="I187" i="3"/>
  <c r="C29" i="5" s="1"/>
  <c r="I88" i="3"/>
  <c r="I10" i="3"/>
  <c r="I9" i="3" s="1"/>
  <c r="C5" i="5" s="1"/>
  <c r="I183" i="3"/>
  <c r="C27" i="5" s="1"/>
  <c r="I199" i="3"/>
  <c r="I118" i="3"/>
  <c r="I102" i="3"/>
  <c r="I110" i="3"/>
  <c r="R21" i="14"/>
  <c r="P21" i="14"/>
  <c r="R25" i="14"/>
  <c r="O25" i="14" s="1"/>
  <c r="Q21" i="14"/>
  <c r="M5" i="5" l="1"/>
  <c r="G5" i="5"/>
  <c r="L5" i="5"/>
  <c r="F5" i="5"/>
  <c r="K5" i="5"/>
  <c r="E5" i="5"/>
  <c r="J5" i="5"/>
  <c r="I5" i="5"/>
  <c r="H5" i="5"/>
  <c r="I190" i="3"/>
  <c r="C31" i="5" s="1"/>
  <c r="K31" i="5" s="1"/>
  <c r="I65" i="3"/>
  <c r="G13" i="5"/>
  <c r="H13" i="5"/>
  <c r="I13" i="5"/>
  <c r="I82" i="3"/>
  <c r="C19" i="5" s="1"/>
  <c r="M19" i="5" s="1"/>
  <c r="I95" i="3"/>
  <c r="C21" i="5" s="1"/>
  <c r="I21" i="5" s="1"/>
  <c r="L33" i="5"/>
  <c r="M33" i="5"/>
  <c r="J27" i="5"/>
  <c r="I27" i="5"/>
  <c r="K27" i="5"/>
  <c r="I128" i="3"/>
  <c r="C23" i="5" s="1"/>
  <c r="F9" i="5"/>
  <c r="E9" i="5"/>
  <c r="E39" i="5" s="1"/>
  <c r="K29" i="5"/>
  <c r="J29" i="5"/>
  <c r="K15" i="5"/>
  <c r="G15" i="5"/>
  <c r="J15" i="5"/>
  <c r="H15" i="5"/>
  <c r="I15" i="5"/>
  <c r="V26" i="14"/>
  <c r="T15" i="14" s="1"/>
  <c r="O26" i="14"/>
  <c r="M39" i="5" l="1"/>
  <c r="C17" i="5"/>
  <c r="J31" i="5"/>
  <c r="G21" i="5"/>
  <c r="H21" i="5"/>
  <c r="K21" i="5"/>
  <c r="J21" i="5"/>
  <c r="L21" i="5"/>
  <c r="K19" i="5"/>
  <c r="L19" i="5"/>
  <c r="K23" i="5"/>
  <c r="G23" i="5"/>
  <c r="J23" i="5"/>
  <c r="F23" i="5"/>
  <c r="H23" i="5"/>
  <c r="I23" i="5"/>
  <c r="H39" i="5" l="1"/>
  <c r="J17" i="5"/>
  <c r="I17" i="5"/>
  <c r="I39" i="5" s="1"/>
  <c r="J39" i="5"/>
  <c r="K39" i="5"/>
  <c r="L39" i="5"/>
  <c r="D39" i="5" l="1"/>
  <c r="D41" i="5" l="1"/>
  <c r="E41" i="5" s="1"/>
  <c r="F45" i="3" l="1"/>
  <c r="I45" i="3" s="1"/>
  <c r="I34" i="3" s="1"/>
  <c r="I31" i="3" s="1"/>
  <c r="C11" i="5" l="1"/>
  <c r="I221" i="3"/>
  <c r="J57" i="3" s="1"/>
  <c r="J210" i="3" l="1"/>
  <c r="J201" i="3"/>
  <c r="J194" i="3"/>
  <c r="J185" i="3"/>
  <c r="J175" i="3"/>
  <c r="J169" i="3"/>
  <c r="J162" i="3"/>
  <c r="J156" i="3"/>
  <c r="J150" i="3"/>
  <c r="J144" i="3"/>
  <c r="J138" i="3"/>
  <c r="J132" i="3"/>
  <c r="J124" i="3"/>
  <c r="J117" i="3"/>
  <c r="J109" i="3"/>
  <c r="J103" i="3"/>
  <c r="J94" i="3"/>
  <c r="J87" i="3"/>
  <c r="J71" i="3"/>
  <c r="J63" i="3"/>
  <c r="J55" i="3"/>
  <c r="J49" i="3"/>
  <c r="J42" i="3"/>
  <c r="J36" i="3"/>
  <c r="J26" i="3"/>
  <c r="J14" i="3"/>
  <c r="J216" i="3"/>
  <c r="J199" i="3"/>
  <c r="J178" i="3"/>
  <c r="J116" i="3"/>
  <c r="J83" i="3"/>
  <c r="J59" i="3"/>
  <c r="J25" i="3"/>
  <c r="J10" i="3"/>
  <c r="J220" i="3"/>
  <c r="J208" i="3"/>
  <c r="J200" i="3"/>
  <c r="J193" i="3"/>
  <c r="J184" i="3"/>
  <c r="J174" i="3"/>
  <c r="J168" i="3"/>
  <c r="J161" i="3"/>
  <c r="J155" i="3"/>
  <c r="J149" i="3"/>
  <c r="J143" i="3"/>
  <c r="J137" i="3"/>
  <c r="J131" i="3"/>
  <c r="J123" i="3"/>
  <c r="J115" i="3"/>
  <c r="J108" i="3"/>
  <c r="J101" i="3"/>
  <c r="J93" i="3"/>
  <c r="J86" i="3"/>
  <c r="J78" i="3"/>
  <c r="J70" i="3"/>
  <c r="J62" i="3"/>
  <c r="J54" i="3"/>
  <c r="J47" i="3"/>
  <c r="J41" i="3"/>
  <c r="J35" i="3"/>
  <c r="J23" i="3"/>
  <c r="J13" i="3"/>
  <c r="J214" i="3"/>
  <c r="J191" i="3"/>
  <c r="J177" i="3"/>
  <c r="J110" i="3"/>
  <c r="J82" i="3"/>
  <c r="J48" i="3"/>
  <c r="J24" i="3"/>
  <c r="J9" i="3"/>
  <c r="J218" i="3"/>
  <c r="J207" i="3"/>
  <c r="J198" i="3"/>
  <c r="J192" i="3"/>
  <c r="J182" i="3"/>
  <c r="J173" i="3"/>
  <c r="J166" i="3"/>
  <c r="J160" i="3"/>
  <c r="J154" i="3"/>
  <c r="J148" i="3"/>
  <c r="J142" i="3"/>
  <c r="J136" i="3"/>
  <c r="J130" i="3"/>
  <c r="J122" i="3"/>
  <c r="J213" i="3"/>
  <c r="J206" i="3"/>
  <c r="J189" i="3"/>
  <c r="J172" i="3"/>
  <c r="J159" i="3"/>
  <c r="J147" i="3"/>
  <c r="J135" i="3"/>
  <c r="J121" i="3"/>
  <c r="J111" i="3"/>
  <c r="J99" i="3"/>
  <c r="J89" i="3"/>
  <c r="J75" i="3"/>
  <c r="J64" i="3"/>
  <c r="J52" i="3"/>
  <c r="J43" i="3"/>
  <c r="J30" i="3"/>
  <c r="J16" i="3"/>
  <c r="J209" i="3"/>
  <c r="J181" i="3"/>
  <c r="J96" i="3"/>
  <c r="J18" i="3"/>
  <c r="J205" i="3"/>
  <c r="J188" i="3"/>
  <c r="J171" i="3"/>
  <c r="J158" i="3"/>
  <c r="J146" i="3"/>
  <c r="J134" i="3"/>
  <c r="J120" i="3"/>
  <c r="J107" i="3"/>
  <c r="J98" i="3"/>
  <c r="J85" i="3"/>
  <c r="J74" i="3"/>
  <c r="J61" i="3"/>
  <c r="J51" i="3"/>
  <c r="J40" i="3"/>
  <c r="J29" i="3"/>
  <c r="J12" i="3"/>
  <c r="J204" i="3"/>
  <c r="J167" i="3"/>
  <c r="J95" i="3"/>
  <c r="J34" i="3"/>
  <c r="J17" i="3"/>
  <c r="J202" i="3"/>
  <c r="J186" i="3"/>
  <c r="J170" i="3"/>
  <c r="J157" i="3"/>
  <c r="J145" i="3"/>
  <c r="J133" i="3"/>
  <c r="J119" i="3"/>
  <c r="J106" i="3"/>
  <c r="J97" i="3"/>
  <c r="J84" i="3"/>
  <c r="J73" i="3"/>
  <c r="J60" i="3"/>
  <c r="J50" i="3"/>
  <c r="J39" i="3"/>
  <c r="J28" i="3"/>
  <c r="J11" i="3"/>
  <c r="J203" i="3"/>
  <c r="J129" i="3"/>
  <c r="J88" i="3"/>
  <c r="J32" i="3"/>
  <c r="J15" i="3"/>
  <c r="J215" i="3"/>
  <c r="J197" i="3"/>
  <c r="J180" i="3"/>
  <c r="J165" i="3"/>
  <c r="J153" i="3"/>
  <c r="J141" i="3"/>
  <c r="J127" i="3"/>
  <c r="J114" i="3"/>
  <c r="J105" i="3"/>
  <c r="J92" i="3"/>
  <c r="J81" i="3"/>
  <c r="J69" i="3"/>
  <c r="J58" i="3"/>
  <c r="J46" i="3"/>
  <c r="J38" i="3"/>
  <c r="J21" i="3"/>
  <c r="J219" i="3"/>
  <c r="J190" i="3"/>
  <c r="J128" i="3"/>
  <c r="J31" i="3"/>
  <c r="J196" i="3"/>
  <c r="J176" i="3"/>
  <c r="J139" i="3"/>
  <c r="J100" i="3"/>
  <c r="J67" i="3"/>
  <c r="J33" i="3"/>
  <c r="J183" i="3"/>
  <c r="J22" i="3"/>
  <c r="J164" i="3"/>
  <c r="J126" i="3"/>
  <c r="J91" i="3"/>
  <c r="J56" i="3"/>
  <c r="J20" i="3"/>
  <c r="J118" i="3"/>
  <c r="J163" i="3"/>
  <c r="J125" i="3"/>
  <c r="J90" i="3"/>
  <c r="J53" i="3"/>
  <c r="J19" i="3"/>
  <c r="J102" i="3"/>
  <c r="J211" i="3"/>
  <c r="J152" i="3"/>
  <c r="J113" i="3"/>
  <c r="J80" i="3"/>
  <c r="J45" i="3"/>
  <c r="J217" i="3"/>
  <c r="J72" i="3"/>
  <c r="J195" i="3"/>
  <c r="J151" i="3"/>
  <c r="J112" i="3"/>
  <c r="J76" i="3"/>
  <c r="J44" i="3"/>
  <c r="J212" i="3"/>
  <c r="J66" i="3"/>
  <c r="J179" i="3"/>
  <c r="J140" i="3"/>
  <c r="J104" i="3"/>
  <c r="J68" i="3"/>
  <c r="J37" i="3"/>
  <c r="J187" i="3"/>
  <c r="J27" i="3"/>
  <c r="J79" i="3"/>
  <c r="J77" i="3"/>
  <c r="J65" i="3"/>
  <c r="G11" i="5"/>
  <c r="G39" i="5" s="1"/>
  <c r="F11" i="5"/>
  <c r="F39" i="5" s="1"/>
  <c r="C39" i="5"/>
  <c r="C12" i="5" s="1"/>
  <c r="C28" i="5" l="1"/>
  <c r="C24" i="5"/>
  <c r="C10" i="5"/>
  <c r="C14" i="5"/>
  <c r="C32" i="5"/>
  <c r="C36" i="5"/>
  <c r="C38" i="5"/>
  <c r="C8" i="5"/>
  <c r="C22" i="5"/>
  <c r="E40" i="5"/>
  <c r="C26" i="5"/>
  <c r="C20" i="5"/>
  <c r="C34" i="5"/>
  <c r="C30" i="5"/>
  <c r="C18" i="5"/>
  <c r="C16" i="5"/>
  <c r="C6" i="5"/>
  <c r="J40" i="5"/>
  <c r="L40" i="5"/>
  <c r="M40" i="5"/>
  <c r="K40" i="5"/>
  <c r="H40" i="5"/>
  <c r="I40" i="5"/>
  <c r="D40" i="5"/>
  <c r="D42" i="5" s="1"/>
  <c r="F40" i="5"/>
  <c r="F41" i="5"/>
  <c r="G41" i="5" s="1"/>
  <c r="H41" i="5" s="1"/>
  <c r="I41" i="5" s="1"/>
  <c r="J41" i="5" s="1"/>
  <c r="K41" i="5" s="1"/>
  <c r="L41" i="5" s="1"/>
  <c r="M41" i="5" s="1"/>
  <c r="G40" i="5"/>
  <c r="E42" i="5" l="1"/>
  <c r="F42" i="5" s="1"/>
  <c r="G42" i="5" s="1"/>
  <c r="H42" i="5" s="1"/>
  <c r="I42" i="5" s="1"/>
  <c r="J42" i="5" s="1"/>
  <c r="K42" i="5" s="1"/>
  <c r="L42" i="5" s="1"/>
  <c r="M42" i="5" s="1"/>
</calcChain>
</file>

<file path=xl/sharedStrings.xml><?xml version="1.0" encoding="utf-8"?>
<sst xmlns="http://schemas.openxmlformats.org/spreadsheetml/2006/main" count="2276" uniqueCount="861">
  <si>
    <t>Item</t>
  </si>
  <si>
    <t>Descrição</t>
  </si>
  <si>
    <t>Und</t>
  </si>
  <si>
    <t>Quant.</t>
  </si>
  <si>
    <t xml:space="preserve"> 1 </t>
  </si>
  <si>
    <t xml:space="preserve"> 1.1 </t>
  </si>
  <si>
    <t>m²</t>
  </si>
  <si>
    <t xml:space="preserve"> 2 </t>
  </si>
  <si>
    <t xml:space="preserve"> 2.1 </t>
  </si>
  <si>
    <t>UN</t>
  </si>
  <si>
    <t>M</t>
  </si>
  <si>
    <t>B.D.I.</t>
  </si>
  <si>
    <t>Encargos Sociais</t>
  </si>
  <si>
    <t>Desonerado: embutido nos preços unitário dos insumos de mão de obra, de acordo com as bases.</t>
  </si>
  <si>
    <t/>
  </si>
  <si>
    <t>Cronograma Físico e Financeiro</t>
  </si>
  <si>
    <t>BDI PAD</t>
  </si>
  <si>
    <t>Tributos (impostos COFINS 3%, e  PIS 0,65%)</t>
  </si>
  <si>
    <t>CP</t>
  </si>
  <si>
    <t>Tributos (ISS, variável de acordo com o município)</t>
  </si>
  <si>
    <t>ISS</t>
  </si>
  <si>
    <t>Tributos (Contribuição Previdenciária sobre a Receita Bruta - 0% ou 4,5% - Desoneração)</t>
  </si>
  <si>
    <t>CPRB</t>
  </si>
  <si>
    <t>Código</t>
  </si>
  <si>
    <t>Banco</t>
  </si>
  <si>
    <t>Valor Unit</t>
  </si>
  <si>
    <t>Total</t>
  </si>
  <si>
    <t>SINAPI</t>
  </si>
  <si>
    <t>CANTEIRO DE OBRAS</t>
  </si>
  <si>
    <t xml:space="preserve"> 1.1.1 </t>
  </si>
  <si>
    <t>m³</t>
  </si>
  <si>
    <t xml:space="preserve"> 2.2 </t>
  </si>
  <si>
    <t xml:space="preserve"> 2.2.1 </t>
  </si>
  <si>
    <t>PISOS</t>
  </si>
  <si>
    <t>BDI</t>
  </si>
  <si>
    <t>SERVIÇOS PRELIMINARES</t>
  </si>
  <si>
    <t xml:space="preserve"> 7 </t>
  </si>
  <si>
    <t xml:space="preserve"> 7.1 </t>
  </si>
  <si>
    <t>Memorial de Cálculo</t>
  </si>
  <si>
    <t>ESQUADRIAS</t>
  </si>
  <si>
    <t xml:space="preserve"> 2.1.1 </t>
  </si>
  <si>
    <t>Planilha de Estimativa Orçamentária Sintética</t>
  </si>
  <si>
    <t>COBERTURA</t>
  </si>
  <si>
    <t>SANTA GERTRUDES</t>
  </si>
  <si>
    <t xml:space="preserve"> 97914 </t>
  </si>
  <si>
    <t>TRANSPORTE COM CAMINHÃO BASCULANTE DE 6 M³, EM VIA URBANA PAVIMENTADA, DMT ATÉ 30 KM (UNIDADE: M3XKM). AF_07/2020</t>
  </si>
  <si>
    <t>M3XKM</t>
  </si>
  <si>
    <t>PISO EXTERNO</t>
  </si>
  <si>
    <t>MIN</t>
  </si>
  <si>
    <t>MED</t>
  </si>
  <si>
    <t>MAX</t>
  </si>
  <si>
    <t>QUADRO DE COMPOSIÇÃO DO BDI</t>
  </si>
  <si>
    <t>Construção e Reforma de Edifícios</t>
  </si>
  <si>
    <t>AC</t>
  </si>
  <si>
    <t>SG</t>
  </si>
  <si>
    <t>R</t>
  </si>
  <si>
    <t>Nº TC/CR</t>
  </si>
  <si>
    <t>PROPONENTE / TOMADOR</t>
  </si>
  <si>
    <t>DF</t>
  </si>
  <si>
    <t>L</t>
  </si>
  <si>
    <t>OBJETO</t>
  </si>
  <si>
    <t>Construção de Praças Urbanas, Rodovias, Ferrovias e recapeamento e pavimentação de vias urbanas</t>
  </si>
  <si>
    <t>TIPO DE OBRA DO EMPREENDIMENTO</t>
  </si>
  <si>
    <t>DESONERAÇÃO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</si>
  <si>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</si>
  <si>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</si>
  <si>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</si>
  <si>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</si>
  <si>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</si>
  <si>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</si>
  <si>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</si>
  <si>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</si>
  <si>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</si>
  <si>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</si>
  <si>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</si>
  <si>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</si>
  <si>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BDI SEM desoneração
(Fórmula Acórdão TCU)</t>
  </si>
  <si>
    <t>Obras Portuárias, Marítimas e Fluviais</t>
  </si>
  <si>
    <t>BDI COM desoneração</t>
  </si>
  <si>
    <t>BDI DES</t>
  </si>
  <si>
    <t>pedir anexo</t>
  </si>
  <si>
    <t>Anexo: Relatório Técnico Circunstanciado justificando a adoção do percentual de cada parcela do BDI.</t>
  </si>
  <si>
    <t>anexo apresentado</t>
  </si>
  <si>
    <t>Os valores de BDI foram calculados com o emprego da fórmula:</t>
  </si>
  <si>
    <t xml:space="preserve"> - 1</t>
  </si>
  <si>
    <t>Fornecimento de Materiais e Equipamentos (aquisição indireta - em conjunto com licitação de obras)</t>
  </si>
  <si>
    <t>Observações:</t>
  </si>
  <si>
    <t>Local</t>
  </si>
  <si>
    <t>Data</t>
  </si>
  <si>
    <t>Estudos e Projetos, Planos e Gerenciamento e outros correlatos</t>
  </si>
  <si>
    <t>K1</t>
  </si>
  <si>
    <t>K2</t>
  </si>
  <si>
    <t>Responsável Técnico</t>
  </si>
  <si>
    <t>Responsável Tomador</t>
  </si>
  <si>
    <t>Nome:</t>
  </si>
  <si>
    <t>K3</t>
  </si>
  <si>
    <t>Título:</t>
  </si>
  <si>
    <t>Cargo:</t>
  </si>
  <si>
    <t>Fornecimento de Materiais e Equipamentos (aquisição direta)</t>
  </si>
  <si>
    <t>Curva ABC de Insumos</t>
  </si>
  <si>
    <t>PREFEITURA MUNICIPAL DE SANTA GERTRUDES</t>
  </si>
  <si>
    <t xml:space="preserve"> 34.05.290 </t>
  </si>
  <si>
    <t>REMOÇÕES E DEMOLIÇÕES</t>
  </si>
  <si>
    <t>BOTA-FORA</t>
  </si>
  <si>
    <t xml:space="preserve"> 7.1.1 </t>
  </si>
  <si>
    <t xml:space="preserve"> 88489 </t>
  </si>
  <si>
    <t>Local: MUNICÍPIO DE SANTA GERTRUDES</t>
  </si>
  <si>
    <t>DEMOLIÇÕES</t>
  </si>
  <si>
    <t xml:space="preserve"> 96533 </t>
  </si>
  <si>
    <t xml:space="preserve"> 96557 </t>
  </si>
  <si>
    <t xml:space="preserve"> 89994 </t>
  </si>
  <si>
    <t>GRAUTEAMENTO DE CINTA INTERMEDIÁRIA OU DE CONTRAVERGA EM ALVENARIA ESTRUTURAL. AF_09/2021</t>
  </si>
  <si>
    <t xml:space="preserve"> 94228 </t>
  </si>
  <si>
    <t>CALHA EM CHAPA DE AÇO GALVANIZADO NÚMERO 24, DESENVOLVIMENTO DE 50 CM, INCLUSO TRANSPORTE VERTICAL. AF_07/2019</t>
  </si>
  <si>
    <t xml:space="preserve"> 95305 </t>
  </si>
  <si>
    <t xml:space="preserve"> 94993 </t>
  </si>
  <si>
    <t>_______________________________________________________________
Alexandre R. Gaino
Eng. Civil
5060435411</t>
  </si>
  <si>
    <t>BOTA FORA - Município de Santa Gertrudes -SP</t>
  </si>
  <si>
    <t>ENG.° CIVIL ALEXANDRE ROGÉRIO GAINO</t>
  </si>
  <si>
    <t>CREA: 5060435411</t>
  </si>
  <si>
    <t>RESPONSÁVEL TÉCNICO</t>
  </si>
  <si>
    <t>3m de comprimento*2m de altura</t>
  </si>
  <si>
    <t xml:space="preserve">_______________________________________________________________
</t>
  </si>
  <si>
    <t>SERVIÇOS COMPLEMENTARES</t>
  </si>
  <si>
    <t>LIMPEZA</t>
  </si>
  <si>
    <t>LIMPEZA FINAL DA OBRA</t>
  </si>
  <si>
    <t xml:space="preserve"> 7.2 </t>
  </si>
  <si>
    <t>RECOMPOSIÇÃO DOS CANTEIROS</t>
  </si>
  <si>
    <t xml:space="preserve"> 7.2.1 </t>
  </si>
  <si>
    <t xml:space="preserve"> 98504 </t>
  </si>
  <si>
    <t>CPOS/CDHU</t>
  </si>
  <si>
    <t xml:space="preserve"> 3 </t>
  </si>
  <si>
    <t xml:space="preserve"> 3.1 </t>
  </si>
  <si>
    <t xml:space="preserve"> 3.1.1 </t>
  </si>
  <si>
    <t xml:space="preserve"> 4 </t>
  </si>
  <si>
    <t xml:space="preserve"> 4.1 </t>
  </si>
  <si>
    <t xml:space="preserve"> 4.2 </t>
  </si>
  <si>
    <t xml:space="preserve"> 5 </t>
  </si>
  <si>
    <t xml:space="preserve"> 5.1 </t>
  </si>
  <si>
    <t>KG</t>
  </si>
  <si>
    <t xml:space="preserve"> 5.2 </t>
  </si>
  <si>
    <t>FABRICAÇÃO, MONTAGEM E DESMONTAGEM DE FÔRMA PARA VIGA BALDRAME, EM MADEIRA SERRADA, E=25 MM, 2 UTILIZAÇÕES. AF_01/2024</t>
  </si>
  <si>
    <t>CONCRETAGEM DE BLOCO DE COROAMENTO OU VIGA BALDRAME, FCK 30 MPA, COM USO DE BOMBA - LANÇAMENTO, ADENSAMENTO E ACABAMENTO. AF_01/2024</t>
  </si>
  <si>
    <t xml:space="preserve"> 5.3 </t>
  </si>
  <si>
    <t>PINTURA LÁTEX ACRÍLICA PREMIUM, APLICAÇÃO MANUAL EM PAREDES, DUAS DEMÃOS. AF_04/2023</t>
  </si>
  <si>
    <t xml:space="preserve"> 5.4 </t>
  </si>
  <si>
    <t xml:space="preserve"> 6 </t>
  </si>
  <si>
    <t xml:space="preserve"> 6.1 </t>
  </si>
  <si>
    <t>EXECUÇÃO DE PASSEIO (CALÇADA) OU PISO DE CONCRETO COM CONCRETO MOLDADO IN LOCO, USINADO, ACABAMENTO CONVENCIONAL, ESPESSURA 6 CM, ARMADO. AF_08/2022</t>
  </si>
  <si>
    <t xml:space="preserve"> 7.3 </t>
  </si>
  <si>
    <t xml:space="preserve"> 7.3.1 </t>
  </si>
  <si>
    <t>Cliente: PREFEITURA MUNICIPAL DE SANTA GERTRUDES</t>
  </si>
  <si>
    <t xml:space="preserve"> 103689 </t>
  </si>
  <si>
    <t>FORNECIMENTO E INSTALAÇÃO DE PLACA DE OBRA COM CHAPA GALVANIZADA E ESTRUTURA DE MADEIRA. AF_03/2022_PS</t>
  </si>
  <si>
    <t xml:space="preserve"> 1.1.2 </t>
  </si>
  <si>
    <t xml:space="preserve"> 02.02.150 </t>
  </si>
  <si>
    <t xml:space="preserve"> 1.1.3 </t>
  </si>
  <si>
    <t xml:space="preserve"> 2.1.2 </t>
  </si>
  <si>
    <t xml:space="preserve"> 2.1.3 </t>
  </si>
  <si>
    <t xml:space="preserve"> 101619 </t>
  </si>
  <si>
    <t>PREPARO DE FUNDO DE VALA COM LARGURA MENOR QUE 1,5 M, COM CAMADA DE BRITA, LANÇAMENTO MANUAL. AF_08/2020</t>
  </si>
  <si>
    <t xml:space="preserve"> 7.3.2 </t>
  </si>
  <si>
    <t xml:space="preserve"> 7.3.3 </t>
  </si>
  <si>
    <t xml:space="preserve"> 98459 </t>
  </si>
  <si>
    <t>TAPUME COM TELHA METÁLICA. AF_03/2024</t>
  </si>
  <si>
    <t xml:space="preserve"> 1.1.4 </t>
  </si>
  <si>
    <t xml:space="preserve"> 99059 </t>
  </si>
  <si>
    <t>LOCAÇÃO CONVENCIONAL DE OBRA, UTILIZANDO GABARITO DE TÁBUAS CORRIDAS PONTALETADAS A CADA 2,00M -  2 UTILIZAÇÕES. AF_03/2024</t>
  </si>
  <si>
    <t xml:space="preserve"> 1.2 </t>
  </si>
  <si>
    <t>PROJETOS E PROFISSIONAIS</t>
  </si>
  <si>
    <t xml:space="preserve"> 1.2.1 </t>
  </si>
  <si>
    <t xml:space="preserve"> 01.17.111 </t>
  </si>
  <si>
    <t>un</t>
  </si>
  <si>
    <t xml:space="preserve"> 03.02.040 </t>
  </si>
  <si>
    <t xml:space="preserve"> 04.02.140 </t>
  </si>
  <si>
    <t xml:space="preserve"> 04.03.040 </t>
  </si>
  <si>
    <t xml:space="preserve"> 05.07.040 </t>
  </si>
  <si>
    <t>MOVIMENTO DE TERRA</t>
  </si>
  <si>
    <t xml:space="preserve"> 98525 </t>
  </si>
  <si>
    <t>LIMPEZA MECANIZADA DE CAMADA VEGETAL, VEGETAÇÃO E PEQUENAS ÁRVORES (DIÂMETRO DE TRONCO MENOR QUE 0,20 M), COM TRATOR DE ESTEIRAS. AF_03/2024</t>
  </si>
  <si>
    <t xml:space="preserve"> 3.2 </t>
  </si>
  <si>
    <t>CORTE E ATERRO</t>
  </si>
  <si>
    <t xml:space="preserve"> 3.2.1 </t>
  </si>
  <si>
    <t xml:space="preserve"> 96385 </t>
  </si>
  <si>
    <t>EXECUÇÃO E COMPACTAÇÃO DE CORPO DE ATERRO DE ATERRO (95% DE ENERGIA DO PROCTOR NORMAL) COM SOLO PREDOMINANTEMENTE ARGILOSO ESPESSURA 15 CM - EXCLUSIVE MATERIAL, ESCAVAÇÃO, CARGA E TRANSPORTE. AF_09/2024</t>
  </si>
  <si>
    <t xml:space="preserve"> 3.2.2 </t>
  </si>
  <si>
    <t xml:space="preserve"> 102283 </t>
  </si>
  <si>
    <t>ESCAVAÇÃO MECANIZADA DE VALA COM PROF. ATÉ 1,5 M (MÉDIA MONTANTE E JUSANTE/UMA COMPOSIÇÃO POR TRECHO), ESCAVADEIRA (0,8 M3), LARG. DE 1,5 M A 2,5 M, EM SOLO MOLE, EM LOCAIS COM ALTO NÍVEL DE INTERFERÊNCIA. AF_09/2024</t>
  </si>
  <si>
    <t xml:space="preserve"> 3.2.3 </t>
  </si>
  <si>
    <t xml:space="preserve"> 93589 </t>
  </si>
  <si>
    <t>TRANSPORTE COM CAMINHÃO BASCULANTE DE 10 M³, EM VIA URBANA EM REVESTIMENTO PRIMÁRIO (UNIDADE: M3XKM). AF_07/2020</t>
  </si>
  <si>
    <t>INFRAESTRUTURA</t>
  </si>
  <si>
    <t>ESTACAS</t>
  </si>
  <si>
    <t xml:space="preserve"> 4.1.1 </t>
  </si>
  <si>
    <t>m</t>
  </si>
  <si>
    <t xml:space="preserve"> 4.2.1 </t>
  </si>
  <si>
    <t xml:space="preserve"> 4.2.2 </t>
  </si>
  <si>
    <t xml:space="preserve"> 4.2.3 </t>
  </si>
  <si>
    <t xml:space="preserve"> 4.2.5 </t>
  </si>
  <si>
    <t xml:space="preserve"> 4.2.6 </t>
  </si>
  <si>
    <t xml:space="preserve"> 4.2.7 </t>
  </si>
  <si>
    <t xml:space="preserve"> 98546 </t>
  </si>
  <si>
    <t>IMPERMEABILIZAÇÃO DE SUPERFÍCIE COM MANTA ASFÁLTICA, UMA CAMADA, INCLUSIVE APLICAÇÃO DE PRIMER ASFÁLTICO, E=4MM. AF_09/2023</t>
  </si>
  <si>
    <t xml:space="preserve"> 4.2.8 </t>
  </si>
  <si>
    <t xml:space="preserve"> 4.2.9 </t>
  </si>
  <si>
    <t>SUPERESTRUTURA</t>
  </si>
  <si>
    <t xml:space="preserve"> 92263 </t>
  </si>
  <si>
    <t>FABRICAÇÃO DE FÔRMA PARA PILARES E ESTRUTURAS SIMILARES, EM CHAPA DE MADEIRA COMPENSADA RESINADA, E = 17 MM. AF_09/2020</t>
  </si>
  <si>
    <t xml:space="preserve"> 103672 </t>
  </si>
  <si>
    <t>CONCRETAGEM DE PILARES, FCK = 25 MPA, COM USO DE BOMBA - LANÇAMENTO, ADENSAMENTO E ACABAMENTO. AF_02/2022_PS</t>
  </si>
  <si>
    <t>PAREDES E PAINÉIS</t>
  </si>
  <si>
    <t xml:space="preserve"> 6.2 </t>
  </si>
  <si>
    <t xml:space="preserve"> 6.3 </t>
  </si>
  <si>
    <t>COBERTURA PRINCIPAL</t>
  </si>
  <si>
    <t xml:space="preserve"> 7.1.2 </t>
  </si>
  <si>
    <t xml:space="preserve"> 16.13.070 </t>
  </si>
  <si>
    <t xml:space="preserve"> 7.1.3 </t>
  </si>
  <si>
    <t xml:space="preserve"> 7.1.4 </t>
  </si>
  <si>
    <t xml:space="preserve"> 94231 </t>
  </si>
  <si>
    <t>RUFO EM CHAPA DE AÇO GALVANIZADO NÚMERO 24, CORTE DE 25 CM, INCLUSO TRANSPORTE VERTICAL. AF_07/2019</t>
  </si>
  <si>
    <t>MARQUISE</t>
  </si>
  <si>
    <t xml:space="preserve"> 8 </t>
  </si>
  <si>
    <t xml:space="preserve"> 8.1 </t>
  </si>
  <si>
    <t>PORTAS</t>
  </si>
  <si>
    <t xml:space="preserve"> 8.1.1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</si>
  <si>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</si>
  <si>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</si>
  <si>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8.1.2 </t>
  </si>
  <si>
    <t xml:space="preserve"> 25.02.010 </t>
  </si>
  <si>
    <t xml:space="preserve"> 8.1.3 </t>
  </si>
  <si>
    <t xml:space="preserve"> 8.2 </t>
  </si>
  <si>
    <t>CAIXILHOS</t>
  </si>
  <si>
    <t xml:space="preserve"> 8.2.1 </t>
  </si>
  <si>
    <t xml:space="preserve"> 8.2.2 </t>
  </si>
  <si>
    <t xml:space="preserve"> 8.2.3 </t>
  </si>
  <si>
    <t xml:space="preserve"> 24.03.210 </t>
  </si>
  <si>
    <t xml:space="preserve"> 8.2.4 </t>
  </si>
  <si>
    <t xml:space="preserve"> 102162 </t>
  </si>
  <si>
    <t>INSTALAÇÃO DE VIDRO LISO INCOLOR, E = 4 MM, EM ESQUADRIA DE ALUMÍNIO OU PVC, FIXADO COM BAGUETE. AF_01/2021_PS</t>
  </si>
  <si>
    <t xml:space="preserve"> 9 </t>
  </si>
  <si>
    <t>INSTALAÇÕES HIDRÁULICAS</t>
  </si>
  <si>
    <t xml:space="preserve"> 9.1 </t>
  </si>
  <si>
    <t>REDE DE ESGOTO SANITÁRIO</t>
  </si>
  <si>
    <t xml:space="preserve"> 9.1.2 </t>
  </si>
  <si>
    <t xml:space="preserve"> 89708 </t>
  </si>
  <si>
    <t>CAIXA SIFONADA, PVC, DN 150 X 185 X 75 MM, JUNTA ELÁSTICA, FORNECIDA E INSTALADA EM RAMAL DE DESCARGA OU EM RAMAL DE ESGOTO SANITÁRIO. AF_08/2022</t>
  </si>
  <si>
    <t xml:space="preserve"> 9.1.3 </t>
  </si>
  <si>
    <t xml:space="preserve"> 9.1.4 </t>
  </si>
  <si>
    <t xml:space="preserve"> 89711 </t>
  </si>
  <si>
    <t>TUBO PVC, SERIE NORMAL, ESGOTO PREDIAL, DN 40 MM, FORNECIDO E INSTALADO EM RAMAL DE DESCARGA OU RAMAL DE ESGOTO SANITÁRIO. AF_08/2022</t>
  </si>
  <si>
    <t xml:space="preserve"> 9.1.5 </t>
  </si>
  <si>
    <t xml:space="preserve"> 89712 </t>
  </si>
  <si>
    <t>TUBO PVC, SERIE NORMAL, ESGOTO PREDIAL, DN 50 MM, FORNECIDO E INSTALADO EM RAMAL DE DESCARGA OU RAMAL DE ESGOTO SANITÁRIO. AF_08/2022</t>
  </si>
  <si>
    <t xml:space="preserve"> 9.2 </t>
  </si>
  <si>
    <t>ÁGUA FRIA</t>
  </si>
  <si>
    <t xml:space="preserve"> 9.2.1 </t>
  </si>
  <si>
    <t xml:space="preserve"> 9.2.2 </t>
  </si>
  <si>
    <t xml:space="preserve"> 89987 </t>
  </si>
  <si>
    <t>REGISTRO DE GAVETA BRUTO, LATÃO, ROSCÁVEL, 3/4", COM ACABAMENTO E CANOPLA CROMADOS - FORNECIMENTO E INSTALAÇÃO. AF_08/2021</t>
  </si>
  <si>
    <t xml:space="preserve"> 9.2.3 </t>
  </si>
  <si>
    <t xml:space="preserve"> 9.2.4 </t>
  </si>
  <si>
    <t xml:space="preserve"> 9.2.5 </t>
  </si>
  <si>
    <t xml:space="preserve"> 102623 </t>
  </si>
  <si>
    <t>CAIXA D´ÁGUA EM POLIETILENO, 1000 LITROS (INCLUSOS TUBOS, CONEXÕES E TORNEIRA DE BÓIA) - FORNECIMENTO E INSTALAÇÃO. AF_06/2021</t>
  </si>
  <si>
    <t xml:space="preserve"> 9.3 </t>
  </si>
  <si>
    <t>ÁGUAS PLUVIAIS</t>
  </si>
  <si>
    <t xml:space="preserve"> 9.3.1 </t>
  </si>
  <si>
    <t xml:space="preserve"> 99251 </t>
  </si>
  <si>
    <t>CAIXA ENTERRADA HIDRÁULICA RETANGULAR EM ALVENARIA COM TIJOLOS CERÂMICOS MACIÇOS, DIMENSÕES INTERNAS: 0,4X0,4X0,4 M PARA REDE DE DRENAGEM. AF_12/2020</t>
  </si>
  <si>
    <t xml:space="preserve"> 9.3.2 </t>
  </si>
  <si>
    <t xml:space="preserve"> 99253 </t>
  </si>
  <si>
    <t>CAIXA ENTERRADA HIDRÁULICA RETANGULAR EM ALVENARIA COM TIJOLOS CERÂMICOS MACIÇOS, DIMENSÕES INTERNAS: 0,6X0,6X0,6 M PARA REDE DE DRENAGEM. AF_12/2020</t>
  </si>
  <si>
    <t xml:space="preserve"> 9.3.3 </t>
  </si>
  <si>
    <t xml:space="preserve"> 9.3.4 </t>
  </si>
  <si>
    <t xml:space="preserve"> 9.3.5 </t>
  </si>
  <si>
    <t xml:space="preserve"> 9.4 </t>
  </si>
  <si>
    <t>DRENO DO AR CONDICIONADO</t>
  </si>
  <si>
    <t xml:space="preserve"> 9.4.1 </t>
  </si>
  <si>
    <t xml:space="preserve"> 10 </t>
  </si>
  <si>
    <t>INSTALAÇÕES ELÉTRICAS</t>
  </si>
  <si>
    <t xml:space="preserve"> 10.1 </t>
  </si>
  <si>
    <t>INSTALAÇÕES GERAIS</t>
  </si>
  <si>
    <t xml:space="preserve"> 10.1.1 </t>
  </si>
  <si>
    <t xml:space="preserve"> 10.1.2 </t>
  </si>
  <si>
    <t xml:space="preserve"> 10.1.3 </t>
  </si>
  <si>
    <t xml:space="preserve"> 91924 </t>
  </si>
  <si>
    <t>CABO DE COBRE FLEXÍVEL ISOLADO, 1,5 MM², ANTI-CHAMA 450/750 V, PARA CIRCUITOS TERMINAIS - FORNECIMENTO E INSTALAÇÃO. AF_03/2023</t>
  </si>
  <si>
    <t xml:space="preserve"> 10.1.4 </t>
  </si>
  <si>
    <t xml:space="preserve"> 91926 </t>
  </si>
  <si>
    <t>CABO DE COBRE FLEXÍVEL ISOLADO, 2,5 MM², ANTI-CHAMA 450/750 V, PARA CIRCUITOS TERMINAIS - FORNECIMENTO E INSTALAÇÃO. AF_03/2023</t>
  </si>
  <si>
    <t xml:space="preserve"> 10.1.5 </t>
  </si>
  <si>
    <t xml:space="preserve"> 91928 </t>
  </si>
  <si>
    <t>CABO DE COBRE FLEXÍVEL ISOLADO, 4 MM², ANTI-CHAMA 450/750 V, PARA CIRCUITOS TERMINAIS - FORNECIMENTO E INSTALAÇÃO. AF_03/2023</t>
  </si>
  <si>
    <t xml:space="preserve"> 10.1.6 </t>
  </si>
  <si>
    <t xml:space="preserve"> 91930 </t>
  </si>
  <si>
    <t>CABO DE COBRE FLEXÍVEL ISOLADO, 6 MM², ANTI-CHAMA 450/750 V, PARA CIRCUITOS TERMINAIS - FORNECIMENTO E INSTALAÇÃO. AF_03/2023</t>
  </si>
  <si>
    <t xml:space="preserve"> 10.1.7 </t>
  </si>
  <si>
    <t xml:space="preserve"> 91934 </t>
  </si>
  <si>
    <t>CABO DE COBRE FLEXÍVEL ISOLADO, 16 MM², ANTI-CHAMA 450/750 V, PARA CIRCUITOS TERMINAIS - FORNECIMENTO E INSTALAÇÃO. AF_03/2023</t>
  </si>
  <si>
    <t xml:space="preserve"> 10.1.8 </t>
  </si>
  <si>
    <t xml:space="preserve"> 92984 </t>
  </si>
  <si>
    <t>CABO DE COBRE FLEXÍVEL ISOLADO, 25 MM², ANTI-CHAMA 0,6/1,0 KV, PARA REDE ENTERRADA DE DISTRIBUIÇÃO DE ENERGIA ELÉTRICA - FORNECIMENTO E INSTALAÇÃO. AF_12/2021</t>
  </si>
  <si>
    <t xml:space="preserve"> 10.1.9 </t>
  </si>
  <si>
    <t xml:space="preserve"> 10.1.10 </t>
  </si>
  <si>
    <t xml:space="preserve"> 93660 </t>
  </si>
  <si>
    <t xml:space="preserve"> 10.1.11 </t>
  </si>
  <si>
    <t xml:space="preserve"> 93662 </t>
  </si>
  <si>
    <t>DISJUNTOR BIPOLAR TIPO DIN, CORRENTE NOMINAL DE 20A - FORNECIMENTO E INSTALAÇÃO. AF_10/2020</t>
  </si>
  <si>
    <t xml:space="preserve"> 10.1.12 </t>
  </si>
  <si>
    <t xml:space="preserve"> 93664 </t>
  </si>
  <si>
    <t>DISJUNTOR BIPOLAR TIPO DIN, CORRENTE NOMINAL DE 32A - FORNECIMENTO E INSTALAÇÃO. AF_10/2020</t>
  </si>
  <si>
    <t xml:space="preserve"> 10.1.13 </t>
  </si>
  <si>
    <t xml:space="preserve"> 93665 </t>
  </si>
  <si>
    <t>DISJUNTOR BIPOLAR TIPO DIN, CORRENTE NOMINAL DE 40A - FORNECIMENTO E INSTALAÇÃO. AF_10/2020</t>
  </si>
  <si>
    <t xml:space="preserve"> 10.1.14 </t>
  </si>
  <si>
    <t xml:space="preserve"> 93666 </t>
  </si>
  <si>
    <t>DISJUNTOR BIPOLAR TIPO DIN, CORRENTE NOMINAL DE 50A - FORNECIMENTO E INSTALAÇÃO. AF_10/2020</t>
  </si>
  <si>
    <t xml:space="preserve"> 10.1.15 </t>
  </si>
  <si>
    <t xml:space="preserve"> 10.1.16 </t>
  </si>
  <si>
    <t xml:space="preserve"> 91854 </t>
  </si>
  <si>
    <t>ELETRODUTO FLEXÍVEL CORRUGADO, PVC, DN 25 MM (3/4"), PARA CIRCUITOS TERMINAIS, INSTALADO EM PAREDE - FORNECIMENTO E INSTALAÇÃO. AF_03/2023</t>
  </si>
  <si>
    <t xml:space="preserve"> 10.1.17 </t>
  </si>
  <si>
    <t xml:space="preserve"> 91856 </t>
  </si>
  <si>
    <t>ELETRODUTO FLEXÍVEL CORRUGADO, PVC, DN 32 MM (1"), PARA CIRCUITOS TERMINAIS, INSTALADO EM PAREDE - FORNECIMENTO E INSTALAÇÃO. AF_03/2023</t>
  </si>
  <si>
    <t xml:space="preserve"> 10.1.18 </t>
  </si>
  <si>
    <t xml:space="preserve"> 10.1.19 </t>
  </si>
  <si>
    <t xml:space="preserve"> 10.1.20 </t>
  </si>
  <si>
    <t>HASTE DE ATERRAMENTO, DIÂMETRO 5/8", COM 3 METROS - FORNECIMENTO E INSTALAÇÃO. AF_08/2023</t>
  </si>
  <si>
    <t xml:space="preserve"> 10.1.21 </t>
  </si>
  <si>
    <t xml:space="preserve"> 91996 </t>
  </si>
  <si>
    <t>TOMADA MÉDIA DE EMBUTIR (1 MÓDULO), 2P+T 10 A, INCLUINDO SUPORTE E PLACA - FORNECIMENTO E INSTALAÇÃO. AF_03/2023</t>
  </si>
  <si>
    <t xml:space="preserve"> 10.1.22 </t>
  </si>
  <si>
    <t xml:space="preserve"> 91997 </t>
  </si>
  <si>
    <t>TOMADA MÉDIA DE EMBUTIR (1 MÓDULO), 2P+T 20 A, INCLUINDO SUPORTE E PLACA - FORNECIMENTO E INSTALAÇÃO. AF_03/2023</t>
  </si>
  <si>
    <t xml:space="preserve"> 10.1.23 </t>
  </si>
  <si>
    <t xml:space="preserve"> 69.20.340 </t>
  </si>
  <si>
    <t xml:space="preserve"> 10.1.24 </t>
  </si>
  <si>
    <t xml:space="preserve"> 98307 </t>
  </si>
  <si>
    <t>TOMADA DE REDE RJ45 - FORNECIMENTO E INSTALAÇÃO. AF_11/2019</t>
  </si>
  <si>
    <t xml:space="preserve"> 10.1.26 </t>
  </si>
  <si>
    <t xml:space="preserve"> 91940 </t>
  </si>
  <si>
    <t>CAIXA RETANGULAR 4" X 2" MÉDIA (1,30 M DO PISO), PVC, INSTALADA EM PAREDE - FORNECIMENTO E INSTALAÇÃO. AF_03/2023</t>
  </si>
  <si>
    <t xml:space="preserve"> 10.1.27 </t>
  </si>
  <si>
    <t xml:space="preserve"> 91943 </t>
  </si>
  <si>
    <t>CAIXA RETANGULAR 4" X 4" MÉDIA (1,30 M DO PISO), PVC, INSTALADA EM PAREDE - FORNECIMENTO E INSTALAÇÃO. AF_03/2023</t>
  </si>
  <si>
    <t xml:space="preserve"> 10.1.28 </t>
  </si>
  <si>
    <t xml:space="preserve"> 92865 </t>
  </si>
  <si>
    <t>CAIXA OCTOGONAL 4" X 4", METÁLICA, INSTALADA EM LAJE - FORNECIMENTO E INSTALAÇÃO. AF_03/2023</t>
  </si>
  <si>
    <t xml:space="preserve"> 10.1.30 </t>
  </si>
  <si>
    <t xml:space="preserve"> 10.1.31 </t>
  </si>
  <si>
    <t xml:space="preserve"> 10.2 </t>
  </si>
  <si>
    <t>SISTEMA PROTEÇAO DESCARGA ATMOSFERICA</t>
  </si>
  <si>
    <t xml:space="preserve"> 10.2.1 </t>
  </si>
  <si>
    <t xml:space="preserve"> 96986 </t>
  </si>
  <si>
    <t>HASTE DE ATERRAMENTO, DIÂMETRO 3/4", COM 3 METROS - FORNECIMENTO E INSTALAÇÃO. AF_08/2023</t>
  </si>
  <si>
    <t xml:space="preserve"> 10.2.2 </t>
  </si>
  <si>
    <t xml:space="preserve"> 98463 </t>
  </si>
  <si>
    <t>SUPORTE ISOLADOR PARA FIXAÇÃO DA CORDOALHA DE COBRE EM ALVENARIA OU CONCRETO - FORNECIMENTO E INSTALAÇÃO. AF_08/2023</t>
  </si>
  <si>
    <t xml:space="preserve"> 10.2.3 </t>
  </si>
  <si>
    <t xml:space="preserve"> 96973 </t>
  </si>
  <si>
    <t xml:space="preserve"> 10.2.4 </t>
  </si>
  <si>
    <t xml:space="preserve"> 96974 </t>
  </si>
  <si>
    <t>CORDOALHA DE COBRE NU 50 MM², NÃO ENTERRADA, COM ISOLADOR - FORNECIMENTO E INSTALAÇÃO. AF_08/2023</t>
  </si>
  <si>
    <t xml:space="preserve"> 10.2.5 </t>
  </si>
  <si>
    <t xml:space="preserve"> 38.01.040 </t>
  </si>
  <si>
    <t xml:space="preserve"> 10.2.6 </t>
  </si>
  <si>
    <t xml:space="preserve"> 42.05.250 </t>
  </si>
  <si>
    <t xml:space="preserve"> 10.2.7 </t>
  </si>
  <si>
    <t xml:space="preserve"> 42.05.300 </t>
  </si>
  <si>
    <t xml:space="preserve"> 10.2.8 </t>
  </si>
  <si>
    <t xml:space="preserve"> 42.05.310 </t>
  </si>
  <si>
    <t xml:space="preserve"> 10.2.9 </t>
  </si>
  <si>
    <t xml:space="preserve"> 42.05.390 </t>
  </si>
  <si>
    <t xml:space="preserve"> 11 </t>
  </si>
  <si>
    <t>REVESTIMENTO DE FORROS</t>
  </si>
  <si>
    <t xml:space="preserve"> 11.1 </t>
  </si>
  <si>
    <t xml:space="preserve"> 87881 </t>
  </si>
  <si>
    <t>CHAPISCO APLICADO NO TETO OU EM ALVENARIA E ESTRUTURA, COM ROLO PARA TEXTURA ACRÍLICA. ARGAMASSA TRAÇO 1:4 E EMULSÃO POLIMÉRICA (ADESIVO) COM PREPARO MANUAL. AF_10/2022</t>
  </si>
  <si>
    <t xml:space="preserve"> 11.2 </t>
  </si>
  <si>
    <t xml:space="preserve"> 12 </t>
  </si>
  <si>
    <t>REVESTIMENTO DE PAREDES INTERNAS</t>
  </si>
  <si>
    <t xml:space="preserve"> 12.1 </t>
  </si>
  <si>
    <t xml:space="preserve"> 12.2 </t>
  </si>
  <si>
    <t xml:space="preserve"> 13 </t>
  </si>
  <si>
    <t>REVETIMENTO DE PAREDES EXTERNAS</t>
  </si>
  <si>
    <t xml:space="preserve"> 13.1 </t>
  </si>
  <si>
    <t xml:space="preserve"> 87908 </t>
  </si>
  <si>
    <t>CHAPISCO APLICADO EM ALVENARIA (COM PRESENÇA DE VÃOS) E ESTRUTURAS DE CONCRETO DE FACHADA, COM EQUIPAMENTO DE PROJEÇÃO.  ARGAMASSA TRAÇO 1:3 COM PREPARO EM BETONEIRA 400 L. AF_10/2022</t>
  </si>
  <si>
    <t xml:space="preserve"> 13.2 </t>
  </si>
  <si>
    <t xml:space="preserve"> 87775 </t>
  </si>
  <si>
    <t>EMBOÇO OU MASSA ÚNICA EM ARGAMASSA TRAÇO 1:2:8, PREPARO MECÂNICO COM BETONEIRA 400 L, APLICADA MANUALMENTE EM PANOS DE FACHADA COM PRESENÇA DE VÃOS, ESPESSURA DE 25 MM. AF_08/2022</t>
  </si>
  <si>
    <t xml:space="preserve"> 14 </t>
  </si>
  <si>
    <t xml:space="preserve"> 14.1 </t>
  </si>
  <si>
    <t>PISO CERÂMICO</t>
  </si>
  <si>
    <t xml:space="preserve"> 14.1.1 </t>
  </si>
  <si>
    <t xml:space="preserve"> 14.1.2 </t>
  </si>
  <si>
    <t xml:space="preserve"> 14.1.3 </t>
  </si>
  <si>
    <t xml:space="preserve"> 10.02.020 </t>
  </si>
  <si>
    <t xml:space="preserve"> 14.1.4 </t>
  </si>
  <si>
    <t xml:space="preserve"> 14.1.5 </t>
  </si>
  <si>
    <t xml:space="preserve"> 14.2 </t>
  </si>
  <si>
    <t xml:space="preserve"> 14.2.1 </t>
  </si>
  <si>
    <t xml:space="preserve"> 14.2.2 </t>
  </si>
  <si>
    <t xml:space="preserve"> 15 </t>
  </si>
  <si>
    <t>PINTURA</t>
  </si>
  <si>
    <t xml:space="preserve"> 15.1 </t>
  </si>
  <si>
    <t>PAREDES</t>
  </si>
  <si>
    <t xml:space="preserve"> 15.1.1 </t>
  </si>
  <si>
    <t>TEXTURA ACRÍLICA, APLICAÇÃO MANUAL EM PAREDE, UMA DEMÃO. AF_04/2023</t>
  </si>
  <si>
    <t xml:space="preserve"> 15.1.2 </t>
  </si>
  <si>
    <t xml:space="preserve"> 15.1.3 </t>
  </si>
  <si>
    <t xml:space="preserve"> 88488 </t>
  </si>
  <si>
    <t>PINTURA LÁTEX ACRÍLICA PREMIUM, APLICAÇÃO MANUAL EM TETO, DUAS DEMÃOS. AF_04/2023</t>
  </si>
  <si>
    <t xml:space="preserve"> 15.1.4 </t>
  </si>
  <si>
    <t xml:space="preserve"> 33.10.041 </t>
  </si>
  <si>
    <t xml:space="preserve"> 15.2 </t>
  </si>
  <si>
    <t xml:space="preserve"> 15.2.1 </t>
  </si>
  <si>
    <t xml:space="preserve"> 100757 </t>
  </si>
  <si>
    <t>PINTURA COM TINTA ALQUÍDICA DE ACABAMENTO (ESMALTE SINTÉTICO ACETINADO) PULVERIZADA SOBRE SUPERFÍCIES METÁLICAS (EXCETO PERFIL) EXECUTADO EM OBRA (02 DEMÃOS). AF_01/2020_PE</t>
  </si>
  <si>
    <t xml:space="preserve"> 15.2.2 </t>
  </si>
  <si>
    <t xml:space="preserve"> 102229 </t>
  </si>
  <si>
    <t>PINTURA TINTA DE ACABAMENTO (PIGMENTADA) ESMALTE SINTÉTICO ACETINADO EM MADEIRA, 3 DEMÃOS. AF_01/2021</t>
  </si>
  <si>
    <t xml:space="preserve"> 15.3 </t>
  </si>
  <si>
    <t>ESTRUTURA</t>
  </si>
  <si>
    <t xml:space="preserve"> 15.3.1 </t>
  </si>
  <si>
    <t xml:space="preserve"> 16 </t>
  </si>
  <si>
    <t xml:space="preserve"> 16.2 </t>
  </si>
  <si>
    <t xml:space="preserve"> 16.2.1 </t>
  </si>
  <si>
    <t xml:space="preserve"> 97599 </t>
  </si>
  <si>
    <t>LUMINÁRIA DE EMERGÊNCIA, COM 30 LÂMPADAS LED DE 2 W, SEM REATOR - FORNECIMENTO E INSTALAÇÃO. AF_09/2024</t>
  </si>
  <si>
    <t xml:space="preserve"> 17 </t>
  </si>
  <si>
    <t xml:space="preserve"> 17.1 </t>
  </si>
  <si>
    <t xml:space="preserve"> 17.1.1 </t>
  </si>
  <si>
    <t xml:space="preserve"> 55.01.020 </t>
  </si>
  <si>
    <t xml:space="preserve"> 17.2 </t>
  </si>
  <si>
    <t xml:space="preserve"> 17.2.1 </t>
  </si>
  <si>
    <t>PLANTIO DE GRAMA BATATAIS EM PLACAS. AF_07/2024</t>
  </si>
  <si>
    <t>FDE</t>
  </si>
  <si>
    <t>Memorial de cálculo</t>
  </si>
  <si>
    <t xml:space="preserve">ver planilha [052 - O - 2607 - 35 - 001_0.xlsx]Vigas Baldrames </t>
  </si>
  <si>
    <t>18,15*1,1</t>
  </si>
  <si>
    <t>17,3*2</t>
  </si>
  <si>
    <t>32,4*20</t>
  </si>
  <si>
    <t>648*0,3</t>
  </si>
  <si>
    <t>ver planilha[052 - O - 2607 - 35 - 001_0.xlsx]Estacas</t>
  </si>
  <si>
    <t>ver planilha[052 - O - 2607 - 35 - 001_0.xlsx]Blocos e Vigas Baldrames</t>
  </si>
  <si>
    <t>conforme projeto estrutura - retirado os 10%l</t>
  </si>
  <si>
    <t>ver planilha[052 - O - 2607 - 35 - 001_0.xlsx]Vigas Baldrames</t>
  </si>
  <si>
    <t>ver planilha [052 - O - 2607 - 35 - 001_0.xlsx]Pilar</t>
  </si>
  <si>
    <t>ver planilha[052 - O - 2607 - 35 - 001_0.xlsx]Pilar</t>
  </si>
  <si>
    <t>ver planilha[052 - O - 2607 - 35 - 001_0.xlsx]Laje</t>
  </si>
  <si>
    <t>ver planilha[052 - O - 2607 - 35 - 001_0.xlsx]Alvenarias e Fechamentos</t>
  </si>
  <si>
    <t>ver planilha[052 - O - 2607 - 35 - 001_0.xlsx]Grout</t>
  </si>
  <si>
    <t>ver planilha[052 - O - 2607 - 35 - 001_0.xlsx]Coberturas</t>
  </si>
  <si>
    <t>ver planilha[052 - O - 2607 - 35 - 001_0.xlsx]Esquadrias</t>
  </si>
  <si>
    <t>quantidades estimadas conforme croqui</t>
  </si>
  <si>
    <t>ver planilha[052 - O - 2607 - 35 - 001_0.xlsx]Acabamentos</t>
  </si>
  <si>
    <t>ver planilha[052 - O - 2607 - 35 - 001_0.xlsx]Fachadas</t>
  </si>
  <si>
    <t>ver planilha[052 - O - 2607 - 35 - 001_0.xlsx]Acabamentos e Fachadas</t>
  </si>
  <si>
    <t>ver planilha [052 - O - 2607 - 35 - 001_0.xlsx]Esquadrias</t>
  </si>
  <si>
    <t>ver planilha [052 - O - 2607 - 35 - 001_0.xlsx]Coberturas</t>
  </si>
  <si>
    <t>área de pisos</t>
  </si>
  <si>
    <t>78,55m² conforme projeto</t>
  </si>
  <si>
    <t xml:space="preserve">conforme projeto </t>
  </si>
  <si>
    <t>CJ</t>
  </si>
  <si>
    <t xml:space="preserve"> 44.03.400 </t>
  </si>
  <si>
    <t xml:space="preserve"> 44.02.062 </t>
  </si>
  <si>
    <t>(4m de comprimento*0,5m de largura*2 vestiários)</t>
  </si>
  <si>
    <t>(2,4m de comprimento*0,8m de altura*2)</t>
  </si>
  <si>
    <t xml:space="preserve"> 12.05.020 </t>
  </si>
  <si>
    <t>VB E ARRIMOS</t>
  </si>
  <si>
    <t xml:space="preserve"> 92759 </t>
  </si>
  <si>
    <t>ARMAÇÃO DE PILAR OU VIGA DE ESTRUTURA CONVENCIONAL DE CONCRETO ARMADO UTILIZANDO AÇO CA-60 DE 5,0 MM - MONTAGEM. AF_06/2022</t>
  </si>
  <si>
    <t xml:space="preserve"> 4.2.4 </t>
  </si>
  <si>
    <t xml:space="preserve"> 104917 </t>
  </si>
  <si>
    <t>ARMAÇÃO DE SAPATA ISOLADA, VIGA BALDRAME E SAPATA CORRIDA UTILIZANDO AÇO CA-50 DE 6,3 MM - MONTAGEM. AF_01/2024</t>
  </si>
  <si>
    <t xml:space="preserve"> 104918 </t>
  </si>
  <si>
    <t>ARMAÇÃO DE SAPATA ISOLADA, VIGA BALDRAME E SAPATA CORRIDA UTILIZANDO AÇO CA-50 DE 8 MM - MONTAGEM. AF_01/2024</t>
  </si>
  <si>
    <t xml:space="preserve"> 104919 </t>
  </si>
  <si>
    <t>ARMAÇÃO DE SAPATA ISOLADA, VIGA BALDRAME E SAPATA CORRIDA UTILIZANDO AÇO CA-50 DE 10 MM - MONTAGEM. AF_01/2024</t>
  </si>
  <si>
    <t xml:space="preserve"> 4.2.10 </t>
  </si>
  <si>
    <t xml:space="preserve"> 4.2.11 </t>
  </si>
  <si>
    <t xml:space="preserve"> 4.2.12 </t>
  </si>
  <si>
    <t xml:space="preserve"> 92762 </t>
  </si>
  <si>
    <t>ARMAÇÃO DE PILAR OU VIGA DE ESTRUTURA CONVENCIONAL DE CONCRETO ARMADO UTILIZANDO AÇO CA-50 DE 10,0 MM - MONTAGEM. AF_06/2022</t>
  </si>
  <si>
    <t xml:space="preserve"> 5.5 </t>
  </si>
  <si>
    <t xml:space="preserve"> 5.6 </t>
  </si>
  <si>
    <t xml:space="preserve"> 101792 </t>
  </si>
  <si>
    <t>ESCORAMENTO DE FÔRMAS DE LAJE EM MADEIRA NÃO APARELHADA, PÉ-DIREITO SIMPLES, INCLUSO TRAVAMENTO, 4 UTILIZAÇÕES. AF_09/2020</t>
  </si>
  <si>
    <t xml:space="preserve"> 90000 </t>
  </si>
  <si>
    <t>ARMAÇÃO DE VERGA E CONTRAVERGA DE ALVENARIA ESTRUTURAL; DIÂMETRO DE 10,0 MM. AF_09/2021</t>
  </si>
  <si>
    <t xml:space="preserve"> 6.4 </t>
  </si>
  <si>
    <t xml:space="preserve"> 14.30.010 </t>
  </si>
  <si>
    <t>COMPLEMENTO DA COBERTURA LATERAL</t>
  </si>
  <si>
    <t xml:space="preserve"> 89709 </t>
  </si>
  <si>
    <t>RALO SIFONADO, PVC, DN 100 X 40 MM, JUNTA SOLDÁVEL, FORNECIDO E INSTALADO EM RAMAL DE DESCARGA OU EM RAMAL DE ESGOTO SANITÁRIO. AF_08/2022</t>
  </si>
  <si>
    <t>LOUÇAS E METAIS</t>
  </si>
  <si>
    <t xml:space="preserve"> 10.1.25 </t>
  </si>
  <si>
    <t xml:space="preserve"> 92023 </t>
  </si>
  <si>
    <t>INTERRUPTOR SIMPLES (1 MÓDULO) COM 1 TOMADA DE EMBUTIR 2P+T 10 A, INCLUINDO SUPORTE E PLACA - FORNECIMENTO E INSTALAÇÃO. AF_03/2023</t>
  </si>
  <si>
    <t xml:space="preserve"> 10.1.29 </t>
  </si>
  <si>
    <t xml:space="preserve"> 10.1.32 </t>
  </si>
  <si>
    <t xml:space="preserve"> 10.1.33 </t>
  </si>
  <si>
    <t xml:space="preserve"> 10.1.34 </t>
  </si>
  <si>
    <t xml:space="preserve"> 10.1.35 </t>
  </si>
  <si>
    <t xml:space="preserve"> 41.13.102 </t>
  </si>
  <si>
    <t>CORDOALHA DE COBRE NU 35 MM², NÃO ENTERRADA, COM ISOLADOR - FORNECIMENTO E INSTALAÇÃO. AF_08/2023</t>
  </si>
  <si>
    <t xml:space="preserve"> 90406 </t>
  </si>
  <si>
    <t>MASSA ÚNICA, EM ARGAMASSA TRAÇO 1:2:8, PREPARO MECÂNICO, APLICADA MANUALMENTE EM TETO, E = 17,5MM, COM TALISCAS. AF_03/2024</t>
  </si>
  <si>
    <t xml:space="preserve"> 87529 </t>
  </si>
  <si>
    <t>MASSA ÚNICA, EM ARGAMASSA TRAÇO 1:2:8, PREPARO MECÂNICO, APLICADA MANUALMENTE EM PAREDES INTERNAS DE AMBIENTES COM ÁREA ENTRE 5M² E 10M², E = 17,5MM, COM TALISCAS. AF_03/2024</t>
  </si>
  <si>
    <t xml:space="preserve"> 12.3 </t>
  </si>
  <si>
    <t xml:space="preserve"> 8.1.4 </t>
  </si>
  <si>
    <t xml:space="preserve"> 9.1.1 </t>
  </si>
  <si>
    <t xml:space="preserve"> 9.5 </t>
  </si>
  <si>
    <t xml:space="preserve"> 9.5.1 </t>
  </si>
  <si>
    <t xml:space="preserve">quantidades estimadas </t>
  </si>
  <si>
    <t>34,60m² volume da retirada de telhamento *  9</t>
  </si>
  <si>
    <t>19,97m³ volume da remoção + ( 34,60m² da retirada *0,03) * 1,3</t>
  </si>
  <si>
    <t>quantidade estimada</t>
  </si>
  <si>
    <t>Valor Unit com BDI</t>
  </si>
  <si>
    <t>Peso (%)</t>
  </si>
  <si>
    <t xml:space="preserve">  </t>
  </si>
  <si>
    <t>LOCAÇÃO DE CONTAINER TIPO DEPÓSITO - ÁREA MÍNIMA DE 13,80 M²</t>
  </si>
  <si>
    <t>unxmês</t>
  </si>
  <si>
    <t>PROJETO EXECUTIVO DE INSTALAÇÕES ELÉTRICAS EM FORMATO A1</t>
  </si>
  <si>
    <t>DEMOLIÇÃO MANUAL DE ALVENARIA DE ELEVAÇÃO OU ELEMENTO VAZADO, INCLUINDO REVESTIMENTO</t>
  </si>
  <si>
    <t>RETIRADA DE ESTRUTURA METÁLICA</t>
  </si>
  <si>
    <t>kg</t>
  </si>
  <si>
    <t>RETIRADA DE TELHAMENTO PERFIL E MATERIAL QUALQUER, EXCETO BARRO</t>
  </si>
  <si>
    <t>REMOÇÃO DE ENTULHO SEPARADO DE OBRA COM CAÇAMBA METÁLICA - TERRA, ALVENARIA, CONCRETO, ARGAMASSA, MADEIRA, PAPEL, PLÁSTICO OU METAL</t>
  </si>
  <si>
    <t>ESTACA ESCAVADA MECANICAMENTE, DIÂMETRO DE 25 CM ATÉ 20 T</t>
  </si>
  <si>
    <t xml:space="preserve"> 104737 </t>
  </si>
  <si>
    <t>REATERRO MANUAL DE VALAS, COM PLACA VIBRATÓRIA. AF_08/2023</t>
  </si>
  <si>
    <t>DIVISÓRIA EM PLACAS DE GRANITO COM ESPESSURA DE 3 CM</t>
  </si>
  <si>
    <t>TELHAMENTO EM CHAPA DE AÇO PRÉ-PINTADA COM EPÓXI E POLIÉSTER, TIPO SANDUÍCHE, ESPESSURA DE 0,50 MM, COM POLIURETANO</t>
  </si>
  <si>
    <t>PORTA DE ENTRADA DE ABRIR EM ALUMÍNIO COM VIDRO, LINHA COMERCIAL</t>
  </si>
  <si>
    <t>PORTÃO DE ABRIR EM GRADE DE AÇO GALVANIZADO ELETROFUNDIDA, MALHA 65 X 132 MM, E PINTURA ELETROSTÁTICA</t>
  </si>
  <si>
    <t>cj</t>
  </si>
  <si>
    <t>TELA DE PROTEÇÃO EM MALHA ONDULADA DE 1´, FIO 12 (BWG), COM REQUADRO</t>
  </si>
  <si>
    <t xml:space="preserve"> 89800 </t>
  </si>
  <si>
    <t>TUBO PVC, SERIE NORMAL, ESGOTO PREDIAL, DN 100 MM, FORNECIDO E INSTALADO EM PRUMADA DE ESGOTO SANITÁRIO OU VENTILAÇÃO. AF_08/2022</t>
  </si>
  <si>
    <t xml:space="preserve"> 89449 </t>
  </si>
  <si>
    <t>TUBO, PVC, SOLDÁVEL, DE 50MM, INSTALADO EM PRUMADA DE ÁGUA - FORNECIMENTO E INSTALAÇÃO. AF_06/2022</t>
  </si>
  <si>
    <t xml:space="preserve"> 89446 </t>
  </si>
  <si>
    <t>TUBO, PVC, SOLDÁVEL, DE 25MM, INSTALADO EM PRUMADA DE ÁGUA - FORNECIMENTO E INSTALAÇÃO. AF_06/2022</t>
  </si>
  <si>
    <t xml:space="preserve"> 89511 </t>
  </si>
  <si>
    <t>TUBO PVC, SÉRIE R, ÁGUA PLUVIAL, DN 75 MM, FORNECIDO E INSTALADO EM RAMAL DE ENCAMINHAMENTO. AF_06/2022</t>
  </si>
  <si>
    <t xml:space="preserve"> 89512 </t>
  </si>
  <si>
    <t>TUBO PVC, SÉRIE R, ÁGUA PLUVIAL, DN 100 MM, FORNECIDO E INSTALADO EM RAMAL DE ENCAMINHAMENTO. AF_06/2022</t>
  </si>
  <si>
    <t>TORNEIRA CURTA COM ROSCA PARA USO GERAL, EM LATÃO FUNDIDO CROMADO, DN= 3/4´</t>
  </si>
  <si>
    <t>TAMPO/BANCADA EM GRANITO, COM FRONTÃO, ESPESSURA DE 2 CM, ACABAMENTO POLIDO</t>
  </si>
  <si>
    <t xml:space="preserve"> 101894 </t>
  </si>
  <si>
    <t>DISJUNTOR TRIPOLAR TIPO NEMA, CORRENTE NOMINAL DE 60 ATÉ 100A - FORNECIMENTO E INSTALAÇÃO. AF_10/2020</t>
  </si>
  <si>
    <t>TOMADA PARA TV, TIPO PINO JACK, COM PLACA</t>
  </si>
  <si>
    <t>LUMINÁRIA BLINDADA TIPO ARANDELA DE 45º E 90º, PARA LÂMPADA LED</t>
  </si>
  <si>
    <t>ELETRODUTO DE PVC RÍGIDO ROSCÁVEL DE 3/4´ - COM ACESSÓRIOS</t>
  </si>
  <si>
    <t>BARRA CONDUTORA CHATA EM ALUMÍNIO DE 3/4´ X 1/4´, INCLUSIVE ACESSÓRIOS DE FIXAÇÃO</t>
  </si>
  <si>
    <t>TAMPA PARA CAIXA DE INSPEÇÃO CILÍNDRICA, AÇO GALVANIZADO</t>
  </si>
  <si>
    <t>CAIXA DE INSPEÇÃO DO TERRA CILÍNDRICA EM PVC RÍGIDO, DIÂMETRO DE 300 MM - H= 250 MM</t>
  </si>
  <si>
    <t>PRESILHA EM LATÃO PARA CABOS DE 16 ATÉ 50 MM²</t>
  </si>
  <si>
    <t xml:space="preserve"> 87878 </t>
  </si>
  <si>
    <t>CHAPISCO APLICADO EM ALVENARIAS E ESTRUTURAS DE CONCRETO INTERNAS, COM COLHER DE PEDREIRO.  ARGAMASSA TRAÇO 1:3 COM PREPARO MANUAL. AF_10/2022</t>
  </si>
  <si>
    <t>ARMADURA EM TELA SOLDADA DE AÇO</t>
  </si>
  <si>
    <t>ESMALTE À BASE DE ÁGUA EM MASSA, INCLUSIVE PREPARO</t>
  </si>
  <si>
    <t xml:space="preserve"> 103674 </t>
  </si>
  <si>
    <t>CONCRETAGEM DE VIGAS E LAJES, FCK=25 MPA, PARA LAJES PREMOLDADAS COM USO DE BOMBA - LANÇAMENTO, ADENSAMENTO E ACABAMENTO. AF_02/2022_PS</t>
  </si>
  <si>
    <t>REGISTRO DE ESFERA, PVC, SOLDÁVEL, COM VOLANTE, DN  25 MM - FORNECIMENTO E INSTALAÇÃO. AF_08/2021</t>
  </si>
  <si>
    <t xml:space="preserve"> 87301 </t>
  </si>
  <si>
    <t>ARGAMASSA TRAÇO 1:4 (EM VOLUME DE CIMENTO E AREIA MÉDIA ÚMIDA) PARA CONTRAPISO, PREPARO MECÂNICO COM BETONEIRA 400 L. AF_08/2019</t>
  </si>
  <si>
    <t>ver planilha[052 - O - 2607 - 35 - 001_0.xlsx]Coberturas * 1,011 fator de inclinação</t>
  </si>
  <si>
    <t xml:space="preserve"> 44.03.050 </t>
  </si>
  <si>
    <t>DISPENSER PAPEL HIGIÊNICO EM ABS PARA ROLÃO 300 / 600 M, COM VISOR</t>
  </si>
  <si>
    <t xml:space="preserve"> 44.03.130 </t>
  </si>
  <si>
    <t>SABONETEIRA TIPO DISPENSER, PARA REFIL DE 800 ML</t>
  </si>
  <si>
    <t xml:space="preserve"> 44.03.180 </t>
  </si>
  <si>
    <t>DISPENSER TOALHEIRO EM ABS, PARA FOLHAS</t>
  </si>
  <si>
    <t xml:space="preserve"> 87273 </t>
  </si>
  <si>
    <t>REVESTIMENTO CERÂMICO PARA PAREDES INTERNAS COM PLACAS TIPO ESMALTADA DE DIMENSÕES 33X45 CM APLICADAS NA ALTURA INTEIRA DAS PAREDES. AF_02/2023_PE</t>
  </si>
  <si>
    <t>PEITORIL E/OU SOLEIRA EM GRANITO COM ESPESSURA DE 2 CM E LARGURA ATÉ 20 CM</t>
  </si>
  <si>
    <t>conforme projeto</t>
  </si>
  <si>
    <t>19.01.062</t>
  </si>
  <si>
    <t xml:space="preserve"> 14.1.6 </t>
  </si>
  <si>
    <t xml:space="preserve"> 19.01.062 </t>
  </si>
  <si>
    <t>PEITORIL E/OU SOLEIRA EM GRANITO, ESPESSURA DE 2 CM E LARGURA ATÉ 20 CM, ACABAMENTO POLIDO</t>
  </si>
  <si>
    <t xml:space="preserve"> 1.1.4</t>
  </si>
  <si>
    <t xml:space="preserve"> 1.1.2</t>
  </si>
  <si>
    <t xml:space="preserve"> 1.1.3</t>
  </si>
  <si>
    <t>conforme projeto estrutural - retirado os 10%</t>
  </si>
  <si>
    <t>10 meses</t>
  </si>
  <si>
    <t>54 comprimento *1,93 altura</t>
  </si>
  <si>
    <t>4 pranchas tecnicas</t>
  </si>
  <si>
    <t>conforme projeto estrutural (total vb) - retirado os 10%</t>
  </si>
  <si>
    <t>conforme projeto estrutural (total blocos) - retirado os 10%</t>
  </si>
  <si>
    <t>conforme projeto estrutural (total blocos + total vb) - retirado os 10%</t>
  </si>
  <si>
    <t xml:space="preserve"> 5.3</t>
  </si>
  <si>
    <t>9.5</t>
  </si>
  <si>
    <t>9.5.1</t>
  </si>
  <si>
    <t>ARMAÇÃO DE PILAR OU VIGA DE ESTRUTURA CONVENCIONAL DE CONCRETO ARMADO UTILIZANDO AÇO CA-50 DE 6,3 MM - MONTAGEM. AF_06/2022</t>
  </si>
  <si>
    <t xml:space="preserve"> 5.2</t>
  </si>
  <si>
    <t xml:space="preserve"> 5.4</t>
  </si>
  <si>
    <t xml:space="preserve"> 5.5</t>
  </si>
  <si>
    <t xml:space="preserve"> 5.6</t>
  </si>
  <si>
    <t xml:space="preserve"> 5.7</t>
  </si>
  <si>
    <t xml:space="preserve"> 92760 </t>
  </si>
  <si>
    <t xml:space="preserve"> 5.7 </t>
  </si>
  <si>
    <t>4,26m³ +  1,68m³ ver planilha[052 - O - 2607 - 35 - 001_0.xlsx]Blocos e Vigas Baldrames</t>
  </si>
  <si>
    <t>20,24m³+78,45m³ ver planilha[052 - O - 2607 - 35 - 001_0.xlsx]Blocos e Vigas Baldrames</t>
  </si>
  <si>
    <t>(23,27m³+16,93m³+21,72m³)*3,6 km considerados , ver planilha[052 - O - 2607 - 35 - 001_0.xlsx], aba Estacas,Blocos e Vigas Baldrames</t>
  </si>
  <si>
    <t>FABRICAÇÃO DE FÔRMA PARA VIGAS, EM CHAPA DE MADEIRA COMPENSADA RESINADA, E = 17 MM. AF_09/2020</t>
  </si>
  <si>
    <t xml:space="preserve">ver planilha [052 - O - 2607 - 35 - 001_0.xlsx]Vigas  </t>
  </si>
  <si>
    <t xml:space="preserve">ver planilha[052 - O - 2607 - 35 - 001_0.xlsx]Vigas  </t>
  </si>
  <si>
    <t>(1,3m*2m de altura*10 divisórias) + (0,35m*2*12)</t>
  </si>
  <si>
    <t>07.02.016</t>
  </si>
  <si>
    <t>FORNECIMENTO E MONTAGEM DE ESTRUTURA METALICA COM AÇO RESISTENTE A CORROSAO (ASTM A709/A588)</t>
  </si>
  <si>
    <t>Vidro fantasia de 3/4 mm para WC</t>
  </si>
  <si>
    <t>TUBO, PVC, SOLDÁVEL, DE 20MM, INSTALADO EM DRENO DE AR CONDICIONADO - FORNECIMENTO E INSTALAÇÃO. AF_08/2022</t>
  </si>
  <si>
    <t>07.04.042</t>
  </si>
  <si>
    <t>CUMEEIRA DE ACO GALV NATURAL PERFIL TRAP E=0,5MM H=100MM</t>
  </si>
  <si>
    <t>23.04.570</t>
  </si>
  <si>
    <t>Porta em laminado melamínico estrutural com acabamento texturizado, batente em alumínio com ferragens - 60 x 180 cm</t>
  </si>
  <si>
    <t>24.01.030</t>
  </si>
  <si>
    <t>Caixilho em ferro basculante, sob medida</t>
  </si>
  <si>
    <t>26.01.230</t>
  </si>
  <si>
    <t>REGISTRO DE ESFERA, PVC, SOLDÁVEL, COM VOLANTE, DN  50 MM - FORNECIMENTO E INSTALAÇÃO. AF_08/2021</t>
  </si>
  <si>
    <t>9.2.1</t>
  </si>
  <si>
    <t>9.2.2</t>
  </si>
  <si>
    <t>9.2.3</t>
  </si>
  <si>
    <t>9.2.4</t>
  </si>
  <si>
    <t>REGISTRO GAVETA COM ACABAMENTO E CANOPLA CROMADOS, SIMPLES, BITOLA 1 1/2"</t>
  </si>
  <si>
    <t>9.2.5</t>
  </si>
  <si>
    <t>9.2.6</t>
  </si>
  <si>
    <t>9.2.7</t>
  </si>
  <si>
    <t>CANALETA MEIA CANA PRÉ-MOLDADA DE CONCRETO (D = 20 CM) - FORNECIMENTO E INSTALAÇÃO. AF_08/2021</t>
  </si>
  <si>
    <t>SIURB-EDIF</t>
  </si>
  <si>
    <t>ESPELHO E=3MM COM MOLDURA DE ALUMÍNIO (0,35MX0,60M)</t>
  </si>
  <si>
    <t>CUBA DE EMBUTIR OVAL EM LOUÇA BRANCA, 35 X 50CM OU EQUIVALENTE, INCLUSO VÁLVULA E SIFÃO TIPO GARRAFA EM METAL CROMADO - FORNECIMENTO E INSTALAÇÃO. AF_01/2020</t>
  </si>
  <si>
    <t>09.02.043</t>
  </si>
  <si>
    <t>DPS - DISPOSITIVO PROTECAO CONTRA SURTOS (ENERGIA)</t>
  </si>
  <si>
    <t>09.05.022</t>
  </si>
  <si>
    <t>ELETROCALHA LISA CHAPA 24 (0,65MM) PRE ZINCADA 100X50MM INCL. ACESSORIOS E TAMPA DE ENCAIXE .</t>
  </si>
  <si>
    <t>09.85.066</t>
  </si>
  <si>
    <t>LAMPADA BULBO LED  &lt;= 13W ROSCA E 27  BIVOLT. TEMPERATURA COR 3000ºK.</t>
  </si>
  <si>
    <t>INTERRUPTOR SIMPLES (3 MÓDULOS), 10A/250V, INCLUINDO SUPORTE E PLACA - FORNECIMENTO E INSTALAÇÃO. AF_03/2023</t>
  </si>
  <si>
    <t>43.07.340</t>
  </si>
  <si>
    <t>Ar condicionado a frio, tipo split parede com capacidade de 18.000 BTU/h</t>
  </si>
  <si>
    <t>FORROS</t>
  </si>
  <si>
    <t>11.1</t>
  </si>
  <si>
    <t xml:space="preserve"> 11.1.1</t>
  </si>
  <si>
    <t xml:space="preserve"> 11.1.2</t>
  </si>
  <si>
    <t xml:space="preserve"> 11.2</t>
  </si>
  <si>
    <t>FORRO FIBRA MINERAL</t>
  </si>
  <si>
    <t>11.2.1</t>
  </si>
  <si>
    <t>11.18.040</t>
  </si>
  <si>
    <t>Lastro de pedra britada</t>
  </si>
  <si>
    <t>17.01.040</t>
  </si>
  <si>
    <t>Lastro de concreto impermeabilizado</t>
  </si>
  <si>
    <t>REVESTIMENTO CERÂMICO PARA PISO COM PLACAS TIPO PORCELANATO DE DIMENSÕES 60X60 CM APLICADA EM AMBIENTES DE ÁREA MAIOR QUE 10 M². AF_02/2023_PE</t>
  </si>
  <si>
    <t>18.08.100</t>
  </si>
  <si>
    <t>Rodapé em porcelanato esmaltado acetinado para área interna e ambiente com acesso ao exterior, grupo de absorção BIa, resistência química B, assentado com argamassa colante industrializada, rejuntado</t>
  </si>
  <si>
    <t>LASTRO COM MATERIAL GRANULAR, APLICADO EM PISOS OU LAJES SOBRE SOLO, ESPESSURA DE *5 CM*. AF_01/2024</t>
  </si>
  <si>
    <t>581,77m² *13 kg  ver planilha[052 - O - 2607 - 35 - 001_0.xlsx]Coberturas</t>
  </si>
  <si>
    <t>30,2m de comprimento</t>
  </si>
  <si>
    <t>8,54m² *13 kg  ver planilha[052 - O - 2607 - 35 - 001_0.xlsx]Coberturas</t>
  </si>
  <si>
    <t>15,57m² *13 kg ver planilha[052 - O - 2607 - 35 - 001_0.xlsx]Coberturas</t>
  </si>
  <si>
    <t>6 unidades * 2 banheiros</t>
  </si>
  <si>
    <t xml:space="preserve"> 8.2.2</t>
  </si>
  <si>
    <t xml:space="preserve"> 8.2.3</t>
  </si>
  <si>
    <t xml:space="preserve"> 8.2.4</t>
  </si>
  <si>
    <t xml:space="preserve"> 8.2.5</t>
  </si>
  <si>
    <t xml:space="preserve"> 8.2.6</t>
  </si>
  <si>
    <t xml:space="preserve"> 10.1.2</t>
  </si>
  <si>
    <t xml:space="preserve"> 10.1.3</t>
  </si>
  <si>
    <t xml:space="preserve"> 10.1.4</t>
  </si>
  <si>
    <t xml:space="preserve"> 10.1.5</t>
  </si>
  <si>
    <t xml:space="preserve"> 10.1.6</t>
  </si>
  <si>
    <t xml:space="preserve"> 10.1.7</t>
  </si>
  <si>
    <t xml:space="preserve"> 10.1.8</t>
  </si>
  <si>
    <t xml:space="preserve"> 10.1.9</t>
  </si>
  <si>
    <t xml:space="preserve"> 10.1.10</t>
  </si>
  <si>
    <t xml:space="preserve"> 10.1.11</t>
  </si>
  <si>
    <t xml:space="preserve"> 10.1.12</t>
  </si>
  <si>
    <t xml:space="preserve"> 10.1.13</t>
  </si>
  <si>
    <t xml:space="preserve"> 10.1.14</t>
  </si>
  <si>
    <t xml:space="preserve"> 10.1.15</t>
  </si>
  <si>
    <t xml:space="preserve"> 10.1.16</t>
  </si>
  <si>
    <t xml:space="preserve"> 10.1.17</t>
  </si>
  <si>
    <t xml:space="preserve"> 10.1.18</t>
  </si>
  <si>
    <t xml:space="preserve"> 10.1.19</t>
  </si>
  <si>
    <t xml:space="preserve"> 10.1.20</t>
  </si>
  <si>
    <t xml:space="preserve"> 10.1.21</t>
  </si>
  <si>
    <t xml:space="preserve"> 10.1.22</t>
  </si>
  <si>
    <t xml:space="preserve"> 10.1.23</t>
  </si>
  <si>
    <t xml:space="preserve"> 10.1.24</t>
  </si>
  <si>
    <t xml:space="preserve"> 10.1.25</t>
  </si>
  <si>
    <t xml:space="preserve"> 10.1.26</t>
  </si>
  <si>
    <t xml:space="preserve"> 10.1.27</t>
  </si>
  <si>
    <t xml:space="preserve"> 10.1.28</t>
  </si>
  <si>
    <t xml:space="preserve"> 10.1.29</t>
  </si>
  <si>
    <t xml:space="preserve"> 10.1.30</t>
  </si>
  <si>
    <t xml:space="preserve"> 10.1.31</t>
  </si>
  <si>
    <t xml:space="preserve"> 10.1.32</t>
  </si>
  <si>
    <t xml:space="preserve"> 10.1.33</t>
  </si>
  <si>
    <t xml:space="preserve"> 10.1.34</t>
  </si>
  <si>
    <t xml:space="preserve"> 10.1.35</t>
  </si>
  <si>
    <t xml:space="preserve"> 10.1.36</t>
  </si>
  <si>
    <t xml:space="preserve"> 10.1.37</t>
  </si>
  <si>
    <t>(529,38m² da área de piso*0,02m de espessura)</t>
  </si>
  <si>
    <t>(529,38m² da área de piso*0,05m de espessura)</t>
  </si>
  <si>
    <t>(529,38m² da área de piso*0,03m de espessura)</t>
  </si>
  <si>
    <t>14.1.1</t>
  </si>
  <si>
    <t>14.1.2</t>
  </si>
  <si>
    <t>14.1.3</t>
  </si>
  <si>
    <t>14.1.4</t>
  </si>
  <si>
    <t>14.1.5</t>
  </si>
  <si>
    <t>14.1.6</t>
  </si>
  <si>
    <t>14.1.7</t>
  </si>
  <si>
    <t>quantidade estimada área recomposição</t>
  </si>
  <si>
    <t>conforme projeto estrutural (total  total vb) - retirado os 10%</t>
  </si>
  <si>
    <t xml:space="preserve"> 104916 </t>
  </si>
  <si>
    <t>ARMAÇÃO DE SAPATA ISOLADA, VIGA BALDRAME E SAPATA CORRIDA UTILIZANDO AÇO CA-60 DE 5 MM - MONTAGEM. AF_01/2024</t>
  </si>
  <si>
    <t xml:space="preserve"> 4.2.13 </t>
  </si>
  <si>
    <t xml:space="preserve"> 92265 </t>
  </si>
  <si>
    <t xml:space="preserve"> 5.8 </t>
  </si>
  <si>
    <t xml:space="preserve"> 07.04.042 </t>
  </si>
  <si>
    <t xml:space="preserve"> 7.1.5 </t>
  </si>
  <si>
    <t xml:space="preserve"> 7.3.4 </t>
  </si>
  <si>
    <t xml:space="preserve"> 23.04.570 </t>
  </si>
  <si>
    <t>PORTA EM LAMINADO MELAMÍNICO ESTRUTURAL COM ACABAMENTO TEXTURIZADO, BATENTE EM ALUMÍNIO COM FERRAGENS - 60 X 180 CM</t>
  </si>
  <si>
    <t xml:space="preserve"> 8.2.5 </t>
  </si>
  <si>
    <t xml:space="preserve"> 26.01.230 </t>
  </si>
  <si>
    <t>VIDRO FANTASIA DE 3/4 MM</t>
  </si>
  <si>
    <t xml:space="preserve"> 8.2.6 </t>
  </si>
  <si>
    <t xml:space="preserve"> 94492 </t>
  </si>
  <si>
    <t xml:space="preserve"> 94794 </t>
  </si>
  <si>
    <t>REGISTRO DE GAVETA BRUTO, LATÃO, ROSCÁVEL, 1 1/2", COM ACABAMENTO E CANOPLA CROMADOS - FORNECIMENTO E INSTALAÇÃO. AF_08/2021</t>
  </si>
  <si>
    <t xml:space="preserve"> 9.2.6 </t>
  </si>
  <si>
    <t xml:space="preserve"> 9.2.7 </t>
  </si>
  <si>
    <t xml:space="preserve"> 104315 </t>
  </si>
  <si>
    <t xml:space="preserve"> 9.5.2 </t>
  </si>
  <si>
    <t xml:space="preserve"> 9.5.3 </t>
  </si>
  <si>
    <t xml:space="preserve"> 9.5.4 </t>
  </si>
  <si>
    <t xml:space="preserve"> 14001072 </t>
  </si>
  <si>
    <t xml:space="preserve"> 9.5.5 </t>
  </si>
  <si>
    <t xml:space="preserve"> 86938 </t>
  </si>
  <si>
    <t xml:space="preserve"> 9.5.6 </t>
  </si>
  <si>
    <t xml:space="preserve"> 9.5.7 </t>
  </si>
  <si>
    <t xml:space="preserve"> 9.5.8 </t>
  </si>
  <si>
    <t xml:space="preserve"> 9.5.9 </t>
  </si>
  <si>
    <t xml:space="preserve"> 10.1.36 </t>
  </si>
  <si>
    <t xml:space="preserve"> 10.1.37 </t>
  </si>
  <si>
    <t xml:space="preserve"> 11.1.1 </t>
  </si>
  <si>
    <t xml:space="preserve"> 11.1.2 </t>
  </si>
  <si>
    <t xml:space="preserve"> 11.18.040 </t>
  </si>
  <si>
    <t>LASTRO DE PEDRA BRITADA</t>
  </si>
  <si>
    <t xml:space="preserve"> 17.01.040 </t>
  </si>
  <si>
    <t>LASTRO DE CONCRETO IMPERMEABILIZADO</t>
  </si>
  <si>
    <t xml:space="preserve"> 87263 </t>
  </si>
  <si>
    <t xml:space="preserve"> 18.08.100 </t>
  </si>
  <si>
    <t>RODAPÉ EM PORCELANATO ESMALTADO ACETINADO PARA ÁREA INTERNA E AMBIENTE COM ACESSO AO EXTERIOR, GRUPO DE ABSORÇÃO BIA, RESISTÊNCIA QUÍMICA B, ASSENTADO COM ARGAMASSA COLANTE INDUSTRIALIZADA, REJUNTADO</t>
  </si>
  <si>
    <t xml:space="preserve"> 14.1.7 </t>
  </si>
  <si>
    <t>Arquivo:  052 - O - 2607 - 20 - 001_2</t>
  </si>
  <si>
    <t>Data Base: Abril de 2025</t>
  </si>
  <si>
    <t>Total Por Etapa</t>
  </si>
  <si>
    <t>30 DIAS</t>
  </si>
  <si>
    <t>60 DIAS</t>
  </si>
  <si>
    <t>90 DIAS</t>
  </si>
  <si>
    <t>120 DIAS</t>
  </si>
  <si>
    <t>150 DIAS</t>
  </si>
  <si>
    <t>180 DIAS</t>
  </si>
  <si>
    <t>210 DIAS</t>
  </si>
  <si>
    <t>240 DIAS</t>
  </si>
  <si>
    <t>270 DIAS</t>
  </si>
  <si>
    <t>300 DIAS</t>
  </si>
  <si>
    <t>Porcentagem</t>
  </si>
  <si>
    <t>Custo</t>
  </si>
  <si>
    <t>Porcentagem Acumulado</t>
  </si>
  <si>
    <t>Custo Acumulado</t>
  </si>
  <si>
    <t xml:space="preserve"> 6.2</t>
  </si>
  <si>
    <t xml:space="preserve"> 6.3</t>
  </si>
  <si>
    <t xml:space="preserve"> 6.4</t>
  </si>
  <si>
    <t>ALVENARIA DE EMBASAMENTO CERAMICO ESTRUTURAL</t>
  </si>
  <si>
    <t xml:space="preserve"> 14.01.060 </t>
  </si>
  <si>
    <t xml:space="preserve"> 7.1.3</t>
  </si>
  <si>
    <t xml:space="preserve"> 7.1.4</t>
  </si>
  <si>
    <t xml:space="preserve"> 7.1.5</t>
  </si>
  <si>
    <t xml:space="preserve"> 93205 </t>
  </si>
  <si>
    <t>CINTA DE AMARRAÇÃO DE ALVENARIA MOLDADA IN LOCO COM UTILIZAÇÃO DE BLOCOS CANALETA, ESPESSURA DE *20* CM. AF_03/2024</t>
  </si>
  <si>
    <t xml:space="preserve"> 6.5 </t>
  </si>
  <si>
    <t xml:space="preserve"> 07.02.016 </t>
  </si>
  <si>
    <t xml:space="preserve"> 24.01.030 </t>
  </si>
  <si>
    <t>CAIXILHO EM FERRO BASCULANTE, SOB MEDIDA</t>
  </si>
  <si>
    <t>CINTA DE AMARRAÇAO DE AVENARIA MOLDADA IN LOCO COM BLOCO CANALETA</t>
  </si>
  <si>
    <t>44.01.820</t>
  </si>
  <si>
    <t>Bacia sifonada com caixa de descarga acoplada com tampa - 6 litros</t>
  </si>
  <si>
    <t>9.4</t>
  </si>
  <si>
    <t>9.4.1</t>
  </si>
  <si>
    <t>9.5.2</t>
  </si>
  <si>
    <t>9.5.3</t>
  </si>
  <si>
    <t>9.5.4</t>
  </si>
  <si>
    <t>9.5.5</t>
  </si>
  <si>
    <t>9.5.6</t>
  </si>
  <si>
    <t>9.5.7</t>
  </si>
  <si>
    <t>9.5.8</t>
  </si>
  <si>
    <t>9.5.9</t>
  </si>
  <si>
    <t>0,6*0,35*10 unid</t>
  </si>
  <si>
    <t>09.02.053</t>
  </si>
  <si>
    <t>AE-23 ABRIGO E ENTRADA DE ENERGIA (CAIXA M, T  e IV) COM LEITURA VOLTADA PARA CALÇADA - CPFL, EDP BANDEIRANTE E ELEKTRO</t>
  </si>
  <si>
    <t>ELETRODUTO RÍGIDO ROSCÁVEL, PVC, DN 50 MM (1 1/2"), PARA REDE ENTERRADA DE DISTRIBUIÇÃO DE ENERGIA ELÉTRICA - FORNECIMENTO E INSTALAÇÃO. AF_12/2021</t>
  </si>
  <si>
    <t>QUADRO DE DISTRIBUIÇÃO DE ENERGIA EM CHAPA DE AÇO GALVANIZADO, DE EMBUTIR, COM BARRAMENTO TRIFÁSICO, PARA 40 DISJUNTORES DIN 100A - FORNECIMENTO E INSTALAÇÃO. AF_10/2020</t>
  </si>
  <si>
    <t>DISJUNTOR MONOPOLAR TIPO DIN, CORRENTE NOMINAL DE 10A - FORNECIMENTO E INSTALAÇÃO. AF_10/2020</t>
  </si>
  <si>
    <t>41.14.430</t>
  </si>
  <si>
    <t>Luminária quadrada de embutir tipo calha aberta, com refletor e aleta parabólicas em alumínio de alto brilho, para 4 lâmpadas led de 18 W</t>
  </si>
  <si>
    <t>41.02.551</t>
  </si>
  <si>
    <t>Lâmpada LED tubular T8 com base G13, de 1850 até 2000 Im - 18 a 20 W</t>
  </si>
  <si>
    <t>41.14.070</t>
  </si>
  <si>
    <t>Luminária retangular de sobrepor tipo calha aberta, para 2 lâmpadas led tubulares de 32 W</t>
  </si>
  <si>
    <t>41.02.562</t>
  </si>
  <si>
    <t>Lâmpada LED tubular T8 com base G13, de 3400 até 4000 Im - 32 W</t>
  </si>
  <si>
    <t>INTERRUPTOR PARALELO (3 MÓDULOS), 10A/250V, INCLUINDO SUPORTE E PLACA - FORNECIMENTO E INSTALAÇÃO. AF_03/2023</t>
  </si>
  <si>
    <t xml:space="preserve">ILUMINAÇÃO DE EMERGÊNCIA </t>
  </si>
  <si>
    <t>648*0,15</t>
  </si>
  <si>
    <t>(129,6*1,3)+(97,20*1,3)+(194,4*1,3)*3,6</t>
  </si>
  <si>
    <t xml:space="preserve"> 5.9</t>
  </si>
  <si>
    <t xml:space="preserve"> 7.2.2</t>
  </si>
  <si>
    <t xml:space="preserve"> 7.2.3</t>
  </si>
  <si>
    <t xml:space="preserve"> 7.2.4</t>
  </si>
  <si>
    <t>25.01.120</t>
  </si>
  <si>
    <t>Caixilho tipo veneziana industrial com montantes em alumínio e aletas em fibra de vidro</t>
  </si>
  <si>
    <t>14.2.3</t>
  </si>
  <si>
    <t xml:space="preserve"> 14.2.2</t>
  </si>
  <si>
    <t xml:space="preserve"> 14.2.3</t>
  </si>
  <si>
    <t>TOTAL GERAL</t>
  </si>
  <si>
    <t>CDHU</t>
  </si>
  <si>
    <t>04.01.043</t>
  </si>
  <si>
    <t>ALVENARIA DE BLOCO CERAMICO PORTANTE E=19CM</t>
  </si>
  <si>
    <t>Alexandre R. Gaino</t>
  </si>
  <si>
    <t>Eng. Civil</t>
  </si>
  <si>
    <t>Obra: AMPLIAÇÃO 7 SALAS EMEIF PREF ANTONIO FILIER</t>
  </si>
  <si>
    <t>TORNEIRA CROMADA DE MESA, 1/2" OU 3/4", PARA LAVATÓRIO, PADRÃO MÉDIO - FORNECIMENTO E INSTALAÇÃO. AF_01/2020</t>
  </si>
  <si>
    <t xml:space="preserve"> 16.1 </t>
  </si>
  <si>
    <t>Laje pré-fabricada mista vigota treliçada/lajota cerâmica - LT 16 (12+4) e capa com concreto de 25 MPa</t>
  </si>
  <si>
    <t>13.01.150</t>
  </si>
  <si>
    <t>ESCAVAÇÃO MECANIZADA DE VALA COM PROF. ATÉ 1,5 M (MÉDIA MONTANTE E JUSANTE/UMA COMPOSIÇÃO POR TRECHO), ESCAVADEIRA (0,8 M3),LARG. ATÉ 1,5 M, EM SOLO DE 2A CATEGORIA, EM LOCAIS COM ALTO NÍVEL DE INTERFERÊNCIA. AF_09/2024</t>
  </si>
  <si>
    <t>Forro em fibra mineral NRC 0.55 acústico, revestido em látex</t>
  </si>
  <si>
    <t>22.03.030</t>
  </si>
  <si>
    <t>Telhamento em chapa de aço pré-pintada com epóxi e poliéster, tipo sanduíche, espessura de 0,50 mm, com poliisocianurato (PIR)</t>
  </si>
  <si>
    <t>Telhamento em chapa de aço pré-pintada com epóxi e poliéster, perfil trapezoidal, com espessura de 0,50 mm e altura de 40 mm</t>
  </si>
  <si>
    <t>16.12.060</t>
  </si>
  <si>
    <t>77,55m² *0,05m de espessura de lastro</t>
  </si>
  <si>
    <t>77,55*1,48KG/M²</t>
  </si>
  <si>
    <t>5.9</t>
  </si>
  <si>
    <t>5.10</t>
  </si>
  <si>
    <t xml:space="preserve"> 5.8</t>
  </si>
  <si>
    <t xml:space="preserve"> 5.10</t>
  </si>
  <si>
    <t>ARMADURA EM TELA SOLDADA DE AÇO Q92</t>
  </si>
  <si>
    <t>área da laje x 1,48</t>
  </si>
  <si>
    <t>Forro em fibra mineral NRC 0.55 acústico, revestido em látex instalado</t>
  </si>
  <si>
    <t>SOLEIRA EM GRANITO, ESPESSURA DE 2 CM E LARGURA ATÉ 20 CM, ACABAMENTO POLIDO</t>
  </si>
  <si>
    <t>Alexandre Rogério Gaino</t>
  </si>
  <si>
    <t>ITENS DE MAIOR RELEVÂNCIA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</si>
</sst>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R$&quot;\ * #,##0.00_-;\-&quot;R$&quot;\ * #,##0.00_-;_-&quot;R$&quot;\ * &quot;-&quot;??_-;_-@_-"/>
    <numFmt numFmtId="43" formatCode="_-* #,##0.00_-;\-* #,##0.00_-;_-* &quot;-&quot;??_-;_-@_-"/>
    <numFmt numFmtId="164" formatCode="_(&quot;R$ &quot;* #,##0.00_);_(&quot;R$ &quot;* \(#,##0.00\);_(&quot;R$ &quot;* &quot;-&quot;??_);_(@_)"/>
    <numFmt numFmtId="165" formatCode="_(* #,##0.00_);_(* \(#,##0.00\);_(* \-??_);_(@_)"/>
    <numFmt numFmtId="166" formatCode="_(&quot;R$&quot;* #,##0.00_);_(&quot;R$&quot;* \(#,##0.00\);_(&quot;R$&quot;* \-??_);_(@_)"/>
    <numFmt numFmtId="167" formatCode="0.0"/>
    <numFmt numFmtId="168" formatCode="#,##0.00\ ;&quot; (&quot;#,##0.00\);&quot; -&quot;#\ ;@\ "/>
    <numFmt numFmtId="169" formatCode="General;General;"/>
    <numFmt numFmtId="170" formatCode="[$-F800]dddd\,\ mmmm\ dd\,\ yyyy"/>
    <numFmt numFmtId="171" formatCode="dd\ &quot;de&quot;\ mmmm\ &quot;de&quot;\ yyyy"/>
    <numFmt numFmtId="172" formatCode="#,##0.00\ %"/>
  </numFmts>
  <fonts count="42" x14ac:knownFonts="1">
    <font>
      <sz val="11"/>
      <name val="Arial"/>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name val="Arial"/>
      <family val="1"/>
    </font>
    <font>
      <b/>
      <sz val="10"/>
      <color rgb="FF000000"/>
      <name val="Arial"/>
      <family val="1"/>
    </font>
    <font>
      <sz val="10"/>
      <color rgb="FF000000"/>
      <name val="Arial"/>
      <family val="1"/>
    </font>
    <font>
      <sz val="10"/>
      <name val="Arial"/>
      <family val="1"/>
    </font>
    <font>
      <b/>
      <sz val="10"/>
      <name val="Arial"/>
      <family val="1"/>
    </font>
    <font>
      <sz val="11"/>
      <name val="Arial"/>
      <family val="1"/>
    </font>
    <font>
      <sz val="10"/>
      <name val="Arial"/>
      <family val="2"/>
    </font>
    <font>
      <sz val="11"/>
      <name val="Arial"/>
      <family val="2"/>
    </font>
    <font>
      <sz val="10"/>
      <name val="Arial"/>
      <family val="2"/>
      <charset val="1"/>
    </font>
    <font>
      <sz val="10"/>
      <name val="MS Sans Serif"/>
      <family val="2"/>
    </font>
    <font>
      <sz val="12"/>
      <name val="Arial Narrow"/>
      <family val="2"/>
    </font>
    <font>
      <b/>
      <sz val="12"/>
      <name val="Arial Narrow"/>
      <family val="2"/>
    </font>
    <font>
      <b/>
      <sz val="10"/>
      <name val="Arial"/>
      <family val="2"/>
    </font>
    <font>
      <b/>
      <sz val="12"/>
      <name val="Arial"/>
      <family val="2"/>
    </font>
    <font>
      <b/>
      <sz val="10"/>
      <color indexed="12"/>
      <name val="Arial"/>
      <family val="2"/>
    </font>
    <font>
      <sz val="9"/>
      <name val="Arial"/>
      <family val="2"/>
    </font>
    <font>
      <b/>
      <u/>
      <sz val="15"/>
      <name val="Arial"/>
      <family val="2"/>
    </font>
    <font>
      <b/>
      <sz val="11"/>
      <name val="Arial"/>
      <family val="2"/>
    </font>
    <font>
      <b/>
      <sz val="20"/>
      <color indexed="10"/>
      <name val="Arial"/>
      <family val="2"/>
    </font>
    <font>
      <b/>
      <sz val="12"/>
      <color indexed="10"/>
      <name val="Arial"/>
      <family val="2"/>
    </font>
    <font>
      <sz val="11"/>
      <color indexed="9"/>
      <name val="Arial"/>
      <family val="2"/>
    </font>
    <font>
      <b/>
      <sz val="11"/>
      <color indexed="12"/>
      <name val="Arial"/>
      <family val="2"/>
    </font>
    <font>
      <b/>
      <sz val="18"/>
      <name val="Arial"/>
      <family val="2"/>
    </font>
    <font>
      <sz val="10.5"/>
      <name val="Arial"/>
      <family val="2"/>
    </font>
    <font>
      <i/>
      <sz val="12"/>
      <name val="Calibri"/>
      <family val="2"/>
    </font>
    <font>
      <i/>
      <u/>
      <sz val="12"/>
      <name val="Calibri"/>
      <family val="2"/>
    </font>
    <font>
      <u/>
      <sz val="10"/>
      <name val="Arial"/>
      <family val="2"/>
    </font>
    <font>
      <sz val="12"/>
      <name val="Arial"/>
      <family val="2"/>
    </font>
    <font>
      <u/>
      <sz val="10"/>
      <color theme="10"/>
      <name val="Arial"/>
      <family val="2"/>
    </font>
    <font>
      <sz val="8"/>
      <name val="Arial"/>
      <family val="1"/>
    </font>
    <font>
      <sz val="10"/>
      <name val="Arial Narrow"/>
      <family val="2"/>
    </font>
    <font>
      <sz val="8"/>
      <name val="Arial Narrow"/>
      <family val="2"/>
    </font>
    <font>
      <b/>
      <sz val="15"/>
      <name val="Arial"/>
      <family val="1"/>
    </font>
    <font>
      <sz val="10"/>
      <color rgb="FF000000"/>
      <name val="Arial"/>
      <family val="2"/>
    </font>
    <font>
      <sz val="11"/>
      <color rgb="FF000000"/>
      <name val="Arial"/>
      <family val="1"/>
    </font>
    <font>
      <b/>
      <sz val="14"/>
      <name val="Arial"/>
      <family val="2"/>
    </font>
  </fonts>
  <fills count="12">
    <fill>
      <patternFill patternType="none"/>
    </fill>
    <fill>
      <patternFill patternType="gray125"/>
    </fill>
    <fill>
      <patternFill patternType="solid">
        <fgColor rgb="FFFFFFFF"/>
      </patternFill>
    </fill>
    <fill>
      <patternFill patternType="solid">
        <fgColor indexed="9"/>
        <bgColor indexed="64"/>
      </patternFill>
    </fill>
    <fill>
      <patternFill patternType="solid">
        <fgColor indexed="43"/>
        <bgColor indexed="64"/>
      </patternFill>
    </fill>
    <fill>
      <patternFill patternType="solid">
        <fgColor rgb="FF929496"/>
      </patternFill>
    </fill>
    <fill>
      <patternFill patternType="solid">
        <fgColor rgb="FF969696"/>
      </patternFill>
    </fill>
    <fill>
      <patternFill patternType="solid">
        <fgColor rgb="FFFAFAFA"/>
      </patternFill>
    </fill>
    <fill>
      <patternFill patternType="solid">
        <fgColor rgb="FFFF0000"/>
        <bgColor indexed="64"/>
      </patternFill>
    </fill>
    <fill>
      <patternFill patternType="solid">
        <fgColor rgb="FFFFFFFF"/>
        <bgColor rgb="FFFFFFFF"/>
      </patternFill>
    </fill>
    <fill>
      <patternFill patternType="solid">
        <fgColor rgb="FF969696"/>
        <bgColor rgb="FF969696"/>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5">
    <xf numFmtId="0" fontId="0" fillId="0" borderId="0"/>
    <xf numFmtId="0" fontId="5" fillId="0" borderId="0"/>
    <xf numFmtId="9" fontId="5"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0" fontId="14" fillId="0" borderId="0"/>
    <xf numFmtId="0" fontId="12" fillId="0" borderId="0"/>
    <xf numFmtId="0" fontId="12" fillId="0" borderId="0"/>
    <xf numFmtId="9" fontId="14" fillId="0" borderId="0"/>
    <xf numFmtId="166" fontId="14" fillId="0" borderId="0"/>
    <xf numFmtId="165" fontId="14" fillId="0" borderId="0"/>
    <xf numFmtId="165" fontId="14" fillId="0" borderId="0"/>
    <xf numFmtId="0" fontId="14" fillId="0" borderId="0"/>
    <xf numFmtId="44" fontId="12" fillId="0" borderId="0" applyFill="0" applyBorder="0" applyAlignment="0" applyProtection="0"/>
    <xf numFmtId="0" fontId="15" fillId="0" borderId="0"/>
    <xf numFmtId="164" fontId="12"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12" fillId="0" borderId="0" applyFont="0" applyFill="0" applyBorder="0" applyAlignment="0" applyProtection="0"/>
    <xf numFmtId="44" fontId="12" fillId="0" borderId="0" applyFill="0" applyBorder="0" applyAlignment="0" applyProtection="0"/>
    <xf numFmtId="0" fontId="11" fillId="0" borderId="0"/>
    <xf numFmtId="0" fontId="4" fillId="0" borderId="0"/>
    <xf numFmtId="0" fontId="3" fillId="0" borderId="0"/>
    <xf numFmtId="168" fontId="12" fillId="0" borderId="0"/>
    <xf numFmtId="43" fontId="2" fillId="0" borderId="0" applyFont="0" applyFill="0" applyBorder="0" applyAlignment="0" applyProtection="0"/>
    <xf numFmtId="44" fontId="2" fillId="0" borderId="0" applyFont="0" applyFill="0" applyBorder="0" applyAlignment="0" applyProtection="0"/>
    <xf numFmtId="0" fontId="1" fillId="0" borderId="0"/>
    <xf numFmtId="0" fontId="21" fillId="0" borderId="0"/>
    <xf numFmtId="164" fontId="12" fillId="0" borderId="0" applyFont="0" applyFill="0" applyBorder="0" applyAlignment="0" applyProtection="0"/>
    <xf numFmtId="0" fontId="34" fillId="0" borderId="0" applyNumberFormat="0" applyFill="0" applyBorder="0" applyAlignment="0" applyProtection="0"/>
    <xf numFmtId="164" fontId="12" fillId="0" borderId="0" applyFill="0" applyBorder="0" applyAlignment="0" applyProtection="0"/>
    <xf numFmtId="164" fontId="12" fillId="0" borderId="0" applyFill="0" applyBorder="0" applyAlignment="0" applyProtection="0"/>
    <xf numFmtId="43" fontId="11" fillId="0" borderId="0" applyFont="0" applyFill="0" applyBorder="0" applyAlignment="0" applyProtection="0"/>
    <xf numFmtId="9" fontId="11" fillId="0" borderId="0" applyFont="0" applyFill="0" applyBorder="0" applyAlignment="0" applyProtection="0"/>
  </cellStyleXfs>
  <cellXfs count="206">
    <xf numFmtId="0" fontId="0" fillId="0" borderId="0" xfId="0"/>
    <xf numFmtId="167" fontId="16" fillId="3" borderId="0" xfId="7" applyNumberFormat="1" applyFont="1" applyFill="1" applyAlignment="1">
      <alignment horizontal="left" vertical="center"/>
    </xf>
    <xf numFmtId="0" fontId="6" fillId="2" borderId="0" xfId="0" applyFont="1" applyFill="1" applyAlignment="1">
      <alignment horizontal="left" vertical="top" wrapText="1"/>
    </xf>
    <xf numFmtId="0" fontId="10" fillId="2" borderId="0" xfId="0" applyFont="1" applyFill="1" applyAlignment="1">
      <alignment horizontal="left" vertical="top" wrapText="1"/>
    </xf>
    <xf numFmtId="0" fontId="13" fillId="0" borderId="1" xfId="7" applyFont="1" applyBorder="1" applyAlignment="1">
      <alignment horizontal="center" vertical="center"/>
    </xf>
    <xf numFmtId="10" fontId="13" fillId="4" borderId="1" xfId="7" applyNumberFormat="1" applyFont="1" applyFill="1" applyBorder="1" applyAlignment="1" applyProtection="1">
      <alignment horizontal="center" vertical="center"/>
      <protection locked="0"/>
    </xf>
    <xf numFmtId="10" fontId="13" fillId="0" borderId="1" xfId="7" applyNumberFormat="1" applyFont="1" applyBorder="1" applyAlignment="1">
      <alignment horizontal="center" vertical="center"/>
    </xf>
    <xf numFmtId="0" fontId="13" fillId="0" borderId="1" xfId="7" applyFont="1" applyBorder="1" applyAlignment="1">
      <alignment horizontal="center" vertical="center" wrapText="1"/>
    </xf>
    <xf numFmtId="0" fontId="10" fillId="0" borderId="0" xfId="0" applyFont="1" applyAlignment="1">
      <alignment horizontal="left" vertical="center" wrapText="1"/>
    </xf>
    <xf numFmtId="0" fontId="10" fillId="2" borderId="0" xfId="0" applyFont="1" applyFill="1" applyAlignment="1">
      <alignment horizontal="center" vertical="top" wrapText="1"/>
    </xf>
    <xf numFmtId="0" fontId="6" fillId="2" borderId="0" xfId="0" applyFont="1" applyFill="1" applyAlignment="1">
      <alignment horizontal="left" vertical="center" wrapText="1"/>
    </xf>
    <xf numFmtId="0" fontId="0" fillId="0" borderId="0" xfId="0" applyAlignment="1">
      <alignment horizontal="center" vertical="center"/>
    </xf>
    <xf numFmtId="0" fontId="10" fillId="2" borderId="0" xfId="0" applyFont="1" applyFill="1" applyAlignment="1">
      <alignment horizontal="center" vertical="center" wrapText="1"/>
    </xf>
    <xf numFmtId="0" fontId="6" fillId="2" borderId="0" xfId="0" applyFont="1" applyFill="1" applyAlignment="1">
      <alignment vertical="center" wrapText="1"/>
    </xf>
    <xf numFmtId="167" fontId="17" fillId="3" borderId="0" xfId="7" applyNumberFormat="1" applyFont="1" applyFill="1" applyAlignment="1">
      <alignment horizontal="left" vertical="center"/>
    </xf>
    <xf numFmtId="43" fontId="6" fillId="2" borderId="0" xfId="0" applyNumberFormat="1" applyFont="1" applyFill="1" applyAlignment="1">
      <alignment horizontal="right" vertical="center" wrapText="1"/>
    </xf>
    <xf numFmtId="43" fontId="0" fillId="0" borderId="0" xfId="0" applyNumberFormat="1" applyAlignment="1">
      <alignment vertical="center"/>
    </xf>
    <xf numFmtId="49" fontId="10" fillId="2" borderId="0" xfId="0" applyNumberFormat="1" applyFont="1" applyFill="1" applyAlignment="1">
      <alignment horizontal="left" vertical="center"/>
    </xf>
    <xf numFmtId="43" fontId="10" fillId="0" borderId="0" xfId="0" applyNumberFormat="1" applyFont="1" applyAlignment="1">
      <alignment horizontal="left" vertical="center" wrapText="1"/>
    </xf>
    <xf numFmtId="10" fontId="6" fillId="2" borderId="0" xfId="0" applyNumberFormat="1" applyFont="1" applyFill="1" applyAlignment="1">
      <alignment horizontal="left" vertical="center" wrapText="1"/>
    </xf>
    <xf numFmtId="0" fontId="10" fillId="2" borderId="0" xfId="0" applyFont="1" applyFill="1" applyAlignment="1">
      <alignment horizontal="left" vertical="center" wrapText="1"/>
    </xf>
    <xf numFmtId="0" fontId="6" fillId="2" borderId="0" xfId="0" applyFont="1" applyFill="1" applyAlignment="1">
      <alignment horizontal="center" vertical="center" wrapText="1"/>
    </xf>
    <xf numFmtId="0" fontId="0" fillId="0" borderId="0" xfId="0" applyAlignment="1">
      <alignment vertical="center"/>
    </xf>
    <xf numFmtId="10" fontId="6" fillId="2" borderId="0" xfId="0" applyNumberFormat="1" applyFont="1" applyFill="1" applyAlignment="1">
      <alignment horizontal="right" vertical="center" wrapText="1"/>
    </xf>
    <xf numFmtId="0" fontId="10" fillId="2" borderId="0" xfId="0" applyFont="1" applyFill="1" applyAlignment="1">
      <alignment horizontal="right" vertical="center" wrapText="1"/>
    </xf>
    <xf numFmtId="49" fontId="10" fillId="2" borderId="0" xfId="0" applyNumberFormat="1" applyFont="1" applyFill="1" applyAlignment="1">
      <alignment horizontal="right" vertical="center"/>
    </xf>
    <xf numFmtId="0" fontId="0" fillId="0" borderId="0" xfId="0" applyAlignment="1">
      <alignment horizontal="right" vertical="center"/>
    </xf>
    <xf numFmtId="43" fontId="10" fillId="2" borderId="0" xfId="0" applyNumberFormat="1" applyFont="1" applyFill="1" applyAlignment="1">
      <alignment horizontal="left" vertical="center" wrapText="1"/>
    </xf>
    <xf numFmtId="0" fontId="12" fillId="0" borderId="0" xfId="7"/>
    <xf numFmtId="0" fontId="18" fillId="0" borderId="0" xfId="7" applyFont="1" applyAlignment="1">
      <alignment horizontal="center"/>
    </xf>
    <xf numFmtId="0" fontId="19" fillId="0" borderId="0" xfId="7" applyFont="1" applyAlignment="1">
      <alignment horizontal="center"/>
    </xf>
    <xf numFmtId="0" fontId="1" fillId="0" borderId="0" xfId="27"/>
    <xf numFmtId="0" fontId="18" fillId="0" borderId="1" xfId="7" applyFont="1" applyBorder="1" applyAlignment="1">
      <alignment horizontal="center"/>
    </xf>
    <xf numFmtId="10" fontId="20" fillId="0" borderId="1" xfId="7" applyNumberFormat="1" applyFont="1" applyBorder="1" applyAlignment="1">
      <alignment horizontal="center"/>
    </xf>
    <xf numFmtId="0" fontId="22" fillId="0" borderId="0" xfId="7" applyFont="1"/>
    <xf numFmtId="0" fontId="18" fillId="0" borderId="0" xfId="7" applyFont="1"/>
    <xf numFmtId="0" fontId="18" fillId="0" borderId="1" xfId="7" applyFont="1" applyBorder="1" applyAlignment="1">
      <alignment horizontal="center" vertical="center" wrapText="1"/>
    </xf>
    <xf numFmtId="0" fontId="24" fillId="0" borderId="0" xfId="7" applyFont="1" applyAlignment="1">
      <alignment vertical="top" wrapText="1"/>
    </xf>
    <xf numFmtId="4" fontId="23" fillId="0" borderId="1" xfId="7" applyNumberFormat="1" applyFont="1" applyBorder="1" applyAlignment="1">
      <alignment horizontal="center" vertical="center"/>
    </xf>
    <xf numFmtId="10" fontId="13" fillId="0" borderId="1" xfId="7" applyNumberFormat="1" applyFont="1" applyBorder="1" applyAlignment="1">
      <alignment horizontal="center" vertical="center" wrapText="1"/>
    </xf>
    <xf numFmtId="4" fontId="23" fillId="0" borderId="1" xfId="7" applyNumberFormat="1" applyFont="1" applyBorder="1" applyAlignment="1">
      <alignment horizontal="center" vertical="center" wrapText="1"/>
    </xf>
    <xf numFmtId="0" fontId="25" fillId="0" borderId="0" xfId="7" applyFont="1" applyAlignment="1">
      <alignment wrapText="1"/>
    </xf>
    <xf numFmtId="0" fontId="26" fillId="0" borderId="0" xfId="7" applyFont="1" applyAlignment="1">
      <alignment horizontal="center" vertical="center" wrapText="1"/>
    </xf>
    <xf numFmtId="10" fontId="26" fillId="0" borderId="0" xfId="7" applyNumberFormat="1" applyFont="1" applyAlignment="1">
      <alignment horizontal="center" vertical="center"/>
    </xf>
    <xf numFmtId="4" fontId="23" fillId="0" borderId="0" xfId="7" applyNumberFormat="1" applyFont="1" applyAlignment="1">
      <alignment horizontal="center" vertical="center" wrapText="1"/>
    </xf>
    <xf numFmtId="0" fontId="12" fillId="0" borderId="0" xfId="7" applyProtection="1">
      <protection locked="0"/>
    </xf>
    <xf numFmtId="0" fontId="28" fillId="0" borderId="1" xfId="7" applyFont="1" applyBorder="1" applyAlignment="1">
      <alignment horizontal="center" vertical="center"/>
    </xf>
    <xf numFmtId="0" fontId="12" fillId="0" borderId="0" xfId="7" applyAlignment="1">
      <alignment horizontal="center" vertical="top"/>
    </xf>
    <xf numFmtId="0" fontId="32" fillId="0" borderId="0" xfId="7" applyFont="1" applyAlignment="1">
      <alignment horizontal="center" vertical="top"/>
    </xf>
    <xf numFmtId="171" fontId="12" fillId="0" borderId="0" xfId="7" applyNumberFormat="1"/>
    <xf numFmtId="0" fontId="18" fillId="0" borderId="5" xfId="7" applyFont="1" applyBorder="1" applyAlignment="1">
      <alignment horizontal="left"/>
    </xf>
    <xf numFmtId="0" fontId="12" fillId="0" borderId="5" xfId="7" applyBorder="1"/>
    <xf numFmtId="0" fontId="13" fillId="0" borderId="0" xfId="7" applyFont="1"/>
    <xf numFmtId="0" fontId="18" fillId="0" borderId="0" xfId="28" applyFont="1" applyAlignment="1">
      <alignment horizontal="left" vertical="top"/>
    </xf>
    <xf numFmtId="0" fontId="13" fillId="0" borderId="0" xfId="7" applyFont="1" applyAlignment="1">
      <alignment vertical="top"/>
    </xf>
    <xf numFmtId="0" fontId="36" fillId="3" borderId="12" xfId="7" applyFont="1" applyFill="1" applyBorder="1" applyAlignment="1">
      <alignment vertical="center"/>
    </xf>
    <xf numFmtId="0" fontId="36" fillId="3" borderId="13" xfId="7" applyFont="1" applyFill="1" applyBorder="1" applyAlignment="1">
      <alignment vertical="center"/>
    </xf>
    <xf numFmtId="0" fontId="36" fillId="3" borderId="14" xfId="7" applyFont="1" applyFill="1" applyBorder="1" applyAlignment="1">
      <alignment vertical="center"/>
    </xf>
    <xf numFmtId="0" fontId="36" fillId="3" borderId="15" xfId="7" applyFont="1" applyFill="1" applyBorder="1" applyAlignment="1">
      <alignment vertical="center"/>
    </xf>
    <xf numFmtId="0" fontId="36" fillId="3" borderId="0" xfId="7" applyFont="1" applyFill="1" applyAlignment="1">
      <alignment vertical="center"/>
    </xf>
    <xf numFmtId="0" fontId="36" fillId="3" borderId="16" xfId="7" applyFont="1" applyFill="1" applyBorder="1" applyAlignment="1">
      <alignment vertical="center"/>
    </xf>
    <xf numFmtId="0" fontId="36" fillId="3" borderId="17" xfId="7" applyFont="1" applyFill="1" applyBorder="1" applyAlignment="1">
      <alignment vertical="center"/>
    </xf>
    <xf numFmtId="0" fontId="36" fillId="3" borderId="18" xfId="7" applyFont="1" applyFill="1" applyBorder="1" applyAlignment="1">
      <alignment vertical="center"/>
    </xf>
    <xf numFmtId="0" fontId="36" fillId="3" borderId="19" xfId="7" applyFont="1" applyFill="1" applyBorder="1" applyAlignment="1">
      <alignment vertical="center"/>
    </xf>
    <xf numFmtId="0" fontId="36" fillId="0" borderId="0" xfId="7" applyFont="1" applyAlignment="1">
      <alignment vertical="center" wrapText="1"/>
    </xf>
    <xf numFmtId="0" fontId="36" fillId="0" borderId="0" xfId="7" applyFont="1" applyAlignment="1">
      <alignment horizontal="left" vertical="center"/>
    </xf>
    <xf numFmtId="0" fontId="37" fillId="0" borderId="0" xfId="7" applyFont="1" applyAlignment="1">
      <alignment vertical="center"/>
    </xf>
    <xf numFmtId="0" fontId="0" fillId="8" borderId="0" xfId="0" applyFill="1" applyAlignment="1">
      <alignment vertical="center"/>
    </xf>
    <xf numFmtId="0" fontId="10" fillId="9" borderId="0" xfId="0" applyFont="1" applyFill="1" applyAlignment="1">
      <alignment horizontal="right" vertical="top" wrapText="1"/>
    </xf>
    <xf numFmtId="0" fontId="9" fillId="9" borderId="0" xfId="0" applyFont="1" applyFill="1" applyAlignment="1">
      <alignment horizontal="left" vertical="top" wrapText="1"/>
    </xf>
    <xf numFmtId="0" fontId="9" fillId="9" borderId="0" xfId="0" applyFont="1" applyFill="1" applyAlignment="1">
      <alignment horizontal="center" vertical="top" wrapText="1"/>
    </xf>
    <xf numFmtId="0" fontId="10" fillId="9" borderId="0" xfId="0" applyFont="1" applyFill="1" applyAlignment="1">
      <alignment horizontal="left" vertical="top" wrapText="1"/>
    </xf>
    <xf numFmtId="0" fontId="6" fillId="9" borderId="1" xfId="0" applyFont="1" applyFill="1" applyBorder="1" applyAlignment="1">
      <alignment horizontal="left" vertical="top" wrapText="1"/>
    </xf>
    <xf numFmtId="0" fontId="6" fillId="9" borderId="1" xfId="0" applyFont="1" applyFill="1" applyBorder="1" applyAlignment="1">
      <alignment horizontal="right" vertical="top" wrapText="1"/>
    </xf>
    <xf numFmtId="0" fontId="6" fillId="9" borderId="1" xfId="0" applyFont="1" applyFill="1" applyBorder="1" applyAlignment="1">
      <alignment horizontal="center" vertical="top" wrapText="1"/>
    </xf>
    <xf numFmtId="0" fontId="7" fillId="10" borderId="1" xfId="0" applyFont="1" applyFill="1" applyBorder="1" applyAlignment="1">
      <alignment horizontal="left" vertical="top" wrapText="1"/>
    </xf>
    <xf numFmtId="0" fontId="7" fillId="10" borderId="1" xfId="0" applyFont="1" applyFill="1" applyBorder="1" applyAlignment="1">
      <alignment horizontal="center" vertical="top" wrapText="1"/>
    </xf>
    <xf numFmtId="0" fontId="7" fillId="10" borderId="1" xfId="0" applyFont="1" applyFill="1" applyBorder="1" applyAlignment="1">
      <alignment horizontal="right" vertical="top" wrapText="1"/>
    </xf>
    <xf numFmtId="0" fontId="7" fillId="6" borderId="1" xfId="0" applyFont="1" applyFill="1" applyBorder="1" applyAlignment="1">
      <alignment horizontal="right" vertical="top" wrapText="1"/>
    </xf>
    <xf numFmtId="4" fontId="7" fillId="6" borderId="1" xfId="0" applyNumberFormat="1" applyFont="1" applyFill="1" applyBorder="1" applyAlignment="1">
      <alignment horizontal="right" vertical="top" wrapText="1"/>
    </xf>
    <xf numFmtId="172" fontId="7" fillId="10" borderId="1" xfId="0" applyNumberFormat="1" applyFont="1" applyFill="1" applyBorder="1" applyAlignment="1">
      <alignment horizontal="right" vertical="top" wrapText="1"/>
    </xf>
    <xf numFmtId="0" fontId="8" fillId="9" borderId="1" xfId="0" applyFont="1" applyFill="1" applyBorder="1" applyAlignment="1">
      <alignment horizontal="left" vertical="top" wrapText="1"/>
    </xf>
    <xf numFmtId="0" fontId="8" fillId="9" borderId="1" xfId="0" applyFont="1" applyFill="1" applyBorder="1" applyAlignment="1">
      <alignment horizontal="center" vertical="top" wrapText="1"/>
    </xf>
    <xf numFmtId="0" fontId="8" fillId="7" borderId="1" xfId="0" applyFont="1" applyFill="1" applyBorder="1" applyAlignment="1">
      <alignment horizontal="right" vertical="top" wrapText="1"/>
    </xf>
    <xf numFmtId="4" fontId="8" fillId="7" borderId="1" xfId="0" applyNumberFormat="1" applyFont="1" applyFill="1" applyBorder="1" applyAlignment="1">
      <alignment horizontal="right" vertical="top" wrapText="1"/>
    </xf>
    <xf numFmtId="43" fontId="8" fillId="2" borderId="1" xfId="0" applyNumberFormat="1" applyFont="1" applyFill="1" applyBorder="1" applyAlignment="1">
      <alignment horizontal="right" vertical="center" wrapText="1"/>
    </xf>
    <xf numFmtId="43" fontId="8" fillId="0" borderId="1" xfId="0" applyNumberFormat="1" applyFont="1" applyBorder="1" applyAlignment="1">
      <alignment horizontal="right" vertical="center" wrapText="1"/>
    </xf>
    <xf numFmtId="43" fontId="8" fillId="7" borderId="1" xfId="0" applyNumberFormat="1" applyFont="1" applyFill="1" applyBorder="1" applyAlignment="1">
      <alignment horizontal="right" vertical="top" wrapText="1"/>
    </xf>
    <xf numFmtId="0" fontId="8" fillId="9" borderId="1" xfId="0" applyFont="1" applyFill="1" applyBorder="1" applyAlignment="1">
      <alignment horizontal="right" vertical="top" wrapText="1"/>
    </xf>
    <xf numFmtId="0" fontId="8" fillId="7" borderId="1" xfId="0" applyFont="1" applyFill="1" applyBorder="1" applyAlignment="1">
      <alignment horizontal="left" vertical="top" wrapText="1"/>
    </xf>
    <xf numFmtId="4" fontId="8" fillId="0" borderId="1" xfId="0" applyNumberFormat="1" applyFont="1" applyBorder="1" applyAlignment="1">
      <alignment horizontal="right" vertical="top" wrapText="1"/>
    </xf>
    <xf numFmtId="0" fontId="8" fillId="0" borderId="1" xfId="0" applyFont="1" applyBorder="1" applyAlignment="1">
      <alignment horizontal="left" vertical="top" wrapText="1"/>
    </xf>
    <xf numFmtId="0" fontId="8" fillId="7" borderId="1" xfId="0" applyFont="1" applyFill="1" applyBorder="1" applyAlignment="1">
      <alignment horizontal="center" vertical="top" wrapText="1"/>
    </xf>
    <xf numFmtId="0" fontId="8" fillId="0" borderId="1" xfId="0" applyFont="1" applyBorder="1" applyAlignment="1">
      <alignment horizontal="right" vertical="top" wrapText="1"/>
    </xf>
    <xf numFmtId="0" fontId="8" fillId="0" borderId="1" xfId="0" applyFont="1" applyBorder="1" applyAlignment="1">
      <alignment horizontal="center" vertical="top" wrapText="1"/>
    </xf>
    <xf numFmtId="4" fontId="18" fillId="2" borderId="1" xfId="0" applyNumberFormat="1" applyFont="1" applyFill="1" applyBorder="1" applyAlignment="1">
      <alignment horizontal="center" vertical="top" wrapText="1"/>
    </xf>
    <xf numFmtId="43" fontId="8" fillId="0" borderId="1" xfId="0" applyNumberFormat="1" applyFont="1" applyBorder="1" applyAlignment="1">
      <alignment horizontal="right" vertical="top" wrapText="1"/>
    </xf>
    <xf numFmtId="0" fontId="9" fillId="0" borderId="1" xfId="0" applyFont="1" applyBorder="1" applyAlignment="1">
      <alignment horizontal="right" vertical="top" wrapText="1"/>
    </xf>
    <xf numFmtId="0" fontId="7" fillId="0" borderId="1" xfId="0" applyFont="1" applyBorder="1" applyAlignment="1">
      <alignment horizontal="left" vertical="top" wrapText="1"/>
    </xf>
    <xf numFmtId="4" fontId="7" fillId="0" borderId="1" xfId="0" applyNumberFormat="1" applyFont="1" applyBorder="1" applyAlignment="1">
      <alignment horizontal="right" vertical="top" wrapText="1"/>
    </xf>
    <xf numFmtId="0" fontId="10" fillId="9" borderId="1" xfId="0" applyFont="1" applyFill="1" applyBorder="1" applyAlignment="1">
      <alignment horizontal="left" vertical="top" wrapText="1"/>
    </xf>
    <xf numFmtId="10" fontId="7" fillId="0" borderId="1" xfId="34" applyNumberFormat="1" applyFont="1" applyFill="1" applyBorder="1" applyAlignment="1">
      <alignment horizontal="right" vertical="top" wrapText="1"/>
    </xf>
    <xf numFmtId="9" fontId="39" fillId="0" borderId="1" xfId="34" applyFont="1" applyFill="1" applyBorder="1" applyAlignment="1">
      <alignment horizontal="right" vertical="top" wrapText="1"/>
    </xf>
    <xf numFmtId="43" fontId="39" fillId="0" borderId="1" xfId="33" applyFont="1" applyFill="1" applyBorder="1" applyAlignment="1">
      <alignment horizontal="right" vertical="top" wrapText="1"/>
    </xf>
    <xf numFmtId="10" fontId="10" fillId="9" borderId="1" xfId="34" applyNumberFormat="1" applyFont="1" applyFill="1" applyBorder="1" applyAlignment="1">
      <alignment horizontal="right" vertical="top" wrapText="1"/>
    </xf>
    <xf numFmtId="4" fontId="10" fillId="9" borderId="1" xfId="0" applyNumberFormat="1" applyFont="1" applyFill="1" applyBorder="1" applyAlignment="1">
      <alignment horizontal="right" vertical="top" wrapText="1"/>
    </xf>
    <xf numFmtId="10" fontId="10" fillId="9" borderId="1" xfId="0" applyNumberFormat="1" applyFont="1" applyFill="1" applyBorder="1" applyAlignment="1">
      <alignment horizontal="right" vertical="top" wrapText="1"/>
    </xf>
    <xf numFmtId="43" fontId="39" fillId="11" borderId="1" xfId="33" applyFont="1" applyFill="1" applyBorder="1" applyAlignment="1">
      <alignment horizontal="right" vertical="top" wrapText="1"/>
    </xf>
    <xf numFmtId="9" fontId="39" fillId="11" borderId="1" xfId="34" applyFont="1" applyFill="1" applyBorder="1" applyAlignment="1">
      <alignment horizontal="right" vertical="top" wrapText="1"/>
    </xf>
    <xf numFmtId="0" fontId="0" fillId="0" borderId="0" xfId="0" applyAlignment="1">
      <alignment horizontal="center"/>
    </xf>
    <xf numFmtId="0" fontId="6" fillId="2" borderId="0" xfId="0" applyFont="1" applyFill="1" applyAlignment="1">
      <alignment horizontal="center" vertical="top" wrapText="1"/>
    </xf>
    <xf numFmtId="10" fontId="10" fillId="2" borderId="0" xfId="0" applyNumberFormat="1" applyFont="1" applyFill="1" applyAlignment="1">
      <alignment horizontal="center" vertical="top" wrapText="1"/>
    </xf>
    <xf numFmtId="172" fontId="39" fillId="0" borderId="1" xfId="0" applyNumberFormat="1" applyFont="1" applyBorder="1" applyAlignment="1">
      <alignment horizontal="right" vertical="top" wrapText="1"/>
    </xf>
    <xf numFmtId="43" fontId="0" fillId="0" borderId="0" xfId="0" applyNumberFormat="1"/>
    <xf numFmtId="10" fontId="39" fillId="11" borderId="1" xfId="34" applyNumberFormat="1" applyFont="1" applyFill="1" applyBorder="1" applyAlignment="1">
      <alignment horizontal="right" vertical="top" wrapText="1"/>
    </xf>
    <xf numFmtId="0" fontId="6" fillId="2" borderId="1" xfId="0" applyFont="1" applyFill="1" applyBorder="1" applyAlignment="1">
      <alignment horizontal="left" vertical="top" wrapText="1"/>
    </xf>
    <xf numFmtId="0" fontId="6" fillId="2" borderId="1" xfId="0" applyFont="1" applyFill="1" applyBorder="1" applyAlignment="1">
      <alignment horizontal="right" vertical="top" wrapText="1"/>
    </xf>
    <xf numFmtId="0" fontId="6" fillId="2" borderId="1" xfId="0" applyFont="1" applyFill="1" applyBorder="1" applyAlignment="1">
      <alignment horizontal="center" vertical="top" wrapText="1"/>
    </xf>
    <xf numFmtId="43" fontId="6" fillId="2" borderId="1" xfId="0" applyNumberFormat="1" applyFont="1" applyFill="1" applyBorder="1" applyAlignment="1">
      <alignment horizontal="right" vertical="center" wrapText="1"/>
    </xf>
    <xf numFmtId="0" fontId="6" fillId="2" borderId="1" xfId="0" applyFont="1" applyFill="1" applyBorder="1" applyAlignment="1">
      <alignment horizontal="right" vertical="center"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0" fontId="7" fillId="5" borderId="1" xfId="0" applyFont="1" applyFill="1" applyBorder="1" applyAlignment="1">
      <alignment horizontal="left" vertical="top" wrapText="1"/>
    </xf>
    <xf numFmtId="0" fontId="8" fillId="0" borderId="1" xfId="0" applyFont="1" applyBorder="1" applyAlignment="1">
      <alignment horizontal="right" vertical="center" wrapText="1"/>
    </xf>
    <xf numFmtId="0" fontId="9" fillId="0" borderId="1" xfId="0" applyFont="1" applyBorder="1" applyAlignment="1">
      <alignment horizontal="left" vertical="top" wrapText="1"/>
    </xf>
    <xf numFmtId="0" fontId="9" fillId="0" borderId="1" xfId="0" applyFont="1" applyBorder="1" applyAlignment="1">
      <alignment horizontal="center" vertical="top" wrapText="1"/>
    </xf>
    <xf numFmtId="43" fontId="9" fillId="0" borderId="1" xfId="0" applyNumberFormat="1" applyFont="1" applyBorder="1" applyAlignment="1">
      <alignment horizontal="right" vertical="center" wrapText="1"/>
    </xf>
    <xf numFmtId="0" fontId="0" fillId="0" borderId="1" xfId="0" applyBorder="1" applyAlignment="1">
      <alignment horizontal="left" vertical="top" wrapText="1"/>
    </xf>
    <xf numFmtId="0" fontId="40" fillId="0" borderId="1" xfId="0" applyFont="1" applyBorder="1" applyAlignment="1">
      <alignment horizontal="left" vertical="top" wrapText="1"/>
    </xf>
    <xf numFmtId="4" fontId="8" fillId="0" borderId="1" xfId="0" applyNumberFormat="1" applyFont="1" applyBorder="1" applyAlignment="1">
      <alignment horizontal="right" vertical="center" wrapText="1"/>
    </xf>
    <xf numFmtId="0" fontId="8" fillId="2" borderId="1" xfId="0" applyFont="1" applyFill="1" applyBorder="1" applyAlignment="1">
      <alignment horizontal="right" vertical="center" wrapText="1"/>
    </xf>
    <xf numFmtId="0" fontId="39" fillId="0" borderId="1" xfId="0" applyFont="1" applyBorder="1" applyAlignment="1">
      <alignment horizontal="left" vertical="top" wrapText="1"/>
    </xf>
    <xf numFmtId="4" fontId="10" fillId="9" borderId="0" xfId="0" applyNumberFormat="1" applyFont="1" applyFill="1" applyAlignment="1">
      <alignment horizontal="right" vertical="top" wrapText="1"/>
    </xf>
    <xf numFmtId="0" fontId="10" fillId="9" borderId="0" xfId="0" applyFont="1" applyFill="1" applyAlignment="1">
      <alignment horizontal="right" vertical="top" wrapText="1"/>
    </xf>
    <xf numFmtId="0" fontId="18" fillId="2" borderId="1" xfId="0" applyFont="1" applyFill="1" applyBorder="1" applyAlignment="1">
      <alignment horizontal="center" vertical="top" wrapText="1"/>
    </xf>
    <xf numFmtId="0" fontId="6" fillId="2" borderId="0" xfId="0" applyFont="1" applyFill="1" applyAlignment="1">
      <alignment horizontal="left" wrapText="1"/>
    </xf>
    <xf numFmtId="0" fontId="10" fillId="2" borderId="0" xfId="0" applyFont="1" applyFill="1" applyAlignment="1">
      <alignment horizontal="left" vertical="top" wrapText="1"/>
    </xf>
    <xf numFmtId="0" fontId="38"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10" fillId="9" borderId="0" xfId="0" applyFont="1" applyFill="1" applyAlignment="1">
      <alignment horizontal="left" vertical="top" wrapText="1"/>
    </xf>
    <xf numFmtId="0" fontId="10" fillId="2" borderId="0" xfId="0" applyFont="1" applyFill="1" applyAlignment="1">
      <alignment horizontal="left" vertical="center" wrapText="1"/>
    </xf>
    <xf numFmtId="0" fontId="6" fillId="2" borderId="0" xfId="0" applyFont="1" applyFill="1" applyAlignment="1">
      <alignment horizontal="center" vertical="center" wrapText="1"/>
    </xf>
    <xf numFmtId="0" fontId="0" fillId="0" borderId="0" xfId="0" applyAlignment="1">
      <alignment vertical="center"/>
    </xf>
    <xf numFmtId="0" fontId="9" fillId="2" borderId="0" xfId="0" applyFont="1" applyFill="1" applyAlignment="1">
      <alignment horizontal="center" vertical="center" wrapText="1"/>
    </xf>
    <xf numFmtId="0" fontId="10" fillId="9" borderId="1" xfId="0" applyFont="1" applyFill="1" applyBorder="1" applyAlignment="1">
      <alignment horizontal="left" vertical="top" wrapText="1"/>
    </xf>
    <xf numFmtId="0" fontId="6" fillId="2" borderId="0" xfId="21" applyFont="1" applyFill="1" applyAlignment="1">
      <alignment horizontal="left" vertical="top" wrapText="1"/>
    </xf>
    <xf numFmtId="0" fontId="6" fillId="2" borderId="0" xfId="0" applyFont="1" applyFill="1" applyAlignment="1">
      <alignment horizontal="center" wrapText="1"/>
    </xf>
    <xf numFmtId="0" fontId="0" fillId="0" borderId="0" xfId="0"/>
    <xf numFmtId="0" fontId="21" fillId="0" borderId="11" xfId="29" applyNumberFormat="1" applyFont="1" applyFill="1" applyBorder="1" applyAlignment="1" applyProtection="1">
      <alignment horizontal="left" wrapText="1"/>
    </xf>
    <xf numFmtId="0" fontId="18" fillId="0" borderId="9" xfId="28" applyFont="1" applyBorder="1" applyAlignment="1">
      <alignment horizontal="left" vertical="top"/>
    </xf>
    <xf numFmtId="0" fontId="18" fillId="0" borderId="10" xfId="28" applyFont="1" applyBorder="1" applyAlignment="1">
      <alignment horizontal="left" vertical="top"/>
    </xf>
    <xf numFmtId="0" fontId="18" fillId="0" borderId="0" xfId="28" applyFont="1" applyAlignment="1">
      <alignment horizontal="left" vertical="top"/>
    </xf>
    <xf numFmtId="0" fontId="12" fillId="0" borderId="2" xfId="7" applyBorder="1" applyAlignment="1">
      <alignment horizontal="left" vertical="top" wrapText="1"/>
    </xf>
    <xf numFmtId="0" fontId="12" fillId="0" borderId="4" xfId="7" applyBorder="1" applyAlignment="1">
      <alignment horizontal="left" vertical="top" wrapText="1"/>
    </xf>
    <xf numFmtId="49" fontId="12" fillId="0" borderId="2" xfId="7" applyNumberFormat="1" applyBorder="1" applyAlignment="1">
      <alignment horizontal="left" vertical="top" wrapText="1"/>
    </xf>
    <xf numFmtId="49" fontId="12" fillId="0" borderId="3" xfId="7" applyNumberFormat="1" applyBorder="1" applyAlignment="1">
      <alignment horizontal="left" vertical="top" wrapText="1"/>
    </xf>
    <xf numFmtId="49" fontId="12" fillId="0" borderId="4" xfId="7" applyNumberFormat="1" applyBorder="1" applyAlignment="1">
      <alignment horizontal="left" vertical="top" wrapText="1"/>
    </xf>
    <xf numFmtId="164" fontId="21" fillId="4" borderId="2" xfId="29" applyFont="1" applyFill="1" applyBorder="1" applyAlignment="1" applyProtection="1">
      <alignment horizontal="left"/>
      <protection locked="0"/>
    </xf>
    <xf numFmtId="164" fontId="21" fillId="4" borderId="3" xfId="29" applyFont="1" applyFill="1" applyBorder="1" applyAlignment="1" applyProtection="1">
      <alignment horizontal="left"/>
      <protection locked="0"/>
    </xf>
    <xf numFmtId="164" fontId="21" fillId="4" borderId="4" xfId="29" applyFont="1" applyFill="1" applyBorder="1" applyAlignment="1" applyProtection="1">
      <alignment horizontal="left"/>
      <protection locked="0"/>
    </xf>
    <xf numFmtId="0" fontId="12" fillId="0" borderId="2" xfId="7" applyBorder="1" applyAlignment="1">
      <alignment horizontal="center" vertical="top" wrapText="1"/>
    </xf>
    <xf numFmtId="0" fontId="12" fillId="0" borderId="4" xfId="7" applyBorder="1" applyAlignment="1">
      <alignment horizontal="center" vertical="top" wrapText="1"/>
    </xf>
    <xf numFmtId="0" fontId="21" fillId="0" borderId="1" xfId="7" applyFont="1" applyBorder="1" applyAlignment="1">
      <alignment horizontal="left" wrapText="1"/>
    </xf>
    <xf numFmtId="10" fontId="21" fillId="4" borderId="1" xfId="7" applyNumberFormat="1" applyFont="1" applyFill="1" applyBorder="1" applyAlignment="1" applyProtection="1">
      <alignment horizontal="center"/>
      <protection locked="0"/>
    </xf>
    <xf numFmtId="0" fontId="21" fillId="0" borderId="1" xfId="7" applyFont="1" applyBorder="1" applyAlignment="1">
      <alignment horizontal="left"/>
    </xf>
    <xf numFmtId="0" fontId="23" fillId="0" borderId="1" xfId="7" applyFont="1" applyBorder="1" applyAlignment="1">
      <alignment horizontal="center" vertical="center"/>
    </xf>
    <xf numFmtId="4" fontId="23" fillId="0" borderId="1" xfId="7" applyNumberFormat="1" applyFont="1" applyBorder="1" applyAlignment="1">
      <alignment horizontal="center" vertical="center" wrapText="1"/>
    </xf>
    <xf numFmtId="0" fontId="18" fillId="0" borderId="1" xfId="7" applyFont="1" applyBorder="1" applyAlignment="1">
      <alignment horizontal="center" vertical="center"/>
    </xf>
    <xf numFmtId="0" fontId="24" fillId="0" borderId="0" xfId="7" applyFont="1" applyAlignment="1">
      <alignment horizontal="center" vertical="top" wrapText="1"/>
    </xf>
    <xf numFmtId="0" fontId="12" fillId="0" borderId="1" xfId="7" applyBorder="1" applyAlignment="1">
      <alignment horizontal="left" vertical="center" wrapText="1"/>
    </xf>
    <xf numFmtId="0" fontId="12" fillId="0" borderId="1" xfId="7" applyBorder="1" applyAlignment="1">
      <alignment horizontal="left" vertical="center"/>
    </xf>
    <xf numFmtId="0" fontId="33" fillId="0" borderId="1" xfId="7" applyFont="1" applyBorder="1" applyAlignment="1">
      <alignment horizontal="center" vertical="center" wrapText="1"/>
    </xf>
    <xf numFmtId="0" fontId="26" fillId="0" borderId="0" xfId="7" applyFont="1" applyAlignment="1">
      <alignment horizontal="left" vertical="center" wrapText="1"/>
    </xf>
    <xf numFmtId="2" fontId="27" fillId="0" borderId="5" xfId="7" applyNumberFormat="1" applyFont="1" applyBorder="1" applyAlignment="1">
      <alignment horizontal="center" vertical="center"/>
    </xf>
    <xf numFmtId="0" fontId="29" fillId="0" borderId="0" xfId="7" applyFont="1" applyAlignment="1">
      <alignment horizontal="left" vertical="center" indent="1"/>
    </xf>
    <xf numFmtId="0" fontId="12" fillId="0" borderId="0" xfId="7" applyAlignment="1">
      <alignment horizontal="center" vertical="center"/>
    </xf>
    <xf numFmtId="0" fontId="30" fillId="0" borderId="0" xfId="27" applyFont="1" applyAlignment="1">
      <alignment horizontal="right" vertical="center"/>
    </xf>
    <xf numFmtId="0" fontId="31" fillId="0" borderId="0" xfId="27" applyFont="1" applyAlignment="1">
      <alignment horizontal="center"/>
    </xf>
    <xf numFmtId="0" fontId="30" fillId="0" borderId="0" xfId="27" quotePrefix="1" applyFont="1" applyAlignment="1">
      <alignment horizontal="left" vertical="center"/>
    </xf>
    <xf numFmtId="0" fontId="30" fillId="0" borderId="0" xfId="27" applyFont="1" applyAlignment="1">
      <alignment horizontal="left" vertical="center"/>
    </xf>
    <xf numFmtId="0" fontId="30" fillId="0" borderId="0" xfId="27" applyFont="1" applyAlignment="1">
      <alignment horizontal="center" vertical="top"/>
    </xf>
    <xf numFmtId="49" fontId="12" fillId="4" borderId="6" xfId="7" applyNumberFormat="1" applyFill="1" applyBorder="1" applyAlignment="1" applyProtection="1">
      <alignment horizontal="left" vertical="top" wrapText="1"/>
      <protection locked="0"/>
    </xf>
    <xf numFmtId="49" fontId="12" fillId="4" borderId="7" xfId="7" applyNumberFormat="1" applyFill="1" applyBorder="1" applyAlignment="1" applyProtection="1">
      <alignment horizontal="left" vertical="top" wrapText="1"/>
      <protection locked="0"/>
    </xf>
    <xf numFmtId="49" fontId="12" fillId="4" borderId="8" xfId="7" applyNumberFormat="1" applyFill="1" applyBorder="1" applyAlignment="1" applyProtection="1">
      <alignment horizontal="left" vertical="top" wrapText="1"/>
      <protection locked="0"/>
    </xf>
    <xf numFmtId="169" fontId="12" fillId="0" borderId="3" xfId="7" applyNumberFormat="1" applyBorder="1" applyAlignment="1">
      <alignment horizontal="left"/>
    </xf>
    <xf numFmtId="170" fontId="12" fillId="0" borderId="3" xfId="7" applyNumberFormat="1" applyBorder="1" applyAlignment="1">
      <alignment horizontal="left"/>
    </xf>
    <xf numFmtId="0" fontId="18" fillId="0" borderId="0" xfId="7" applyFont="1" applyAlignment="1">
      <alignment horizontal="left" vertical="center"/>
    </xf>
    <xf numFmtId="0" fontId="23" fillId="0" borderId="0" xfId="7" applyFont="1" applyAlignment="1">
      <alignment horizontal="left" vertical="center"/>
    </xf>
    <xf numFmtId="169" fontId="12" fillId="0" borderId="0" xfId="7" applyNumberFormat="1" applyAlignment="1">
      <alignment horizontal="left"/>
    </xf>
    <xf numFmtId="0" fontId="12" fillId="0" borderId="5" xfId="7" applyBorder="1" applyAlignment="1">
      <alignment horizontal="center" vertical="center"/>
    </xf>
    <xf numFmtId="49" fontId="12" fillId="0" borderId="0" xfId="7" applyNumberFormat="1" applyAlignment="1" applyProtection="1">
      <alignment horizontal="left"/>
      <protection locked="0"/>
    </xf>
    <xf numFmtId="0" fontId="9" fillId="2" borderId="0" xfId="0" applyFont="1" applyFill="1" applyAlignment="1">
      <alignment horizontal="center" vertical="top" wrapText="1"/>
    </xf>
    <xf numFmtId="0" fontId="6" fillId="2" borderId="0" xfId="0" applyFont="1" applyFill="1" applyAlignment="1">
      <alignment horizontal="left" vertical="top" wrapText="1"/>
    </xf>
    <xf numFmtId="10" fontId="10" fillId="2" borderId="0" xfId="0" applyNumberFormat="1" applyFont="1" applyFill="1" applyAlignment="1">
      <alignment horizontal="left" vertical="top" wrapText="1"/>
    </xf>
    <xf numFmtId="0" fontId="8" fillId="9" borderId="0" xfId="0" applyFont="1" applyFill="1" applyBorder="1" applyAlignment="1">
      <alignment horizontal="left" vertical="top" wrapText="1"/>
    </xf>
    <xf numFmtId="0" fontId="8" fillId="9" borderId="0" xfId="0" applyFont="1" applyFill="1" applyBorder="1" applyAlignment="1">
      <alignment horizontal="center" vertical="top" wrapText="1"/>
    </xf>
    <xf numFmtId="0" fontId="8" fillId="0" borderId="0" xfId="0" applyFont="1" applyBorder="1" applyAlignment="1">
      <alignment horizontal="right" vertical="top" wrapText="1"/>
    </xf>
    <xf numFmtId="0" fontId="40" fillId="9" borderId="1" xfId="0" applyFont="1" applyFill="1" applyBorder="1" applyAlignment="1">
      <alignment horizontal="left" vertical="top" wrapText="1"/>
    </xf>
    <xf numFmtId="0" fontId="40" fillId="9" borderId="1" xfId="0" applyFont="1" applyFill="1" applyBorder="1" applyAlignment="1">
      <alignment horizontal="left" vertical="justify" wrapText="1"/>
    </xf>
    <xf numFmtId="0" fontId="40" fillId="9" borderId="1" xfId="0" applyFont="1" applyFill="1" applyBorder="1" applyAlignment="1">
      <alignment horizontal="center" vertical="top" wrapText="1"/>
    </xf>
    <xf numFmtId="0" fontId="40" fillId="7" borderId="1" xfId="0" applyFont="1" applyFill="1" applyBorder="1" applyAlignment="1">
      <alignment horizontal="right" vertical="top" wrapText="1"/>
    </xf>
    <xf numFmtId="43" fontId="40" fillId="0" borderId="1" xfId="0" applyNumberFormat="1" applyFont="1" applyBorder="1" applyAlignment="1">
      <alignment horizontal="right" vertical="top" wrapText="1"/>
    </xf>
    <xf numFmtId="4" fontId="40" fillId="0" borderId="1" xfId="0" applyNumberFormat="1" applyFont="1" applyBorder="1" applyAlignment="1">
      <alignment horizontal="right" vertical="top" wrapText="1"/>
    </xf>
    <xf numFmtId="0" fontId="40" fillId="0" borderId="1" xfId="0" applyFont="1" applyBorder="1" applyAlignment="1">
      <alignment horizontal="right" vertical="top" wrapText="1"/>
    </xf>
    <xf numFmtId="0" fontId="41" fillId="0" borderId="1" xfId="0" applyFont="1" applyBorder="1" applyAlignment="1">
      <alignment horizontal="center"/>
    </xf>
  </cellXfs>
  <cellStyles count="35">
    <cellStyle name="Excel Built-in Normal 2" xfId="5" xr:uid="{00000000-0005-0000-0000-000000000000}"/>
    <cellStyle name="Hiperlink 2" xfId="30" xr:uid="{00000000-0005-0000-0000-000001000000}"/>
    <cellStyle name="Moeda 2" xfId="4" xr:uid="{00000000-0005-0000-0000-000002000000}"/>
    <cellStyle name="Moeda 2 2" xfId="10" xr:uid="{00000000-0005-0000-0000-000003000000}"/>
    <cellStyle name="Moeda 2 3" xfId="14" xr:uid="{00000000-0005-0000-0000-000004000000}"/>
    <cellStyle name="Moeda 2 3 2" xfId="20" xr:uid="{00000000-0005-0000-0000-000005000000}"/>
    <cellStyle name="Moeda 2 4" xfId="19" xr:uid="{00000000-0005-0000-0000-000006000000}"/>
    <cellStyle name="Moeda 3" xfId="17" xr:uid="{00000000-0005-0000-0000-000007000000}"/>
    <cellStyle name="Moeda 3 2" xfId="26" xr:uid="{00000000-0005-0000-0000-000008000000}"/>
    <cellStyle name="Moeda 4" xfId="16" xr:uid="{00000000-0005-0000-0000-000009000000}"/>
    <cellStyle name="Moeda 4 2" xfId="32" xr:uid="{00000000-0005-0000-0000-00000A000000}"/>
    <cellStyle name="Moeda 6" xfId="31" xr:uid="{00000000-0005-0000-0000-00000B000000}"/>
    <cellStyle name="Moeda_Composicao BDI v2.1" xfId="29" xr:uid="{00000000-0005-0000-0000-00000C000000}"/>
    <cellStyle name="Normal" xfId="0" builtinId="0"/>
    <cellStyle name="Normal 2" xfId="7" xr:uid="{00000000-0005-0000-0000-00000E000000}"/>
    <cellStyle name="Normal 2 2" xfId="8" xr:uid="{00000000-0005-0000-0000-00000F000000}"/>
    <cellStyle name="Normal 2 3" xfId="13" xr:uid="{00000000-0005-0000-0000-000010000000}"/>
    <cellStyle name="Normal 3" xfId="6" xr:uid="{00000000-0005-0000-0000-000011000000}"/>
    <cellStyle name="Normal 4" xfId="15" xr:uid="{00000000-0005-0000-0000-000012000000}"/>
    <cellStyle name="Normal 5" xfId="21" xr:uid="{00000000-0005-0000-0000-000013000000}"/>
    <cellStyle name="Normal 6" xfId="1" xr:uid="{00000000-0005-0000-0000-000014000000}"/>
    <cellStyle name="Normal 7" xfId="22" xr:uid="{00000000-0005-0000-0000-000015000000}"/>
    <cellStyle name="Normal 8" xfId="23" xr:uid="{00000000-0005-0000-0000-000016000000}"/>
    <cellStyle name="Normal 8 2" xfId="27" xr:uid="{00000000-0005-0000-0000-000017000000}"/>
    <cellStyle name="Normal_FICHA DE VERIFICAÇÃO PRELIMINAR - Plano R" xfId="28" xr:uid="{00000000-0005-0000-0000-000018000000}"/>
    <cellStyle name="Porcentagem" xfId="34" builtinId="5"/>
    <cellStyle name="Porcentagem 2" xfId="3" xr:uid="{00000000-0005-0000-0000-000019000000}"/>
    <cellStyle name="Porcentagem 2 2" xfId="9" xr:uid="{00000000-0005-0000-0000-00001A000000}"/>
    <cellStyle name="Porcentagem 4" xfId="2" xr:uid="{00000000-0005-0000-0000-00001B000000}"/>
    <cellStyle name="Separador de milhares 2" xfId="11" xr:uid="{00000000-0005-0000-0000-00001C000000}"/>
    <cellStyle name="Separador de milhares 2 2" xfId="12" xr:uid="{00000000-0005-0000-0000-00001D000000}"/>
    <cellStyle name="Vírgula" xfId="33" builtinId="3"/>
    <cellStyle name="Vírgula 2" xfId="18" xr:uid="{00000000-0005-0000-0000-00001E000000}"/>
    <cellStyle name="Vírgula 2 2" xfId="24" xr:uid="{00000000-0005-0000-0000-00001F000000}"/>
    <cellStyle name="Vírgula 2 3" xfId="25" xr:uid="{00000000-0005-0000-0000-000020000000}"/>
  </cellStyles>
  <dxfs count="7">
    <dxf>
      <font>
        <color theme="0"/>
      </font>
      <fill>
        <patternFill patternType="none">
          <bgColor indexed="65"/>
        </patternFill>
      </fill>
    </dxf>
    <dxf>
      <fill>
        <patternFill>
          <bgColor rgb="FFFFFF9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theme="0"/>
      </font>
      <fill>
        <patternFill>
          <bgColor theme="0"/>
        </patternFill>
      </fill>
      <border>
        <left/>
        <right/>
        <top/>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externalLink" Target="externalLinks/externalLink8.xml"/><Relationship Id="rId10" Type="http://schemas.openxmlformats.org/officeDocument/2006/relationships/externalLink" Target="externalLinks/externalLink3.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0</xdr:col>
      <xdr:colOff>171450</xdr:colOff>
      <xdr:row>224</xdr:row>
      <xdr:rowOff>1</xdr:rowOff>
    </xdr:from>
    <xdr:to>
      <xdr:col>3</xdr:col>
      <xdr:colOff>460375</xdr:colOff>
      <xdr:row>229</xdr:row>
      <xdr:rowOff>211667</xdr:rowOff>
    </xdr:to>
    <xdr:sp macro="" textlink="">
      <xdr:nvSpPr>
        <xdr:cNvPr id="6" name="CaixaDeTexto 5">
          <a:extLst>
            <a:ext uri="{FF2B5EF4-FFF2-40B4-BE49-F238E27FC236}">
              <a16:creationId xmlns:a16="http://schemas.microsoft.com/office/drawing/2014/main" id="{00000000-0008-0000-0000-000006000000}"/>
            </a:ext>
          </a:extLst>
        </xdr:cNvPr>
        <xdr:cNvSpPr txBox="1"/>
      </xdr:nvSpPr>
      <xdr:spPr>
        <a:xfrm>
          <a:off x="171450" y="70671268"/>
          <a:ext cx="2532592" cy="11006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b="1" u="none"/>
            <a:t>BANCOS</a:t>
          </a:r>
        </a:p>
        <a:p>
          <a:r>
            <a:rPr lang="pt-BR" sz="1100" b="1" u="none"/>
            <a:t>SINAPI - 01/2025 - São Paulo</a:t>
          </a:r>
        </a:p>
        <a:p>
          <a:r>
            <a:rPr lang="pt-BR" sz="1100" b="1" u="none"/>
            <a:t>SIURB - 07/2024 - São Paulo</a:t>
          </a:r>
        </a:p>
        <a:p>
          <a:r>
            <a:rPr lang="pt-BR" sz="1100" b="1" u="none"/>
            <a:t>CDHU - 02/2025 - São Paulo</a:t>
          </a:r>
        </a:p>
        <a:p>
          <a:r>
            <a:rPr lang="pt-BR" sz="1100" b="1" u="none"/>
            <a:t>FDE - 01/2025 - São Paulo</a:t>
          </a:r>
        </a:p>
      </xdr:txBody>
    </xdr:sp>
    <xdr:clientData/>
  </xdr:twoCellAnchor>
  <xdr:twoCellAnchor editAs="oneCell">
    <xdr:from>
      <xdr:col>9</xdr:col>
      <xdr:colOff>0</xdr:colOff>
      <xdr:row>5</xdr:row>
      <xdr:rowOff>0</xdr:rowOff>
    </xdr:from>
    <xdr:to>
      <xdr:col>9</xdr:col>
      <xdr:colOff>304800</xdr:colOff>
      <xdr:row>6</xdr:row>
      <xdr:rowOff>57150</xdr:rowOff>
    </xdr:to>
    <xdr:sp macro="" textlink="">
      <xdr:nvSpPr>
        <xdr:cNvPr id="1027" name="AutoShape 3" descr="Logotipo da Prefeitura de São Pedro">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109251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5</xdr:row>
      <xdr:rowOff>0</xdr:rowOff>
    </xdr:from>
    <xdr:to>
      <xdr:col>9</xdr:col>
      <xdr:colOff>304800</xdr:colOff>
      <xdr:row>6</xdr:row>
      <xdr:rowOff>57150</xdr:rowOff>
    </xdr:to>
    <xdr:sp macro="" textlink="">
      <xdr:nvSpPr>
        <xdr:cNvPr id="5" name="AutoShape 3" descr="Logotipo da Prefeitura de São Pedro">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10782300" y="118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3</xdr:col>
          <xdr:colOff>1882140</xdr:colOff>
          <xdr:row>0</xdr:row>
          <xdr:rowOff>129540</xdr:rowOff>
        </xdr:from>
        <xdr:to>
          <xdr:col>5</xdr:col>
          <xdr:colOff>297180</xdr:colOff>
          <xdr:row>5</xdr:row>
          <xdr:rowOff>68580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solidFill>
              <a:srgbClr val="FFFFFF" mc:Ignorable="a14" a14:legacySpreadsheetColorIndex="65"/>
            </a:solidFill>
            <a:ln w="9525">
              <a:solidFill>
                <a:srgbClr val="FFFFFF" mc:Ignorable="a14" a14:legacySpreadsheetColorIndex="9"/>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7</xdr:col>
      <xdr:colOff>0</xdr:colOff>
      <xdr:row>5</xdr:row>
      <xdr:rowOff>0</xdr:rowOff>
    </xdr:from>
    <xdr:to>
      <xdr:col>7</xdr:col>
      <xdr:colOff>311150</xdr:colOff>
      <xdr:row>6</xdr:row>
      <xdr:rowOff>129540</xdr:rowOff>
    </xdr:to>
    <xdr:sp macro="" textlink="">
      <xdr:nvSpPr>
        <xdr:cNvPr id="3" name="AutoShape 3" descr="Logotipo da Prefeitura de São Pedro">
          <a:extLst>
            <a:ext uri="{FF2B5EF4-FFF2-40B4-BE49-F238E27FC236}">
              <a16:creationId xmlns:a16="http://schemas.microsoft.com/office/drawing/2014/main" id="{00000000-0008-0000-0100-000003000000}"/>
            </a:ext>
          </a:extLst>
        </xdr:cNvPr>
        <xdr:cNvSpPr>
          <a:spLocks noChangeAspect="1" noChangeArrowheads="1"/>
        </xdr:cNvSpPr>
      </xdr:nvSpPr>
      <xdr:spPr bwMode="auto">
        <a:xfrm>
          <a:off x="10782300"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5</xdr:col>
          <xdr:colOff>495300</xdr:colOff>
          <xdr:row>0</xdr:row>
          <xdr:rowOff>99060</xdr:rowOff>
        </xdr:from>
        <xdr:to>
          <xdr:col>7</xdr:col>
          <xdr:colOff>0</xdr:colOff>
          <xdr:row>6</xdr:row>
          <xdr:rowOff>53340</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solidFill>
              <a:srgbClr val="FFFFFF" mc:Ignorable="a14" a14:legacySpreadsheetColorIndex="65"/>
            </a:solidFill>
            <a:ln w="9525">
              <a:solidFill>
                <a:srgbClr val="FFFFFF" mc:Ignorable="a14" a14:legacySpreadsheetColorIndex="9"/>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0</xdr:colOff>
      <xdr:row>67</xdr:row>
      <xdr:rowOff>0</xdr:rowOff>
    </xdr:from>
    <xdr:to>
      <xdr:col>5</xdr:col>
      <xdr:colOff>104775</xdr:colOff>
      <xdr:row>67</xdr:row>
      <xdr:rowOff>0</xdr:rowOff>
    </xdr:to>
    <xdr:cxnSp macro="">
      <xdr:nvCxnSpPr>
        <xdr:cNvPr id="3" name="Conector reto 2">
          <a:extLst>
            <a:ext uri="{FF2B5EF4-FFF2-40B4-BE49-F238E27FC236}">
              <a16:creationId xmlns:a16="http://schemas.microsoft.com/office/drawing/2014/main" id="{00000000-0008-0000-0200-000003000000}"/>
            </a:ext>
          </a:extLst>
        </xdr:cNvPr>
        <xdr:cNvCxnSpPr>
          <a:cxnSpLocks noChangeShapeType="1"/>
        </xdr:cNvCxnSpPr>
      </xdr:nvCxnSpPr>
      <xdr:spPr bwMode="auto">
        <a:xfrm>
          <a:off x="609600" y="10858500"/>
          <a:ext cx="2543175" cy="0"/>
        </a:xfrm>
        <a:prstGeom prst="line">
          <a:avLst/>
        </a:prstGeom>
        <a:noFill/>
        <a:ln w="9525" algn="ctr">
          <a:solidFill>
            <a:srgbClr val="4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2</xdr:col>
      <xdr:colOff>360589</xdr:colOff>
      <xdr:row>43</xdr:row>
      <xdr:rowOff>122464</xdr:rowOff>
    </xdr:from>
    <xdr:to>
      <xdr:col>7</xdr:col>
      <xdr:colOff>449036</xdr:colOff>
      <xdr:row>59</xdr:row>
      <xdr:rowOff>95251</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773" t="14722" r="80059" b="56707"/>
        <a:stretch/>
      </xdr:blipFill>
      <xdr:spPr>
        <a:xfrm>
          <a:off x="1721303" y="7143750"/>
          <a:ext cx="3490233" cy="2585358"/>
        </a:xfrm>
        <a:prstGeom prst="rect">
          <a:avLst/>
        </a:prstGeom>
      </xdr:spPr>
    </xdr:pic>
    <xdr:clientData/>
  </xdr:twoCellAnchor>
  <xdr:twoCellAnchor editAs="oneCell">
    <xdr:from>
      <xdr:col>0</xdr:col>
      <xdr:colOff>108857</xdr:colOff>
      <xdr:row>6</xdr:row>
      <xdr:rowOff>149677</xdr:rowOff>
    </xdr:from>
    <xdr:to>
      <xdr:col>10</xdr:col>
      <xdr:colOff>553872</xdr:colOff>
      <xdr:row>41</xdr:row>
      <xdr:rowOff>54428</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27184" t="3339" r="18505" b="11589"/>
        <a:stretch/>
      </xdr:blipFill>
      <xdr:spPr>
        <a:xfrm>
          <a:off x="108857" y="1129391"/>
          <a:ext cx="7248586" cy="56197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914400</xdr:colOff>
          <xdr:row>0</xdr:row>
          <xdr:rowOff>99060</xdr:rowOff>
        </xdr:from>
        <xdr:to>
          <xdr:col>10</xdr:col>
          <xdr:colOff>68580</xdr:colOff>
          <xdr:row>2</xdr:row>
          <xdr:rowOff>236220</xdr:rowOff>
        </xdr:to>
        <xdr:sp macro="" textlink="">
          <xdr:nvSpPr>
            <xdr:cNvPr id="4098" name="Object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solidFill>
              <a:srgbClr val="FFFFFF" mc:Ignorable="a14" a14:legacySpreadsheetColorIndex="65"/>
            </a:solidFill>
            <a:ln w="9525">
              <a:solidFill>
                <a:srgbClr val="FFFFFF" mc:Ignorable="a14" a14:legacySpreadsheetColorIndex="9"/>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1</xdr:row>
          <xdr:rowOff>171450</xdr:rowOff>
        </xdr:to>
        <xdr:pic>
          <xdr:nvPicPr>
            <xdr:cNvPr id="2" name="SigiloPic">
              <a:extLst>
                <a:ext uri="{FF2B5EF4-FFF2-40B4-BE49-F238E27FC236}">
                  <a16:creationId xmlns:a16="http://schemas.microsoft.com/office/drawing/2014/main" id="{00000000-0008-0000-0400-000002000000}"/>
                </a:ext>
              </a:extLst>
            </xdr:cNvPr>
            <xdr:cNvPicPr>
              <a:picLocks noChangeArrowheads="1"/>
              <a:extLst>
                <a:ext uri="{84589F7E-364E-4C9E-8A38-B11213B215E9}">
                  <a14:cameraTool cellRange="[8]PO!$T$1:$T$2" spid="_x0000_s13305"/>
                </a:ext>
              </a:extLst>
            </xdr:cNvPicPr>
          </xdr:nvPicPr>
          <xdr:blipFill>
            <a:blip xmlns:r="http://schemas.openxmlformats.org/officeDocument/2006/relationships" r:embed="rId1"/>
            <a:srcRect/>
            <a:stretch>
              <a:fillRect/>
            </a:stretch>
          </xdr:blipFill>
          <xdr:spPr bwMode="auto">
            <a:xfrm>
              <a:off x="6753225" y="28575"/>
              <a:ext cx="1047750" cy="3333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xdr:row>
          <xdr:rowOff>457200</xdr:rowOff>
        </xdr:from>
        <xdr:to>
          <xdr:col>12</xdr:col>
          <xdr:colOff>495300</xdr:colOff>
          <xdr:row>2</xdr:row>
          <xdr:rowOff>175260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500-000001440000}"/>
                </a:ext>
              </a:extLst>
            </xdr:cNvPr>
            <xdr:cNvSpPr/>
          </xdr:nvSpPr>
          <xdr:spPr bwMode="auto">
            <a:xfrm>
              <a:off x="0" y="0"/>
              <a:ext cx="0" cy="0"/>
            </a:xfrm>
            <a:prstGeom prst="rect">
              <a:avLst/>
            </a:prstGeom>
            <a:solidFill>
              <a:srgbClr val="FFFFFF" mc:Ignorable="a14" a14:legacySpreadsheetColorIndex="65"/>
            </a:solidFill>
            <a:ln w="9525">
              <a:solidFill>
                <a:srgbClr val="FFFFFF" mc:Ignorable="a14" a14:legacySpreadsheetColorIndex="9"/>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gelfus\Marcos%20da%20Rocha%20Batista\Topografia\CORREGO%20ITAQUERA%20E%20ITAQUERUNA%20-%20QUEIROZ\TECLA-Planilha_cronograma_ALTERAD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TR-GELFUS\Projetos\OR&#199;AMENTOS\PREFEITURA%20SANTA%20GERTRUDES\QUADRA%20DE%20ESPORTES%20JD.%20JEQUITIBAS\PROJETO%20FECHAMENTO%20E%20REFORMA%202019\051%20-%20O%20-%201811%20-%2072%20-%20001_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TR-GELFUS\Projetos\OR&#199;AMENTOS\PREFEITURA%20SANTA%20GERTRUDES\QUADRA%20DE%20ESPORTES%20JD.%20JEQUITIBAS\PROJETO%20FECHAMENTO%20E%20REFORMA%202019\052%20-%20O%20-%201811%20-%2072%20-%20001_1.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D:\Secretaria%20de%20Obras\OBRAS%20A%20PARTIR%20DE%202021\Amplia&#231;&#227;o%207%20salas%20Emeif%20Pref%20Antonio%20Filier\PLANILHA\052%20-%20O%20-%202607%20-%2020%20-%20001_0%20CORRIGIDA.xlsx" TargetMode="External"/><Relationship Id="rId1" Type="http://schemas.openxmlformats.org/officeDocument/2006/relationships/externalLinkPath" Target="/Secretaria%20de%20Obras/OBRAS%20A%20PARTIR%20DE%202021/Amplia&#231;&#227;o%207%20salas%20Emeif%20Pref%20Antonio%20Filier/PLANILHA/052%20-%20O%20-%202607%20-%2020%20-%20001_0%20CORRIGIDA.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D:\Secretaria%20de%20Obras\OBRAS%20A%20PARTIR%20DE%202021\Amplia&#231;&#227;o%207%20salas%20Emeif%20Pref%20Antonio%20Filier\PLANILHA\052%20-%20O%20-%202607-%2035%20-%20001_0.xlsx" TargetMode="External"/><Relationship Id="rId1" Type="http://schemas.openxmlformats.org/officeDocument/2006/relationships/externalLinkPath" Target="/Secretaria%20de%20Obras/OBRAS%20A%20PARTIR%20DE%202021/Amplia&#231;&#227;o%207%20salas%20Emeif%20Pref%20Antonio%20Filier/PLANILHA/052%20-%20O%20-%202607-%2035%20-%20001_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Secretaria%20de%20Obras/OBRAS%20A%20PARTIR%20DE%202021/Amplia&#231;&#227;o%207%20salas%20Emeif%20Pref%20Antonio%20Filier/Revis&#227;o%2024%2004%202025/OR&#199;AMENTO/052%20-%20O%20-%202607-%2035%20-%20001_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OR&#199;AMENTOS\PREFEITURA%20SANTA%20GERTRUDES\ESCOLAS\EMEIF%20ANTONIO%20FILIER\AMPLIA&#199;AO%20SALA%202024\052%20-%20O%20-%202607%20-%2035%20-%20001_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R-GELFUS\Projetos\Users\TERMINAL%2005\Desktop\planilha%20m\CALCULADORA%20BD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Y:\OR&#199;AMENTOS\PREFEITURA%20DE%20SAO%20PEDRO\ESCOLAS\EMEB%20DRA%20HALINA%20BUBA%20BALDON\185%20-%20O%20-%201965%20-%2020%20-%20001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G Resumo"/>
      <sheetName val="PLANILHA PREÇOS E QTES"/>
      <sheetName val="Cronograma"/>
      <sheetName val="Resumo de serviços"/>
      <sheetName val="Composição de serviços Teorico"/>
      <sheetName val="PREÇ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BDI (3)"/>
      <sheetName val="PO"/>
      <sheetName val="PLQ"/>
      <sheetName val="CFF"/>
      <sheetName val="051 - O - 1811 - 72 - 001_0"/>
    </sheetNames>
    <definedNames>
      <definedName name="linhaSINAPIxls" refersTo="='PO'!$X1" sheetId="4"/>
    </definedNames>
    <sheetDataSet>
      <sheetData sheetId="0" refreshError="1">
        <row r="38">
          <cell r="A38">
            <v>43556</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BDI (3)"/>
      <sheetName val="PO"/>
      <sheetName val="PLQ"/>
      <sheetName val="CFF"/>
    </sheetNames>
    <definedNames>
      <definedName name="linhaSINAPIxls" refersTo="='PO'!$X1" sheetId="4"/>
    </defined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rçamento Sintético"/>
      <sheetName val="Memorial de Cálculo"/>
      <sheetName val="CROQUI BOTA-FORA"/>
      <sheetName val="Orçamento Analítico"/>
      <sheetName val="CRONOG"/>
      <sheetName val="BDI"/>
      <sheetName val="CURVA ABC"/>
      <sheetName val="Curva ABC de Insumos"/>
    </sheetNames>
    <sheetDataSet>
      <sheetData sheetId="0"/>
      <sheetData sheetId="1">
        <row r="45">
          <cell r="F45">
            <v>152.88</v>
          </cell>
        </row>
      </sheetData>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acas"/>
      <sheetName val="Blocos"/>
      <sheetName val="Vigas Baldrames "/>
      <sheetName val="Grout"/>
      <sheetName val="Pilar"/>
      <sheetName val="Vigas"/>
      <sheetName val="Laje"/>
      <sheetName val="Alvenarias e Fechamentos"/>
      <sheetName val="Coberturas"/>
      <sheetName val="Esquadrias"/>
      <sheetName val="Fachadas"/>
      <sheetName val="Acabamentos"/>
      <sheetName val="Louças e Metais"/>
      <sheetName val="Diversos"/>
    </sheetNames>
    <sheetDataSet>
      <sheetData sheetId="0"/>
      <sheetData sheetId="1"/>
      <sheetData sheetId="2"/>
      <sheetData sheetId="3"/>
      <sheetData sheetId="4"/>
      <sheetData sheetId="5">
        <row r="13">
          <cell r="H13">
            <v>10.254869999999999</v>
          </cell>
        </row>
      </sheetData>
      <sheetData sheetId="6"/>
      <sheetData sheetId="7"/>
      <sheetData sheetId="8"/>
      <sheetData sheetId="9"/>
      <sheetData sheetId="10"/>
      <sheetData sheetId="11"/>
      <sheetData sheetId="12"/>
      <sheetData sheetId="1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cas"/>
      <sheetName val="Blocos"/>
      <sheetName val="Vigas Baldrames "/>
      <sheetName val="Grout"/>
      <sheetName val="Pilar"/>
      <sheetName val="Vigas"/>
      <sheetName val="Laje"/>
      <sheetName val="Alvenarias e Fechamentos"/>
      <sheetName val="Esquadrias"/>
      <sheetName val="Coberturas"/>
      <sheetName val="Fachadas"/>
      <sheetName val="Acabamentos"/>
      <sheetName val="Louças e Metais"/>
      <sheetName val="Diversos"/>
    </sheetNames>
    <sheetDataSet>
      <sheetData sheetId="0" refreshError="1">
        <row r="11">
          <cell r="G11">
            <v>23.267420590649404</v>
          </cell>
        </row>
        <row r="12">
          <cell r="F12">
            <v>474</v>
          </cell>
        </row>
      </sheetData>
      <sheetData sheetId="1" refreshError="1"/>
      <sheetData sheetId="2" refreshError="1"/>
      <sheetData sheetId="3" refreshError="1">
        <row r="14">
          <cell r="F14">
            <v>9.3792668999999993</v>
          </cell>
        </row>
      </sheetData>
      <sheetData sheetId="4" refreshError="1">
        <row r="14">
          <cell r="G14">
            <v>7.7710389999999991</v>
          </cell>
          <cell r="H14">
            <v>160.23240000000001</v>
          </cell>
        </row>
      </sheetData>
      <sheetData sheetId="5" refreshError="1">
        <row r="13">
          <cell r="H13">
            <v>10.254869999999999</v>
          </cell>
          <cell r="I13">
            <v>142.12889999999999</v>
          </cell>
        </row>
      </sheetData>
      <sheetData sheetId="6" refreshError="1"/>
      <sheetData sheetId="7" refreshError="1">
        <row r="5">
          <cell r="I5">
            <v>437.17999999999995</v>
          </cell>
          <cell r="M5">
            <v>898.66450000000009</v>
          </cell>
        </row>
      </sheetData>
      <sheetData sheetId="8" refreshError="1">
        <row r="8">
          <cell r="N8">
            <v>65.52</v>
          </cell>
        </row>
        <row r="9">
          <cell r="N9">
            <v>29.12</v>
          </cell>
        </row>
        <row r="10">
          <cell r="N10">
            <v>5.44</v>
          </cell>
        </row>
        <row r="11">
          <cell r="N11">
            <v>29.12</v>
          </cell>
        </row>
        <row r="17">
          <cell r="E17">
            <v>5.44</v>
          </cell>
        </row>
        <row r="39">
          <cell r="E39">
            <v>81.400000000000006</v>
          </cell>
        </row>
      </sheetData>
      <sheetData sheetId="9" refreshError="1">
        <row r="10">
          <cell r="D10">
            <v>581.76999999999987</v>
          </cell>
          <cell r="H10">
            <v>51.599999999999994</v>
          </cell>
        </row>
        <row r="11">
          <cell r="D11">
            <v>8.5399999999999991</v>
          </cell>
        </row>
        <row r="13">
          <cell r="H13">
            <v>2.8</v>
          </cell>
          <cell r="J13">
            <v>2.8</v>
          </cell>
        </row>
      </sheetData>
      <sheetData sheetId="10" refreshError="1"/>
      <sheetData sheetId="11" refreshError="1">
        <row r="120">
          <cell r="D120">
            <v>343</v>
          </cell>
        </row>
      </sheetData>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cas"/>
      <sheetName val="Blocos"/>
      <sheetName val="Vigas Baldrames "/>
      <sheetName val="Grout"/>
      <sheetName val="Pilar"/>
      <sheetName val="Vigas"/>
      <sheetName val="Laje"/>
      <sheetName val="Alvenarias e Fechamentos"/>
      <sheetName val="Coberturas"/>
      <sheetName val="Esquadrias"/>
      <sheetName val="Fachadas"/>
      <sheetName val="Acabamentos"/>
      <sheetName val="Louças e Metais"/>
      <sheetName val="Diversos"/>
    </sheetNames>
    <sheetDataSet>
      <sheetData sheetId="0" refreshError="1"/>
      <sheetData sheetId="1" refreshError="1"/>
      <sheetData sheetId="2" refreshError="1"/>
      <sheetData sheetId="3" refreshError="1"/>
      <sheetData sheetId="4" refreshError="1"/>
      <sheetData sheetId="5" refreshError="1"/>
      <sheetData sheetId="6" refreshError="1">
        <row r="8">
          <cell r="D8">
            <v>54.6</v>
          </cell>
          <cell r="N8">
            <v>193.28400000000002</v>
          </cell>
        </row>
      </sheetData>
      <sheetData sheetId="7" refreshError="1"/>
      <sheetData sheetId="8" refreshError="1">
        <row r="10">
          <cell r="D10">
            <v>582.37399999999991</v>
          </cell>
        </row>
        <row r="11">
          <cell r="D11">
            <v>7.6999999999999993</v>
          </cell>
        </row>
        <row r="12">
          <cell r="D12">
            <v>16.11</v>
          </cell>
        </row>
        <row r="21">
          <cell r="D21">
            <v>7.6999999999999993</v>
          </cell>
        </row>
      </sheetData>
      <sheetData sheetId="9" refreshError="1">
        <row r="8">
          <cell r="E8">
            <v>160.49000000000004</v>
          </cell>
        </row>
        <row r="9">
          <cell r="E9">
            <v>37.422000000000004</v>
          </cell>
        </row>
        <row r="11">
          <cell r="K11">
            <v>7</v>
          </cell>
        </row>
        <row r="12">
          <cell r="K12">
            <v>2</v>
          </cell>
        </row>
        <row r="13">
          <cell r="N13">
            <v>5.75</v>
          </cell>
        </row>
        <row r="14">
          <cell r="N14">
            <v>1.8900000000000001</v>
          </cell>
        </row>
      </sheetData>
      <sheetData sheetId="10" refreshError="1">
        <row r="10">
          <cell r="C10">
            <v>613.06000000000017</v>
          </cell>
        </row>
      </sheetData>
      <sheetData sheetId="11" refreshError="1">
        <row r="10">
          <cell r="D10">
            <v>529.38</v>
          </cell>
        </row>
        <row r="39">
          <cell r="D39">
            <v>314.10000000000002</v>
          </cell>
        </row>
        <row r="62">
          <cell r="D62">
            <v>1095.2800000000002</v>
          </cell>
        </row>
        <row r="63">
          <cell r="D63">
            <v>576.72</v>
          </cell>
        </row>
        <row r="64">
          <cell r="D64">
            <v>144.16</v>
          </cell>
        </row>
        <row r="119">
          <cell r="D119">
            <v>43.38</v>
          </cell>
        </row>
      </sheetData>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BDI (3)"/>
      <sheetName val="PO"/>
      <sheetName val="PLQ"/>
      <sheetName val="CFF"/>
    </sheetNames>
    <sheetDataSet>
      <sheetData sheetId="0">
        <row r="38">
          <cell r="C38" t="str">
            <v>Sim</v>
          </cell>
        </row>
        <row r="55">
          <cell r="B55" t="str">
            <v>Engenheiro Civil</v>
          </cell>
        </row>
        <row r="56">
          <cell r="A56" t="str">
            <v>CREA/CAU:</v>
          </cell>
        </row>
        <row r="57">
          <cell r="A57" t="str">
            <v>ART/RRT:</v>
          </cell>
        </row>
      </sheetData>
      <sheetData sheetId="1"/>
      <sheetData sheetId="2"/>
      <sheetData sheetId="3"/>
      <sheetData sheetId="4">
        <row r="230">
          <cell r="K230">
            <v>44050</v>
          </cell>
        </row>
      </sheetData>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intetica"/>
      <sheetName val="Memória de Cálculo"/>
      <sheetName val="Orçamento Analítico"/>
      <sheetName val="CRONOG"/>
      <sheetName val="BDI"/>
      <sheetName val="Curva ABC de Insumos"/>
      <sheetName val="COTAÇÕES"/>
    </sheetNames>
    <sheetDataSet>
      <sheetData sheetId="0"/>
      <sheetData sheetId="1"/>
      <sheetData sheetId="2"/>
      <sheetData sheetId="3"/>
      <sheetData sheetId="4">
        <row r="27">
          <cell r="N27">
            <v>0.28820000000000001</v>
          </cell>
        </row>
      </sheetData>
      <sheetData sheetId="5"/>
      <sheetData sheetId="6"/>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2.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image" Target="../media/image2.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image" Target="../media/image2.emf"/><Relationship Id="rId4" Type="http://schemas.openxmlformats.org/officeDocument/2006/relationships/oleObject" Target="../embeddings/oleObject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0"/>
  <sheetViews>
    <sheetView tabSelected="1" view="pageBreakPreview" zoomScale="90" zoomScaleNormal="100" zoomScaleSheetLayoutView="90" workbookViewId="0">
      <selection activeCell="G4" sqref="G4"/>
    </sheetView>
  </sheetViews>
  <sheetFormatPr defaultColWidth="9" defaultRowHeight="13.8" x14ac:dyDescent="0.25"/>
  <cols>
    <col min="1" max="1" width="8.69921875" style="22" customWidth="1"/>
    <col min="2" max="2" width="8.796875" style="11" bestFit="1" customWidth="1"/>
    <col min="3" max="3" width="12" style="11" bestFit="1" customWidth="1"/>
    <col min="4" max="4" width="60" style="22" bestFit="1" customWidth="1"/>
    <col min="5" max="5" width="7.59765625" style="22" bestFit="1" customWidth="1"/>
    <col min="6" max="6" width="9.296875" style="16" bestFit="1" customWidth="1"/>
    <col min="7" max="7" width="12.5" style="22" customWidth="1"/>
    <col min="8" max="8" width="10.69921875" style="22" customWidth="1"/>
    <col min="9" max="9" width="12" style="22" customWidth="1"/>
    <col min="10" max="11" width="9" style="22"/>
    <col min="12" max="12" width="6.296875" style="22" customWidth="1"/>
    <col min="13" max="13" width="4.69921875" style="22" customWidth="1"/>
    <col min="14" max="14" width="5.5" style="22" customWidth="1"/>
    <col min="15" max="15" width="10.09765625" style="22" bestFit="1" customWidth="1"/>
    <col min="16" max="16" width="10.5" style="22" bestFit="1" customWidth="1"/>
    <col min="17" max="16384" width="9" style="22"/>
  </cols>
  <sheetData>
    <row r="1" spans="1:10" ht="15.6" x14ac:dyDescent="0.25">
      <c r="A1" s="14" t="s">
        <v>151</v>
      </c>
      <c r="B1" s="21"/>
      <c r="C1" s="21"/>
      <c r="D1" s="10"/>
      <c r="E1" s="13"/>
      <c r="F1" s="15" t="s">
        <v>34</v>
      </c>
      <c r="G1" s="19">
        <f>BDI!N26</f>
        <v>0.28820000000000001</v>
      </c>
      <c r="H1" s="13"/>
      <c r="I1" s="135" t="s">
        <v>12</v>
      </c>
      <c r="J1" s="135"/>
    </row>
    <row r="2" spans="1:10" ht="15.6" x14ac:dyDescent="0.25">
      <c r="A2" s="14" t="s">
        <v>838</v>
      </c>
      <c r="B2" s="12"/>
      <c r="C2" s="12"/>
      <c r="D2" s="20"/>
      <c r="E2" s="141"/>
      <c r="F2" s="141"/>
      <c r="G2" s="141"/>
      <c r="H2" s="141"/>
      <c r="I2" s="136" t="s">
        <v>13</v>
      </c>
      <c r="J2" s="136"/>
    </row>
    <row r="3" spans="1:10" ht="15.6" x14ac:dyDescent="0.25">
      <c r="A3" s="14" t="s">
        <v>106</v>
      </c>
      <c r="B3" s="12"/>
      <c r="C3" s="12"/>
      <c r="D3" s="20"/>
      <c r="E3" s="20"/>
      <c r="F3" s="18"/>
      <c r="G3" s="17"/>
      <c r="H3" s="20"/>
      <c r="I3" s="136"/>
      <c r="J3" s="136"/>
    </row>
    <row r="4" spans="1:10" ht="15.6" x14ac:dyDescent="0.25">
      <c r="A4" s="14" t="s">
        <v>762</v>
      </c>
      <c r="B4" s="12"/>
      <c r="C4" s="12"/>
      <c r="D4" s="20"/>
      <c r="E4" s="20"/>
      <c r="F4" s="20"/>
      <c r="G4" s="17"/>
      <c r="H4" s="20"/>
      <c r="I4" s="136"/>
      <c r="J4" s="136"/>
    </row>
    <row r="5" spans="1:10" ht="15.6" x14ac:dyDescent="0.25">
      <c r="A5" s="14" t="s">
        <v>761</v>
      </c>
      <c r="B5" s="12"/>
      <c r="C5" s="12"/>
      <c r="D5" s="20"/>
      <c r="E5" s="20"/>
      <c r="F5" s="20"/>
      <c r="G5" s="17"/>
      <c r="H5" s="20"/>
      <c r="I5" s="136"/>
      <c r="J5" s="136"/>
    </row>
    <row r="6" spans="1:10" ht="19.2" x14ac:dyDescent="0.25">
      <c r="A6" s="137"/>
      <c r="B6" s="137"/>
      <c r="C6" s="137"/>
      <c r="D6" s="20"/>
      <c r="E6" s="20"/>
      <c r="F6" s="18"/>
      <c r="G6" s="20"/>
      <c r="H6" s="20"/>
      <c r="I6" s="136"/>
      <c r="J6" s="136"/>
    </row>
    <row r="7" spans="1:10" x14ac:dyDescent="0.25">
      <c r="A7" s="142" t="s">
        <v>41</v>
      </c>
      <c r="B7" s="143"/>
      <c r="C7" s="143"/>
      <c r="D7" s="143"/>
      <c r="E7" s="143"/>
      <c r="F7" s="143"/>
      <c r="G7" s="143"/>
      <c r="H7" s="143"/>
      <c r="I7" s="143"/>
      <c r="J7" s="20"/>
    </row>
    <row r="8" spans="1:10" ht="27.6" x14ac:dyDescent="0.25">
      <c r="A8" s="72" t="s">
        <v>0</v>
      </c>
      <c r="B8" s="73" t="s">
        <v>23</v>
      </c>
      <c r="C8" s="72" t="s">
        <v>24</v>
      </c>
      <c r="D8" s="72" t="s">
        <v>1</v>
      </c>
      <c r="E8" s="74" t="s">
        <v>2</v>
      </c>
      <c r="F8" s="73" t="s">
        <v>3</v>
      </c>
      <c r="G8" s="73" t="s">
        <v>25</v>
      </c>
      <c r="H8" s="73" t="s">
        <v>520</v>
      </c>
      <c r="I8" s="73" t="s">
        <v>26</v>
      </c>
      <c r="J8" s="73" t="s">
        <v>521</v>
      </c>
    </row>
    <row r="9" spans="1:10" ht="17.25" customHeight="1" x14ac:dyDescent="0.25">
      <c r="A9" s="75" t="s">
        <v>4</v>
      </c>
      <c r="B9" s="75" t="s">
        <v>522</v>
      </c>
      <c r="C9" s="75"/>
      <c r="D9" s="75" t="s">
        <v>35</v>
      </c>
      <c r="E9" s="76"/>
      <c r="F9" s="77">
        <v>1</v>
      </c>
      <c r="G9" s="78" t="s">
        <v>14</v>
      </c>
      <c r="H9" s="79"/>
      <c r="I9" s="79">
        <f>I10+I15</f>
        <v>41643.39</v>
      </c>
      <c r="J9" s="80">
        <f>I9/$I$221</f>
        <v>1.9697940681727689E-2</v>
      </c>
    </row>
    <row r="10" spans="1:10" x14ac:dyDescent="0.25">
      <c r="A10" s="75" t="s">
        <v>5</v>
      </c>
      <c r="B10" s="75" t="s">
        <v>522</v>
      </c>
      <c r="C10" s="75"/>
      <c r="D10" s="75" t="s">
        <v>28</v>
      </c>
      <c r="E10" s="76"/>
      <c r="F10" s="77">
        <v>1</v>
      </c>
      <c r="G10" s="78" t="s">
        <v>14</v>
      </c>
      <c r="H10" s="79"/>
      <c r="I10" s="79">
        <f>SUM(I11:I14)</f>
        <v>36304.51</v>
      </c>
      <c r="J10" s="80">
        <f>I10/$I$221</f>
        <v>1.7172571312258435E-2</v>
      </c>
    </row>
    <row r="11" spans="1:10" ht="26.4" x14ac:dyDescent="0.25">
      <c r="A11" s="81" t="s">
        <v>29</v>
      </c>
      <c r="B11" s="81" t="s">
        <v>152</v>
      </c>
      <c r="C11" s="81" t="s">
        <v>27</v>
      </c>
      <c r="D11" s="81" t="s">
        <v>153</v>
      </c>
      <c r="E11" s="82" t="s">
        <v>6</v>
      </c>
      <c r="F11" s="83">
        <v>6</v>
      </c>
      <c r="G11" s="84">
        <v>466.76</v>
      </c>
      <c r="H11" s="84">
        <f>ROUND(G11*(1+$G$1),2)</f>
        <v>601.28</v>
      </c>
      <c r="I11" s="84">
        <f>ROUND(F11*H11,2)</f>
        <v>3607.68</v>
      </c>
      <c r="J11" s="112">
        <f>I11/$I$221</f>
        <v>1.7064861107286258E-3</v>
      </c>
    </row>
    <row r="12" spans="1:10" x14ac:dyDescent="0.25">
      <c r="A12" s="81" t="s">
        <v>154</v>
      </c>
      <c r="B12" s="81" t="s">
        <v>163</v>
      </c>
      <c r="C12" s="81" t="s">
        <v>27</v>
      </c>
      <c r="D12" s="81" t="s">
        <v>164</v>
      </c>
      <c r="E12" s="82" t="s">
        <v>6</v>
      </c>
      <c r="F12" s="83">
        <v>104.22</v>
      </c>
      <c r="G12" s="84">
        <v>90.48</v>
      </c>
      <c r="H12" s="84">
        <f t="shared" ref="H12:H14" si="0">ROUND(G12*(1+$G$1),2)</f>
        <v>116.56</v>
      </c>
      <c r="I12" s="84">
        <f t="shared" ref="I12:I14" si="1">ROUND(F12*H12,2)</f>
        <v>12147.88</v>
      </c>
      <c r="J12" s="112">
        <f t="shared" ref="J12:J14" si="2">I12/$I$221</f>
        <v>5.7461272881181424E-3</v>
      </c>
    </row>
    <row r="13" spans="1:10" x14ac:dyDescent="0.25">
      <c r="A13" s="81" t="s">
        <v>156</v>
      </c>
      <c r="B13" s="81" t="s">
        <v>155</v>
      </c>
      <c r="C13" s="91" t="s">
        <v>833</v>
      </c>
      <c r="D13" s="81" t="s">
        <v>523</v>
      </c>
      <c r="E13" s="82" t="s">
        <v>524</v>
      </c>
      <c r="F13" s="93">
        <v>10</v>
      </c>
      <c r="G13" s="84">
        <v>940.91</v>
      </c>
      <c r="H13" s="84">
        <f t="shared" si="0"/>
        <v>1212.08</v>
      </c>
      <c r="I13" s="84">
        <f t="shared" si="1"/>
        <v>12120.8</v>
      </c>
      <c r="J13" s="112">
        <f t="shared" si="2"/>
        <v>5.7333180467556795E-3</v>
      </c>
    </row>
    <row r="14" spans="1:10" ht="27.6" customHeight="1" x14ac:dyDescent="0.25">
      <c r="A14" s="81" t="s">
        <v>165</v>
      </c>
      <c r="B14" s="81" t="s">
        <v>166</v>
      </c>
      <c r="C14" s="81" t="s">
        <v>27</v>
      </c>
      <c r="D14" s="81" t="s">
        <v>167</v>
      </c>
      <c r="E14" s="82" t="s">
        <v>10</v>
      </c>
      <c r="F14" s="93">
        <v>91.7</v>
      </c>
      <c r="G14" s="84">
        <v>71.349999999999994</v>
      </c>
      <c r="H14" s="84">
        <f t="shared" si="0"/>
        <v>91.91</v>
      </c>
      <c r="I14" s="84">
        <f t="shared" si="1"/>
        <v>8428.15</v>
      </c>
      <c r="J14" s="112">
        <f t="shared" si="2"/>
        <v>3.9866398666559858E-3</v>
      </c>
    </row>
    <row r="15" spans="1:10" x14ac:dyDescent="0.25">
      <c r="A15" s="75" t="s">
        <v>168</v>
      </c>
      <c r="B15" s="75" t="s">
        <v>522</v>
      </c>
      <c r="C15" s="75"/>
      <c r="D15" s="75" t="s">
        <v>169</v>
      </c>
      <c r="E15" s="76"/>
      <c r="F15" s="78">
        <v>1</v>
      </c>
      <c r="G15" s="78"/>
      <c r="H15" s="79"/>
      <c r="I15" s="79">
        <f>SUM(I16)</f>
        <v>5338.88</v>
      </c>
      <c r="J15" s="80">
        <f>I15/$I$221</f>
        <v>2.5253693694692564E-3</v>
      </c>
    </row>
    <row r="16" spans="1:10" x14ac:dyDescent="0.25">
      <c r="A16" s="81" t="s">
        <v>170</v>
      </c>
      <c r="B16" s="81" t="s">
        <v>171</v>
      </c>
      <c r="C16" s="91" t="s">
        <v>833</v>
      </c>
      <c r="D16" s="81" t="s">
        <v>525</v>
      </c>
      <c r="E16" s="82" t="s">
        <v>172</v>
      </c>
      <c r="F16" s="83">
        <v>4</v>
      </c>
      <c r="G16" s="84">
        <v>1036.1099999999999</v>
      </c>
      <c r="H16" s="84">
        <f>ROUND(G16*(1+$G$1),2)</f>
        <v>1334.72</v>
      </c>
      <c r="I16" s="84">
        <f>ROUND(F16*H16,2)</f>
        <v>5338.88</v>
      </c>
      <c r="J16" s="112">
        <f>I16/$I$221</f>
        <v>2.5253693694692564E-3</v>
      </c>
    </row>
    <row r="17" spans="1:10" x14ac:dyDescent="0.25">
      <c r="A17" s="75" t="s">
        <v>7</v>
      </c>
      <c r="B17" s="75" t="s">
        <v>522</v>
      </c>
      <c r="C17" s="75"/>
      <c r="D17" s="75" t="s">
        <v>102</v>
      </c>
      <c r="E17" s="76"/>
      <c r="F17" s="78">
        <v>1</v>
      </c>
      <c r="G17" s="78"/>
      <c r="H17" s="79"/>
      <c r="I17" s="79">
        <f>I18+I22</f>
        <v>6999.78</v>
      </c>
      <c r="J17" s="80">
        <f t="shared" ref="J17:J21" si="3">I17/$I$221</f>
        <v>3.3109996862681892E-3</v>
      </c>
    </row>
    <row r="18" spans="1:10" x14ac:dyDescent="0.25">
      <c r="A18" s="75" t="s">
        <v>8</v>
      </c>
      <c r="B18" s="75" t="s">
        <v>522</v>
      </c>
      <c r="C18" s="75"/>
      <c r="D18" s="75" t="s">
        <v>107</v>
      </c>
      <c r="E18" s="76"/>
      <c r="F18" s="78">
        <v>1</v>
      </c>
      <c r="G18" s="78"/>
      <c r="H18" s="79"/>
      <c r="I18" s="79">
        <f>SUM(I19:I21)</f>
        <v>3173.14</v>
      </c>
      <c r="J18" s="80">
        <f t="shared" si="3"/>
        <v>1.5009422502542996E-3</v>
      </c>
    </row>
    <row r="19" spans="1:10" ht="26.4" x14ac:dyDescent="0.25">
      <c r="A19" s="81" t="s">
        <v>40</v>
      </c>
      <c r="B19" s="81" t="s">
        <v>173</v>
      </c>
      <c r="C19" s="91" t="s">
        <v>833</v>
      </c>
      <c r="D19" s="81" t="s">
        <v>526</v>
      </c>
      <c r="E19" s="82" t="s">
        <v>30</v>
      </c>
      <c r="F19" s="83">
        <v>19.97</v>
      </c>
      <c r="G19" s="84">
        <v>74.28</v>
      </c>
      <c r="H19" s="84">
        <f t="shared" ref="H19:H21" si="4">ROUND(G19*(1+$G$1),2)</f>
        <v>95.69</v>
      </c>
      <c r="I19" s="84">
        <f t="shared" ref="I19:I21" si="5">ROUND(F19*H19,2)</f>
        <v>1910.93</v>
      </c>
      <c r="J19" s="112">
        <f t="shared" si="3"/>
        <v>9.0389821258389134E-4</v>
      </c>
    </row>
    <row r="20" spans="1:10" x14ac:dyDescent="0.25">
      <c r="A20" s="81" t="s">
        <v>157</v>
      </c>
      <c r="B20" s="81" t="s">
        <v>174</v>
      </c>
      <c r="C20" s="91" t="s">
        <v>833</v>
      </c>
      <c r="D20" s="81" t="s">
        <v>527</v>
      </c>
      <c r="E20" s="82" t="s">
        <v>528</v>
      </c>
      <c r="F20" s="83">
        <v>311.39999999999998</v>
      </c>
      <c r="G20" s="84">
        <v>2.3199999999999998</v>
      </c>
      <c r="H20" s="84">
        <f t="shared" si="4"/>
        <v>2.99</v>
      </c>
      <c r="I20" s="84">
        <f t="shared" si="5"/>
        <v>931.09</v>
      </c>
      <c r="J20" s="112">
        <f t="shared" si="3"/>
        <v>4.4041937002126477E-4</v>
      </c>
    </row>
    <row r="21" spans="1:10" ht="26.4" x14ac:dyDescent="0.25">
      <c r="A21" s="81" t="s">
        <v>158</v>
      </c>
      <c r="B21" s="81" t="s">
        <v>175</v>
      </c>
      <c r="C21" s="91" t="s">
        <v>833</v>
      </c>
      <c r="D21" s="81" t="s">
        <v>529</v>
      </c>
      <c r="E21" s="82" t="s">
        <v>6</v>
      </c>
      <c r="F21" s="83">
        <v>34.6</v>
      </c>
      <c r="G21" s="84">
        <v>7.43</v>
      </c>
      <c r="H21" s="84">
        <f t="shared" si="4"/>
        <v>9.57</v>
      </c>
      <c r="I21" s="84">
        <f t="shared" si="5"/>
        <v>331.12</v>
      </c>
      <c r="J21" s="112">
        <f t="shared" si="3"/>
        <v>1.5662466764914366E-4</v>
      </c>
    </row>
    <row r="22" spans="1:10" x14ac:dyDescent="0.25">
      <c r="A22" s="75" t="s">
        <v>31</v>
      </c>
      <c r="B22" s="75" t="s">
        <v>522</v>
      </c>
      <c r="C22" s="75"/>
      <c r="D22" s="75" t="s">
        <v>103</v>
      </c>
      <c r="E22" s="76"/>
      <c r="F22" s="78">
        <v>1</v>
      </c>
      <c r="G22" s="78"/>
      <c r="H22" s="79"/>
      <c r="I22" s="79">
        <f>SUM(I23)</f>
        <v>3826.64</v>
      </c>
      <c r="J22" s="80">
        <f>I22/$I$221</f>
        <v>1.8100574360138896E-3</v>
      </c>
    </row>
    <row r="23" spans="1:10" ht="39.6" x14ac:dyDescent="0.25">
      <c r="A23" s="81" t="s">
        <v>32</v>
      </c>
      <c r="B23" s="81" t="s">
        <v>176</v>
      </c>
      <c r="C23" s="91" t="s">
        <v>833</v>
      </c>
      <c r="D23" s="81" t="s">
        <v>530</v>
      </c>
      <c r="E23" s="82" t="s">
        <v>30</v>
      </c>
      <c r="F23" s="83">
        <v>27.3</v>
      </c>
      <c r="G23" s="84">
        <v>108.81</v>
      </c>
      <c r="H23" s="84">
        <f>ROUND(G23*(1+$G$1),2)</f>
        <v>140.16999999999999</v>
      </c>
      <c r="I23" s="84">
        <f>ROUND(F23*H23,2)</f>
        <v>3826.64</v>
      </c>
      <c r="J23" s="112">
        <f>I23/$I$221</f>
        <v>1.8100574360138896E-3</v>
      </c>
    </row>
    <row r="24" spans="1:10" x14ac:dyDescent="0.25">
      <c r="A24" s="75" t="s">
        <v>131</v>
      </c>
      <c r="B24" s="75" t="s">
        <v>522</v>
      </c>
      <c r="C24" s="75"/>
      <c r="D24" s="75" t="s">
        <v>177</v>
      </c>
      <c r="E24" s="76"/>
      <c r="F24" s="78">
        <v>1</v>
      </c>
      <c r="G24" s="78"/>
      <c r="H24" s="79"/>
      <c r="I24" s="79">
        <f>I25+I27</f>
        <v>12551.039999999999</v>
      </c>
      <c r="J24" s="80">
        <f t="shared" ref="J24:J25" si="6">I24/$I$221</f>
        <v>5.9368279434981516E-3</v>
      </c>
    </row>
    <row r="25" spans="1:10" x14ac:dyDescent="0.25">
      <c r="A25" s="75" t="s">
        <v>132</v>
      </c>
      <c r="B25" s="75" t="s">
        <v>522</v>
      </c>
      <c r="C25" s="75"/>
      <c r="D25" s="75" t="s">
        <v>124</v>
      </c>
      <c r="E25" s="76"/>
      <c r="F25" s="78">
        <v>1</v>
      </c>
      <c r="G25" s="78"/>
      <c r="H25" s="79"/>
      <c r="I25" s="79">
        <f>SUM(I26)</f>
        <v>576.72</v>
      </c>
      <c r="J25" s="80">
        <f t="shared" si="6"/>
        <v>2.7279710777547157E-4</v>
      </c>
    </row>
    <row r="26" spans="1:10" ht="39.6" x14ac:dyDescent="0.25">
      <c r="A26" s="81" t="s">
        <v>133</v>
      </c>
      <c r="B26" s="81" t="s">
        <v>178</v>
      </c>
      <c r="C26" s="81" t="s">
        <v>27</v>
      </c>
      <c r="D26" s="81" t="s">
        <v>179</v>
      </c>
      <c r="E26" s="82" t="s">
        <v>6</v>
      </c>
      <c r="F26" s="83">
        <v>648</v>
      </c>
      <c r="G26" s="84">
        <v>0.69</v>
      </c>
      <c r="H26" s="84">
        <f>ROUND(G26*(1+$G$1),2)</f>
        <v>0.89</v>
      </c>
      <c r="I26" s="84">
        <f>ROUND(F26*H26,2)</f>
        <v>576.72</v>
      </c>
      <c r="J26" s="112">
        <f>I26/$I$221</f>
        <v>2.7279710777547157E-4</v>
      </c>
    </row>
    <row r="27" spans="1:10" x14ac:dyDescent="0.25">
      <c r="A27" s="75" t="s">
        <v>180</v>
      </c>
      <c r="B27" s="75" t="s">
        <v>522</v>
      </c>
      <c r="C27" s="75"/>
      <c r="D27" s="75" t="s">
        <v>181</v>
      </c>
      <c r="E27" s="76"/>
      <c r="F27" s="78">
        <v>1</v>
      </c>
      <c r="G27" s="78"/>
      <c r="H27" s="79"/>
      <c r="I27" s="79">
        <f>SUM(I28:I30)</f>
        <v>11974.32</v>
      </c>
      <c r="J27" s="80">
        <f>I27/$I$221</f>
        <v>5.6640308357226807E-3</v>
      </c>
    </row>
    <row r="28" spans="1:10" ht="52.8" x14ac:dyDescent="0.25">
      <c r="A28" s="81" t="s">
        <v>182</v>
      </c>
      <c r="B28" s="81" t="s">
        <v>183</v>
      </c>
      <c r="C28" s="81" t="s">
        <v>27</v>
      </c>
      <c r="D28" s="81" t="s">
        <v>184</v>
      </c>
      <c r="E28" s="82" t="s">
        <v>30</v>
      </c>
      <c r="F28" s="85">
        <f>F26*0.15</f>
        <v>97.2</v>
      </c>
      <c r="G28" s="84">
        <v>12.69</v>
      </c>
      <c r="H28" s="84">
        <f t="shared" ref="H28:H30" si="7">ROUND(G28*(1+$G$1),2)</f>
        <v>16.350000000000001</v>
      </c>
      <c r="I28" s="84">
        <f t="shared" ref="I28:I30" si="8">ROUND(F28*H28,2)</f>
        <v>1589.22</v>
      </c>
      <c r="J28" s="112">
        <f t="shared" ref="J28:J29" si="9">I28/$I$221</f>
        <v>7.5172461440375731E-4</v>
      </c>
    </row>
    <row r="29" spans="1:10" ht="52.8" x14ac:dyDescent="0.25">
      <c r="A29" s="81" t="s">
        <v>185</v>
      </c>
      <c r="B29" s="89" t="s">
        <v>186</v>
      </c>
      <c r="C29" s="89" t="s">
        <v>27</v>
      </c>
      <c r="D29" s="89" t="s">
        <v>187</v>
      </c>
      <c r="E29" s="82" t="s">
        <v>30</v>
      </c>
      <c r="F29" s="86">
        <f>648*0.3</f>
        <v>194.4</v>
      </c>
      <c r="G29" s="84">
        <v>13.29</v>
      </c>
      <c r="H29" s="84">
        <f t="shared" si="7"/>
        <v>17.12</v>
      </c>
      <c r="I29" s="84">
        <f t="shared" si="8"/>
        <v>3328.13</v>
      </c>
      <c r="J29" s="112">
        <f t="shared" si="9"/>
        <v>1.574254817417083E-3</v>
      </c>
    </row>
    <row r="30" spans="1:10" ht="26.4" x14ac:dyDescent="0.25">
      <c r="A30" s="81" t="s">
        <v>188</v>
      </c>
      <c r="B30" s="81" t="s">
        <v>189</v>
      </c>
      <c r="C30" s="81" t="s">
        <v>27</v>
      </c>
      <c r="D30" s="81" t="s">
        <v>190</v>
      </c>
      <c r="E30" s="82" t="s">
        <v>46</v>
      </c>
      <c r="F30" s="86">
        <v>1971.22</v>
      </c>
      <c r="G30" s="84">
        <v>2.78</v>
      </c>
      <c r="H30" s="84">
        <f t="shared" si="7"/>
        <v>3.58</v>
      </c>
      <c r="I30" s="84">
        <f t="shared" si="8"/>
        <v>7056.97</v>
      </c>
      <c r="J30" s="112">
        <f>I30/$I$221</f>
        <v>3.3380514039018407E-3</v>
      </c>
    </row>
    <row r="31" spans="1:10" x14ac:dyDescent="0.25">
      <c r="A31" s="75" t="s">
        <v>134</v>
      </c>
      <c r="B31" s="75" t="s">
        <v>522</v>
      </c>
      <c r="C31" s="75"/>
      <c r="D31" s="75" t="s">
        <v>191</v>
      </c>
      <c r="E31" s="76"/>
      <c r="F31" s="78">
        <v>1</v>
      </c>
      <c r="G31" s="78"/>
      <c r="H31" s="79"/>
      <c r="I31" s="79">
        <f>I32+I34</f>
        <v>152146.26</v>
      </c>
      <c r="J31" s="80">
        <f t="shared" ref="J31:J32" si="10">I31/$I$221</f>
        <v>7.1967435994685316E-2</v>
      </c>
    </row>
    <row r="32" spans="1:10" x14ac:dyDescent="0.25">
      <c r="A32" s="75" t="s">
        <v>135</v>
      </c>
      <c r="B32" s="75" t="s">
        <v>522</v>
      </c>
      <c r="C32" s="75"/>
      <c r="D32" s="75" t="s">
        <v>192</v>
      </c>
      <c r="E32" s="76"/>
      <c r="F32" s="78">
        <v>1</v>
      </c>
      <c r="G32" s="78"/>
      <c r="H32" s="79"/>
      <c r="I32" s="79">
        <f>SUM(I33)</f>
        <v>34298.639999999999</v>
      </c>
      <c r="J32" s="80">
        <f t="shared" si="10"/>
        <v>1.6223765072534504E-2</v>
      </c>
    </row>
    <row r="33" spans="1:10" x14ac:dyDescent="0.25">
      <c r="A33" s="81" t="s">
        <v>193</v>
      </c>
      <c r="B33" s="81" t="s">
        <v>469</v>
      </c>
      <c r="C33" s="91" t="s">
        <v>833</v>
      </c>
      <c r="D33" s="81" t="s">
        <v>531</v>
      </c>
      <c r="E33" s="82" t="s">
        <v>194</v>
      </c>
      <c r="F33" s="83">
        <v>474</v>
      </c>
      <c r="G33" s="84">
        <v>56.17</v>
      </c>
      <c r="H33" s="84">
        <f>ROUND(G33*(1+$G$1),2)</f>
        <v>72.36</v>
      </c>
      <c r="I33" s="84">
        <f>ROUND(F33*H33,2)</f>
        <v>34298.639999999999</v>
      </c>
      <c r="J33" s="112">
        <f>I33/$I$221</f>
        <v>1.6223765072534504E-2</v>
      </c>
    </row>
    <row r="34" spans="1:10" s="67" customFormat="1" x14ac:dyDescent="0.25">
      <c r="A34" s="75" t="s">
        <v>136</v>
      </c>
      <c r="B34" s="75" t="s">
        <v>522</v>
      </c>
      <c r="C34" s="75"/>
      <c r="D34" s="75" t="s">
        <v>470</v>
      </c>
      <c r="E34" s="76"/>
      <c r="F34" s="78">
        <v>1</v>
      </c>
      <c r="G34" s="78"/>
      <c r="H34" s="79"/>
      <c r="I34" s="79">
        <f>SUM(I35:I47)</f>
        <v>117847.62000000001</v>
      </c>
      <c r="J34" s="80">
        <f>I34/$I$221</f>
        <v>5.5743670922150816E-2</v>
      </c>
    </row>
    <row r="35" spans="1:10" s="67" customFormat="1" ht="52.8" x14ac:dyDescent="0.25">
      <c r="A35" s="81" t="s">
        <v>195</v>
      </c>
      <c r="B35" s="81">
        <v>102306</v>
      </c>
      <c r="C35" s="81" t="s">
        <v>27</v>
      </c>
      <c r="D35" s="81" t="s">
        <v>843</v>
      </c>
      <c r="E35" s="82" t="s">
        <v>30</v>
      </c>
      <c r="F35" s="87">
        <v>128.41999999999999</v>
      </c>
      <c r="G35" s="84">
        <v>14.29</v>
      </c>
      <c r="H35" s="84">
        <f t="shared" ref="H35:H47" si="11">ROUND(G35*(1+$G$1),2)</f>
        <v>18.41</v>
      </c>
      <c r="I35" s="84">
        <f t="shared" ref="I35:I47" si="12">ROUND(F35*H35,2)</f>
        <v>2364.21</v>
      </c>
      <c r="J35" s="112">
        <f t="shared" ref="J35:J47" si="13">I35/$I$221</f>
        <v>1.1183063708105278E-3</v>
      </c>
    </row>
    <row r="36" spans="1:10" ht="26.4" x14ac:dyDescent="0.25">
      <c r="A36" s="81" t="s">
        <v>196</v>
      </c>
      <c r="B36" s="81" t="s">
        <v>159</v>
      </c>
      <c r="C36" s="81" t="s">
        <v>27</v>
      </c>
      <c r="D36" s="81" t="s">
        <v>160</v>
      </c>
      <c r="E36" s="82" t="s">
        <v>30</v>
      </c>
      <c r="F36" s="96">
        <v>5.94</v>
      </c>
      <c r="G36" s="84">
        <v>284.98</v>
      </c>
      <c r="H36" s="84">
        <f t="shared" si="11"/>
        <v>367.11</v>
      </c>
      <c r="I36" s="84">
        <f t="shared" si="12"/>
        <v>2180.63</v>
      </c>
      <c r="J36" s="112">
        <f t="shared" si="13"/>
        <v>1.0314703099050259E-3</v>
      </c>
    </row>
    <row r="37" spans="1:10" ht="39.6" x14ac:dyDescent="0.25">
      <c r="A37" s="81" t="s">
        <v>197</v>
      </c>
      <c r="B37" s="81" t="s">
        <v>471</v>
      </c>
      <c r="C37" s="81" t="s">
        <v>27</v>
      </c>
      <c r="D37" s="81" t="s">
        <v>472</v>
      </c>
      <c r="E37" s="82" t="s">
        <v>139</v>
      </c>
      <c r="F37" s="88">
        <v>210.11</v>
      </c>
      <c r="G37" s="84">
        <v>14.47</v>
      </c>
      <c r="H37" s="84">
        <f t="shared" si="11"/>
        <v>18.64</v>
      </c>
      <c r="I37" s="84">
        <f t="shared" si="12"/>
        <v>3916.45</v>
      </c>
      <c r="J37" s="112">
        <f t="shared" si="13"/>
        <v>1.8525388971203452E-3</v>
      </c>
    </row>
    <row r="38" spans="1:10" ht="26.4" x14ac:dyDescent="0.25">
      <c r="A38" s="81" t="s">
        <v>473</v>
      </c>
      <c r="B38" s="81" t="s">
        <v>719</v>
      </c>
      <c r="C38" s="81" t="s">
        <v>27</v>
      </c>
      <c r="D38" s="81" t="s">
        <v>720</v>
      </c>
      <c r="E38" s="82" t="s">
        <v>139</v>
      </c>
      <c r="F38" s="88">
        <v>193.75</v>
      </c>
      <c r="G38" s="84">
        <v>17.62</v>
      </c>
      <c r="H38" s="84">
        <f t="shared" si="11"/>
        <v>22.7</v>
      </c>
      <c r="I38" s="84">
        <f t="shared" si="12"/>
        <v>4398.13</v>
      </c>
      <c r="J38" s="112">
        <f t="shared" si="13"/>
        <v>2.0803806762736419E-3</v>
      </c>
    </row>
    <row r="39" spans="1:10" ht="26.4" x14ac:dyDescent="0.25">
      <c r="A39" s="81" t="s">
        <v>198</v>
      </c>
      <c r="B39" s="81" t="s">
        <v>474</v>
      </c>
      <c r="C39" s="81" t="s">
        <v>27</v>
      </c>
      <c r="D39" s="81" t="s">
        <v>475</v>
      </c>
      <c r="E39" s="82" t="s">
        <v>139</v>
      </c>
      <c r="F39" s="88">
        <v>142.72</v>
      </c>
      <c r="G39" s="84">
        <v>15.98</v>
      </c>
      <c r="H39" s="84">
        <f t="shared" si="11"/>
        <v>20.59</v>
      </c>
      <c r="I39" s="84">
        <f t="shared" si="12"/>
        <v>2938.6</v>
      </c>
      <c r="J39" s="112">
        <f t="shared" si="13"/>
        <v>1.3900013540522275E-3</v>
      </c>
    </row>
    <row r="40" spans="1:10" ht="26.4" x14ac:dyDescent="0.25">
      <c r="A40" s="81" t="s">
        <v>199</v>
      </c>
      <c r="B40" s="81" t="s">
        <v>476</v>
      </c>
      <c r="C40" s="81" t="s">
        <v>27</v>
      </c>
      <c r="D40" s="81" t="s">
        <v>477</v>
      </c>
      <c r="E40" s="82" t="s">
        <v>139</v>
      </c>
      <c r="F40" s="88">
        <v>38.200000000000003</v>
      </c>
      <c r="G40" s="84">
        <v>14.56</v>
      </c>
      <c r="H40" s="84">
        <f t="shared" si="11"/>
        <v>18.760000000000002</v>
      </c>
      <c r="I40" s="84">
        <f t="shared" si="12"/>
        <v>716.63</v>
      </c>
      <c r="J40" s="112">
        <f t="shared" si="13"/>
        <v>3.3897661143212677E-4</v>
      </c>
    </row>
    <row r="41" spans="1:10" ht="26.4" x14ac:dyDescent="0.25">
      <c r="A41" s="81" t="s">
        <v>200</v>
      </c>
      <c r="B41" s="81" t="s">
        <v>478</v>
      </c>
      <c r="C41" s="81" t="s">
        <v>27</v>
      </c>
      <c r="D41" s="81" t="s">
        <v>479</v>
      </c>
      <c r="E41" s="82" t="s">
        <v>139</v>
      </c>
      <c r="F41" s="88">
        <v>1407.11</v>
      </c>
      <c r="G41" s="84">
        <v>12.86</v>
      </c>
      <c r="H41" s="84">
        <f t="shared" si="11"/>
        <v>16.57</v>
      </c>
      <c r="I41" s="84">
        <f t="shared" si="12"/>
        <v>23315.81</v>
      </c>
      <c r="J41" s="112">
        <f t="shared" si="13"/>
        <v>1.102872370204331E-2</v>
      </c>
    </row>
    <row r="42" spans="1:10" ht="28.8" customHeight="1" x14ac:dyDescent="0.25">
      <c r="A42" s="81" t="s">
        <v>203</v>
      </c>
      <c r="B42" s="81" t="s">
        <v>108</v>
      </c>
      <c r="C42" s="81" t="s">
        <v>27</v>
      </c>
      <c r="D42" s="81" t="s">
        <v>141</v>
      </c>
      <c r="E42" s="82" t="s">
        <v>6</v>
      </c>
      <c r="F42" s="87">
        <v>181.44</v>
      </c>
      <c r="G42" s="84">
        <v>94.7</v>
      </c>
      <c r="H42" s="84">
        <f t="shared" si="11"/>
        <v>121.99</v>
      </c>
      <c r="I42" s="84">
        <f t="shared" si="12"/>
        <v>22133.87</v>
      </c>
      <c r="J42" s="112">
        <f t="shared" si="13"/>
        <v>1.046964856408357E-2</v>
      </c>
    </row>
    <row r="43" spans="1:10" ht="39.6" x14ac:dyDescent="0.25">
      <c r="A43" s="81" t="s">
        <v>204</v>
      </c>
      <c r="B43" s="81" t="s">
        <v>109</v>
      </c>
      <c r="C43" s="81" t="s">
        <v>27</v>
      </c>
      <c r="D43" s="81" t="s">
        <v>142</v>
      </c>
      <c r="E43" s="82" t="s">
        <v>30</v>
      </c>
      <c r="F43" s="87">
        <v>23.79</v>
      </c>
      <c r="G43" s="84">
        <v>617.54</v>
      </c>
      <c r="H43" s="84">
        <f t="shared" si="11"/>
        <v>795.52</v>
      </c>
      <c r="I43" s="84">
        <f t="shared" si="12"/>
        <v>18925.419999999998</v>
      </c>
      <c r="J43" s="112">
        <f t="shared" si="13"/>
        <v>8.9520041604870017E-3</v>
      </c>
    </row>
    <row r="44" spans="1:10" x14ac:dyDescent="0.25">
      <c r="A44" s="81" t="s">
        <v>480</v>
      </c>
      <c r="B44" s="81" t="s">
        <v>782</v>
      </c>
      <c r="C44" s="91" t="s">
        <v>833</v>
      </c>
      <c r="D44" s="89" t="s">
        <v>781</v>
      </c>
      <c r="E44" s="82" t="s">
        <v>6</v>
      </c>
      <c r="F44" s="88">
        <v>43.68</v>
      </c>
      <c r="G44" s="84">
        <v>130.38</v>
      </c>
      <c r="H44" s="84">
        <f t="shared" si="11"/>
        <v>167.96</v>
      </c>
      <c r="I44" s="84">
        <f t="shared" si="12"/>
        <v>7336.49</v>
      </c>
      <c r="J44" s="112">
        <f t="shared" si="13"/>
        <v>3.4702685067687423E-3</v>
      </c>
    </row>
    <row r="45" spans="1:10" ht="39.6" x14ac:dyDescent="0.25">
      <c r="A45" s="81" t="s">
        <v>481</v>
      </c>
      <c r="B45" s="81" t="s">
        <v>201</v>
      </c>
      <c r="C45" s="81" t="s">
        <v>27</v>
      </c>
      <c r="D45" s="81" t="s">
        <v>202</v>
      </c>
      <c r="E45" s="82" t="s">
        <v>6</v>
      </c>
      <c r="F45" s="87">
        <f>'[4]Memorial de Cálculo'!F45</f>
        <v>152.88</v>
      </c>
      <c r="G45" s="84">
        <v>127.98</v>
      </c>
      <c r="H45" s="84">
        <f t="shared" si="11"/>
        <v>164.86</v>
      </c>
      <c r="I45" s="84">
        <f t="shared" si="12"/>
        <v>25203.8</v>
      </c>
      <c r="J45" s="112">
        <f t="shared" si="13"/>
        <v>1.1921770954625172E-2</v>
      </c>
    </row>
    <row r="46" spans="1:10" x14ac:dyDescent="0.25">
      <c r="A46" s="81" t="s">
        <v>482</v>
      </c>
      <c r="B46" s="81" t="s">
        <v>532</v>
      </c>
      <c r="C46" s="81" t="s">
        <v>27</v>
      </c>
      <c r="D46" s="81" t="s">
        <v>533</v>
      </c>
      <c r="E46" s="82" t="s">
        <v>30</v>
      </c>
      <c r="F46" s="96">
        <v>98.69</v>
      </c>
      <c r="G46" s="84">
        <v>26.98</v>
      </c>
      <c r="H46" s="84">
        <f t="shared" si="11"/>
        <v>34.76</v>
      </c>
      <c r="I46" s="84">
        <f t="shared" si="12"/>
        <v>3430.46</v>
      </c>
      <c r="J46" s="112">
        <f t="shared" si="13"/>
        <v>1.6226584240869818E-3</v>
      </c>
    </row>
    <row r="47" spans="1:10" ht="26.4" x14ac:dyDescent="0.25">
      <c r="A47" s="81" t="s">
        <v>721</v>
      </c>
      <c r="B47" s="81" t="s">
        <v>44</v>
      </c>
      <c r="C47" s="81" t="s">
        <v>27</v>
      </c>
      <c r="D47" s="81" t="s">
        <v>45</v>
      </c>
      <c r="E47" s="82" t="s">
        <v>46</v>
      </c>
      <c r="F47" s="96">
        <v>248.02</v>
      </c>
      <c r="G47" s="84">
        <v>3.09</v>
      </c>
      <c r="H47" s="84">
        <f t="shared" si="11"/>
        <v>3.98</v>
      </c>
      <c r="I47" s="84">
        <f t="shared" si="12"/>
        <v>987.12</v>
      </c>
      <c r="J47" s="112">
        <f t="shared" si="13"/>
        <v>4.6692239046213668E-4</v>
      </c>
    </row>
    <row r="48" spans="1:10" x14ac:dyDescent="0.25">
      <c r="A48" s="75" t="s">
        <v>137</v>
      </c>
      <c r="B48" s="75" t="s">
        <v>522</v>
      </c>
      <c r="C48" s="75"/>
      <c r="D48" s="75" t="s">
        <v>205</v>
      </c>
      <c r="E48" s="76"/>
      <c r="F48" s="78">
        <v>1</v>
      </c>
      <c r="G48" s="78"/>
      <c r="H48" s="79"/>
      <c r="I48" s="79">
        <f>SUM(I49:I58)</f>
        <v>108631.44999999998</v>
      </c>
      <c r="J48" s="80">
        <f>I48/$I$221</f>
        <v>5.1384285915965708E-2</v>
      </c>
    </row>
    <row r="49" spans="1:10" ht="26.4" x14ac:dyDescent="0.25">
      <c r="A49" s="81" t="s">
        <v>138</v>
      </c>
      <c r="B49" s="81" t="s">
        <v>206</v>
      </c>
      <c r="C49" s="81" t="s">
        <v>27</v>
      </c>
      <c r="D49" s="81" t="s">
        <v>207</v>
      </c>
      <c r="E49" s="82" t="s">
        <v>6</v>
      </c>
      <c r="F49" s="83">
        <v>160.22999999999999</v>
      </c>
      <c r="G49" s="84">
        <v>147.49</v>
      </c>
      <c r="H49" s="84">
        <f t="shared" ref="H49:H58" si="14">ROUND(G49*(1+$G$1),2)</f>
        <v>190</v>
      </c>
      <c r="I49" s="84">
        <f t="shared" ref="I49:I58" si="15">ROUND(F49*H49,2)</f>
        <v>30443.7</v>
      </c>
      <c r="J49" s="112">
        <f t="shared" ref="J49:J58" si="16">I49/$I$221</f>
        <v>1.440032131707609E-2</v>
      </c>
    </row>
    <row r="50" spans="1:10" ht="26.4" x14ac:dyDescent="0.25">
      <c r="A50" s="81" t="s">
        <v>140</v>
      </c>
      <c r="B50" s="81" t="s">
        <v>722</v>
      </c>
      <c r="C50" s="81" t="s">
        <v>27</v>
      </c>
      <c r="D50" s="81" t="s">
        <v>609</v>
      </c>
      <c r="E50" s="82" t="s">
        <v>6</v>
      </c>
      <c r="F50" s="93">
        <v>142.13</v>
      </c>
      <c r="G50" s="84">
        <v>107.37</v>
      </c>
      <c r="H50" s="84">
        <f t="shared" si="14"/>
        <v>138.31</v>
      </c>
      <c r="I50" s="84">
        <f t="shared" si="15"/>
        <v>19658</v>
      </c>
      <c r="J50" s="112">
        <f t="shared" si="16"/>
        <v>9.2985253583198427E-3</v>
      </c>
    </row>
    <row r="51" spans="1:10" ht="39.6" x14ac:dyDescent="0.25">
      <c r="A51" s="81" t="s">
        <v>143</v>
      </c>
      <c r="B51" s="81" t="s">
        <v>471</v>
      </c>
      <c r="C51" s="81" t="s">
        <v>27</v>
      </c>
      <c r="D51" s="81" t="s">
        <v>472</v>
      </c>
      <c r="E51" s="82" t="s">
        <v>139</v>
      </c>
      <c r="F51" s="93">
        <v>369.48</v>
      </c>
      <c r="G51" s="84">
        <v>14.47</v>
      </c>
      <c r="H51" s="84">
        <f t="shared" si="14"/>
        <v>18.64</v>
      </c>
      <c r="I51" s="84">
        <f t="shared" si="15"/>
        <v>6887.11</v>
      </c>
      <c r="J51" s="112">
        <f t="shared" si="16"/>
        <v>3.2577051063454147E-3</v>
      </c>
    </row>
    <row r="52" spans="1:10" ht="39.6" x14ac:dyDescent="0.25">
      <c r="A52" s="81" t="s">
        <v>145</v>
      </c>
      <c r="B52" s="81" t="s">
        <v>604</v>
      </c>
      <c r="C52" s="81" t="s">
        <v>27</v>
      </c>
      <c r="D52" s="81" t="s">
        <v>598</v>
      </c>
      <c r="E52" s="82" t="s">
        <v>139</v>
      </c>
      <c r="F52" s="93">
        <v>18.54</v>
      </c>
      <c r="G52" s="84">
        <v>13.34</v>
      </c>
      <c r="H52" s="84">
        <f t="shared" si="14"/>
        <v>17.18</v>
      </c>
      <c r="I52" s="84">
        <f t="shared" si="15"/>
        <v>318.52</v>
      </c>
      <c r="J52" s="112">
        <f t="shared" si="16"/>
        <v>1.5066468089999167E-4</v>
      </c>
    </row>
    <row r="53" spans="1:10" ht="39.6" x14ac:dyDescent="0.25">
      <c r="A53" s="81" t="s">
        <v>485</v>
      </c>
      <c r="B53" s="81" t="s">
        <v>483</v>
      </c>
      <c r="C53" s="81" t="s">
        <v>27</v>
      </c>
      <c r="D53" s="81" t="s">
        <v>484</v>
      </c>
      <c r="E53" s="82" t="s">
        <v>139</v>
      </c>
      <c r="F53" s="93">
        <v>1500.09</v>
      </c>
      <c r="G53" s="84">
        <v>10.86</v>
      </c>
      <c r="H53" s="84">
        <f t="shared" si="14"/>
        <v>13.99</v>
      </c>
      <c r="I53" s="84">
        <f t="shared" si="15"/>
        <v>20986.26</v>
      </c>
      <c r="J53" s="112">
        <f t="shared" si="16"/>
        <v>9.9268120249411621E-3</v>
      </c>
    </row>
    <row r="54" spans="1:10" ht="26.4" x14ac:dyDescent="0.25">
      <c r="A54" s="81" t="s">
        <v>486</v>
      </c>
      <c r="B54" s="81" t="s">
        <v>208</v>
      </c>
      <c r="C54" s="81" t="s">
        <v>27</v>
      </c>
      <c r="D54" s="81" t="s">
        <v>209</v>
      </c>
      <c r="E54" s="82" t="s">
        <v>30</v>
      </c>
      <c r="F54" s="93">
        <v>7.77</v>
      </c>
      <c r="G54" s="84">
        <v>567.19000000000005</v>
      </c>
      <c r="H54" s="84">
        <f t="shared" si="14"/>
        <v>730.65</v>
      </c>
      <c r="I54" s="84">
        <f t="shared" si="15"/>
        <v>5677.15</v>
      </c>
      <c r="J54" s="112">
        <f t="shared" si="16"/>
        <v>2.6853760930911331E-3</v>
      </c>
    </row>
    <row r="55" spans="1:10" ht="39.6" x14ac:dyDescent="0.25">
      <c r="A55" s="81" t="s">
        <v>605</v>
      </c>
      <c r="B55" s="81" t="s">
        <v>565</v>
      </c>
      <c r="C55" s="81" t="s">
        <v>27</v>
      </c>
      <c r="D55" s="81" t="s">
        <v>566</v>
      </c>
      <c r="E55" s="82" t="s">
        <v>30</v>
      </c>
      <c r="F55" s="86">
        <f>[5]Vigas!$H$13</f>
        <v>10.254869999999999</v>
      </c>
      <c r="G55" s="84">
        <v>590.07000000000005</v>
      </c>
      <c r="H55" s="84">
        <f t="shared" si="14"/>
        <v>760.13</v>
      </c>
      <c r="I55" s="84">
        <f t="shared" si="15"/>
        <v>7795.03</v>
      </c>
      <c r="J55" s="112">
        <f t="shared" si="16"/>
        <v>3.6871647229557393E-3</v>
      </c>
    </row>
    <row r="56" spans="1:10" ht="26.4" x14ac:dyDescent="0.25">
      <c r="A56" s="81" t="s">
        <v>853</v>
      </c>
      <c r="B56" s="81" t="s">
        <v>842</v>
      </c>
      <c r="C56" s="91" t="s">
        <v>833</v>
      </c>
      <c r="D56" s="81" t="s">
        <v>841</v>
      </c>
      <c r="E56" s="82" t="s">
        <v>6</v>
      </c>
      <c r="F56" s="93">
        <v>54.6</v>
      </c>
      <c r="G56" s="84">
        <v>161.99</v>
      </c>
      <c r="H56" s="84">
        <f t="shared" si="14"/>
        <v>208.68</v>
      </c>
      <c r="I56" s="84">
        <f t="shared" si="15"/>
        <v>11393.93</v>
      </c>
      <c r="J56" s="112">
        <f t="shared" si="16"/>
        <v>5.389497763552813E-3</v>
      </c>
    </row>
    <row r="57" spans="1:10" x14ac:dyDescent="0.25">
      <c r="A57" s="81" t="s">
        <v>823</v>
      </c>
      <c r="B57" s="81" t="s">
        <v>397</v>
      </c>
      <c r="C57" s="91" t="s">
        <v>833</v>
      </c>
      <c r="D57" s="81" t="s">
        <v>563</v>
      </c>
      <c r="E57" s="82" t="s">
        <v>528</v>
      </c>
      <c r="F57" s="93">
        <f>ROUND(F56*1.48,2)</f>
        <v>80.81</v>
      </c>
      <c r="G57" s="84">
        <v>10.38</v>
      </c>
      <c r="H57" s="84">
        <f t="shared" ref="H57" si="17">ROUND(G57*(1+$G$1),2)</f>
        <v>13.37</v>
      </c>
      <c r="I57" s="84">
        <f t="shared" ref="I57" si="18">ROUND(F57*H57,2)</f>
        <v>1080.43</v>
      </c>
      <c r="J57" s="112">
        <f t="shared" ref="J57" si="19">I57/$I$221</f>
        <v>5.1105940344335675E-4</v>
      </c>
    </row>
    <row r="58" spans="1:10" ht="30" customHeight="1" x14ac:dyDescent="0.25">
      <c r="A58" s="81" t="s">
        <v>854</v>
      </c>
      <c r="B58" s="81" t="s">
        <v>487</v>
      </c>
      <c r="C58" s="81" t="s">
        <v>27</v>
      </c>
      <c r="D58" s="81" t="s">
        <v>488</v>
      </c>
      <c r="E58" s="82" t="s">
        <v>30</v>
      </c>
      <c r="F58" s="83">
        <v>193.28</v>
      </c>
      <c r="G58" s="84">
        <v>17.64</v>
      </c>
      <c r="H58" s="84">
        <f t="shared" si="14"/>
        <v>22.72</v>
      </c>
      <c r="I58" s="84">
        <f t="shared" si="15"/>
        <v>4391.32</v>
      </c>
      <c r="J58" s="112">
        <f t="shared" si="16"/>
        <v>2.0771594453401713E-3</v>
      </c>
    </row>
    <row r="59" spans="1:10" x14ac:dyDescent="0.25">
      <c r="A59" s="75" t="s">
        <v>146</v>
      </c>
      <c r="B59" s="75" t="s">
        <v>522</v>
      </c>
      <c r="C59" s="75"/>
      <c r="D59" s="75" t="s">
        <v>210</v>
      </c>
      <c r="E59" s="76"/>
      <c r="F59" s="78">
        <v>1</v>
      </c>
      <c r="G59" s="78"/>
      <c r="H59" s="79"/>
      <c r="I59" s="79">
        <f>SUM(I60:I64)</f>
        <v>220840.73</v>
      </c>
      <c r="J59" s="80">
        <f>I59/$I$221</f>
        <v>0.10446093845024243</v>
      </c>
    </row>
    <row r="60" spans="1:10" x14ac:dyDescent="0.25">
      <c r="A60" s="81" t="s">
        <v>147</v>
      </c>
      <c r="B60" s="91" t="s">
        <v>834</v>
      </c>
      <c r="C60" s="91" t="s">
        <v>437</v>
      </c>
      <c r="D60" s="91" t="s">
        <v>835</v>
      </c>
      <c r="E60" s="82" t="s">
        <v>6</v>
      </c>
      <c r="F60" s="88">
        <v>898.66</v>
      </c>
      <c r="G60" s="84">
        <v>94.69</v>
      </c>
      <c r="H60" s="90">
        <f t="shared" ref="H60:H64" si="20">ROUND(G60*(1+$G$1),2)</f>
        <v>121.98</v>
      </c>
      <c r="I60" s="90">
        <f t="shared" ref="I60:I64" si="21">ROUND(F60*H60,2)</f>
        <v>109618.55</v>
      </c>
      <c r="J60" s="112">
        <f t="shared" ref="J60:J64" si="22">I60/$I$221</f>
        <v>5.185119884613143E-2</v>
      </c>
    </row>
    <row r="61" spans="1:10" ht="29.4" customHeight="1" x14ac:dyDescent="0.25">
      <c r="A61" s="91" t="s">
        <v>211</v>
      </c>
      <c r="B61" s="91" t="s">
        <v>786</v>
      </c>
      <c r="C61" s="91" t="s">
        <v>27</v>
      </c>
      <c r="D61" s="91" t="s">
        <v>787</v>
      </c>
      <c r="E61" s="94" t="s">
        <v>10</v>
      </c>
      <c r="F61" s="93">
        <v>437.18</v>
      </c>
      <c r="G61" s="90">
        <v>67.64</v>
      </c>
      <c r="H61" s="90">
        <f t="shared" ref="H61" si="23">ROUND(G61*(1+$G$1),2)</f>
        <v>87.13</v>
      </c>
      <c r="I61" s="90">
        <f t="shared" ref="I61" si="24">ROUND(F61*H61,2)</f>
        <v>38091.49</v>
      </c>
      <c r="J61" s="112">
        <f t="shared" si="22"/>
        <v>1.8017839337734595E-2</v>
      </c>
    </row>
    <row r="62" spans="1:10" ht="26.4" x14ac:dyDescent="0.25">
      <c r="A62" s="81" t="s">
        <v>212</v>
      </c>
      <c r="B62" s="81" t="s">
        <v>489</v>
      </c>
      <c r="C62" s="81" t="s">
        <v>27</v>
      </c>
      <c r="D62" s="81" t="s">
        <v>490</v>
      </c>
      <c r="E62" s="82" t="s">
        <v>139</v>
      </c>
      <c r="F62" s="88">
        <v>554.54999999999995</v>
      </c>
      <c r="G62" s="84">
        <v>13.51</v>
      </c>
      <c r="H62" s="90">
        <f t="shared" si="20"/>
        <v>17.399999999999999</v>
      </c>
      <c r="I62" s="90">
        <f t="shared" si="21"/>
        <v>9649.17</v>
      </c>
      <c r="J62" s="112">
        <f t="shared" si="22"/>
        <v>4.5642004238345239E-3</v>
      </c>
    </row>
    <row r="63" spans="1:10" ht="26.4" x14ac:dyDescent="0.25">
      <c r="A63" s="81" t="s">
        <v>491</v>
      </c>
      <c r="B63" s="81" t="s">
        <v>110</v>
      </c>
      <c r="C63" s="81" t="s">
        <v>27</v>
      </c>
      <c r="D63" s="81" t="s">
        <v>111</v>
      </c>
      <c r="E63" s="82" t="s">
        <v>30</v>
      </c>
      <c r="F63" s="88">
        <v>9.3800000000000008</v>
      </c>
      <c r="G63" s="84">
        <v>823.39</v>
      </c>
      <c r="H63" s="84">
        <f t="shared" si="20"/>
        <v>1060.69</v>
      </c>
      <c r="I63" s="84">
        <f t="shared" si="21"/>
        <v>9949.27</v>
      </c>
      <c r="J63" s="112">
        <f t="shared" si="22"/>
        <v>4.7061521717250412E-3</v>
      </c>
    </row>
    <row r="64" spans="1:10" x14ac:dyDescent="0.25">
      <c r="A64" s="81" t="s">
        <v>788</v>
      </c>
      <c r="B64" s="81" t="s">
        <v>492</v>
      </c>
      <c r="C64" s="91" t="s">
        <v>833</v>
      </c>
      <c r="D64" s="81" t="s">
        <v>534</v>
      </c>
      <c r="E64" s="82" t="s">
        <v>6</v>
      </c>
      <c r="F64" s="88">
        <v>34.4</v>
      </c>
      <c r="G64" s="84">
        <v>1208.02</v>
      </c>
      <c r="H64" s="84">
        <f t="shared" si="20"/>
        <v>1556.17</v>
      </c>
      <c r="I64" s="84">
        <f t="shared" si="21"/>
        <v>53532.25</v>
      </c>
      <c r="J64" s="112">
        <f t="shared" si="22"/>
        <v>2.5321547670816836E-2</v>
      </c>
    </row>
    <row r="65" spans="1:10" x14ac:dyDescent="0.25">
      <c r="A65" s="75" t="s">
        <v>36</v>
      </c>
      <c r="B65" s="75" t="s">
        <v>522</v>
      </c>
      <c r="C65" s="75"/>
      <c r="D65" s="75" t="s">
        <v>42</v>
      </c>
      <c r="E65" s="76"/>
      <c r="F65" s="78">
        <v>1</v>
      </c>
      <c r="G65" s="78"/>
      <c r="H65" s="79"/>
      <c r="I65" s="79">
        <f>I66+I72+I77</f>
        <v>446120.91</v>
      </c>
      <c r="J65" s="80">
        <f t="shared" ref="J65:J71" si="25">I65/$I$221</f>
        <v>0.21102180254917713</v>
      </c>
    </row>
    <row r="66" spans="1:10" x14ac:dyDescent="0.25">
      <c r="A66" s="75" t="s">
        <v>37</v>
      </c>
      <c r="B66" s="75" t="s">
        <v>522</v>
      </c>
      <c r="C66" s="75"/>
      <c r="D66" s="75" t="s">
        <v>213</v>
      </c>
      <c r="E66" s="76"/>
      <c r="F66" s="78">
        <v>1</v>
      </c>
      <c r="G66" s="78"/>
      <c r="H66" s="79"/>
      <c r="I66" s="79">
        <f>SUM(I67:I71)</f>
        <v>429495.98</v>
      </c>
      <c r="J66" s="80">
        <f t="shared" si="25"/>
        <v>0.20315796425508351</v>
      </c>
    </row>
    <row r="67" spans="1:10" ht="26.4" x14ac:dyDescent="0.25">
      <c r="A67" s="81" t="s">
        <v>104</v>
      </c>
      <c r="B67" s="81" t="s">
        <v>789</v>
      </c>
      <c r="C67" s="81" t="s">
        <v>437</v>
      </c>
      <c r="D67" s="81" t="s">
        <v>614</v>
      </c>
      <c r="E67" s="82" t="s">
        <v>139</v>
      </c>
      <c r="F67" s="85">
        <f>F68*13</f>
        <v>7758.4443299999984</v>
      </c>
      <c r="G67" s="84">
        <v>28.72</v>
      </c>
      <c r="H67" s="84">
        <f t="shared" ref="H67:H71" si="26">ROUND(G67*(1+$G$1),2)</f>
        <v>37</v>
      </c>
      <c r="I67" s="84">
        <f t="shared" ref="I67:I71" si="27">ROUND(F67*H67,2)</f>
        <v>287062.44</v>
      </c>
      <c r="J67" s="112">
        <f t="shared" si="25"/>
        <v>0.13578478877613023</v>
      </c>
    </row>
    <row r="68" spans="1:10" ht="29.4" customHeight="1" x14ac:dyDescent="0.25">
      <c r="A68" s="81" t="s">
        <v>214</v>
      </c>
      <c r="B68" s="81" t="s">
        <v>215</v>
      </c>
      <c r="C68" s="91" t="s">
        <v>833</v>
      </c>
      <c r="D68" s="81" t="s">
        <v>846</v>
      </c>
      <c r="E68" s="82" t="s">
        <v>6</v>
      </c>
      <c r="F68" s="85">
        <f>590.31*1.011</f>
        <v>596.80340999999987</v>
      </c>
      <c r="G68" s="84">
        <v>160.44</v>
      </c>
      <c r="H68" s="84">
        <f t="shared" si="26"/>
        <v>206.68</v>
      </c>
      <c r="I68" s="84">
        <f t="shared" si="27"/>
        <v>123347.33</v>
      </c>
      <c r="J68" s="112">
        <f t="shared" si="25"/>
        <v>5.83451152653396E-2</v>
      </c>
    </row>
    <row r="69" spans="1:10" x14ac:dyDescent="0.25">
      <c r="A69" s="81" t="s">
        <v>216</v>
      </c>
      <c r="B69" s="81" t="s">
        <v>724</v>
      </c>
      <c r="C69" s="81" t="s">
        <v>437</v>
      </c>
      <c r="D69" s="81" t="s">
        <v>618</v>
      </c>
      <c r="E69" s="82" t="s">
        <v>10</v>
      </c>
      <c r="F69" s="93">
        <v>30.2</v>
      </c>
      <c r="G69" s="84">
        <v>148.75</v>
      </c>
      <c r="H69" s="84">
        <f t="shared" si="26"/>
        <v>191.62</v>
      </c>
      <c r="I69" s="84">
        <f t="shared" si="27"/>
        <v>5786.92</v>
      </c>
      <c r="J69" s="112">
        <f t="shared" si="25"/>
        <v>2.7372989300319599E-3</v>
      </c>
    </row>
    <row r="70" spans="1:10" ht="28.8" customHeight="1" x14ac:dyDescent="0.25">
      <c r="A70" s="81" t="s">
        <v>217</v>
      </c>
      <c r="B70" s="81" t="s">
        <v>112</v>
      </c>
      <c r="C70" s="81" t="s">
        <v>27</v>
      </c>
      <c r="D70" s="81" t="s">
        <v>113</v>
      </c>
      <c r="E70" s="82" t="s">
        <v>10</v>
      </c>
      <c r="F70" s="93">
        <v>58.6</v>
      </c>
      <c r="G70" s="84">
        <v>90.13</v>
      </c>
      <c r="H70" s="84">
        <f t="shared" si="26"/>
        <v>116.11</v>
      </c>
      <c r="I70" s="84">
        <f t="shared" si="27"/>
        <v>6804.05</v>
      </c>
      <c r="J70" s="112">
        <f t="shared" si="25"/>
        <v>3.2184164952831482E-3</v>
      </c>
    </row>
    <row r="71" spans="1:10" ht="26.4" x14ac:dyDescent="0.25">
      <c r="A71" s="81" t="s">
        <v>725</v>
      </c>
      <c r="B71" s="81" t="s">
        <v>218</v>
      </c>
      <c r="C71" s="81" t="s">
        <v>27</v>
      </c>
      <c r="D71" s="81" t="s">
        <v>219</v>
      </c>
      <c r="E71" s="82" t="s">
        <v>10</v>
      </c>
      <c r="F71" s="97">
        <v>94.6</v>
      </c>
      <c r="G71" s="84">
        <v>53.3</v>
      </c>
      <c r="H71" s="84">
        <f t="shared" si="26"/>
        <v>68.66</v>
      </c>
      <c r="I71" s="84">
        <f t="shared" si="27"/>
        <v>6495.24</v>
      </c>
      <c r="J71" s="112">
        <f t="shared" si="25"/>
        <v>3.0723447882985743E-3</v>
      </c>
    </row>
    <row r="72" spans="1:10" x14ac:dyDescent="0.25">
      <c r="A72" s="75" t="s">
        <v>126</v>
      </c>
      <c r="B72" s="75" t="s">
        <v>522</v>
      </c>
      <c r="C72" s="75"/>
      <c r="D72" s="75" t="s">
        <v>220</v>
      </c>
      <c r="E72" s="76"/>
      <c r="F72" s="78">
        <v>1</v>
      </c>
      <c r="G72" s="78"/>
      <c r="H72" s="79"/>
      <c r="I72" s="79">
        <f>SUM(I73:I76)</f>
        <v>6216.54</v>
      </c>
      <c r="J72" s="80">
        <f>I72/$I$221</f>
        <v>2.9405155575851884E-3</v>
      </c>
    </row>
    <row r="73" spans="1:10" ht="26.4" x14ac:dyDescent="0.25">
      <c r="A73" s="81" t="s">
        <v>128</v>
      </c>
      <c r="B73" s="81" t="s">
        <v>789</v>
      </c>
      <c r="C73" s="81" t="s">
        <v>437</v>
      </c>
      <c r="D73" s="81" t="s">
        <v>614</v>
      </c>
      <c r="E73" s="82" t="s">
        <v>139</v>
      </c>
      <c r="F73" s="83">
        <v>111.02</v>
      </c>
      <c r="G73" s="84">
        <v>28.72</v>
      </c>
      <c r="H73" s="84">
        <f t="shared" ref="H73:H76" si="28">ROUND(G73*(1+$G$1),2)</f>
        <v>37</v>
      </c>
      <c r="I73" s="84">
        <f t="shared" ref="I73:I76" si="29">ROUND(F73*H73,2)</f>
        <v>4107.74</v>
      </c>
      <c r="J73" s="112">
        <f t="shared" ref="J73:J76" si="30">I73/$I$221</f>
        <v>1.9430219022985424E-3</v>
      </c>
    </row>
    <row r="74" spans="1:10" ht="28.2" customHeight="1" x14ac:dyDescent="0.25">
      <c r="A74" s="81" t="s">
        <v>824</v>
      </c>
      <c r="B74" s="81" t="s">
        <v>215</v>
      </c>
      <c r="C74" s="91" t="s">
        <v>833</v>
      </c>
      <c r="D74" s="81" t="s">
        <v>846</v>
      </c>
      <c r="E74" s="82" t="s">
        <v>6</v>
      </c>
      <c r="F74" s="93">
        <v>7.7</v>
      </c>
      <c r="G74" s="84">
        <v>160.44</v>
      </c>
      <c r="H74" s="84">
        <f t="shared" si="28"/>
        <v>206.68</v>
      </c>
      <c r="I74" s="84">
        <f t="shared" si="29"/>
        <v>1591.44</v>
      </c>
      <c r="J74" s="112">
        <f t="shared" si="30"/>
        <v>7.527747073071793E-4</v>
      </c>
    </row>
    <row r="75" spans="1:10" ht="25.8" customHeight="1" x14ac:dyDescent="0.25">
      <c r="A75" s="81" t="s">
        <v>825</v>
      </c>
      <c r="B75" s="81" t="s">
        <v>112</v>
      </c>
      <c r="C75" s="81" t="s">
        <v>27</v>
      </c>
      <c r="D75" s="81" t="s">
        <v>113</v>
      </c>
      <c r="E75" s="82" t="s">
        <v>10</v>
      </c>
      <c r="F75" s="93">
        <v>2.8</v>
      </c>
      <c r="G75" s="84">
        <v>90.13</v>
      </c>
      <c r="H75" s="84">
        <f t="shared" si="28"/>
        <v>116.11</v>
      </c>
      <c r="I75" s="84">
        <f t="shared" si="29"/>
        <v>325.11</v>
      </c>
      <c r="J75" s="112">
        <f t="shared" si="30"/>
        <v>1.5378184857276243E-4</v>
      </c>
    </row>
    <row r="76" spans="1:10" ht="26.4" x14ac:dyDescent="0.25">
      <c r="A76" s="81" t="s">
        <v>826</v>
      </c>
      <c r="B76" s="81" t="s">
        <v>218</v>
      </c>
      <c r="C76" s="81" t="s">
        <v>27</v>
      </c>
      <c r="D76" s="81" t="s">
        <v>219</v>
      </c>
      <c r="E76" s="82" t="s">
        <v>10</v>
      </c>
      <c r="F76" s="93">
        <v>2.8</v>
      </c>
      <c r="G76" s="84">
        <v>53.3</v>
      </c>
      <c r="H76" s="84">
        <f t="shared" si="28"/>
        <v>68.66</v>
      </c>
      <c r="I76" s="84">
        <f t="shared" si="29"/>
        <v>192.25</v>
      </c>
      <c r="J76" s="112">
        <f t="shared" si="30"/>
        <v>9.0937099406704128E-5</v>
      </c>
    </row>
    <row r="77" spans="1:10" x14ac:dyDescent="0.25">
      <c r="A77" s="75" t="s">
        <v>149</v>
      </c>
      <c r="B77" s="75" t="s">
        <v>522</v>
      </c>
      <c r="C77" s="75"/>
      <c r="D77" s="75" t="s">
        <v>493</v>
      </c>
      <c r="E77" s="76"/>
      <c r="F77" s="78">
        <v>1</v>
      </c>
      <c r="G77" s="78"/>
      <c r="H77" s="79"/>
      <c r="I77" s="79">
        <f>SUM(I78:I81)</f>
        <v>10408.390000000001</v>
      </c>
      <c r="J77" s="80">
        <f>I77/$I$221</f>
        <v>4.923322736508428E-3</v>
      </c>
    </row>
    <row r="78" spans="1:10" ht="26.4" x14ac:dyDescent="0.25">
      <c r="A78" s="81" t="s">
        <v>150</v>
      </c>
      <c r="B78" s="91" t="s">
        <v>613</v>
      </c>
      <c r="C78" s="91" t="s">
        <v>437</v>
      </c>
      <c r="D78" s="91" t="s">
        <v>614</v>
      </c>
      <c r="E78" s="82" t="s">
        <v>139</v>
      </c>
      <c r="F78" s="83">
        <v>140.13</v>
      </c>
      <c r="G78" s="84">
        <v>28.72</v>
      </c>
      <c r="H78" s="84">
        <f t="shared" ref="H78:H81" si="31">ROUND(G78*(1+$G$1),2)</f>
        <v>37</v>
      </c>
      <c r="I78" s="84">
        <f t="shared" ref="I78:I81" si="32">ROUND(F78*H78,2)</f>
        <v>5184.8100000000004</v>
      </c>
      <c r="J78" s="112">
        <f t="shared" ref="J78:J81" si="33">I78/$I$221</f>
        <v>2.4524919759421255E-3</v>
      </c>
    </row>
    <row r="79" spans="1:10" ht="27" customHeight="1" x14ac:dyDescent="0.25">
      <c r="A79" s="81" t="s">
        <v>161</v>
      </c>
      <c r="B79" s="81" t="s">
        <v>848</v>
      </c>
      <c r="C79" s="91" t="s">
        <v>833</v>
      </c>
      <c r="D79" s="91" t="s">
        <v>847</v>
      </c>
      <c r="E79" s="82" t="s">
        <v>6</v>
      </c>
      <c r="F79" s="83">
        <v>15.57</v>
      </c>
      <c r="G79" s="84">
        <v>101.06</v>
      </c>
      <c r="H79" s="84">
        <f t="shared" si="31"/>
        <v>130.19</v>
      </c>
      <c r="I79" s="84">
        <f t="shared" si="32"/>
        <v>2027.06</v>
      </c>
      <c r="J79" s="112">
        <f t="shared" si="33"/>
        <v>9.5882942378857565E-4</v>
      </c>
    </row>
    <row r="80" spans="1:10" ht="28.8" customHeight="1" x14ac:dyDescent="0.25">
      <c r="A80" s="81" t="s">
        <v>162</v>
      </c>
      <c r="B80" s="81" t="s">
        <v>112</v>
      </c>
      <c r="C80" s="81" t="s">
        <v>27</v>
      </c>
      <c r="D80" s="81" t="s">
        <v>113</v>
      </c>
      <c r="E80" s="82" t="s">
        <v>10</v>
      </c>
      <c r="F80" s="83">
        <v>17.3</v>
      </c>
      <c r="G80" s="84">
        <v>90.13</v>
      </c>
      <c r="H80" s="84">
        <f t="shared" si="31"/>
        <v>116.11</v>
      </c>
      <c r="I80" s="84">
        <f t="shared" si="32"/>
        <v>2008.7</v>
      </c>
      <c r="J80" s="112">
        <f t="shared" si="33"/>
        <v>9.5014487166838275E-4</v>
      </c>
    </row>
    <row r="81" spans="1:10" ht="26.4" x14ac:dyDescent="0.25">
      <c r="A81" s="81" t="s">
        <v>726</v>
      </c>
      <c r="B81" s="81" t="s">
        <v>218</v>
      </c>
      <c r="C81" s="81" t="s">
        <v>27</v>
      </c>
      <c r="D81" s="81" t="s">
        <v>219</v>
      </c>
      <c r="E81" s="82" t="s">
        <v>10</v>
      </c>
      <c r="F81" s="93">
        <v>17.3</v>
      </c>
      <c r="G81" s="84">
        <v>53.3</v>
      </c>
      <c r="H81" s="84">
        <f t="shared" si="31"/>
        <v>68.66</v>
      </c>
      <c r="I81" s="84">
        <f t="shared" si="32"/>
        <v>1187.82</v>
      </c>
      <c r="J81" s="112">
        <f t="shared" si="33"/>
        <v>5.6185646510934352E-4</v>
      </c>
    </row>
    <row r="82" spans="1:10" x14ac:dyDescent="0.25">
      <c r="A82" s="75" t="s">
        <v>221</v>
      </c>
      <c r="B82" s="75" t="s">
        <v>522</v>
      </c>
      <c r="C82" s="75"/>
      <c r="D82" s="75" t="s">
        <v>39</v>
      </c>
      <c r="E82" s="76"/>
      <c r="F82" s="78">
        <v>1</v>
      </c>
      <c r="G82" s="78"/>
      <c r="H82" s="79"/>
      <c r="I82" s="79">
        <f>I83+I88</f>
        <v>327077.63</v>
      </c>
      <c r="J82" s="80">
        <f t="shared" ref="J82:J87" si="34">I82/$I$221</f>
        <v>0.15471256672571751</v>
      </c>
    </row>
    <row r="83" spans="1:10" x14ac:dyDescent="0.25">
      <c r="A83" s="75" t="s">
        <v>222</v>
      </c>
      <c r="B83" s="75" t="s">
        <v>522</v>
      </c>
      <c r="C83" s="75"/>
      <c r="D83" s="75" t="s">
        <v>223</v>
      </c>
      <c r="E83" s="76"/>
      <c r="F83" s="78">
        <v>1</v>
      </c>
      <c r="G83" s="78"/>
      <c r="H83" s="79"/>
      <c r="I83" s="79">
        <f>SUM(I84:I87)</f>
        <v>39884.230000000003</v>
      </c>
      <c r="J83" s="80">
        <f t="shared" si="34"/>
        <v>1.8865831928581801E-2</v>
      </c>
    </row>
    <row r="84" spans="1:10" ht="54.6" customHeight="1" x14ac:dyDescent="0.25">
      <c r="A84" s="81" t="s">
        <v>224</v>
      </c>
      <c r="B84" s="81" t="s">
        <v>225</v>
      </c>
      <c r="C84" s="81" t="s">
        <v>27</v>
      </c>
      <c r="D84" s="81" t="s">
        <v>226</v>
      </c>
      <c r="E84" s="82" t="s">
        <v>9</v>
      </c>
      <c r="F84" s="83">
        <v>9</v>
      </c>
      <c r="G84" s="84">
        <v>1371.63</v>
      </c>
      <c r="H84" s="84">
        <f t="shared" ref="H84:H94" si="35">ROUND(G84*(1+$G$1),2)</f>
        <v>1766.93</v>
      </c>
      <c r="I84" s="84">
        <f t="shared" ref="I84:I94" si="36">ROUND(F84*H84,2)</f>
        <v>15902.37</v>
      </c>
      <c r="J84" s="112">
        <f t="shared" si="34"/>
        <v>7.5220567047708173E-3</v>
      </c>
    </row>
    <row r="85" spans="1:10" ht="26.4" x14ac:dyDescent="0.25">
      <c r="A85" s="81" t="s">
        <v>227</v>
      </c>
      <c r="B85" s="81" t="s">
        <v>228</v>
      </c>
      <c r="C85" s="91" t="s">
        <v>833</v>
      </c>
      <c r="D85" s="81" t="s">
        <v>536</v>
      </c>
      <c r="E85" s="82" t="s">
        <v>6</v>
      </c>
      <c r="F85" s="83">
        <v>5.25</v>
      </c>
      <c r="G85" s="84">
        <v>520.82000000000005</v>
      </c>
      <c r="H85" s="84">
        <f t="shared" si="35"/>
        <v>670.92</v>
      </c>
      <c r="I85" s="84">
        <f t="shared" si="36"/>
        <v>3522.33</v>
      </c>
      <c r="J85" s="112">
        <f t="shared" si="34"/>
        <v>1.6661142957254415E-3</v>
      </c>
    </row>
    <row r="86" spans="1:10" ht="26.4" x14ac:dyDescent="0.25">
      <c r="A86" s="81" t="s">
        <v>229</v>
      </c>
      <c r="B86" s="81" t="s">
        <v>101</v>
      </c>
      <c r="C86" s="91" t="s">
        <v>833</v>
      </c>
      <c r="D86" s="81" t="s">
        <v>537</v>
      </c>
      <c r="E86" s="82" t="s">
        <v>6</v>
      </c>
      <c r="F86" s="83">
        <v>1.89</v>
      </c>
      <c r="G86" s="84">
        <v>1571.24</v>
      </c>
      <c r="H86" s="84">
        <f t="shared" si="35"/>
        <v>2024.07</v>
      </c>
      <c r="I86" s="84">
        <f t="shared" si="36"/>
        <v>3825.49</v>
      </c>
      <c r="J86" s="112">
        <f t="shared" si="34"/>
        <v>1.8095134689693241E-3</v>
      </c>
    </row>
    <row r="87" spans="1:10" ht="26.4" x14ac:dyDescent="0.25">
      <c r="A87" s="81" t="s">
        <v>512</v>
      </c>
      <c r="B87" s="81" t="s">
        <v>727</v>
      </c>
      <c r="C87" s="91" t="s">
        <v>833</v>
      </c>
      <c r="D87" s="81" t="s">
        <v>728</v>
      </c>
      <c r="E87" s="82" t="s">
        <v>172</v>
      </c>
      <c r="F87" s="83">
        <v>12</v>
      </c>
      <c r="G87" s="84">
        <v>1076.05</v>
      </c>
      <c r="H87" s="84">
        <f t="shared" si="35"/>
        <v>1386.17</v>
      </c>
      <c r="I87" s="84">
        <f t="shared" si="36"/>
        <v>16634.04</v>
      </c>
      <c r="J87" s="112">
        <f t="shared" si="34"/>
        <v>7.8681474591162179E-3</v>
      </c>
    </row>
    <row r="88" spans="1:10" x14ac:dyDescent="0.25">
      <c r="A88" s="75" t="s">
        <v>230</v>
      </c>
      <c r="B88" s="75" t="s">
        <v>522</v>
      </c>
      <c r="C88" s="75"/>
      <c r="D88" s="75" t="s">
        <v>231</v>
      </c>
      <c r="E88" s="76"/>
      <c r="F88" s="78">
        <v>1</v>
      </c>
      <c r="G88" s="78"/>
      <c r="H88" s="78"/>
      <c r="I88" s="79">
        <f>SUM(I89:I94)</f>
        <v>287193.40000000002</v>
      </c>
      <c r="J88" s="80">
        <f>I88/$I$221</f>
        <v>0.13584673479713572</v>
      </c>
    </row>
    <row r="89" spans="1:10" x14ac:dyDescent="0.25">
      <c r="A89" s="81" t="s">
        <v>232</v>
      </c>
      <c r="B89" s="81" t="s">
        <v>790</v>
      </c>
      <c r="C89" s="91" t="s">
        <v>833</v>
      </c>
      <c r="D89" s="91" t="s">
        <v>791</v>
      </c>
      <c r="E89" s="94" t="s">
        <v>6</v>
      </c>
      <c r="F89" s="93">
        <v>100.08</v>
      </c>
      <c r="G89" s="84">
        <v>1454.48</v>
      </c>
      <c r="H89" s="84">
        <f t="shared" si="35"/>
        <v>1873.66</v>
      </c>
      <c r="I89" s="84">
        <f t="shared" si="36"/>
        <v>187515.89</v>
      </c>
      <c r="J89" s="112">
        <f t="shared" ref="J89:J94" si="37">I89/$I$221</f>
        <v>8.8697795210749525E-2</v>
      </c>
    </row>
    <row r="90" spans="1:10" ht="26.4" x14ac:dyDescent="0.25">
      <c r="A90" s="81" t="s">
        <v>233</v>
      </c>
      <c r="B90" s="89" t="s">
        <v>827</v>
      </c>
      <c r="C90" s="91" t="s">
        <v>833</v>
      </c>
      <c r="D90" s="91" t="s">
        <v>828</v>
      </c>
      <c r="E90" s="94" t="s">
        <v>6</v>
      </c>
      <c r="F90" s="93">
        <v>29.12</v>
      </c>
      <c r="G90" s="84">
        <v>484.4</v>
      </c>
      <c r="H90" s="84">
        <f t="shared" si="35"/>
        <v>624</v>
      </c>
      <c r="I90" s="84">
        <f t="shared" si="36"/>
        <v>18170.88</v>
      </c>
      <c r="J90" s="112">
        <f t="shared" si="37"/>
        <v>8.5950955571770706E-3</v>
      </c>
    </row>
    <row r="91" spans="1:10" ht="26.4" x14ac:dyDescent="0.25">
      <c r="A91" s="81" t="s">
        <v>234</v>
      </c>
      <c r="B91" s="81" t="s">
        <v>235</v>
      </c>
      <c r="C91" s="91" t="s">
        <v>833</v>
      </c>
      <c r="D91" s="91" t="s">
        <v>539</v>
      </c>
      <c r="E91" s="94" t="s">
        <v>6</v>
      </c>
      <c r="F91" s="93">
        <v>29.12</v>
      </c>
      <c r="G91" s="84">
        <v>562.79</v>
      </c>
      <c r="H91" s="84">
        <f t="shared" si="35"/>
        <v>724.99</v>
      </c>
      <c r="I91" s="84">
        <f t="shared" si="36"/>
        <v>21111.71</v>
      </c>
      <c r="J91" s="112">
        <f t="shared" si="37"/>
        <v>9.9861517342809333E-3</v>
      </c>
    </row>
    <row r="92" spans="1:10" ht="26.4" x14ac:dyDescent="0.25">
      <c r="A92" s="81" t="s">
        <v>236</v>
      </c>
      <c r="B92" s="81" t="s">
        <v>237</v>
      </c>
      <c r="C92" s="81" t="s">
        <v>27</v>
      </c>
      <c r="D92" s="91" t="s">
        <v>238</v>
      </c>
      <c r="E92" s="94" t="s">
        <v>6</v>
      </c>
      <c r="F92" s="93">
        <v>94.64</v>
      </c>
      <c r="G92" s="84">
        <v>336.65</v>
      </c>
      <c r="H92" s="84">
        <f t="shared" si="35"/>
        <v>433.67</v>
      </c>
      <c r="I92" s="84">
        <f t="shared" si="36"/>
        <v>41042.53</v>
      </c>
      <c r="J92" s="112">
        <f t="shared" si="37"/>
        <v>1.9413724996164557E-2</v>
      </c>
    </row>
    <row r="93" spans="1:10" x14ac:dyDescent="0.25">
      <c r="A93" s="81" t="s">
        <v>729</v>
      </c>
      <c r="B93" s="81" t="s">
        <v>730</v>
      </c>
      <c r="C93" s="91" t="s">
        <v>833</v>
      </c>
      <c r="D93" s="91" t="s">
        <v>731</v>
      </c>
      <c r="E93" s="94" t="s">
        <v>6</v>
      </c>
      <c r="F93" s="93">
        <v>5.44</v>
      </c>
      <c r="G93" s="84">
        <v>225.86</v>
      </c>
      <c r="H93" s="84">
        <f t="shared" si="35"/>
        <v>290.95</v>
      </c>
      <c r="I93" s="84">
        <f t="shared" si="36"/>
        <v>1582.77</v>
      </c>
      <c r="J93" s="112">
        <f t="shared" si="37"/>
        <v>7.4867366880597701E-4</v>
      </c>
    </row>
    <row r="94" spans="1:10" ht="26.4" x14ac:dyDescent="0.25">
      <c r="A94" s="81" t="s">
        <v>732</v>
      </c>
      <c r="B94" s="81" t="s">
        <v>583</v>
      </c>
      <c r="C94" s="91" t="s">
        <v>833</v>
      </c>
      <c r="D94" s="91" t="s">
        <v>584</v>
      </c>
      <c r="E94" s="94" t="s">
        <v>194</v>
      </c>
      <c r="F94" s="93">
        <v>81.400000000000006</v>
      </c>
      <c r="G94" s="84">
        <v>169.46</v>
      </c>
      <c r="H94" s="84">
        <f t="shared" si="35"/>
        <v>218.3</v>
      </c>
      <c r="I94" s="84">
        <f t="shared" si="36"/>
        <v>17769.62</v>
      </c>
      <c r="J94" s="112">
        <f t="shared" si="37"/>
        <v>8.405293629957648E-3</v>
      </c>
    </row>
    <row r="95" spans="1:10" x14ac:dyDescent="0.25">
      <c r="A95" s="75" t="s">
        <v>239</v>
      </c>
      <c r="B95" s="75" t="s">
        <v>522</v>
      </c>
      <c r="C95" s="75"/>
      <c r="D95" s="75" t="s">
        <v>240</v>
      </c>
      <c r="E95" s="76"/>
      <c r="F95" s="78">
        <v>1</v>
      </c>
      <c r="G95" s="78"/>
      <c r="H95" s="79"/>
      <c r="I95" s="79">
        <f>I96+I102+I110+I116+I118</f>
        <v>67895.37000000001</v>
      </c>
      <c r="J95" s="80">
        <f t="shared" ref="J95:J101" si="38">I95/$I$221</f>
        <v>3.2115516311807327E-2</v>
      </c>
    </row>
    <row r="96" spans="1:10" x14ac:dyDescent="0.25">
      <c r="A96" s="75" t="s">
        <v>241</v>
      </c>
      <c r="B96" s="75" t="s">
        <v>522</v>
      </c>
      <c r="C96" s="75"/>
      <c r="D96" s="75" t="s">
        <v>242</v>
      </c>
      <c r="E96" s="76"/>
      <c r="F96" s="78">
        <v>1</v>
      </c>
      <c r="G96" s="78"/>
      <c r="H96" s="79"/>
      <c r="I96" s="79">
        <f>SUM(I97:I101)</f>
        <v>3697.38</v>
      </c>
      <c r="J96" s="80">
        <f t="shared" si="38"/>
        <v>1.7489155402047318E-3</v>
      </c>
    </row>
    <row r="97" spans="1:10" ht="39.6" x14ac:dyDescent="0.25">
      <c r="A97" s="81" t="s">
        <v>513</v>
      </c>
      <c r="B97" s="81" t="s">
        <v>244</v>
      </c>
      <c r="C97" s="81" t="s">
        <v>27</v>
      </c>
      <c r="D97" s="81" t="s">
        <v>245</v>
      </c>
      <c r="E97" s="82" t="s">
        <v>9</v>
      </c>
      <c r="F97" s="83">
        <v>2</v>
      </c>
      <c r="G97" s="84">
        <v>106.85</v>
      </c>
      <c r="H97" s="84">
        <f t="shared" ref="H97:H101" si="39">ROUND(G97*(1+$G$1),2)</f>
        <v>137.63999999999999</v>
      </c>
      <c r="I97" s="84">
        <f t="shared" ref="I97:I101" si="40">ROUND(F97*H97,2)</f>
        <v>275.27999999999997</v>
      </c>
      <c r="J97" s="112">
        <f t="shared" si="38"/>
        <v>1.3021152002433035E-4</v>
      </c>
    </row>
    <row r="98" spans="1:10" ht="39.6" x14ac:dyDescent="0.25">
      <c r="A98" s="81" t="s">
        <v>243</v>
      </c>
      <c r="B98" s="81" t="s">
        <v>494</v>
      </c>
      <c r="C98" s="81" t="s">
        <v>27</v>
      </c>
      <c r="D98" s="81" t="s">
        <v>495</v>
      </c>
      <c r="E98" s="82" t="s">
        <v>9</v>
      </c>
      <c r="F98" s="93">
        <v>4</v>
      </c>
      <c r="G98" s="84">
        <v>22.9</v>
      </c>
      <c r="H98" s="84">
        <f t="shared" si="39"/>
        <v>29.5</v>
      </c>
      <c r="I98" s="84">
        <f t="shared" si="40"/>
        <v>118</v>
      </c>
      <c r="J98" s="112">
        <f t="shared" si="38"/>
        <v>5.5815748920629837E-5</v>
      </c>
    </row>
    <row r="99" spans="1:10" ht="39.6" x14ac:dyDescent="0.25">
      <c r="A99" s="81" t="s">
        <v>246</v>
      </c>
      <c r="B99" s="81" t="s">
        <v>248</v>
      </c>
      <c r="C99" s="81" t="s">
        <v>27</v>
      </c>
      <c r="D99" s="81" t="s">
        <v>249</v>
      </c>
      <c r="E99" s="82" t="s">
        <v>10</v>
      </c>
      <c r="F99" s="93">
        <v>15</v>
      </c>
      <c r="G99" s="84">
        <v>26.17</v>
      </c>
      <c r="H99" s="84">
        <f t="shared" si="39"/>
        <v>33.71</v>
      </c>
      <c r="I99" s="84">
        <f t="shared" si="40"/>
        <v>505.65</v>
      </c>
      <c r="J99" s="112">
        <f t="shared" si="38"/>
        <v>2.3917994442132609E-4</v>
      </c>
    </row>
    <row r="100" spans="1:10" ht="39.6" x14ac:dyDescent="0.25">
      <c r="A100" s="81" t="s">
        <v>247</v>
      </c>
      <c r="B100" s="81" t="s">
        <v>251</v>
      </c>
      <c r="C100" s="81" t="s">
        <v>27</v>
      </c>
      <c r="D100" s="81" t="s">
        <v>252</v>
      </c>
      <c r="E100" s="82" t="s">
        <v>10</v>
      </c>
      <c r="F100" s="93">
        <v>20</v>
      </c>
      <c r="G100" s="84">
        <v>32.590000000000003</v>
      </c>
      <c r="H100" s="84">
        <f t="shared" si="39"/>
        <v>41.98</v>
      </c>
      <c r="I100" s="84">
        <f t="shared" si="40"/>
        <v>839.6</v>
      </c>
      <c r="J100" s="112">
        <f t="shared" si="38"/>
        <v>3.9714324401492218E-4</v>
      </c>
    </row>
    <row r="101" spans="1:10" ht="39.6" x14ac:dyDescent="0.25">
      <c r="A101" s="81" t="s">
        <v>250</v>
      </c>
      <c r="B101" s="81" t="s">
        <v>540</v>
      </c>
      <c r="C101" s="81" t="s">
        <v>27</v>
      </c>
      <c r="D101" s="81" t="s">
        <v>541</v>
      </c>
      <c r="E101" s="82" t="s">
        <v>10</v>
      </c>
      <c r="F101" s="93">
        <v>45</v>
      </c>
      <c r="G101" s="84">
        <v>33.79</v>
      </c>
      <c r="H101" s="84">
        <f t="shared" si="39"/>
        <v>43.53</v>
      </c>
      <c r="I101" s="84">
        <f t="shared" si="40"/>
        <v>1958.85</v>
      </c>
      <c r="J101" s="112">
        <f t="shared" si="38"/>
        <v>9.2656508282352339E-4</v>
      </c>
    </row>
    <row r="102" spans="1:10" x14ac:dyDescent="0.25">
      <c r="A102" s="75" t="s">
        <v>253</v>
      </c>
      <c r="B102" s="75" t="s">
        <v>522</v>
      </c>
      <c r="C102" s="75"/>
      <c r="D102" s="75" t="s">
        <v>254</v>
      </c>
      <c r="E102" s="76"/>
      <c r="F102" s="78">
        <v>1</v>
      </c>
      <c r="G102" s="78"/>
      <c r="H102" s="79"/>
      <c r="I102" s="79">
        <f>SUM(I103:I109)</f>
        <v>8268.86</v>
      </c>
      <c r="J102" s="80">
        <f>I102/$I$221</f>
        <v>3.9112933357613499E-3</v>
      </c>
    </row>
    <row r="103" spans="1:10" ht="26.4" x14ac:dyDescent="0.25">
      <c r="A103" s="81" t="s">
        <v>255</v>
      </c>
      <c r="B103" s="89">
        <v>94489</v>
      </c>
      <c r="C103" s="89" t="s">
        <v>27</v>
      </c>
      <c r="D103" s="89" t="s">
        <v>567</v>
      </c>
      <c r="E103" s="82" t="s">
        <v>9</v>
      </c>
      <c r="F103" s="93">
        <v>4</v>
      </c>
      <c r="G103" s="84">
        <v>33.28</v>
      </c>
      <c r="H103" s="84">
        <f t="shared" ref="H103:H109" si="41">ROUND(G103*(1+$G$1),2)</f>
        <v>42.87</v>
      </c>
      <c r="I103" s="84">
        <f t="shared" ref="I103:I109" si="42">ROUND(F103*H103,2)</f>
        <v>171.48</v>
      </c>
      <c r="J103" s="112">
        <f t="shared" ref="J103:J108" si="43">I103/$I$221</f>
        <v>8.1112581567030541E-5</v>
      </c>
    </row>
    <row r="104" spans="1:10" ht="26.4" x14ac:dyDescent="0.25">
      <c r="A104" s="81" t="s">
        <v>256</v>
      </c>
      <c r="B104" s="81" t="s">
        <v>733</v>
      </c>
      <c r="C104" s="81" t="s">
        <v>27</v>
      </c>
      <c r="D104" s="81" t="s">
        <v>624</v>
      </c>
      <c r="E104" s="82" t="s">
        <v>9</v>
      </c>
      <c r="F104" s="93">
        <v>6</v>
      </c>
      <c r="G104" s="84">
        <v>68.63</v>
      </c>
      <c r="H104" s="84">
        <f t="shared" si="41"/>
        <v>88.41</v>
      </c>
      <c r="I104" s="84">
        <f t="shared" si="42"/>
        <v>530.46</v>
      </c>
      <c r="J104" s="112">
        <f t="shared" si="43"/>
        <v>2.5091544213929923E-4</v>
      </c>
    </row>
    <row r="105" spans="1:10" ht="39.6" x14ac:dyDescent="0.25">
      <c r="A105" s="81" t="s">
        <v>259</v>
      </c>
      <c r="B105" s="81" t="s">
        <v>257</v>
      </c>
      <c r="C105" s="81" t="s">
        <v>27</v>
      </c>
      <c r="D105" s="81" t="s">
        <v>258</v>
      </c>
      <c r="E105" s="82" t="s">
        <v>9</v>
      </c>
      <c r="F105" s="93">
        <v>2</v>
      </c>
      <c r="G105" s="84">
        <v>74.22</v>
      </c>
      <c r="H105" s="84">
        <f t="shared" si="41"/>
        <v>95.61</v>
      </c>
      <c r="I105" s="84">
        <f t="shared" si="42"/>
        <v>191.22</v>
      </c>
      <c r="J105" s="112">
        <f t="shared" si="43"/>
        <v>9.0449894140702018E-5</v>
      </c>
    </row>
    <row r="106" spans="1:10" ht="39.6" x14ac:dyDescent="0.25">
      <c r="A106" s="81" t="s">
        <v>260</v>
      </c>
      <c r="B106" s="81" t="s">
        <v>734</v>
      </c>
      <c r="C106" s="81" t="s">
        <v>27</v>
      </c>
      <c r="D106" s="81" t="s">
        <v>735</v>
      </c>
      <c r="E106" s="82" t="s">
        <v>9</v>
      </c>
      <c r="F106" s="93">
        <v>2</v>
      </c>
      <c r="G106" s="84">
        <v>130.88</v>
      </c>
      <c r="H106" s="84">
        <f t="shared" si="41"/>
        <v>168.6</v>
      </c>
      <c r="I106" s="84">
        <f t="shared" si="42"/>
        <v>337.2</v>
      </c>
      <c r="J106" s="112">
        <f t="shared" si="43"/>
        <v>1.5950059776302018E-4</v>
      </c>
    </row>
    <row r="107" spans="1:10" ht="26.4" x14ac:dyDescent="0.25">
      <c r="A107" s="81" t="s">
        <v>261</v>
      </c>
      <c r="B107" s="81" t="s">
        <v>542</v>
      </c>
      <c r="C107" s="81" t="s">
        <v>27</v>
      </c>
      <c r="D107" s="81" t="s">
        <v>543</v>
      </c>
      <c r="E107" s="82" t="s">
        <v>10</v>
      </c>
      <c r="F107" s="83">
        <v>88</v>
      </c>
      <c r="G107" s="84">
        <v>17.989999999999998</v>
      </c>
      <c r="H107" s="84">
        <f t="shared" si="41"/>
        <v>23.17</v>
      </c>
      <c r="I107" s="84">
        <f t="shared" si="42"/>
        <v>2038.96</v>
      </c>
      <c r="J107" s="112">
        <f t="shared" si="43"/>
        <v>9.644583001627748E-4</v>
      </c>
    </row>
    <row r="108" spans="1:10" ht="26.4" x14ac:dyDescent="0.25">
      <c r="A108" s="81" t="s">
        <v>736</v>
      </c>
      <c r="B108" s="81" t="s">
        <v>544</v>
      </c>
      <c r="C108" s="81" t="s">
        <v>27</v>
      </c>
      <c r="D108" s="81" t="s">
        <v>545</v>
      </c>
      <c r="E108" s="82" t="s">
        <v>10</v>
      </c>
      <c r="F108" s="83">
        <v>74</v>
      </c>
      <c r="G108" s="84">
        <v>5.49</v>
      </c>
      <c r="H108" s="84">
        <f t="shared" si="41"/>
        <v>7.07</v>
      </c>
      <c r="I108" s="84">
        <f t="shared" si="42"/>
        <v>523.17999999999995</v>
      </c>
      <c r="J108" s="112">
        <f t="shared" si="43"/>
        <v>2.4747189423978913E-4</v>
      </c>
    </row>
    <row r="109" spans="1:10" ht="39.6" x14ac:dyDescent="0.25">
      <c r="A109" s="81" t="s">
        <v>737</v>
      </c>
      <c r="B109" s="81" t="s">
        <v>262</v>
      </c>
      <c r="C109" s="81" t="s">
        <v>27</v>
      </c>
      <c r="D109" s="81" t="s">
        <v>263</v>
      </c>
      <c r="E109" s="82" t="s">
        <v>9</v>
      </c>
      <c r="F109" s="83">
        <v>4</v>
      </c>
      <c r="G109" s="84">
        <v>868.72</v>
      </c>
      <c r="H109" s="84">
        <f t="shared" si="41"/>
        <v>1119.0899999999999</v>
      </c>
      <c r="I109" s="84">
        <f t="shared" si="42"/>
        <v>4476.3599999999997</v>
      </c>
      <c r="J109" s="112">
        <f>I109/$I$221</f>
        <v>2.1173846257487336E-3</v>
      </c>
    </row>
    <row r="110" spans="1:10" x14ac:dyDescent="0.25">
      <c r="A110" s="75" t="s">
        <v>264</v>
      </c>
      <c r="B110" s="75" t="s">
        <v>522</v>
      </c>
      <c r="C110" s="75"/>
      <c r="D110" s="75" t="s">
        <v>265</v>
      </c>
      <c r="E110" s="76"/>
      <c r="F110" s="78">
        <v>1</v>
      </c>
      <c r="G110" s="78"/>
      <c r="H110" s="79"/>
      <c r="I110" s="79">
        <f>SUM(I111:I115)</f>
        <v>24202.58</v>
      </c>
      <c r="J110" s="80">
        <f>I110/$I$221</f>
        <v>1.1448179055181843E-2</v>
      </c>
    </row>
    <row r="111" spans="1:10" ht="39.6" x14ac:dyDescent="0.25">
      <c r="A111" s="81" t="s">
        <v>266</v>
      </c>
      <c r="B111" s="81" t="s">
        <v>267</v>
      </c>
      <c r="C111" s="81" t="s">
        <v>27</v>
      </c>
      <c r="D111" s="81" t="s">
        <v>268</v>
      </c>
      <c r="E111" s="82" t="s">
        <v>9</v>
      </c>
      <c r="F111" s="83">
        <v>12</v>
      </c>
      <c r="G111" s="84">
        <v>293.60000000000002</v>
      </c>
      <c r="H111" s="84">
        <f t="shared" ref="H111:H115" si="44">ROUND(G111*(1+$G$1),2)</f>
        <v>378.22</v>
      </c>
      <c r="I111" s="84">
        <f t="shared" ref="I111:I115" si="45">ROUND(F111*H111,2)</f>
        <v>4538.6400000000003</v>
      </c>
      <c r="J111" s="112">
        <f t="shared" ref="J111:J115" si="46">I111/$I$221</f>
        <v>2.1468439888231139E-3</v>
      </c>
    </row>
    <row r="112" spans="1:10" ht="39.6" x14ac:dyDescent="0.25">
      <c r="A112" s="81" t="s">
        <v>269</v>
      </c>
      <c r="B112" s="81" t="s">
        <v>270</v>
      </c>
      <c r="C112" s="81" t="s">
        <v>27</v>
      </c>
      <c r="D112" s="81" t="s">
        <v>271</v>
      </c>
      <c r="E112" s="82" t="s">
        <v>9</v>
      </c>
      <c r="F112" s="93">
        <v>3</v>
      </c>
      <c r="G112" s="84">
        <v>564.1</v>
      </c>
      <c r="H112" s="84">
        <f t="shared" si="44"/>
        <v>726.67</v>
      </c>
      <c r="I112" s="84">
        <f t="shared" si="45"/>
        <v>2180.0100000000002</v>
      </c>
      <c r="J112" s="112">
        <f t="shared" si="46"/>
        <v>1.031177040715782E-3</v>
      </c>
    </row>
    <row r="113" spans="1:10" ht="26.4" x14ac:dyDescent="0.25">
      <c r="A113" s="81" t="s">
        <v>272</v>
      </c>
      <c r="B113" s="91">
        <v>102989</v>
      </c>
      <c r="C113" s="91" t="s">
        <v>27</v>
      </c>
      <c r="D113" s="91" t="s">
        <v>633</v>
      </c>
      <c r="E113" s="82" t="s">
        <v>10</v>
      </c>
      <c r="F113" s="93">
        <v>11.7</v>
      </c>
      <c r="G113" s="84">
        <v>40.770000000000003</v>
      </c>
      <c r="H113" s="84">
        <f t="shared" si="44"/>
        <v>52.52</v>
      </c>
      <c r="I113" s="84">
        <f t="shared" si="45"/>
        <v>614.48</v>
      </c>
      <c r="J113" s="112">
        <f t="shared" si="46"/>
        <v>2.9065814743007309E-4</v>
      </c>
    </row>
    <row r="114" spans="1:10" ht="26.4" x14ac:dyDescent="0.25">
      <c r="A114" s="91" t="s">
        <v>273</v>
      </c>
      <c r="B114" s="91" t="s">
        <v>546</v>
      </c>
      <c r="C114" s="91" t="s">
        <v>27</v>
      </c>
      <c r="D114" s="81" t="s">
        <v>547</v>
      </c>
      <c r="E114" s="82" t="s">
        <v>10</v>
      </c>
      <c r="F114" s="93">
        <v>53</v>
      </c>
      <c r="G114" s="84">
        <v>44.72</v>
      </c>
      <c r="H114" s="84">
        <f t="shared" si="44"/>
        <v>57.61</v>
      </c>
      <c r="I114" s="84">
        <f t="shared" si="45"/>
        <v>3053.33</v>
      </c>
      <c r="J114" s="112">
        <f t="shared" si="46"/>
        <v>1.4442703445070059E-3</v>
      </c>
    </row>
    <row r="115" spans="1:10" ht="26.4" x14ac:dyDescent="0.25">
      <c r="A115" s="91" t="s">
        <v>274</v>
      </c>
      <c r="B115" s="91" t="s">
        <v>548</v>
      </c>
      <c r="C115" s="91" t="s">
        <v>27</v>
      </c>
      <c r="D115" s="81" t="s">
        <v>549</v>
      </c>
      <c r="E115" s="82" t="s">
        <v>10</v>
      </c>
      <c r="F115" s="93">
        <v>188</v>
      </c>
      <c r="G115" s="84">
        <v>57.05</v>
      </c>
      <c r="H115" s="84">
        <f t="shared" si="44"/>
        <v>73.489999999999995</v>
      </c>
      <c r="I115" s="84">
        <f t="shared" si="45"/>
        <v>13816.12</v>
      </c>
      <c r="J115" s="112">
        <f t="shared" si="46"/>
        <v>6.5352295337058677E-3</v>
      </c>
    </row>
    <row r="116" spans="1:10" x14ac:dyDescent="0.25">
      <c r="A116" s="75" t="s">
        <v>275</v>
      </c>
      <c r="B116" s="75" t="s">
        <v>522</v>
      </c>
      <c r="C116" s="75"/>
      <c r="D116" s="75" t="s">
        <v>276</v>
      </c>
      <c r="E116" s="76"/>
      <c r="F116" s="78">
        <v>1</v>
      </c>
      <c r="G116" s="78"/>
      <c r="H116" s="79"/>
      <c r="I116" s="79">
        <f>SUM(I117:I117)</f>
        <v>1568.07</v>
      </c>
      <c r="J116" s="80">
        <f>I116/$I$221</f>
        <v>7.417203509319664E-4</v>
      </c>
    </row>
    <row r="117" spans="1:10" ht="26.4" x14ac:dyDescent="0.25">
      <c r="A117" s="81" t="s">
        <v>277</v>
      </c>
      <c r="B117" s="81" t="s">
        <v>738</v>
      </c>
      <c r="C117" s="81" t="s">
        <v>27</v>
      </c>
      <c r="D117" s="81" t="s">
        <v>616</v>
      </c>
      <c r="E117" s="82" t="s">
        <v>10</v>
      </c>
      <c r="F117" s="93">
        <f>14*4.5</f>
        <v>63</v>
      </c>
      <c r="G117" s="84">
        <v>19.32</v>
      </c>
      <c r="H117" s="84">
        <f t="shared" ref="H117" si="47">ROUND(G117*(1+$G$1),2)</f>
        <v>24.89</v>
      </c>
      <c r="I117" s="84">
        <f t="shared" ref="I117" si="48">ROUND(F117*H117,2)</f>
        <v>1568.07</v>
      </c>
      <c r="J117" s="112">
        <f>I117/$I$221</f>
        <v>7.417203509319664E-4</v>
      </c>
    </row>
    <row r="118" spans="1:10" x14ac:dyDescent="0.25">
      <c r="A118" s="75" t="s">
        <v>514</v>
      </c>
      <c r="B118" s="75" t="s">
        <v>522</v>
      </c>
      <c r="C118" s="75"/>
      <c r="D118" s="75" t="s">
        <v>496</v>
      </c>
      <c r="E118" s="76"/>
      <c r="F118" s="78">
        <v>1</v>
      </c>
      <c r="G118" s="78"/>
      <c r="H118" s="79"/>
      <c r="I118" s="79">
        <f>SUM(I119:I127)</f>
        <v>30158.48</v>
      </c>
      <c r="J118" s="80">
        <f>I118/$I$221</f>
        <v>1.4265408029727429E-2</v>
      </c>
    </row>
    <row r="119" spans="1:10" x14ac:dyDescent="0.25">
      <c r="A119" s="81" t="s">
        <v>515</v>
      </c>
      <c r="B119" s="91" t="s">
        <v>793</v>
      </c>
      <c r="C119" s="91" t="s">
        <v>833</v>
      </c>
      <c r="D119" s="91" t="s">
        <v>794</v>
      </c>
      <c r="E119" s="94" t="s">
        <v>538</v>
      </c>
      <c r="F119" s="93">
        <v>12</v>
      </c>
      <c r="G119" s="84">
        <v>893.35</v>
      </c>
      <c r="H119" s="84">
        <f t="shared" ref="H119:H127" si="49">ROUND(G119*(1+$G$1),2)</f>
        <v>1150.81</v>
      </c>
      <c r="I119" s="84">
        <f t="shared" ref="I119:I127" si="50">ROUND(F119*H119,2)</f>
        <v>13809.72</v>
      </c>
      <c r="J119" s="112">
        <f t="shared" ref="J119:J127" si="51">I119/$I$221</f>
        <v>6.5322022388491548E-3</v>
      </c>
    </row>
    <row r="120" spans="1:10" ht="26.4" x14ac:dyDescent="0.25">
      <c r="A120" s="81" t="s">
        <v>739</v>
      </c>
      <c r="B120" s="91">
        <v>86915</v>
      </c>
      <c r="C120" s="91" t="s">
        <v>27</v>
      </c>
      <c r="D120" s="91" t="s">
        <v>839</v>
      </c>
      <c r="E120" s="94" t="s">
        <v>172</v>
      </c>
      <c r="F120" s="93">
        <v>10</v>
      </c>
      <c r="G120" s="84">
        <v>133.04</v>
      </c>
      <c r="H120" s="84">
        <f t="shared" si="49"/>
        <v>171.38</v>
      </c>
      <c r="I120" s="84">
        <f t="shared" si="50"/>
        <v>1713.8</v>
      </c>
      <c r="J120" s="112">
        <f t="shared" si="51"/>
        <v>8.1065280084894427E-4</v>
      </c>
    </row>
    <row r="121" spans="1:10" ht="26.4" x14ac:dyDescent="0.25">
      <c r="A121" s="81" t="s">
        <v>740</v>
      </c>
      <c r="B121" s="91" t="s">
        <v>465</v>
      </c>
      <c r="C121" s="91" t="s">
        <v>833</v>
      </c>
      <c r="D121" s="91" t="s">
        <v>550</v>
      </c>
      <c r="E121" s="94" t="s">
        <v>172</v>
      </c>
      <c r="F121" s="93">
        <v>3</v>
      </c>
      <c r="G121" s="84">
        <v>57.44</v>
      </c>
      <c r="H121" s="84">
        <f t="shared" si="49"/>
        <v>73.989999999999995</v>
      </c>
      <c r="I121" s="84">
        <f t="shared" si="50"/>
        <v>221.97</v>
      </c>
      <c r="J121" s="112">
        <f t="shared" si="51"/>
        <v>1.0499509989756107E-4</v>
      </c>
    </row>
    <row r="122" spans="1:10" x14ac:dyDescent="0.25">
      <c r="A122" s="81" t="s">
        <v>741</v>
      </c>
      <c r="B122" s="91" t="s">
        <v>742</v>
      </c>
      <c r="C122" s="91" t="s">
        <v>634</v>
      </c>
      <c r="D122" s="91" t="s">
        <v>635</v>
      </c>
      <c r="E122" s="94" t="s">
        <v>6</v>
      </c>
      <c r="F122" s="93">
        <v>2.1</v>
      </c>
      <c r="G122" s="84">
        <v>775.71</v>
      </c>
      <c r="H122" s="84">
        <f t="shared" si="49"/>
        <v>999.27</v>
      </c>
      <c r="I122" s="84">
        <f t="shared" si="50"/>
        <v>2098.4699999999998</v>
      </c>
      <c r="J122" s="112">
        <f t="shared" si="51"/>
        <v>9.9260741218198381E-4</v>
      </c>
    </row>
    <row r="123" spans="1:10" ht="39.6" x14ac:dyDescent="0.25">
      <c r="A123" s="81" t="s">
        <v>743</v>
      </c>
      <c r="B123" s="91" t="s">
        <v>744</v>
      </c>
      <c r="C123" s="91" t="s">
        <v>27</v>
      </c>
      <c r="D123" s="91" t="s">
        <v>636</v>
      </c>
      <c r="E123" s="94" t="s">
        <v>9</v>
      </c>
      <c r="F123" s="93">
        <v>10</v>
      </c>
      <c r="G123" s="84">
        <v>393.46</v>
      </c>
      <c r="H123" s="84">
        <f t="shared" si="49"/>
        <v>506.86</v>
      </c>
      <c r="I123" s="84">
        <f t="shared" si="50"/>
        <v>5068.6000000000004</v>
      </c>
      <c r="J123" s="112">
        <f t="shared" si="51"/>
        <v>2.3975229235517325E-3</v>
      </c>
    </row>
    <row r="124" spans="1:10" ht="26.4" x14ac:dyDescent="0.25">
      <c r="A124" s="81" t="s">
        <v>745</v>
      </c>
      <c r="B124" s="91" t="s">
        <v>466</v>
      </c>
      <c r="C124" s="91" t="s">
        <v>833</v>
      </c>
      <c r="D124" s="91" t="s">
        <v>551</v>
      </c>
      <c r="E124" s="94" t="s">
        <v>6</v>
      </c>
      <c r="F124" s="93">
        <v>4</v>
      </c>
      <c r="G124" s="84">
        <v>977.99</v>
      </c>
      <c r="H124" s="84">
        <f t="shared" si="49"/>
        <v>1259.8499999999999</v>
      </c>
      <c r="I124" s="84">
        <f t="shared" si="50"/>
        <v>5039.3999999999996</v>
      </c>
      <c r="J124" s="112">
        <f t="shared" si="51"/>
        <v>2.3837108907679831E-3</v>
      </c>
    </row>
    <row r="125" spans="1:10" ht="26.4" x14ac:dyDescent="0.25">
      <c r="A125" s="81" t="s">
        <v>746</v>
      </c>
      <c r="B125" s="91" t="s">
        <v>571</v>
      </c>
      <c r="C125" s="91" t="s">
        <v>833</v>
      </c>
      <c r="D125" s="91" t="s">
        <v>572</v>
      </c>
      <c r="E125" s="94" t="s">
        <v>172</v>
      </c>
      <c r="F125" s="93">
        <v>12</v>
      </c>
      <c r="G125" s="84">
        <v>74.459999999999994</v>
      </c>
      <c r="H125" s="84">
        <f t="shared" si="49"/>
        <v>95.92</v>
      </c>
      <c r="I125" s="84">
        <f t="shared" si="50"/>
        <v>1151.04</v>
      </c>
      <c r="J125" s="112">
        <f t="shared" si="51"/>
        <v>5.4445897997967602E-4</v>
      </c>
    </row>
    <row r="126" spans="1:10" x14ac:dyDescent="0.25">
      <c r="A126" s="81" t="s">
        <v>747</v>
      </c>
      <c r="B126" s="91" t="s">
        <v>573</v>
      </c>
      <c r="C126" s="91" t="s">
        <v>833</v>
      </c>
      <c r="D126" s="91" t="s">
        <v>574</v>
      </c>
      <c r="E126" s="94" t="s">
        <v>172</v>
      </c>
      <c r="F126" s="93">
        <v>8</v>
      </c>
      <c r="G126" s="84">
        <v>66.05</v>
      </c>
      <c r="H126" s="84">
        <f t="shared" si="49"/>
        <v>85.09</v>
      </c>
      <c r="I126" s="84">
        <f t="shared" si="50"/>
        <v>680.72</v>
      </c>
      <c r="J126" s="112">
        <f t="shared" si="51"/>
        <v>3.2199064919704359E-4</v>
      </c>
    </row>
    <row r="127" spans="1:10" x14ac:dyDescent="0.25">
      <c r="A127" s="81" t="s">
        <v>748</v>
      </c>
      <c r="B127" s="81" t="s">
        <v>575</v>
      </c>
      <c r="C127" s="91" t="s">
        <v>833</v>
      </c>
      <c r="D127" s="81" t="s">
        <v>576</v>
      </c>
      <c r="E127" s="82" t="s">
        <v>172</v>
      </c>
      <c r="F127" s="93">
        <v>4</v>
      </c>
      <c r="G127" s="84">
        <v>72.73</v>
      </c>
      <c r="H127" s="84">
        <f t="shared" si="49"/>
        <v>93.69</v>
      </c>
      <c r="I127" s="84">
        <f t="shared" si="50"/>
        <v>374.76</v>
      </c>
      <c r="J127" s="112">
        <f t="shared" si="51"/>
        <v>1.7726703445334948E-4</v>
      </c>
    </row>
    <row r="128" spans="1:10" x14ac:dyDescent="0.25">
      <c r="A128" s="75" t="s">
        <v>278</v>
      </c>
      <c r="B128" s="75" t="s">
        <v>522</v>
      </c>
      <c r="C128" s="75"/>
      <c r="D128" s="75" t="s">
        <v>279</v>
      </c>
      <c r="E128" s="76"/>
      <c r="F128" s="78">
        <v>1</v>
      </c>
      <c r="G128" s="78"/>
      <c r="H128" s="79"/>
      <c r="I128" s="79">
        <f>I129+I167</f>
        <v>204594.49999999997</v>
      </c>
      <c r="J128" s="80">
        <f t="shared" ref="J128:J166" si="52">I128/$I$221</f>
        <v>9.6776230868998309E-2</v>
      </c>
    </row>
    <row r="129" spans="1:10" x14ac:dyDescent="0.25">
      <c r="A129" s="75" t="s">
        <v>280</v>
      </c>
      <c r="B129" s="75" t="s">
        <v>522</v>
      </c>
      <c r="C129" s="75"/>
      <c r="D129" s="75" t="s">
        <v>281</v>
      </c>
      <c r="E129" s="76"/>
      <c r="F129" s="78">
        <v>1</v>
      </c>
      <c r="G129" s="78"/>
      <c r="H129" s="79"/>
      <c r="I129" s="79">
        <f>SUM(I130:I166)</f>
        <v>181475.14999999997</v>
      </c>
      <c r="J129" s="80">
        <f t="shared" si="52"/>
        <v>8.5840435658759637E-2</v>
      </c>
    </row>
    <row r="130" spans="1:10" ht="26.4" x14ac:dyDescent="0.25">
      <c r="A130" s="81" t="s">
        <v>282</v>
      </c>
      <c r="B130" s="91" t="s">
        <v>806</v>
      </c>
      <c r="C130" s="91" t="s">
        <v>437</v>
      </c>
      <c r="D130" s="91" t="s">
        <v>807</v>
      </c>
      <c r="E130" s="94" t="s">
        <v>9</v>
      </c>
      <c r="F130" s="93">
        <v>1</v>
      </c>
      <c r="G130" s="84">
        <v>5262.78</v>
      </c>
      <c r="H130" s="84">
        <f t="shared" ref="H130:H166" si="53">ROUND(G130*(1+$G$1),2)</f>
        <v>6779.51</v>
      </c>
      <c r="I130" s="84">
        <f t="shared" ref="I130:I166" si="54">ROUND(F130*H130,2)</f>
        <v>6779.51</v>
      </c>
      <c r="J130" s="112">
        <f t="shared" si="52"/>
        <v>3.2068087115669427E-3</v>
      </c>
    </row>
    <row r="131" spans="1:10" ht="39.6" x14ac:dyDescent="0.25">
      <c r="A131" s="81" t="s">
        <v>283</v>
      </c>
      <c r="B131" s="91">
        <v>93008</v>
      </c>
      <c r="C131" s="91" t="s">
        <v>27</v>
      </c>
      <c r="D131" s="91" t="s">
        <v>808</v>
      </c>
      <c r="E131" s="94" t="s">
        <v>10</v>
      </c>
      <c r="F131" s="93">
        <v>30</v>
      </c>
      <c r="G131" s="84">
        <v>18.68</v>
      </c>
      <c r="H131" s="84">
        <f t="shared" si="53"/>
        <v>24.06</v>
      </c>
      <c r="I131" s="84">
        <f t="shared" si="54"/>
        <v>721.8</v>
      </c>
      <c r="J131" s="112">
        <f t="shared" si="52"/>
        <v>3.4142209805856455E-4</v>
      </c>
    </row>
    <row r="132" spans="1:10" ht="39.6" x14ac:dyDescent="0.25">
      <c r="A132" s="81" t="s">
        <v>284</v>
      </c>
      <c r="B132" s="91">
        <v>10188</v>
      </c>
      <c r="C132" s="91" t="s">
        <v>27</v>
      </c>
      <c r="D132" s="91" t="s">
        <v>809</v>
      </c>
      <c r="E132" s="94" t="s">
        <v>9</v>
      </c>
      <c r="F132" s="93">
        <v>1</v>
      </c>
      <c r="G132" s="84">
        <v>835.63</v>
      </c>
      <c r="H132" s="84">
        <f t="shared" si="53"/>
        <v>1076.46</v>
      </c>
      <c r="I132" s="84">
        <f t="shared" si="54"/>
        <v>1076.46</v>
      </c>
      <c r="J132" s="112">
        <f t="shared" si="52"/>
        <v>5.0918153460255259E-4</v>
      </c>
    </row>
    <row r="133" spans="1:10" ht="39.6" x14ac:dyDescent="0.25">
      <c r="A133" s="81" t="s">
        <v>287</v>
      </c>
      <c r="B133" s="89" t="s">
        <v>285</v>
      </c>
      <c r="C133" s="89" t="s">
        <v>27</v>
      </c>
      <c r="D133" s="89" t="s">
        <v>286</v>
      </c>
      <c r="E133" s="92" t="s">
        <v>10</v>
      </c>
      <c r="F133" s="83">
        <v>650</v>
      </c>
      <c r="G133" s="84">
        <v>3.51</v>
      </c>
      <c r="H133" s="84">
        <f t="shared" si="53"/>
        <v>4.5199999999999996</v>
      </c>
      <c r="I133" s="84">
        <f t="shared" si="54"/>
        <v>2938</v>
      </c>
      <c r="J133" s="112">
        <f t="shared" si="52"/>
        <v>1.3897175451594108E-3</v>
      </c>
    </row>
    <row r="134" spans="1:10" ht="39.6" x14ac:dyDescent="0.25">
      <c r="A134" s="81" t="s">
        <v>290</v>
      </c>
      <c r="B134" s="89" t="s">
        <v>288</v>
      </c>
      <c r="C134" s="89" t="s">
        <v>27</v>
      </c>
      <c r="D134" s="89" t="s">
        <v>289</v>
      </c>
      <c r="E134" s="92" t="s">
        <v>10</v>
      </c>
      <c r="F134" s="83">
        <v>1600</v>
      </c>
      <c r="G134" s="84">
        <v>5.01</v>
      </c>
      <c r="H134" s="84">
        <f t="shared" si="53"/>
        <v>6.45</v>
      </c>
      <c r="I134" s="84">
        <f t="shared" si="54"/>
        <v>10320</v>
      </c>
      <c r="J134" s="112">
        <f t="shared" si="52"/>
        <v>4.8815129564483044E-3</v>
      </c>
    </row>
    <row r="135" spans="1:10" ht="39.6" x14ac:dyDescent="0.25">
      <c r="A135" s="81" t="s">
        <v>293</v>
      </c>
      <c r="B135" s="89" t="s">
        <v>291</v>
      </c>
      <c r="C135" s="89" t="s">
        <v>27</v>
      </c>
      <c r="D135" s="89" t="s">
        <v>292</v>
      </c>
      <c r="E135" s="92" t="s">
        <v>10</v>
      </c>
      <c r="F135" s="83">
        <v>600</v>
      </c>
      <c r="G135" s="84">
        <v>7.63</v>
      </c>
      <c r="H135" s="84">
        <f t="shared" si="53"/>
        <v>9.83</v>
      </c>
      <c r="I135" s="84">
        <f t="shared" si="54"/>
        <v>5898</v>
      </c>
      <c r="J135" s="112">
        <f t="shared" si="52"/>
        <v>2.7898414163887693E-3</v>
      </c>
    </row>
    <row r="136" spans="1:10" ht="39.6" x14ac:dyDescent="0.25">
      <c r="A136" s="81" t="s">
        <v>296</v>
      </c>
      <c r="B136" s="89" t="s">
        <v>294</v>
      </c>
      <c r="C136" s="89" t="s">
        <v>27</v>
      </c>
      <c r="D136" s="89" t="s">
        <v>295</v>
      </c>
      <c r="E136" s="92" t="s">
        <v>10</v>
      </c>
      <c r="F136" s="83">
        <v>150</v>
      </c>
      <c r="G136" s="84">
        <v>10.6</v>
      </c>
      <c r="H136" s="84">
        <f t="shared" si="53"/>
        <v>13.65</v>
      </c>
      <c r="I136" s="84">
        <f t="shared" si="54"/>
        <v>2047.5</v>
      </c>
      <c r="J136" s="112">
        <f t="shared" si="52"/>
        <v>9.6849784673720002E-4</v>
      </c>
    </row>
    <row r="137" spans="1:10" ht="39.6" x14ac:dyDescent="0.25">
      <c r="A137" s="81" t="s">
        <v>299</v>
      </c>
      <c r="B137" s="89" t="s">
        <v>297</v>
      </c>
      <c r="C137" s="89" t="s">
        <v>27</v>
      </c>
      <c r="D137" s="89" t="s">
        <v>298</v>
      </c>
      <c r="E137" s="92" t="s">
        <v>10</v>
      </c>
      <c r="F137" s="83">
        <v>90</v>
      </c>
      <c r="G137" s="84">
        <v>27.08</v>
      </c>
      <c r="H137" s="84">
        <f t="shared" si="53"/>
        <v>34.880000000000003</v>
      </c>
      <c r="I137" s="84">
        <f t="shared" si="54"/>
        <v>3139.2</v>
      </c>
      <c r="J137" s="112">
        <f t="shared" si="52"/>
        <v>1.4848881272172981E-3</v>
      </c>
    </row>
    <row r="138" spans="1:10" ht="39.6" x14ac:dyDescent="0.25">
      <c r="A138" s="81" t="s">
        <v>302</v>
      </c>
      <c r="B138" s="89" t="s">
        <v>300</v>
      </c>
      <c r="C138" s="89" t="s">
        <v>27</v>
      </c>
      <c r="D138" s="89" t="s">
        <v>301</v>
      </c>
      <c r="E138" s="92" t="s">
        <v>10</v>
      </c>
      <c r="F138" s="83">
        <v>120</v>
      </c>
      <c r="G138" s="84">
        <v>29.91</v>
      </c>
      <c r="H138" s="84">
        <f t="shared" si="53"/>
        <v>38.53</v>
      </c>
      <c r="I138" s="84">
        <f t="shared" si="54"/>
        <v>4623.6000000000004</v>
      </c>
      <c r="J138" s="112">
        <f t="shared" si="52"/>
        <v>2.1870313280459674E-3</v>
      </c>
    </row>
    <row r="139" spans="1:10" ht="26.4" x14ac:dyDescent="0.25">
      <c r="A139" s="81" t="s">
        <v>303</v>
      </c>
      <c r="B139" s="89" t="s">
        <v>304</v>
      </c>
      <c r="C139" s="89" t="s">
        <v>27</v>
      </c>
      <c r="D139" s="89" t="s">
        <v>810</v>
      </c>
      <c r="E139" s="92" t="s">
        <v>9</v>
      </c>
      <c r="F139" s="93">
        <v>9</v>
      </c>
      <c r="G139" s="84">
        <v>53.78</v>
      </c>
      <c r="H139" s="84">
        <f t="shared" si="53"/>
        <v>69.28</v>
      </c>
      <c r="I139" s="84">
        <f t="shared" si="54"/>
        <v>623.52</v>
      </c>
      <c r="J139" s="112">
        <f t="shared" si="52"/>
        <v>2.9493420141517897E-4</v>
      </c>
    </row>
    <row r="140" spans="1:10" ht="26.4" x14ac:dyDescent="0.25">
      <c r="A140" s="81" t="s">
        <v>305</v>
      </c>
      <c r="B140" s="89" t="s">
        <v>306</v>
      </c>
      <c r="C140" s="89" t="s">
        <v>27</v>
      </c>
      <c r="D140" s="89" t="s">
        <v>307</v>
      </c>
      <c r="E140" s="92" t="s">
        <v>9</v>
      </c>
      <c r="F140" s="93">
        <v>16</v>
      </c>
      <c r="G140" s="84">
        <v>58.76</v>
      </c>
      <c r="H140" s="84">
        <f t="shared" si="53"/>
        <v>75.69</v>
      </c>
      <c r="I140" s="84">
        <f t="shared" si="54"/>
        <v>1211.04</v>
      </c>
      <c r="J140" s="112">
        <f t="shared" si="52"/>
        <v>5.7283986926135225E-4</v>
      </c>
    </row>
    <row r="141" spans="1:10" ht="26.4" x14ac:dyDescent="0.25">
      <c r="A141" s="81" t="s">
        <v>308</v>
      </c>
      <c r="B141" s="89" t="s">
        <v>309</v>
      </c>
      <c r="C141" s="89" t="s">
        <v>27</v>
      </c>
      <c r="D141" s="89" t="s">
        <v>310</v>
      </c>
      <c r="E141" s="92" t="s">
        <v>9</v>
      </c>
      <c r="F141" s="93">
        <v>2</v>
      </c>
      <c r="G141" s="84">
        <v>62.75</v>
      </c>
      <c r="H141" s="84">
        <f t="shared" si="53"/>
        <v>80.83</v>
      </c>
      <c r="I141" s="84">
        <f t="shared" si="54"/>
        <v>161.66</v>
      </c>
      <c r="J141" s="112">
        <f t="shared" si="52"/>
        <v>7.6467576021262886E-5</v>
      </c>
    </row>
    <row r="142" spans="1:10" ht="26.4" x14ac:dyDescent="0.25">
      <c r="A142" s="81" t="s">
        <v>311</v>
      </c>
      <c r="B142" s="89" t="s">
        <v>312</v>
      </c>
      <c r="C142" s="89" t="s">
        <v>27</v>
      </c>
      <c r="D142" s="89" t="s">
        <v>313</v>
      </c>
      <c r="E142" s="92" t="s">
        <v>9</v>
      </c>
      <c r="F142" s="93">
        <v>1</v>
      </c>
      <c r="G142" s="84">
        <v>68.47</v>
      </c>
      <c r="H142" s="84">
        <f t="shared" si="53"/>
        <v>88.2</v>
      </c>
      <c r="I142" s="84">
        <f t="shared" si="54"/>
        <v>88.2</v>
      </c>
      <c r="J142" s="112">
        <f t="shared" si="52"/>
        <v>4.1719907244063998E-5</v>
      </c>
    </row>
    <row r="143" spans="1:10" ht="26.4" x14ac:dyDescent="0.25">
      <c r="A143" s="81" t="s">
        <v>314</v>
      </c>
      <c r="B143" s="89" t="s">
        <v>315</v>
      </c>
      <c r="C143" s="89" t="s">
        <v>27</v>
      </c>
      <c r="D143" s="89" t="s">
        <v>316</v>
      </c>
      <c r="E143" s="92" t="s">
        <v>9</v>
      </c>
      <c r="F143" s="93">
        <v>1</v>
      </c>
      <c r="G143" s="84">
        <v>76.650000000000006</v>
      </c>
      <c r="H143" s="84">
        <f t="shared" si="53"/>
        <v>98.74</v>
      </c>
      <c r="I143" s="84">
        <f t="shared" si="54"/>
        <v>98.74</v>
      </c>
      <c r="J143" s="112">
        <f t="shared" si="52"/>
        <v>4.670548346121178E-5</v>
      </c>
    </row>
    <row r="144" spans="1:10" ht="26.4" x14ac:dyDescent="0.25">
      <c r="A144" s="81" t="s">
        <v>317</v>
      </c>
      <c r="B144" s="89" t="s">
        <v>552</v>
      </c>
      <c r="C144" s="89" t="s">
        <v>27</v>
      </c>
      <c r="D144" s="91" t="s">
        <v>553</v>
      </c>
      <c r="E144" s="92" t="s">
        <v>9</v>
      </c>
      <c r="F144" s="83">
        <v>1</v>
      </c>
      <c r="G144" s="84">
        <v>163.31</v>
      </c>
      <c r="H144" s="84">
        <f t="shared" si="53"/>
        <v>210.38</v>
      </c>
      <c r="I144" s="84">
        <f t="shared" si="54"/>
        <v>210.38</v>
      </c>
      <c r="J144" s="112">
        <f t="shared" si="52"/>
        <v>9.9512858117983943E-5</v>
      </c>
    </row>
    <row r="145" spans="1:10" x14ac:dyDescent="0.25">
      <c r="A145" s="81" t="s">
        <v>318</v>
      </c>
      <c r="B145" s="91" t="s">
        <v>637</v>
      </c>
      <c r="C145" s="91" t="s">
        <v>437</v>
      </c>
      <c r="D145" s="91" t="s">
        <v>638</v>
      </c>
      <c r="E145" s="94" t="s">
        <v>9</v>
      </c>
      <c r="F145" s="93">
        <v>3</v>
      </c>
      <c r="G145" s="84">
        <v>227.69</v>
      </c>
      <c r="H145" s="84">
        <f t="shared" si="53"/>
        <v>293.31</v>
      </c>
      <c r="I145" s="84">
        <f t="shared" si="54"/>
        <v>879.93</v>
      </c>
      <c r="J145" s="112">
        <f t="shared" si="52"/>
        <v>4.1621993176042214E-4</v>
      </c>
    </row>
    <row r="146" spans="1:10" ht="39.6" x14ac:dyDescent="0.25">
      <c r="A146" s="81" t="s">
        <v>321</v>
      </c>
      <c r="B146" s="91" t="s">
        <v>319</v>
      </c>
      <c r="C146" s="91" t="s">
        <v>27</v>
      </c>
      <c r="D146" s="91" t="s">
        <v>320</v>
      </c>
      <c r="E146" s="94" t="s">
        <v>10</v>
      </c>
      <c r="F146" s="93">
        <v>450</v>
      </c>
      <c r="G146" s="84">
        <v>11.66</v>
      </c>
      <c r="H146" s="84">
        <f t="shared" si="53"/>
        <v>15.02</v>
      </c>
      <c r="I146" s="84">
        <f t="shared" si="54"/>
        <v>6759</v>
      </c>
      <c r="J146" s="112">
        <f t="shared" si="52"/>
        <v>3.1971071775808227E-3</v>
      </c>
    </row>
    <row r="147" spans="1:10" ht="39.6" x14ac:dyDescent="0.25">
      <c r="A147" s="81" t="s">
        <v>324</v>
      </c>
      <c r="B147" s="91" t="s">
        <v>322</v>
      </c>
      <c r="C147" s="91" t="s">
        <v>27</v>
      </c>
      <c r="D147" s="91" t="s">
        <v>323</v>
      </c>
      <c r="E147" s="94" t="s">
        <v>10</v>
      </c>
      <c r="F147" s="93">
        <v>150</v>
      </c>
      <c r="G147" s="84">
        <v>14.35</v>
      </c>
      <c r="H147" s="84">
        <f t="shared" si="53"/>
        <v>18.489999999999998</v>
      </c>
      <c r="I147" s="84">
        <f t="shared" si="54"/>
        <v>2773.5</v>
      </c>
      <c r="J147" s="112">
        <f t="shared" si="52"/>
        <v>1.3119066070454819E-3</v>
      </c>
    </row>
    <row r="148" spans="1:10" ht="26.4" x14ac:dyDescent="0.25">
      <c r="A148" s="81" t="s">
        <v>325</v>
      </c>
      <c r="B148" s="91" t="s">
        <v>639</v>
      </c>
      <c r="C148" s="91" t="s">
        <v>437</v>
      </c>
      <c r="D148" s="91" t="s">
        <v>640</v>
      </c>
      <c r="E148" s="94" t="s">
        <v>10</v>
      </c>
      <c r="F148" s="93">
        <v>28.5</v>
      </c>
      <c r="G148" s="84">
        <v>65.12</v>
      </c>
      <c r="H148" s="84">
        <f t="shared" si="53"/>
        <v>83.89</v>
      </c>
      <c r="I148" s="84">
        <f t="shared" si="54"/>
        <v>2390.87</v>
      </c>
      <c r="J148" s="112">
        <f t="shared" si="52"/>
        <v>1.1309169459480192E-3</v>
      </c>
    </row>
    <row r="149" spans="1:10" ht="26.4" x14ac:dyDescent="0.25">
      <c r="A149" s="81" t="s">
        <v>326</v>
      </c>
      <c r="B149" s="91">
        <v>96985</v>
      </c>
      <c r="C149" s="91" t="s">
        <v>27</v>
      </c>
      <c r="D149" s="91" t="s">
        <v>327</v>
      </c>
      <c r="E149" s="94" t="s">
        <v>9</v>
      </c>
      <c r="F149" s="93">
        <v>2</v>
      </c>
      <c r="G149" s="84">
        <v>160.66</v>
      </c>
      <c r="H149" s="84">
        <f t="shared" si="53"/>
        <v>206.96</v>
      </c>
      <c r="I149" s="84">
        <f t="shared" si="54"/>
        <v>413.92</v>
      </c>
      <c r="J149" s="112">
        <f t="shared" si="52"/>
        <v>1.9579029485785682E-4</v>
      </c>
    </row>
    <row r="150" spans="1:10" ht="26.4" x14ac:dyDescent="0.25">
      <c r="A150" s="81" t="s">
        <v>328</v>
      </c>
      <c r="B150" s="91" t="s">
        <v>329</v>
      </c>
      <c r="C150" s="91" t="s">
        <v>27</v>
      </c>
      <c r="D150" s="91" t="s">
        <v>330</v>
      </c>
      <c r="E150" s="94" t="s">
        <v>9</v>
      </c>
      <c r="F150" s="93">
        <v>62</v>
      </c>
      <c r="G150" s="84">
        <v>44.06</v>
      </c>
      <c r="H150" s="84">
        <f t="shared" si="53"/>
        <v>56.76</v>
      </c>
      <c r="I150" s="84">
        <f t="shared" si="54"/>
        <v>3519.12</v>
      </c>
      <c r="J150" s="112">
        <f t="shared" si="52"/>
        <v>1.6645959181488719E-3</v>
      </c>
    </row>
    <row r="151" spans="1:10" ht="26.4" x14ac:dyDescent="0.25">
      <c r="A151" s="81" t="s">
        <v>331</v>
      </c>
      <c r="B151" s="89" t="s">
        <v>332</v>
      </c>
      <c r="C151" s="89" t="s">
        <v>27</v>
      </c>
      <c r="D151" s="89" t="s">
        <v>333</v>
      </c>
      <c r="E151" s="92" t="s">
        <v>9</v>
      </c>
      <c r="F151" s="83">
        <v>7</v>
      </c>
      <c r="G151" s="84">
        <v>46.37</v>
      </c>
      <c r="H151" s="84">
        <f t="shared" si="53"/>
        <v>59.73</v>
      </c>
      <c r="I151" s="84">
        <f t="shared" si="54"/>
        <v>418.11</v>
      </c>
      <c r="J151" s="112">
        <f t="shared" si="52"/>
        <v>1.9777222695936054E-4</v>
      </c>
    </row>
    <row r="152" spans="1:10" x14ac:dyDescent="0.25">
      <c r="A152" s="81" t="s">
        <v>334</v>
      </c>
      <c r="B152" s="89" t="s">
        <v>335</v>
      </c>
      <c r="C152" s="91" t="s">
        <v>833</v>
      </c>
      <c r="D152" s="89" t="s">
        <v>554</v>
      </c>
      <c r="E152" s="92" t="s">
        <v>538</v>
      </c>
      <c r="F152" s="83">
        <v>7</v>
      </c>
      <c r="G152" s="84">
        <v>22.02</v>
      </c>
      <c r="H152" s="84">
        <f t="shared" si="53"/>
        <v>28.37</v>
      </c>
      <c r="I152" s="84">
        <f t="shared" si="54"/>
        <v>198.59</v>
      </c>
      <c r="J152" s="112">
        <f t="shared" si="52"/>
        <v>9.393601337413458E-5</v>
      </c>
    </row>
    <row r="153" spans="1:10" x14ac:dyDescent="0.25">
      <c r="A153" s="81" t="s">
        <v>336</v>
      </c>
      <c r="B153" s="89" t="s">
        <v>337</v>
      </c>
      <c r="C153" s="89" t="s">
        <v>27</v>
      </c>
      <c r="D153" s="89" t="s">
        <v>338</v>
      </c>
      <c r="E153" s="92" t="s">
        <v>9</v>
      </c>
      <c r="F153" s="83">
        <v>7</v>
      </c>
      <c r="G153" s="84">
        <v>52.17</v>
      </c>
      <c r="H153" s="84">
        <f t="shared" si="53"/>
        <v>67.209999999999994</v>
      </c>
      <c r="I153" s="84">
        <f t="shared" si="54"/>
        <v>470.47</v>
      </c>
      <c r="J153" s="112">
        <f t="shared" si="52"/>
        <v>2.2253928300583663E-4</v>
      </c>
    </row>
    <row r="154" spans="1:10" ht="26.4" x14ac:dyDescent="0.25">
      <c r="A154" s="81" t="s">
        <v>497</v>
      </c>
      <c r="B154" s="89" t="s">
        <v>340</v>
      </c>
      <c r="C154" s="89" t="s">
        <v>27</v>
      </c>
      <c r="D154" s="89" t="s">
        <v>341</v>
      </c>
      <c r="E154" s="92" t="s">
        <v>9</v>
      </c>
      <c r="F154" s="83">
        <v>83</v>
      </c>
      <c r="G154" s="84">
        <v>22.84</v>
      </c>
      <c r="H154" s="84">
        <f t="shared" si="53"/>
        <v>29.42</v>
      </c>
      <c r="I154" s="84">
        <f t="shared" si="54"/>
        <v>2441.86</v>
      </c>
      <c r="J154" s="112">
        <f t="shared" si="52"/>
        <v>1.1550359716892304E-3</v>
      </c>
    </row>
    <row r="155" spans="1:10" ht="26.4" x14ac:dyDescent="0.25">
      <c r="A155" s="81" t="s">
        <v>339</v>
      </c>
      <c r="B155" s="89" t="s">
        <v>343</v>
      </c>
      <c r="C155" s="89" t="s">
        <v>27</v>
      </c>
      <c r="D155" s="89" t="s">
        <v>344</v>
      </c>
      <c r="E155" s="92" t="s">
        <v>9</v>
      </c>
      <c r="F155" s="83">
        <v>7</v>
      </c>
      <c r="G155" s="84">
        <v>25.64</v>
      </c>
      <c r="H155" s="84">
        <f t="shared" si="53"/>
        <v>33.03</v>
      </c>
      <c r="I155" s="84">
        <f t="shared" si="54"/>
        <v>231.21</v>
      </c>
      <c r="J155" s="112">
        <f t="shared" si="52"/>
        <v>1.093657568469392E-4</v>
      </c>
    </row>
    <row r="156" spans="1:10" ht="26.4" x14ac:dyDescent="0.25">
      <c r="A156" s="81" t="s">
        <v>342</v>
      </c>
      <c r="B156" s="89" t="s">
        <v>346</v>
      </c>
      <c r="C156" s="89" t="s">
        <v>27</v>
      </c>
      <c r="D156" s="89" t="s">
        <v>347</v>
      </c>
      <c r="E156" s="92" t="s">
        <v>9</v>
      </c>
      <c r="F156" s="83">
        <v>48</v>
      </c>
      <c r="G156" s="84">
        <v>18.47</v>
      </c>
      <c r="H156" s="84">
        <f t="shared" si="53"/>
        <v>23.79</v>
      </c>
      <c r="I156" s="84">
        <f t="shared" si="54"/>
        <v>1141.92</v>
      </c>
      <c r="J156" s="112">
        <f t="shared" si="52"/>
        <v>5.4014508480886134E-4</v>
      </c>
    </row>
    <row r="157" spans="1:10" ht="26.4" x14ac:dyDescent="0.25">
      <c r="A157" s="81" t="s">
        <v>345</v>
      </c>
      <c r="B157" s="89" t="s">
        <v>811</v>
      </c>
      <c r="C157" s="91" t="s">
        <v>833</v>
      </c>
      <c r="D157" s="89" t="s">
        <v>812</v>
      </c>
      <c r="E157" s="92" t="s">
        <v>9</v>
      </c>
      <c r="F157" s="83">
        <v>42</v>
      </c>
      <c r="G157" s="84">
        <v>194.18</v>
      </c>
      <c r="H157" s="84">
        <f t="shared" si="53"/>
        <v>250.14</v>
      </c>
      <c r="I157" s="84">
        <f t="shared" si="54"/>
        <v>10505.88</v>
      </c>
      <c r="J157" s="112">
        <f t="shared" si="52"/>
        <v>4.9694369514429373E-3</v>
      </c>
    </row>
    <row r="158" spans="1:10" x14ac:dyDescent="0.25">
      <c r="A158" s="81" t="s">
        <v>500</v>
      </c>
      <c r="B158" s="89" t="s">
        <v>813</v>
      </c>
      <c r="C158" s="91" t="s">
        <v>833</v>
      </c>
      <c r="D158" s="89" t="s">
        <v>814</v>
      </c>
      <c r="E158" s="92" t="s">
        <v>172</v>
      </c>
      <c r="F158" s="83">
        <f>F157*4</f>
        <v>168</v>
      </c>
      <c r="G158" s="84">
        <v>24.92</v>
      </c>
      <c r="H158" s="84">
        <f t="shared" si="53"/>
        <v>32.1</v>
      </c>
      <c r="I158" s="84">
        <f t="shared" si="54"/>
        <v>5392.8</v>
      </c>
      <c r="J158" s="112">
        <f t="shared" si="52"/>
        <v>2.5508743286370562E-3</v>
      </c>
    </row>
    <row r="159" spans="1:10" ht="26.4" x14ac:dyDescent="0.25">
      <c r="A159" s="81" t="s">
        <v>348</v>
      </c>
      <c r="B159" s="89" t="s">
        <v>815</v>
      </c>
      <c r="C159" s="91" t="s">
        <v>833</v>
      </c>
      <c r="D159" s="89" t="s">
        <v>816</v>
      </c>
      <c r="E159" s="92" t="s">
        <v>172</v>
      </c>
      <c r="F159" s="83">
        <v>13</v>
      </c>
      <c r="G159" s="84">
        <v>66.989999999999995</v>
      </c>
      <c r="H159" s="84">
        <f t="shared" si="53"/>
        <v>86.3</v>
      </c>
      <c r="I159" s="84">
        <f t="shared" si="54"/>
        <v>1121.9000000000001</v>
      </c>
      <c r="J159" s="112">
        <f t="shared" si="52"/>
        <v>5.3067532808520862E-4</v>
      </c>
    </row>
    <row r="160" spans="1:10" x14ac:dyDescent="0.25">
      <c r="A160" s="81" t="s">
        <v>349</v>
      </c>
      <c r="B160" s="89" t="s">
        <v>817</v>
      </c>
      <c r="C160" s="91" t="s">
        <v>833</v>
      </c>
      <c r="D160" s="89" t="s">
        <v>818</v>
      </c>
      <c r="E160" s="92" t="s">
        <v>172</v>
      </c>
      <c r="F160" s="83">
        <f>F159*2</f>
        <v>26</v>
      </c>
      <c r="G160" s="84">
        <v>57.1</v>
      </c>
      <c r="H160" s="84">
        <f t="shared" si="53"/>
        <v>73.56</v>
      </c>
      <c r="I160" s="84">
        <f t="shared" si="54"/>
        <v>1912.56</v>
      </c>
      <c r="J160" s="112">
        <f t="shared" si="52"/>
        <v>9.046692267427102E-4</v>
      </c>
    </row>
    <row r="161" spans="1:10" ht="14.4" customHeight="1" x14ac:dyDescent="0.25">
      <c r="A161" s="81" t="s">
        <v>501</v>
      </c>
      <c r="B161" s="89" t="s">
        <v>505</v>
      </c>
      <c r="C161" s="91" t="s">
        <v>833</v>
      </c>
      <c r="D161" s="89" t="s">
        <v>555</v>
      </c>
      <c r="E161" s="92" t="s">
        <v>172</v>
      </c>
      <c r="F161" s="83">
        <v>10</v>
      </c>
      <c r="G161" s="84">
        <v>287.45</v>
      </c>
      <c r="H161" s="84">
        <f t="shared" si="53"/>
        <v>370.29</v>
      </c>
      <c r="I161" s="84">
        <f t="shared" si="54"/>
        <v>3702.9</v>
      </c>
      <c r="J161" s="112">
        <f t="shared" si="52"/>
        <v>1.7515265820186462E-3</v>
      </c>
    </row>
    <row r="162" spans="1:10" ht="26.4" x14ac:dyDescent="0.25">
      <c r="A162" s="81" t="s">
        <v>502</v>
      </c>
      <c r="B162" s="91" t="s">
        <v>641</v>
      </c>
      <c r="C162" s="91" t="s">
        <v>437</v>
      </c>
      <c r="D162" s="91" t="s">
        <v>642</v>
      </c>
      <c r="E162" s="92" t="s">
        <v>9</v>
      </c>
      <c r="F162" s="83">
        <v>10</v>
      </c>
      <c r="G162" s="84">
        <v>18.11</v>
      </c>
      <c r="H162" s="84">
        <f t="shared" si="53"/>
        <v>23.33</v>
      </c>
      <c r="I162" s="84">
        <f t="shared" si="54"/>
        <v>233.3</v>
      </c>
      <c r="J162" s="112">
        <f t="shared" si="52"/>
        <v>1.1035435782358426E-4</v>
      </c>
    </row>
    <row r="163" spans="1:10" ht="26.4" x14ac:dyDescent="0.25">
      <c r="A163" s="81" t="s">
        <v>503</v>
      </c>
      <c r="B163" s="91">
        <v>91967</v>
      </c>
      <c r="C163" s="91" t="s">
        <v>27</v>
      </c>
      <c r="D163" s="91" t="s">
        <v>643</v>
      </c>
      <c r="E163" s="92" t="s">
        <v>9</v>
      </c>
      <c r="F163" s="93">
        <v>9</v>
      </c>
      <c r="G163" s="84">
        <v>75.42</v>
      </c>
      <c r="H163" s="84">
        <f t="shared" si="53"/>
        <v>97.16</v>
      </c>
      <c r="I163" s="84">
        <f t="shared" si="54"/>
        <v>874.44</v>
      </c>
      <c r="J163" s="112">
        <f t="shared" si="52"/>
        <v>4.1362308039114882E-4</v>
      </c>
    </row>
    <row r="164" spans="1:10" ht="39.6" x14ac:dyDescent="0.25">
      <c r="A164" s="81" t="s">
        <v>504</v>
      </c>
      <c r="B164" s="89" t="s">
        <v>498</v>
      </c>
      <c r="C164" s="89" t="s">
        <v>27</v>
      </c>
      <c r="D164" s="89" t="s">
        <v>499</v>
      </c>
      <c r="E164" s="92" t="s">
        <v>9</v>
      </c>
      <c r="F164" s="93">
        <v>2</v>
      </c>
      <c r="G164" s="84">
        <v>63.15</v>
      </c>
      <c r="H164" s="84">
        <f t="shared" si="53"/>
        <v>81.349999999999994</v>
      </c>
      <c r="I164" s="84">
        <f t="shared" si="54"/>
        <v>162.69999999999999</v>
      </c>
      <c r="J164" s="112">
        <f t="shared" si="52"/>
        <v>7.6959511435478596E-5</v>
      </c>
    </row>
    <row r="165" spans="1:10" ht="26.4" x14ac:dyDescent="0.25">
      <c r="A165" s="81" t="s">
        <v>749</v>
      </c>
      <c r="B165" s="89">
        <v>91969</v>
      </c>
      <c r="C165" s="89" t="s">
        <v>27</v>
      </c>
      <c r="D165" s="89" t="s">
        <v>819</v>
      </c>
      <c r="E165" s="92" t="s">
        <v>9</v>
      </c>
      <c r="F165" s="93">
        <v>4</v>
      </c>
      <c r="G165" s="84">
        <v>97.41</v>
      </c>
      <c r="H165" s="84">
        <f t="shared" si="53"/>
        <v>125.48</v>
      </c>
      <c r="I165" s="84">
        <f t="shared" si="54"/>
        <v>501.92</v>
      </c>
      <c r="J165" s="112">
        <f t="shared" si="52"/>
        <v>2.3741559913764855E-4</v>
      </c>
    </row>
    <row r="166" spans="1:10" x14ac:dyDescent="0.25">
      <c r="A166" s="81" t="s">
        <v>750</v>
      </c>
      <c r="B166" s="91" t="s">
        <v>644</v>
      </c>
      <c r="C166" s="91" t="s">
        <v>833</v>
      </c>
      <c r="D166" s="91" t="s">
        <v>645</v>
      </c>
      <c r="E166" s="94" t="s">
        <v>464</v>
      </c>
      <c r="F166" s="93">
        <v>14</v>
      </c>
      <c r="G166" s="84">
        <v>5294.8</v>
      </c>
      <c r="H166" s="84">
        <f t="shared" si="53"/>
        <v>6820.76</v>
      </c>
      <c r="I166" s="84">
        <f t="shared" si="54"/>
        <v>95490.64</v>
      </c>
      <c r="J166" s="112">
        <f t="shared" si="52"/>
        <v>4.516848802127333E-2</v>
      </c>
    </row>
    <row r="167" spans="1:10" x14ac:dyDescent="0.25">
      <c r="A167" s="75" t="s">
        <v>350</v>
      </c>
      <c r="B167" s="75" t="s">
        <v>522</v>
      </c>
      <c r="C167" s="75"/>
      <c r="D167" s="75" t="s">
        <v>351</v>
      </c>
      <c r="E167" s="76"/>
      <c r="F167" s="78">
        <v>1</v>
      </c>
      <c r="G167" s="78"/>
      <c r="H167" s="79"/>
      <c r="I167" s="79">
        <f>SUM(I168:I176)</f>
        <v>23119.350000000002</v>
      </c>
      <c r="J167" s="80">
        <f>I167/$I$221</f>
        <v>1.0935795210238675E-2</v>
      </c>
    </row>
    <row r="168" spans="1:10" ht="26.4" x14ac:dyDescent="0.25">
      <c r="A168" s="81" t="s">
        <v>352</v>
      </c>
      <c r="B168" s="81" t="s">
        <v>353</v>
      </c>
      <c r="C168" s="81" t="s">
        <v>27</v>
      </c>
      <c r="D168" s="81" t="s">
        <v>354</v>
      </c>
      <c r="E168" s="82" t="s">
        <v>9</v>
      </c>
      <c r="F168" s="83">
        <v>7</v>
      </c>
      <c r="G168" s="84">
        <v>160.66</v>
      </c>
      <c r="H168" s="84">
        <f t="shared" ref="H168:H176" si="55">ROUND(G168*(1+$G$1),2)</f>
        <v>206.96</v>
      </c>
      <c r="I168" s="84">
        <f t="shared" ref="I168:I176" si="56">ROUND(F168*H168,2)</f>
        <v>1448.72</v>
      </c>
      <c r="J168" s="112">
        <f t="shared" ref="J168:J175" si="57">I168/$I$221</f>
        <v>6.8526603200249887E-4</v>
      </c>
    </row>
    <row r="169" spans="1:10" ht="28.2" customHeight="1" x14ac:dyDescent="0.25">
      <c r="A169" s="81" t="s">
        <v>355</v>
      </c>
      <c r="B169" s="81" t="s">
        <v>356</v>
      </c>
      <c r="C169" s="81" t="s">
        <v>27</v>
      </c>
      <c r="D169" s="81" t="s">
        <v>357</v>
      </c>
      <c r="E169" s="82" t="s">
        <v>9</v>
      </c>
      <c r="F169" s="83">
        <v>7</v>
      </c>
      <c r="G169" s="84">
        <v>31.51</v>
      </c>
      <c r="H169" s="84">
        <f t="shared" si="55"/>
        <v>40.590000000000003</v>
      </c>
      <c r="I169" s="84">
        <f t="shared" si="56"/>
        <v>284.13</v>
      </c>
      <c r="J169" s="112">
        <f t="shared" si="57"/>
        <v>1.3439770119337761E-4</v>
      </c>
    </row>
    <row r="170" spans="1:10" ht="26.4" x14ac:dyDescent="0.25">
      <c r="A170" s="81" t="s">
        <v>358</v>
      </c>
      <c r="B170" s="81" t="s">
        <v>359</v>
      </c>
      <c r="C170" s="81" t="s">
        <v>27</v>
      </c>
      <c r="D170" s="81" t="s">
        <v>506</v>
      </c>
      <c r="E170" s="82" t="s">
        <v>10</v>
      </c>
      <c r="F170" s="83">
        <v>20</v>
      </c>
      <c r="G170" s="84">
        <v>79.23</v>
      </c>
      <c r="H170" s="84">
        <f t="shared" si="55"/>
        <v>102.06</v>
      </c>
      <c r="I170" s="84">
        <f t="shared" si="56"/>
        <v>2041.2</v>
      </c>
      <c r="J170" s="112">
        <f t="shared" si="57"/>
        <v>9.6551785336262399E-4</v>
      </c>
    </row>
    <row r="171" spans="1:10" ht="26.4" x14ac:dyDescent="0.25">
      <c r="A171" s="81" t="s">
        <v>360</v>
      </c>
      <c r="B171" s="81" t="s">
        <v>361</v>
      </c>
      <c r="C171" s="81" t="s">
        <v>27</v>
      </c>
      <c r="D171" s="81" t="s">
        <v>362</v>
      </c>
      <c r="E171" s="82" t="s">
        <v>10</v>
      </c>
      <c r="F171" s="83">
        <v>90</v>
      </c>
      <c r="G171" s="84">
        <v>101.52</v>
      </c>
      <c r="H171" s="84">
        <f t="shared" si="55"/>
        <v>130.78</v>
      </c>
      <c r="I171" s="84">
        <f t="shared" si="56"/>
        <v>11770.2</v>
      </c>
      <c r="J171" s="112">
        <f t="shared" si="57"/>
        <v>5.5674790503864183E-3</v>
      </c>
    </row>
    <row r="172" spans="1:10" x14ac:dyDescent="0.25">
      <c r="A172" s="81" t="s">
        <v>363</v>
      </c>
      <c r="B172" s="81" t="s">
        <v>364</v>
      </c>
      <c r="C172" s="91" t="s">
        <v>833</v>
      </c>
      <c r="D172" s="81" t="s">
        <v>556</v>
      </c>
      <c r="E172" s="82" t="s">
        <v>194</v>
      </c>
      <c r="F172" s="83">
        <v>110</v>
      </c>
      <c r="G172" s="84">
        <v>29.52</v>
      </c>
      <c r="H172" s="84">
        <f t="shared" si="55"/>
        <v>38.03</v>
      </c>
      <c r="I172" s="84">
        <f t="shared" si="56"/>
        <v>4183.3</v>
      </c>
      <c r="J172" s="112">
        <f t="shared" si="57"/>
        <v>1.9787629022006E-3</v>
      </c>
    </row>
    <row r="173" spans="1:10" ht="26.4" x14ac:dyDescent="0.25">
      <c r="A173" s="81" t="s">
        <v>365</v>
      </c>
      <c r="B173" s="81" t="s">
        <v>366</v>
      </c>
      <c r="C173" s="91" t="s">
        <v>833</v>
      </c>
      <c r="D173" s="81" t="s">
        <v>557</v>
      </c>
      <c r="E173" s="82" t="s">
        <v>194</v>
      </c>
      <c r="F173" s="83">
        <v>50</v>
      </c>
      <c r="G173" s="84">
        <v>39.74</v>
      </c>
      <c r="H173" s="84">
        <f t="shared" si="55"/>
        <v>51.19</v>
      </c>
      <c r="I173" s="84">
        <f t="shared" si="56"/>
        <v>2559.5</v>
      </c>
      <c r="J173" s="112">
        <f t="shared" si="57"/>
        <v>1.2106814352741701E-3</v>
      </c>
    </row>
    <row r="174" spans="1:10" x14ac:dyDescent="0.25">
      <c r="A174" s="81" t="s">
        <v>367</v>
      </c>
      <c r="B174" s="81" t="s">
        <v>368</v>
      </c>
      <c r="C174" s="91" t="s">
        <v>833</v>
      </c>
      <c r="D174" s="81" t="s">
        <v>558</v>
      </c>
      <c r="E174" s="82" t="s">
        <v>172</v>
      </c>
      <c r="F174" s="83">
        <v>7</v>
      </c>
      <c r="G174" s="84">
        <v>48.67</v>
      </c>
      <c r="H174" s="84">
        <f t="shared" si="55"/>
        <v>62.7</v>
      </c>
      <c r="I174" s="84">
        <f t="shared" si="56"/>
        <v>438.9</v>
      </c>
      <c r="J174" s="112">
        <f t="shared" si="57"/>
        <v>2.0760620509546133E-4</v>
      </c>
    </row>
    <row r="175" spans="1:10" ht="26.4" x14ac:dyDescent="0.25">
      <c r="A175" s="81" t="s">
        <v>369</v>
      </c>
      <c r="B175" s="81" t="s">
        <v>370</v>
      </c>
      <c r="C175" s="91" t="s">
        <v>833</v>
      </c>
      <c r="D175" s="81" t="s">
        <v>559</v>
      </c>
      <c r="E175" s="82" t="s">
        <v>172</v>
      </c>
      <c r="F175" s="83">
        <v>7</v>
      </c>
      <c r="G175" s="84">
        <v>29.11</v>
      </c>
      <c r="H175" s="84">
        <f t="shared" si="55"/>
        <v>37.5</v>
      </c>
      <c r="I175" s="84">
        <f t="shared" si="56"/>
        <v>262.5</v>
      </c>
      <c r="J175" s="112">
        <f t="shared" si="57"/>
        <v>1.2416639060733333E-4</v>
      </c>
    </row>
    <row r="176" spans="1:10" x14ac:dyDescent="0.25">
      <c r="A176" s="81" t="s">
        <v>371</v>
      </c>
      <c r="B176" s="81" t="s">
        <v>372</v>
      </c>
      <c r="C176" s="91" t="s">
        <v>833</v>
      </c>
      <c r="D176" s="81" t="s">
        <v>560</v>
      </c>
      <c r="E176" s="82" t="s">
        <v>172</v>
      </c>
      <c r="F176" s="83">
        <v>35</v>
      </c>
      <c r="G176" s="84">
        <v>2.9</v>
      </c>
      <c r="H176" s="84">
        <f t="shared" si="55"/>
        <v>3.74</v>
      </c>
      <c r="I176" s="84">
        <f t="shared" si="56"/>
        <v>130.9</v>
      </c>
      <c r="J176" s="112">
        <f>I176/$I$221</f>
        <v>6.1917640116190221E-5</v>
      </c>
    </row>
    <row r="177" spans="1:10" x14ac:dyDescent="0.25">
      <c r="A177" s="75" t="s">
        <v>373</v>
      </c>
      <c r="B177" s="75" t="s">
        <v>522</v>
      </c>
      <c r="C177" s="75"/>
      <c r="D177" s="75" t="s">
        <v>646</v>
      </c>
      <c r="E177" s="76"/>
      <c r="F177" s="78">
        <v>1</v>
      </c>
      <c r="G177" s="78"/>
      <c r="H177" s="79"/>
      <c r="I177" s="79">
        <f>I178+I181</f>
        <v>77689.94</v>
      </c>
      <c r="J177" s="80">
        <f t="shared" ref="J177:J180" si="58">I177/$I$221</f>
        <v>3.6748493090667772E-2</v>
      </c>
    </row>
    <row r="178" spans="1:10" x14ac:dyDescent="0.25">
      <c r="A178" s="75" t="s">
        <v>375</v>
      </c>
      <c r="B178" s="75" t="s">
        <v>522</v>
      </c>
      <c r="C178" s="75"/>
      <c r="D178" s="75" t="s">
        <v>374</v>
      </c>
      <c r="E178" s="76"/>
      <c r="F178" s="78"/>
      <c r="G178" s="78"/>
      <c r="H178" s="79"/>
      <c r="I178" s="79">
        <f>SUM(I179:I180)</f>
        <v>2837.05</v>
      </c>
      <c r="J178" s="80">
        <f t="shared" si="58"/>
        <v>1.3419666989429907E-3</v>
      </c>
    </row>
    <row r="179" spans="1:10" ht="39.6" x14ac:dyDescent="0.25">
      <c r="A179" s="81" t="s">
        <v>751</v>
      </c>
      <c r="B179" s="81" t="s">
        <v>376</v>
      </c>
      <c r="C179" s="81" t="s">
        <v>27</v>
      </c>
      <c r="D179" s="81" t="s">
        <v>377</v>
      </c>
      <c r="E179" s="82" t="s">
        <v>6</v>
      </c>
      <c r="F179" s="83">
        <v>43.38</v>
      </c>
      <c r="G179" s="84">
        <v>6.46</v>
      </c>
      <c r="H179" s="84">
        <f t="shared" ref="H179:H180" si="59">ROUND(G179*(1+$G$1),2)</f>
        <v>8.32</v>
      </c>
      <c r="I179" s="84">
        <f t="shared" ref="I179:I180" si="60">ROUND(F179*H179,2)</f>
        <v>360.92</v>
      </c>
      <c r="J179" s="112">
        <f t="shared" si="58"/>
        <v>1.707205093257095E-4</v>
      </c>
    </row>
    <row r="180" spans="1:10" ht="39.6" x14ac:dyDescent="0.25">
      <c r="A180" s="81" t="s">
        <v>752</v>
      </c>
      <c r="B180" s="81" t="s">
        <v>507</v>
      </c>
      <c r="C180" s="81" t="s">
        <v>27</v>
      </c>
      <c r="D180" s="81" t="s">
        <v>508</v>
      </c>
      <c r="E180" s="82" t="s">
        <v>6</v>
      </c>
      <c r="F180" s="83">
        <v>43.38</v>
      </c>
      <c r="G180" s="84">
        <v>44.31</v>
      </c>
      <c r="H180" s="84">
        <f t="shared" si="59"/>
        <v>57.08</v>
      </c>
      <c r="I180" s="84">
        <f t="shared" si="60"/>
        <v>2476.13</v>
      </c>
      <c r="J180" s="112">
        <f t="shared" si="58"/>
        <v>1.1712461896172812E-3</v>
      </c>
    </row>
    <row r="181" spans="1:10" x14ac:dyDescent="0.25">
      <c r="A181" s="75" t="s">
        <v>378</v>
      </c>
      <c r="B181" s="75" t="s">
        <v>522</v>
      </c>
      <c r="C181" s="75"/>
      <c r="D181" s="75" t="s">
        <v>651</v>
      </c>
      <c r="E181" s="76"/>
      <c r="F181" s="78">
        <v>1</v>
      </c>
      <c r="G181" s="78"/>
      <c r="H181" s="79"/>
      <c r="I181" s="79">
        <f>SUM(I182)</f>
        <v>74852.89</v>
      </c>
      <c r="J181" s="80">
        <f>I181/$I$221</f>
        <v>3.5406526391724778E-2</v>
      </c>
    </row>
    <row r="182" spans="1:10" x14ac:dyDescent="0.25">
      <c r="A182" s="91" t="s">
        <v>652</v>
      </c>
      <c r="B182" s="91" t="s">
        <v>845</v>
      </c>
      <c r="C182" s="91" t="s">
        <v>833</v>
      </c>
      <c r="D182" s="81" t="s">
        <v>857</v>
      </c>
      <c r="E182" s="94" t="s">
        <v>6</v>
      </c>
      <c r="F182" s="93">
        <v>343</v>
      </c>
      <c r="G182" s="84">
        <v>169.41</v>
      </c>
      <c r="H182" s="90">
        <f t="shared" ref="H182" si="61">ROUND(G182*(1+$G$1),2)</f>
        <v>218.23</v>
      </c>
      <c r="I182" s="90">
        <f t="shared" ref="I182" si="62">ROUND(F182*H182,2)</f>
        <v>74852.89</v>
      </c>
      <c r="J182" s="112">
        <f>I182/$I$221</f>
        <v>3.5406526391724778E-2</v>
      </c>
    </row>
    <row r="183" spans="1:10" x14ac:dyDescent="0.25">
      <c r="A183" s="75" t="s">
        <v>379</v>
      </c>
      <c r="B183" s="75" t="s">
        <v>522</v>
      </c>
      <c r="C183" s="75"/>
      <c r="D183" s="75" t="s">
        <v>380</v>
      </c>
      <c r="E183" s="76"/>
      <c r="F183" s="78">
        <v>1</v>
      </c>
      <c r="G183" s="78"/>
      <c r="H183" s="79"/>
      <c r="I183" s="79">
        <f>SUM(I184:I186)</f>
        <v>109516.75000000001</v>
      </c>
      <c r="J183" s="80">
        <f>I183/$I$221</f>
        <v>5.1803045937316855E-2</v>
      </c>
    </row>
    <row r="184" spans="1:10" ht="39.6" x14ac:dyDescent="0.25">
      <c r="A184" s="81" t="s">
        <v>381</v>
      </c>
      <c r="B184" s="81" t="s">
        <v>561</v>
      </c>
      <c r="C184" s="81" t="s">
        <v>27</v>
      </c>
      <c r="D184" s="81" t="s">
        <v>562</v>
      </c>
      <c r="E184" s="82" t="s">
        <v>6</v>
      </c>
      <c r="F184" s="83">
        <v>1816.16</v>
      </c>
      <c r="G184" s="84">
        <v>5.16</v>
      </c>
      <c r="H184" s="84">
        <f t="shared" ref="H184:H186" si="63">ROUND(G184*(1+$G$1),2)</f>
        <v>6.65</v>
      </c>
      <c r="I184" s="84">
        <f t="shared" ref="I184:I186" si="64">ROUND(F184*H184,2)</f>
        <v>12077.46</v>
      </c>
      <c r="J184" s="112">
        <f t="shared" ref="J184:J186" si="65">I184/$I$221</f>
        <v>5.7128175843978819E-3</v>
      </c>
    </row>
    <row r="185" spans="1:10" ht="39.6" x14ac:dyDescent="0.25">
      <c r="A185" s="81" t="s">
        <v>382</v>
      </c>
      <c r="B185" s="81" t="s">
        <v>509</v>
      </c>
      <c r="C185" s="81" t="s">
        <v>27</v>
      </c>
      <c r="D185" s="81" t="s">
        <v>510</v>
      </c>
      <c r="E185" s="82" t="s">
        <v>6</v>
      </c>
      <c r="F185" s="83">
        <v>1816.16</v>
      </c>
      <c r="G185" s="84">
        <v>36.4</v>
      </c>
      <c r="H185" s="84">
        <f t="shared" si="63"/>
        <v>46.89</v>
      </c>
      <c r="I185" s="84">
        <f t="shared" si="64"/>
        <v>85159.74</v>
      </c>
      <c r="J185" s="112">
        <f t="shared" si="65"/>
        <v>4.0281819203272187E-2</v>
      </c>
    </row>
    <row r="186" spans="1:10" ht="39.6" x14ac:dyDescent="0.25">
      <c r="A186" s="81" t="s">
        <v>511</v>
      </c>
      <c r="B186" s="81" t="s">
        <v>577</v>
      </c>
      <c r="C186" s="81" t="s">
        <v>27</v>
      </c>
      <c r="D186" s="81" t="s">
        <v>578</v>
      </c>
      <c r="E186" s="82" t="s">
        <v>6</v>
      </c>
      <c r="F186" s="83">
        <v>144.16</v>
      </c>
      <c r="G186" s="84">
        <v>66.12</v>
      </c>
      <c r="H186" s="84">
        <f t="shared" si="63"/>
        <v>85.18</v>
      </c>
      <c r="I186" s="84">
        <f t="shared" si="64"/>
        <v>12279.55</v>
      </c>
      <c r="J186" s="112">
        <f t="shared" si="65"/>
        <v>5.8084091496467807E-3</v>
      </c>
    </row>
    <row r="187" spans="1:10" x14ac:dyDescent="0.25">
      <c r="A187" s="75" t="s">
        <v>383</v>
      </c>
      <c r="B187" s="75" t="s">
        <v>522</v>
      </c>
      <c r="C187" s="75"/>
      <c r="D187" s="75" t="s">
        <v>384</v>
      </c>
      <c r="E187" s="76"/>
      <c r="F187" s="78">
        <v>1</v>
      </c>
      <c r="G187" s="78"/>
      <c r="H187" s="79"/>
      <c r="I187" s="79">
        <f>SUM(I188:I189)</f>
        <v>50841.07</v>
      </c>
      <c r="J187" s="80">
        <f>I187/$I$221</f>
        <v>2.4048579643865815E-2</v>
      </c>
    </row>
    <row r="188" spans="1:10" ht="52.8" x14ac:dyDescent="0.25">
      <c r="A188" s="81" t="s">
        <v>385</v>
      </c>
      <c r="B188" s="81" t="s">
        <v>386</v>
      </c>
      <c r="C188" s="81" t="s">
        <v>27</v>
      </c>
      <c r="D188" s="81" t="s">
        <v>387</v>
      </c>
      <c r="E188" s="82" t="s">
        <v>6</v>
      </c>
      <c r="F188" s="83">
        <v>613.05999999999995</v>
      </c>
      <c r="G188" s="84">
        <v>6.42</v>
      </c>
      <c r="H188" s="84">
        <f t="shared" ref="H188:H189" si="66">ROUND(G188*(1+$G$1),2)</f>
        <v>8.27</v>
      </c>
      <c r="I188" s="84">
        <f t="shared" ref="I188:I189" si="67">ROUND(F188*H188,2)</f>
        <v>5070.01</v>
      </c>
      <c r="J188" s="112">
        <f t="shared" ref="J188:J189" si="68">I188/$I$221</f>
        <v>2.3981898744498517E-3</v>
      </c>
    </row>
    <row r="189" spans="1:10" ht="52.8" x14ac:dyDescent="0.25">
      <c r="A189" s="81" t="s">
        <v>388</v>
      </c>
      <c r="B189" s="81" t="s">
        <v>389</v>
      </c>
      <c r="C189" s="81" t="s">
        <v>27</v>
      </c>
      <c r="D189" s="81" t="s">
        <v>390</v>
      </c>
      <c r="E189" s="82" t="s">
        <v>6</v>
      </c>
      <c r="F189" s="83">
        <v>613.05999999999995</v>
      </c>
      <c r="G189" s="84">
        <v>57.96</v>
      </c>
      <c r="H189" s="84">
        <f t="shared" si="66"/>
        <v>74.66</v>
      </c>
      <c r="I189" s="84">
        <f t="shared" si="67"/>
        <v>45771.06</v>
      </c>
      <c r="J189" s="112">
        <f t="shared" si="68"/>
        <v>2.1650389769415961E-2</v>
      </c>
    </row>
    <row r="190" spans="1:10" x14ac:dyDescent="0.25">
      <c r="A190" s="75" t="s">
        <v>391</v>
      </c>
      <c r="B190" s="75" t="s">
        <v>522</v>
      </c>
      <c r="C190" s="75"/>
      <c r="D190" s="75" t="s">
        <v>33</v>
      </c>
      <c r="E190" s="76"/>
      <c r="F190" s="78">
        <v>1</v>
      </c>
      <c r="G190" s="78"/>
      <c r="H190" s="79"/>
      <c r="I190" s="79">
        <f>I191+I199</f>
        <v>142249.35</v>
      </c>
      <c r="J190" s="80">
        <f t="shared" ref="J190:J198" si="69">I190/$I$221</f>
        <v>6.7286050879006756E-2</v>
      </c>
    </row>
    <row r="191" spans="1:10" x14ac:dyDescent="0.25">
      <c r="A191" s="75" t="s">
        <v>392</v>
      </c>
      <c r="B191" s="75" t="s">
        <v>522</v>
      </c>
      <c r="C191" s="75"/>
      <c r="D191" s="75" t="s">
        <v>393</v>
      </c>
      <c r="E191" s="76"/>
      <c r="F191" s="78">
        <v>1</v>
      </c>
      <c r="G191" s="78"/>
      <c r="H191" s="79"/>
      <c r="I191" s="79">
        <f>SUM(I192:I198)</f>
        <v>132674</v>
      </c>
      <c r="J191" s="80">
        <f t="shared" si="69"/>
        <v>6.275676840928511E-2</v>
      </c>
    </row>
    <row r="192" spans="1:10" x14ac:dyDescent="0.25">
      <c r="A192" s="81" t="s">
        <v>394</v>
      </c>
      <c r="B192" s="81" t="s">
        <v>753</v>
      </c>
      <c r="C192" s="91" t="s">
        <v>833</v>
      </c>
      <c r="D192" s="81" t="s">
        <v>754</v>
      </c>
      <c r="E192" s="82" t="s">
        <v>30</v>
      </c>
      <c r="F192" s="93">
        <f>ROUND(529.38*0.02,2)</f>
        <v>10.59</v>
      </c>
      <c r="G192" s="84">
        <v>204.54</v>
      </c>
      <c r="H192" s="84">
        <f t="shared" ref="H192:H198" si="70">ROUND(G192*(1+$G$1),2)</f>
        <v>263.49</v>
      </c>
      <c r="I192" s="84">
        <f t="shared" ref="I192:I198" si="71">ROUND(F192*H192,2)</f>
        <v>2790.36</v>
      </c>
      <c r="J192" s="112">
        <f t="shared" si="69"/>
        <v>1.319881636933633E-3</v>
      </c>
    </row>
    <row r="193" spans="1:10" x14ac:dyDescent="0.25">
      <c r="A193" s="81" t="s">
        <v>395</v>
      </c>
      <c r="B193" s="81" t="s">
        <v>755</v>
      </c>
      <c r="C193" s="91" t="s">
        <v>833</v>
      </c>
      <c r="D193" s="81" t="s">
        <v>756</v>
      </c>
      <c r="E193" s="82" t="s">
        <v>30</v>
      </c>
      <c r="F193" s="93">
        <f>ROUND(529.38*0.05,2)</f>
        <v>26.47</v>
      </c>
      <c r="G193" s="84">
        <v>709.84</v>
      </c>
      <c r="H193" s="84">
        <f t="shared" si="70"/>
        <v>914.42</v>
      </c>
      <c r="I193" s="84">
        <f t="shared" si="71"/>
        <v>24204.7</v>
      </c>
      <c r="J193" s="112">
        <f t="shared" si="69"/>
        <v>1.1449181846603129E-2</v>
      </c>
    </row>
    <row r="194" spans="1:10" ht="39.6" x14ac:dyDescent="0.25">
      <c r="A194" s="81" t="s">
        <v>396</v>
      </c>
      <c r="B194" s="81" t="s">
        <v>568</v>
      </c>
      <c r="C194" s="81" t="s">
        <v>27</v>
      </c>
      <c r="D194" s="81" t="s">
        <v>569</v>
      </c>
      <c r="E194" s="82" t="s">
        <v>30</v>
      </c>
      <c r="F194" s="93">
        <f>ROUND(529.38*0.03,2)</f>
        <v>15.88</v>
      </c>
      <c r="G194" s="84">
        <v>513.70000000000005</v>
      </c>
      <c r="H194" s="84">
        <f t="shared" si="70"/>
        <v>661.75</v>
      </c>
      <c r="I194" s="84">
        <f t="shared" si="71"/>
        <v>10508.59</v>
      </c>
      <c r="J194" s="112">
        <f t="shared" si="69"/>
        <v>4.9707188216088268E-3</v>
      </c>
    </row>
    <row r="195" spans="1:10" x14ac:dyDescent="0.25">
      <c r="A195" s="81" t="s">
        <v>398</v>
      </c>
      <c r="B195" s="81" t="s">
        <v>397</v>
      </c>
      <c r="C195" s="91" t="s">
        <v>833</v>
      </c>
      <c r="D195" s="81" t="s">
        <v>563</v>
      </c>
      <c r="E195" s="82" t="s">
        <v>528</v>
      </c>
      <c r="F195" s="93">
        <v>513.5</v>
      </c>
      <c r="G195" s="84">
        <v>10.38</v>
      </c>
      <c r="H195" s="84">
        <f t="shared" si="70"/>
        <v>13.37</v>
      </c>
      <c r="I195" s="84">
        <f t="shared" si="71"/>
        <v>6865.5</v>
      </c>
      <c r="J195" s="112">
        <f t="shared" si="69"/>
        <v>3.2474832560557979E-3</v>
      </c>
    </row>
    <row r="196" spans="1:10" ht="39.6" x14ac:dyDescent="0.25">
      <c r="A196" s="81" t="s">
        <v>399</v>
      </c>
      <c r="B196" s="81" t="s">
        <v>757</v>
      </c>
      <c r="C196" s="81" t="s">
        <v>27</v>
      </c>
      <c r="D196" s="81" t="s">
        <v>657</v>
      </c>
      <c r="E196" s="82" t="s">
        <v>6</v>
      </c>
      <c r="F196" s="93">
        <v>529.38</v>
      </c>
      <c r="G196" s="84">
        <v>108.02</v>
      </c>
      <c r="H196" s="84">
        <f t="shared" si="70"/>
        <v>139.15</v>
      </c>
      <c r="I196" s="84">
        <f t="shared" si="71"/>
        <v>73663.23</v>
      </c>
      <c r="J196" s="112">
        <f t="shared" si="69"/>
        <v>3.484379957934413E-2</v>
      </c>
    </row>
    <row r="197" spans="1:10" ht="52.8" x14ac:dyDescent="0.25">
      <c r="A197" s="81" t="s">
        <v>582</v>
      </c>
      <c r="B197" s="81" t="s">
        <v>758</v>
      </c>
      <c r="C197" s="91" t="s">
        <v>833</v>
      </c>
      <c r="D197" s="81" t="s">
        <v>759</v>
      </c>
      <c r="E197" s="82" t="s">
        <v>194</v>
      </c>
      <c r="F197" s="93">
        <v>314.10000000000002</v>
      </c>
      <c r="G197" s="84">
        <v>29.12</v>
      </c>
      <c r="H197" s="84">
        <f t="shared" si="70"/>
        <v>37.51</v>
      </c>
      <c r="I197" s="84">
        <f t="shared" si="71"/>
        <v>11781.89</v>
      </c>
      <c r="J197" s="112">
        <f t="shared" si="69"/>
        <v>5.5730085936481315E-3</v>
      </c>
    </row>
    <row r="198" spans="1:10" ht="26.4" x14ac:dyDescent="0.25">
      <c r="A198" s="81" t="s">
        <v>760</v>
      </c>
      <c r="B198" s="81" t="s">
        <v>583</v>
      </c>
      <c r="C198" s="91" t="s">
        <v>833</v>
      </c>
      <c r="D198" s="81" t="s">
        <v>858</v>
      </c>
      <c r="E198" s="82" t="s">
        <v>194</v>
      </c>
      <c r="F198" s="93">
        <v>13.1</v>
      </c>
      <c r="G198" s="84">
        <v>169.46</v>
      </c>
      <c r="H198" s="84">
        <f t="shared" si="70"/>
        <v>218.3</v>
      </c>
      <c r="I198" s="84">
        <f t="shared" si="71"/>
        <v>2859.73</v>
      </c>
      <c r="J198" s="112">
        <f t="shared" si="69"/>
        <v>1.3526946750914643E-3</v>
      </c>
    </row>
    <row r="199" spans="1:10" x14ac:dyDescent="0.25">
      <c r="A199" s="75" t="s">
        <v>400</v>
      </c>
      <c r="B199" s="75" t="s">
        <v>522</v>
      </c>
      <c r="C199" s="75"/>
      <c r="D199" s="75" t="s">
        <v>47</v>
      </c>
      <c r="E199" s="76"/>
      <c r="F199" s="78">
        <v>1</v>
      </c>
      <c r="G199" s="78"/>
      <c r="H199" s="79"/>
      <c r="I199" s="79">
        <f>SUM(I200:I202)</f>
        <v>9575.35</v>
      </c>
      <c r="J199" s="80">
        <f>I199/$I$221</f>
        <v>4.5292824697216356E-3</v>
      </c>
    </row>
    <row r="200" spans="1:10" ht="26.4" x14ac:dyDescent="0.25">
      <c r="A200" s="81" t="s">
        <v>401</v>
      </c>
      <c r="B200" s="91">
        <v>96622</v>
      </c>
      <c r="C200" s="91" t="s">
        <v>27</v>
      </c>
      <c r="D200" s="91" t="s">
        <v>660</v>
      </c>
      <c r="E200" s="94" t="s">
        <v>30</v>
      </c>
      <c r="F200" s="93">
        <f>ROUND(77.55*0.05,2)</f>
        <v>3.88</v>
      </c>
      <c r="G200" s="84">
        <v>190.32</v>
      </c>
      <c r="H200" s="84">
        <f t="shared" ref="H200:H202" si="72">ROUND(G200*(1+$G$1),2)</f>
        <v>245.17</v>
      </c>
      <c r="I200" s="84">
        <f t="shared" ref="I200:I202" si="73">ROUND(F200*H200,2)</f>
        <v>951.26</v>
      </c>
      <c r="J200" s="112">
        <f t="shared" ref="J200:J202" si="74">I200/$I$221</f>
        <v>4.4996007896812155E-4</v>
      </c>
    </row>
    <row r="201" spans="1:10" ht="39.6" x14ac:dyDescent="0.25">
      <c r="A201" s="81" t="s">
        <v>402</v>
      </c>
      <c r="B201" s="91" t="s">
        <v>115</v>
      </c>
      <c r="C201" s="91" t="s">
        <v>27</v>
      </c>
      <c r="D201" s="91" t="s">
        <v>148</v>
      </c>
      <c r="E201" s="94" t="s">
        <v>6</v>
      </c>
      <c r="F201" s="93">
        <v>77.55</v>
      </c>
      <c r="G201" s="84">
        <v>70.97</v>
      </c>
      <c r="H201" s="84">
        <f t="shared" si="72"/>
        <v>91.42</v>
      </c>
      <c r="I201" s="84">
        <f t="shared" si="73"/>
        <v>7089.62</v>
      </c>
      <c r="J201" s="112">
        <f t="shared" si="74"/>
        <v>3.3534953378192857E-3</v>
      </c>
    </row>
    <row r="202" spans="1:10" x14ac:dyDescent="0.25">
      <c r="A202" s="91" t="s">
        <v>829</v>
      </c>
      <c r="B202" s="91" t="s">
        <v>397</v>
      </c>
      <c r="C202" s="91" t="s">
        <v>833</v>
      </c>
      <c r="D202" s="91" t="s">
        <v>563</v>
      </c>
      <c r="E202" s="94" t="s">
        <v>139</v>
      </c>
      <c r="F202" s="93">
        <v>114.77</v>
      </c>
      <c r="G202" s="84">
        <v>10.38</v>
      </c>
      <c r="H202" s="84">
        <f t="shared" si="72"/>
        <v>13.37</v>
      </c>
      <c r="I202" s="84">
        <f t="shared" si="73"/>
        <v>1534.47</v>
      </c>
      <c r="J202" s="112">
        <f t="shared" si="74"/>
        <v>7.2582705293422771E-4</v>
      </c>
    </row>
    <row r="203" spans="1:10" x14ac:dyDescent="0.25">
      <c r="A203" s="75" t="s">
        <v>403</v>
      </c>
      <c r="B203" s="75" t="s">
        <v>522</v>
      </c>
      <c r="C203" s="75"/>
      <c r="D203" s="75" t="s">
        <v>404</v>
      </c>
      <c r="E203" s="76"/>
      <c r="F203" s="78">
        <v>1</v>
      </c>
      <c r="G203" s="78"/>
      <c r="H203" s="79"/>
      <c r="I203" s="79">
        <f>I204+I209+I212</f>
        <v>129400.72</v>
      </c>
      <c r="J203" s="80">
        <f t="shared" ref="J203:J208" si="75">I203/$I$221</f>
        <v>6.1208458454819696E-2</v>
      </c>
    </row>
    <row r="204" spans="1:10" x14ac:dyDescent="0.25">
      <c r="A204" s="75" t="s">
        <v>405</v>
      </c>
      <c r="B204" s="75" t="s">
        <v>522</v>
      </c>
      <c r="C204" s="75"/>
      <c r="D204" s="75" t="s">
        <v>406</v>
      </c>
      <c r="E204" s="76"/>
      <c r="F204" s="78">
        <v>1</v>
      </c>
      <c r="G204" s="78"/>
      <c r="H204" s="79"/>
      <c r="I204" s="79">
        <f>SUM(I205:I208)</f>
        <v>68259.070000000007</v>
      </c>
      <c r="J204" s="80">
        <f t="shared" si="75"/>
        <v>3.2287551802336417E-2</v>
      </c>
    </row>
    <row r="205" spans="1:10" ht="26.4" x14ac:dyDescent="0.25">
      <c r="A205" s="81" t="s">
        <v>407</v>
      </c>
      <c r="B205" s="81" t="s">
        <v>114</v>
      </c>
      <c r="C205" s="81" t="s">
        <v>27</v>
      </c>
      <c r="D205" s="81" t="s">
        <v>408</v>
      </c>
      <c r="E205" s="82" t="s">
        <v>6</v>
      </c>
      <c r="F205" s="83">
        <v>613.05999999999995</v>
      </c>
      <c r="G205" s="84">
        <v>14.73</v>
      </c>
      <c r="H205" s="84">
        <f t="shared" ref="H205:H208" si="76">ROUND(G205*(1+$G$1),2)</f>
        <v>18.98</v>
      </c>
      <c r="I205" s="84">
        <f t="shared" ref="I205:I208" si="77">ROUND(F205*H205,2)</f>
        <v>11635.88</v>
      </c>
      <c r="J205" s="112">
        <f t="shared" si="75"/>
        <v>5.5039436995811724E-3</v>
      </c>
    </row>
    <row r="206" spans="1:10" ht="26.4" x14ac:dyDescent="0.25">
      <c r="A206" s="81" t="s">
        <v>409</v>
      </c>
      <c r="B206" s="81" t="s">
        <v>105</v>
      </c>
      <c r="C206" s="81" t="s">
        <v>27</v>
      </c>
      <c r="D206" s="81" t="s">
        <v>144</v>
      </c>
      <c r="E206" s="82" t="s">
        <v>6</v>
      </c>
      <c r="F206" s="83">
        <v>1708.34</v>
      </c>
      <c r="G206" s="84">
        <v>14.02</v>
      </c>
      <c r="H206" s="84">
        <f t="shared" si="76"/>
        <v>18.059999999999999</v>
      </c>
      <c r="I206" s="84">
        <f t="shared" si="77"/>
        <v>30852.62</v>
      </c>
      <c r="J206" s="112">
        <f t="shared" si="75"/>
        <v>1.459374653782714E-2</v>
      </c>
    </row>
    <row r="207" spans="1:10" ht="26.4" x14ac:dyDescent="0.25">
      <c r="A207" s="81" t="s">
        <v>410</v>
      </c>
      <c r="B207" s="81" t="s">
        <v>411</v>
      </c>
      <c r="C207" s="81" t="s">
        <v>27</v>
      </c>
      <c r="D207" s="81" t="s">
        <v>412</v>
      </c>
      <c r="E207" s="82" t="s">
        <v>6</v>
      </c>
      <c r="F207" s="83">
        <v>43.38</v>
      </c>
      <c r="G207" s="84">
        <v>16.77</v>
      </c>
      <c r="H207" s="84">
        <f t="shared" si="76"/>
        <v>21.6</v>
      </c>
      <c r="I207" s="84">
        <f t="shared" si="77"/>
        <v>937.01</v>
      </c>
      <c r="J207" s="112">
        <f t="shared" si="75"/>
        <v>4.4321961776372344E-4</v>
      </c>
    </row>
    <row r="208" spans="1:10" x14ac:dyDescent="0.25">
      <c r="A208" s="81" t="s">
        <v>413</v>
      </c>
      <c r="B208" s="81" t="s">
        <v>414</v>
      </c>
      <c r="C208" s="91" t="s">
        <v>833</v>
      </c>
      <c r="D208" s="81" t="s">
        <v>564</v>
      </c>
      <c r="E208" s="82" t="s">
        <v>6</v>
      </c>
      <c r="F208" s="83">
        <v>576.72</v>
      </c>
      <c r="G208" s="84">
        <v>33.43</v>
      </c>
      <c r="H208" s="84">
        <f t="shared" si="76"/>
        <v>43.06</v>
      </c>
      <c r="I208" s="84">
        <f t="shared" si="77"/>
        <v>24833.56</v>
      </c>
      <c r="J208" s="112">
        <f t="shared" si="75"/>
        <v>1.1746641947164377E-2</v>
      </c>
    </row>
    <row r="209" spans="1:10" x14ac:dyDescent="0.25">
      <c r="A209" s="75" t="s">
        <v>415</v>
      </c>
      <c r="B209" s="75" t="s">
        <v>522</v>
      </c>
      <c r="C209" s="75"/>
      <c r="D209" s="75" t="s">
        <v>39</v>
      </c>
      <c r="E209" s="76"/>
      <c r="F209" s="78">
        <v>1</v>
      </c>
      <c r="G209" s="78"/>
      <c r="H209" s="79"/>
      <c r="I209" s="79">
        <f>SUM(I210:I211)</f>
        <v>16429.810000000001</v>
      </c>
      <c r="J209" s="80">
        <f>I209/$I$221</f>
        <v>7.7715436421496057E-3</v>
      </c>
    </row>
    <row r="210" spans="1:10" ht="39.6" x14ac:dyDescent="0.25">
      <c r="A210" s="81" t="s">
        <v>416</v>
      </c>
      <c r="B210" s="81" t="s">
        <v>417</v>
      </c>
      <c r="C210" s="81" t="s">
        <v>27</v>
      </c>
      <c r="D210" s="81" t="s">
        <v>418</v>
      </c>
      <c r="E210" s="82" t="s">
        <v>6</v>
      </c>
      <c r="F210" s="93">
        <v>203.56</v>
      </c>
      <c r="G210" s="84">
        <v>57.26</v>
      </c>
      <c r="H210" s="84">
        <f t="shared" ref="H210:H211" si="78">ROUND(G210*(1+$G$1),2)</f>
        <v>73.760000000000005</v>
      </c>
      <c r="I210" s="84">
        <f t="shared" ref="I210:I211" si="79">ROUND(F210*H210,2)</f>
        <v>15014.59</v>
      </c>
      <c r="J210" s="112">
        <f t="shared" ref="J210:J211" si="80">I210/$I$221</f>
        <v>7.1021236066627089E-3</v>
      </c>
    </row>
    <row r="211" spans="1:10" ht="26.4" x14ac:dyDescent="0.25">
      <c r="A211" s="81" t="s">
        <v>419</v>
      </c>
      <c r="B211" s="81" t="s">
        <v>420</v>
      </c>
      <c r="C211" s="81" t="s">
        <v>27</v>
      </c>
      <c r="D211" s="81" t="s">
        <v>421</v>
      </c>
      <c r="E211" s="82" t="s">
        <v>6</v>
      </c>
      <c r="F211" s="83">
        <v>37.42</v>
      </c>
      <c r="G211" s="84">
        <v>29.36</v>
      </c>
      <c r="H211" s="84">
        <f t="shared" si="78"/>
        <v>37.82</v>
      </c>
      <c r="I211" s="84">
        <f t="shared" si="79"/>
        <v>1415.22</v>
      </c>
      <c r="J211" s="112">
        <f t="shared" si="80"/>
        <v>6.694200354868963E-4</v>
      </c>
    </row>
    <row r="212" spans="1:10" x14ac:dyDescent="0.25">
      <c r="A212" s="75" t="s">
        <v>422</v>
      </c>
      <c r="B212" s="75" t="s">
        <v>522</v>
      </c>
      <c r="C212" s="75"/>
      <c r="D212" s="75" t="s">
        <v>423</v>
      </c>
      <c r="E212" s="76"/>
      <c r="F212" s="78">
        <v>1</v>
      </c>
      <c r="G212" s="78"/>
      <c r="H212" s="79"/>
      <c r="I212" s="79">
        <f>SUM(I213)</f>
        <v>44711.839999999997</v>
      </c>
      <c r="J212" s="80">
        <f>I212/$I$221</f>
        <v>2.1149363010333676E-2</v>
      </c>
    </row>
    <row r="213" spans="1:10" ht="39.6" x14ac:dyDescent="0.25">
      <c r="A213" s="81" t="s">
        <v>424</v>
      </c>
      <c r="B213" s="81" t="s">
        <v>417</v>
      </c>
      <c r="C213" s="81" t="s">
        <v>27</v>
      </c>
      <c r="D213" s="81" t="s">
        <v>418</v>
      </c>
      <c r="E213" s="82" t="s">
        <v>6</v>
      </c>
      <c r="F213" s="83">
        <v>606.17999999999995</v>
      </c>
      <c r="G213" s="84">
        <v>57.26</v>
      </c>
      <c r="H213" s="84">
        <f>ROUND(G213*(1+$G$1),2)</f>
        <v>73.760000000000005</v>
      </c>
      <c r="I213" s="84">
        <f>ROUND(F213*H213,2)</f>
        <v>44711.839999999997</v>
      </c>
      <c r="J213" s="112">
        <f>I213/$I$221</f>
        <v>2.1149363010333676E-2</v>
      </c>
    </row>
    <row r="214" spans="1:10" x14ac:dyDescent="0.25">
      <c r="A214" s="75" t="s">
        <v>425</v>
      </c>
      <c r="B214" s="75" t="s">
        <v>522</v>
      </c>
      <c r="C214" s="75"/>
      <c r="D214" s="75" t="s">
        <v>820</v>
      </c>
      <c r="E214" s="76"/>
      <c r="F214" s="78">
        <v>1</v>
      </c>
      <c r="G214" s="78"/>
      <c r="H214" s="79"/>
      <c r="I214" s="79">
        <f>SUM(I215)</f>
        <v>235.89</v>
      </c>
      <c r="J214" s="80">
        <f>I214/$I$221</f>
        <v>1.1157946621090993E-4</v>
      </c>
    </row>
    <row r="215" spans="1:10" ht="26.4" x14ac:dyDescent="0.25">
      <c r="A215" s="81" t="s">
        <v>840</v>
      </c>
      <c r="B215" s="81" t="s">
        <v>428</v>
      </c>
      <c r="C215" s="81" t="s">
        <v>27</v>
      </c>
      <c r="D215" s="81" t="s">
        <v>429</v>
      </c>
      <c r="E215" s="82" t="s">
        <v>9</v>
      </c>
      <c r="F215" s="93">
        <v>9</v>
      </c>
      <c r="G215" s="84">
        <v>20.350000000000001</v>
      </c>
      <c r="H215" s="84">
        <f>ROUND(G215*(1+$G$1),2)</f>
        <v>26.21</v>
      </c>
      <c r="I215" s="84">
        <f>ROUND(F215*H215,2)</f>
        <v>235.89</v>
      </c>
      <c r="J215" s="112">
        <f>I215/$I$221</f>
        <v>1.1157946621090993E-4</v>
      </c>
    </row>
    <row r="216" spans="1:10" x14ac:dyDescent="0.25">
      <c r="A216" s="75" t="s">
        <v>430</v>
      </c>
      <c r="B216" s="75" t="s">
        <v>522</v>
      </c>
      <c r="C216" s="75"/>
      <c r="D216" s="75" t="s">
        <v>123</v>
      </c>
      <c r="E216" s="76"/>
      <c r="F216" s="78">
        <v>1</v>
      </c>
      <c r="G216" s="78"/>
      <c r="H216" s="79"/>
      <c r="I216" s="79">
        <f>I217+I219</f>
        <v>15663.880000000001</v>
      </c>
      <c r="J216" s="80">
        <f t="shared" ref="J216:J217" si="81">I216/$I$221</f>
        <v>7.4092474000243677E-3</v>
      </c>
    </row>
    <row r="217" spans="1:10" x14ac:dyDescent="0.25">
      <c r="A217" s="75" t="s">
        <v>431</v>
      </c>
      <c r="B217" s="75" t="s">
        <v>522</v>
      </c>
      <c r="C217" s="75"/>
      <c r="D217" s="75" t="s">
        <v>124</v>
      </c>
      <c r="E217" s="76"/>
      <c r="F217" s="78">
        <v>1</v>
      </c>
      <c r="G217" s="78"/>
      <c r="H217" s="79"/>
      <c r="I217" s="79">
        <f>SUM(I218)</f>
        <v>10166.08</v>
      </c>
      <c r="J217" s="80">
        <f t="shared" si="81"/>
        <v>4.8087065151443779E-3</v>
      </c>
    </row>
    <row r="218" spans="1:10" x14ac:dyDescent="0.25">
      <c r="A218" s="81" t="s">
        <v>432</v>
      </c>
      <c r="B218" s="81" t="s">
        <v>433</v>
      </c>
      <c r="C218" s="91" t="s">
        <v>833</v>
      </c>
      <c r="D218" s="81" t="s">
        <v>125</v>
      </c>
      <c r="E218" s="82" t="s">
        <v>6</v>
      </c>
      <c r="F218" s="83">
        <v>606.92999999999995</v>
      </c>
      <c r="G218" s="84">
        <v>13</v>
      </c>
      <c r="H218" s="84">
        <f>ROUND(G218*(1+$G$1),2)</f>
        <v>16.75</v>
      </c>
      <c r="I218" s="84">
        <f>ROUND(F218*H218,2)</f>
        <v>10166.08</v>
      </c>
      <c r="J218" s="112">
        <f>I218/$I$221</f>
        <v>4.8087065151443779E-3</v>
      </c>
    </row>
    <row r="219" spans="1:10" ht="15" customHeight="1" x14ac:dyDescent="0.25">
      <c r="A219" s="75" t="s">
        <v>434</v>
      </c>
      <c r="B219" s="75" t="s">
        <v>522</v>
      </c>
      <c r="C219" s="75"/>
      <c r="D219" s="75" t="s">
        <v>127</v>
      </c>
      <c r="E219" s="76"/>
      <c r="F219" s="78">
        <v>1</v>
      </c>
      <c r="G219" s="78"/>
      <c r="H219" s="79"/>
      <c r="I219" s="79">
        <f>SUM(I220)</f>
        <v>5497.8</v>
      </c>
      <c r="J219" s="80">
        <f>I219/$I$221</f>
        <v>2.6005408848799893E-3</v>
      </c>
    </row>
    <row r="220" spans="1:10" ht="14.25" customHeight="1" x14ac:dyDescent="0.25">
      <c r="A220" s="81" t="s">
        <v>435</v>
      </c>
      <c r="B220" s="81" t="s">
        <v>129</v>
      </c>
      <c r="C220" s="81" t="s">
        <v>27</v>
      </c>
      <c r="D220" s="81" t="s">
        <v>436</v>
      </c>
      <c r="E220" s="82" t="s">
        <v>6</v>
      </c>
      <c r="F220" s="83">
        <v>255</v>
      </c>
      <c r="G220" s="84">
        <v>16.739999999999998</v>
      </c>
      <c r="H220" s="84">
        <f>ROUND(G220*(1+$G$1),2)</f>
        <v>21.56</v>
      </c>
      <c r="I220" s="84">
        <f>ROUND(F220*H220,2)</f>
        <v>5497.8</v>
      </c>
      <c r="J220" s="112">
        <f>I220/$I$221</f>
        <v>2.6005408848799893E-3</v>
      </c>
    </row>
    <row r="221" spans="1:10" ht="14.25" customHeight="1" x14ac:dyDescent="0.25">
      <c r="A221" s="70"/>
      <c r="B221" s="70"/>
      <c r="C221" s="70"/>
      <c r="D221" s="70"/>
      <c r="E221" s="70"/>
      <c r="F221" s="70"/>
      <c r="G221" s="134" t="s">
        <v>832</v>
      </c>
      <c r="H221" s="134"/>
      <c r="I221" s="95">
        <f>I9+I17+I24+I31+I48+I59+I65+I82+I95+I128+I177+I183+I187+I190+I203+I214+I216</f>
        <v>2114098.66</v>
      </c>
      <c r="J221" s="70"/>
    </row>
    <row r="222" spans="1:10" ht="14.25" customHeight="1" x14ac:dyDescent="0.25">
      <c r="A222" s="133"/>
      <c r="B222" s="133"/>
      <c r="C222" s="133"/>
      <c r="D222" s="69"/>
      <c r="E222" s="68"/>
      <c r="F222" s="140"/>
      <c r="G222" s="133"/>
      <c r="H222" s="132"/>
      <c r="I222" s="133"/>
      <c r="J222" s="133"/>
    </row>
    <row r="223" spans="1:10" ht="13.95" customHeight="1" x14ac:dyDescent="0.25">
      <c r="A223" s="133"/>
      <c r="B223" s="133"/>
      <c r="C223" s="133"/>
      <c r="D223" s="69"/>
      <c r="E223" s="68"/>
      <c r="F223" s="140"/>
      <c r="G223" s="133"/>
      <c r="H223" s="132"/>
      <c r="I223" s="133"/>
      <c r="J223" s="133"/>
    </row>
    <row r="224" spans="1:10" ht="13.95" customHeight="1" x14ac:dyDescent="0.25">
      <c r="A224" s="133"/>
      <c r="B224" s="133"/>
      <c r="C224" s="133"/>
      <c r="D224" s="69"/>
      <c r="E224" s="68"/>
      <c r="F224" s="140"/>
      <c r="G224" s="133"/>
      <c r="H224" s="132"/>
      <c r="I224" s="133"/>
      <c r="J224" s="133"/>
    </row>
    <row r="228" spans="1:10" x14ac:dyDescent="0.25">
      <c r="A228" s="138" t="s">
        <v>116</v>
      </c>
      <c r="B228" s="139"/>
      <c r="C228" s="139"/>
      <c r="D228" s="139"/>
      <c r="E228" s="139"/>
      <c r="F228" s="139"/>
      <c r="G228" s="139"/>
      <c r="H228" s="139"/>
      <c r="I228" s="139"/>
      <c r="J228" s="139"/>
    </row>
    <row r="229" spans="1:10" x14ac:dyDescent="0.25">
      <c r="A229" s="139"/>
      <c r="B229" s="139"/>
      <c r="C229" s="139"/>
      <c r="D229" s="139"/>
      <c r="E229" s="139"/>
      <c r="F229" s="139"/>
      <c r="G229" s="139"/>
      <c r="H229" s="139"/>
      <c r="I229" s="139"/>
      <c r="J229" s="139"/>
    </row>
    <row r="230" spans="1:10" ht="40.5" customHeight="1" x14ac:dyDescent="0.25">
      <c r="A230" s="139"/>
      <c r="B230" s="139"/>
      <c r="C230" s="139"/>
      <c r="D230" s="139"/>
      <c r="E230" s="139"/>
      <c r="F230" s="139"/>
      <c r="G230" s="139"/>
      <c r="H230" s="139"/>
      <c r="I230" s="139"/>
      <c r="J230" s="139"/>
    </row>
  </sheetData>
  <mergeCells count="17">
    <mergeCell ref="A228:J230"/>
    <mergeCell ref="A224:C224"/>
    <mergeCell ref="F224:G224"/>
    <mergeCell ref="H224:J224"/>
    <mergeCell ref="E2:F2"/>
    <mergeCell ref="G2:H2"/>
    <mergeCell ref="A7:I7"/>
    <mergeCell ref="A222:C222"/>
    <mergeCell ref="F222:G222"/>
    <mergeCell ref="H222:J222"/>
    <mergeCell ref="A223:C223"/>
    <mergeCell ref="F223:G223"/>
    <mergeCell ref="H223:J223"/>
    <mergeCell ref="G221:H221"/>
    <mergeCell ref="I1:J1"/>
    <mergeCell ref="I2:J6"/>
    <mergeCell ref="A6:C6"/>
  </mergeCells>
  <phoneticPr fontId="35" type="noConversion"/>
  <pageMargins left="0.39370078740157483" right="0.39370078740157483" top="0.98425196850393704" bottom="0.98425196850393704" header="0.51181102362204722" footer="0.51181102362204722"/>
  <pageSetup paperSize="9" scale="58" fitToHeight="0" orientation="portrait" r:id="rId1"/>
  <headerFooter>
    <oddHeader xml:space="preserve">&amp;L </oddHeader>
    <oddFooter>&amp;L &amp;C&amp;A &amp;R&amp;P de &amp;N</oddFooter>
  </headerFooter>
  <drawing r:id="rId2"/>
  <legacyDrawing r:id="rId3"/>
  <oleObjects>
    <mc:AlternateContent xmlns:mc="http://schemas.openxmlformats.org/markup-compatibility/2006">
      <mc:Choice Requires="x14">
        <oleObject progId="Paint.Picture" shapeId="1026" r:id="rId4">
          <objectPr defaultSize="0" autoPict="0" r:id="rId5">
            <anchor moveWithCells="1">
              <from>
                <xdr:col>3</xdr:col>
                <xdr:colOff>1882140</xdr:colOff>
                <xdr:row>0</xdr:row>
                <xdr:rowOff>129540</xdr:rowOff>
              </from>
              <to>
                <xdr:col>5</xdr:col>
                <xdr:colOff>297180</xdr:colOff>
                <xdr:row>5</xdr:row>
                <xdr:rowOff>68580</xdr:rowOff>
              </to>
            </anchor>
          </objectPr>
        </oleObject>
      </mc:Choice>
      <mc:Fallback>
        <oleObject progId="Paint.Picture" shapeId="1026"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A915-6310-4002-8927-C1FE247A77DD}">
  <dimension ref="A6:E13"/>
  <sheetViews>
    <sheetView workbookViewId="0">
      <selection activeCell="E12" sqref="E12"/>
    </sheetView>
  </sheetViews>
  <sheetFormatPr defaultRowHeight="13.8" x14ac:dyDescent="0.25"/>
  <cols>
    <col min="1" max="1" width="7.59765625" customWidth="1"/>
    <col min="2" max="2" width="56.59765625" customWidth="1"/>
    <col min="3" max="3" width="8.796875" customWidth="1"/>
    <col min="4" max="4" width="8.796875" hidden="1" customWidth="1"/>
    <col min="5" max="5" width="11.8984375" customWidth="1"/>
  </cols>
  <sheetData>
    <row r="6" spans="1:5" ht="17.399999999999999" x14ac:dyDescent="0.3">
      <c r="A6" s="205" t="s">
        <v>860</v>
      </c>
      <c r="B6" s="205"/>
      <c r="C6" s="205"/>
      <c r="D6" s="205"/>
      <c r="E6" s="205"/>
    </row>
    <row r="7" spans="1:5" x14ac:dyDescent="0.25">
      <c r="A7" s="72" t="s">
        <v>0</v>
      </c>
      <c r="B7" s="72" t="s">
        <v>1</v>
      </c>
      <c r="C7" s="74" t="s">
        <v>2</v>
      </c>
      <c r="D7" s="73" t="s">
        <v>3</v>
      </c>
      <c r="E7" s="73" t="s">
        <v>3</v>
      </c>
    </row>
    <row r="8" spans="1:5" ht="27.6" x14ac:dyDescent="0.25">
      <c r="A8" s="198" t="str">
        <f>'Orçamento Sintético'!A33</f>
        <v xml:space="preserve"> 4.1.1 </v>
      </c>
      <c r="B8" s="199" t="str">
        <f>'Orçamento Sintético'!D33</f>
        <v>ESTACA ESCAVADA MECANICAMENTE, DIÂMETRO DE 25 CM ATÉ 20 T</v>
      </c>
      <c r="C8" s="200" t="str">
        <f>'Orçamento Sintético'!E33</f>
        <v>m</v>
      </c>
      <c r="D8" s="201">
        <f>'Orçamento Sintético'!F33</f>
        <v>474</v>
      </c>
      <c r="E8" s="201">
        <f>ROUND(D8/2,2)</f>
        <v>237</v>
      </c>
    </row>
    <row r="9" spans="1:5" x14ac:dyDescent="0.25">
      <c r="A9" s="198" t="str">
        <f>'Orçamento Sintético'!A60</f>
        <v xml:space="preserve"> 6.1 </v>
      </c>
      <c r="B9" s="199" t="str">
        <f>'Orçamento Sintético'!D60</f>
        <v>ALVENARIA DE BLOCO CERAMICO PORTANTE E=19CM</v>
      </c>
      <c r="C9" s="200" t="str">
        <f>'Orçamento Sintético'!E60</f>
        <v>m²</v>
      </c>
      <c r="D9" s="201">
        <f>'Orçamento Sintético'!F60</f>
        <v>898.66</v>
      </c>
      <c r="E9" s="201">
        <f t="shared" ref="E9:E12" si="0">ROUND(D9/2,2)</f>
        <v>449.33</v>
      </c>
    </row>
    <row r="10" spans="1:5" ht="27.6" x14ac:dyDescent="0.25">
      <c r="A10" s="128" t="str">
        <f>'Orçamento Sintético'!A67</f>
        <v xml:space="preserve"> 7.1.1 </v>
      </c>
      <c r="B10" s="199" t="str">
        <f>'Orçamento Sintético'!D67</f>
        <v>FORNECIMENTO E MONTAGEM DE ESTRUTURA METALICA COM AÇO RESISTENTE A CORROSAO (ASTM A709/A588)</v>
      </c>
      <c r="C10" s="200" t="str">
        <f>'Orçamento Sintético'!E67</f>
        <v>KG</v>
      </c>
      <c r="D10" s="202">
        <f>'Orçamento Sintético'!F67</f>
        <v>7758.4443299999984</v>
      </c>
      <c r="E10" s="201">
        <f t="shared" si="0"/>
        <v>3879.22</v>
      </c>
    </row>
    <row r="11" spans="1:5" ht="27" customHeight="1" x14ac:dyDescent="0.25">
      <c r="A11" s="198" t="str">
        <f>'Orçamento Sintético'!A68</f>
        <v xml:space="preserve"> 7.1.2 </v>
      </c>
      <c r="B11" s="199" t="str">
        <f>'Orçamento Sintético'!D68</f>
        <v>Telhamento em chapa de aço pré-pintada com epóxi e poliéster, tipo sanduíche, espessura de 0,50 mm, com poliisocianurato (PIR)</v>
      </c>
      <c r="C11" s="200" t="str">
        <f>'Orçamento Sintético'!E68</f>
        <v>m²</v>
      </c>
      <c r="D11" s="203">
        <f>'Orçamento Sintético'!G68</f>
        <v>160.44</v>
      </c>
      <c r="E11" s="201">
        <f t="shared" si="0"/>
        <v>80.22</v>
      </c>
    </row>
    <row r="12" spans="1:5" x14ac:dyDescent="0.25">
      <c r="A12" s="198" t="str">
        <f>'Orçamento Sintético'!A89</f>
        <v xml:space="preserve"> 8.2.1 </v>
      </c>
      <c r="B12" s="199" t="str">
        <f>'Orçamento Sintético'!D89</f>
        <v>CAIXILHO EM FERRO BASCULANTE, SOB MEDIDA</v>
      </c>
      <c r="C12" s="200" t="str">
        <f>'Orçamento Sintético'!E89</f>
        <v>m²</v>
      </c>
      <c r="D12" s="204">
        <f>'Orçamento Sintético'!F89</f>
        <v>100.08</v>
      </c>
      <c r="E12" s="201">
        <f t="shared" si="0"/>
        <v>50.04</v>
      </c>
    </row>
    <row r="13" spans="1:5" x14ac:dyDescent="0.25">
      <c r="A13" s="195"/>
      <c r="B13" s="195"/>
      <c r="C13" s="196"/>
      <c r="D13" s="197"/>
      <c r="E13" s="197"/>
    </row>
  </sheetData>
  <mergeCells count="1">
    <mergeCell ref="A6:E6"/>
  </mergeCells>
  <pageMargins left="0.51181102362204722" right="0.51181102362204722" top="1.7716535433070868" bottom="0.78740157480314965" header="0.31496062992125984" footer="0.31496062992125984"/>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24"/>
  <sheetViews>
    <sheetView view="pageBreakPreview" topLeftCell="A28" zoomScale="90" zoomScaleNormal="100" zoomScaleSheetLayoutView="90" workbookViewId="0">
      <selection activeCell="E5" sqref="E5"/>
    </sheetView>
  </sheetViews>
  <sheetFormatPr defaultColWidth="9" defaultRowHeight="13.8" x14ac:dyDescent="0.25"/>
  <cols>
    <col min="1" max="1" width="7.5" style="22" customWidth="1"/>
    <col min="2" max="2" width="8.796875" style="11" bestFit="1" customWidth="1"/>
    <col min="3" max="3" width="12" style="11" bestFit="1" customWidth="1"/>
    <col min="4" max="4" width="61.19921875" style="22" customWidth="1"/>
    <col min="5" max="5" width="7.59765625" style="22" bestFit="1" customWidth="1"/>
    <col min="6" max="6" width="8.296875" style="16" bestFit="1" customWidth="1"/>
    <col min="7" max="7" width="54.796875" style="26" customWidth="1"/>
    <col min="8" max="16384" width="9" style="22"/>
  </cols>
  <sheetData>
    <row r="1" spans="1:7" ht="15.6" x14ac:dyDescent="0.25">
      <c r="A1" s="14" t="str">
        <f>'Orçamento Sintético'!A1</f>
        <v>Cliente: PREFEITURA MUNICIPAL DE SANTA GERTRUDES</v>
      </c>
      <c r="B1" s="21"/>
      <c r="C1" s="21"/>
      <c r="D1" s="10"/>
      <c r="E1" s="13"/>
      <c r="F1" s="15"/>
      <c r="G1" s="23"/>
    </row>
    <row r="2" spans="1:7" ht="15.6" x14ac:dyDescent="0.25">
      <c r="A2" s="14" t="str">
        <f>'Orçamento Sintético'!A2</f>
        <v>Obra: AMPLIAÇÃO 7 SALAS EMEIF PREF ANTONIO FILIER</v>
      </c>
      <c r="B2" s="12"/>
      <c r="C2" s="12"/>
      <c r="D2" s="20"/>
      <c r="E2" s="141"/>
      <c r="F2" s="141"/>
      <c r="G2" s="24"/>
    </row>
    <row r="3" spans="1:7" ht="15.6" x14ac:dyDescent="0.25">
      <c r="A3" s="1"/>
      <c r="B3" s="12"/>
      <c r="C3" s="12"/>
      <c r="D3" s="8"/>
      <c r="E3" s="20"/>
      <c r="F3" s="18"/>
      <c r="G3" s="25"/>
    </row>
    <row r="4" spans="1:7" ht="15.6" x14ac:dyDescent="0.25">
      <c r="A4" s="1"/>
      <c r="B4" s="12"/>
      <c r="C4" s="12"/>
      <c r="D4" s="8"/>
      <c r="E4" s="20"/>
      <c r="F4" s="27"/>
      <c r="G4" s="25"/>
    </row>
    <row r="5" spans="1:7" ht="15.6" x14ac:dyDescent="0.25">
      <c r="A5" s="1"/>
      <c r="B5" s="12"/>
      <c r="C5" s="12"/>
      <c r="D5" s="8"/>
      <c r="E5" s="20"/>
      <c r="F5" s="27"/>
      <c r="G5" s="25"/>
    </row>
    <row r="6" spans="1:7" x14ac:dyDescent="0.25">
      <c r="A6" s="8"/>
      <c r="B6" s="12"/>
      <c r="C6" s="12"/>
      <c r="D6" s="8"/>
      <c r="E6" s="20"/>
      <c r="F6" s="18"/>
      <c r="G6" s="24"/>
    </row>
    <row r="7" spans="1:7" x14ac:dyDescent="0.25">
      <c r="A7" s="142" t="s">
        <v>38</v>
      </c>
      <c r="B7" s="143"/>
      <c r="C7" s="143"/>
      <c r="D7" s="143"/>
      <c r="E7" s="143"/>
      <c r="F7" s="143"/>
      <c r="G7" s="143"/>
    </row>
    <row r="8" spans="1:7" x14ac:dyDescent="0.25">
      <c r="A8" s="115" t="s">
        <v>0</v>
      </c>
      <c r="B8" s="116" t="s">
        <v>23</v>
      </c>
      <c r="C8" s="115" t="s">
        <v>24</v>
      </c>
      <c r="D8" s="115" t="s">
        <v>1</v>
      </c>
      <c r="E8" s="117" t="s">
        <v>2</v>
      </c>
      <c r="F8" s="118" t="s">
        <v>3</v>
      </c>
      <c r="G8" s="119" t="s">
        <v>438</v>
      </c>
    </row>
    <row r="9" spans="1:7" x14ac:dyDescent="0.25">
      <c r="A9" s="120">
        <v>1</v>
      </c>
      <c r="B9" s="120" t="s">
        <v>522</v>
      </c>
      <c r="C9" s="120"/>
      <c r="D9" s="120" t="s">
        <v>35</v>
      </c>
      <c r="E9" s="121"/>
      <c r="F9" s="122"/>
      <c r="G9" s="122"/>
    </row>
    <row r="10" spans="1:7" x14ac:dyDescent="0.25">
      <c r="A10" s="120" t="s">
        <v>5</v>
      </c>
      <c r="B10" s="120" t="s">
        <v>522</v>
      </c>
      <c r="C10" s="120"/>
      <c r="D10" s="120" t="s">
        <v>28</v>
      </c>
      <c r="E10" s="121"/>
      <c r="F10" s="122"/>
      <c r="G10" s="122"/>
    </row>
    <row r="11" spans="1:7" ht="26.4" x14ac:dyDescent="0.25">
      <c r="A11" s="89" t="s">
        <v>29</v>
      </c>
      <c r="B11" s="89" t="s">
        <v>152</v>
      </c>
      <c r="C11" s="89" t="s">
        <v>27</v>
      </c>
      <c r="D11" s="89" t="s">
        <v>153</v>
      </c>
      <c r="E11" s="92" t="s">
        <v>6</v>
      </c>
      <c r="F11" s="86">
        <v>6</v>
      </c>
      <c r="G11" s="123" t="s">
        <v>121</v>
      </c>
    </row>
    <row r="12" spans="1:7" x14ac:dyDescent="0.25">
      <c r="A12" s="89" t="s">
        <v>586</v>
      </c>
      <c r="B12" s="89" t="s">
        <v>163</v>
      </c>
      <c r="C12" s="89" t="s">
        <v>27</v>
      </c>
      <c r="D12" s="89" t="s">
        <v>164</v>
      </c>
      <c r="E12" s="92" t="s">
        <v>6</v>
      </c>
      <c r="F12" s="85">
        <f>54*1.93</f>
        <v>104.22</v>
      </c>
      <c r="G12" s="85" t="s">
        <v>590</v>
      </c>
    </row>
    <row r="13" spans="1:7" x14ac:dyDescent="0.25">
      <c r="A13" s="89" t="s">
        <v>587</v>
      </c>
      <c r="B13" s="89" t="s">
        <v>155</v>
      </c>
      <c r="C13" s="89" t="s">
        <v>130</v>
      </c>
      <c r="D13" s="89" t="s">
        <v>523</v>
      </c>
      <c r="E13" s="92" t="s">
        <v>524</v>
      </c>
      <c r="F13" s="85">
        <v>10</v>
      </c>
      <c r="G13" s="85" t="s">
        <v>589</v>
      </c>
    </row>
    <row r="14" spans="1:7" ht="26.4" x14ac:dyDescent="0.25">
      <c r="A14" s="91" t="s">
        <v>585</v>
      </c>
      <c r="B14" s="91" t="s">
        <v>166</v>
      </c>
      <c r="C14" s="91" t="s">
        <v>27</v>
      </c>
      <c r="D14" s="91" t="s">
        <v>167</v>
      </c>
      <c r="E14" s="94" t="s">
        <v>10</v>
      </c>
      <c r="F14" s="86">
        <v>91.7</v>
      </c>
      <c r="G14" s="86" t="s">
        <v>439</v>
      </c>
    </row>
    <row r="15" spans="1:7" x14ac:dyDescent="0.25">
      <c r="A15" s="120" t="s">
        <v>168</v>
      </c>
      <c r="B15" s="120" t="s">
        <v>522</v>
      </c>
      <c r="C15" s="120"/>
      <c r="D15" s="120" t="s">
        <v>169</v>
      </c>
      <c r="E15" s="121"/>
      <c r="F15" s="122"/>
      <c r="G15" s="122"/>
    </row>
    <row r="16" spans="1:7" x14ac:dyDescent="0.25">
      <c r="A16" s="89" t="s">
        <v>170</v>
      </c>
      <c r="B16" s="89" t="s">
        <v>171</v>
      </c>
      <c r="C16" s="89" t="s">
        <v>130</v>
      </c>
      <c r="D16" s="89" t="s">
        <v>525</v>
      </c>
      <c r="E16" s="92" t="s">
        <v>172</v>
      </c>
      <c r="F16" s="85">
        <v>4</v>
      </c>
      <c r="G16" s="85" t="s">
        <v>591</v>
      </c>
    </row>
    <row r="17" spans="1:7" x14ac:dyDescent="0.25">
      <c r="A17" s="120" t="s">
        <v>7</v>
      </c>
      <c r="B17" s="120" t="s">
        <v>522</v>
      </c>
      <c r="C17" s="120"/>
      <c r="D17" s="120" t="s">
        <v>102</v>
      </c>
      <c r="E17" s="121"/>
      <c r="F17" s="122"/>
      <c r="G17" s="122"/>
    </row>
    <row r="18" spans="1:7" x14ac:dyDescent="0.25">
      <c r="A18" s="120" t="s">
        <v>8</v>
      </c>
      <c r="B18" s="120" t="s">
        <v>522</v>
      </c>
      <c r="C18" s="120"/>
      <c r="D18" s="120" t="s">
        <v>107</v>
      </c>
      <c r="E18" s="121"/>
      <c r="F18" s="122"/>
      <c r="G18" s="122"/>
    </row>
    <row r="19" spans="1:7" ht="26.4" x14ac:dyDescent="0.25">
      <c r="A19" s="89" t="s">
        <v>40</v>
      </c>
      <c r="B19" s="89" t="s">
        <v>173</v>
      </c>
      <c r="C19" s="89" t="s">
        <v>130</v>
      </c>
      <c r="D19" s="89" t="s">
        <v>526</v>
      </c>
      <c r="E19" s="92" t="s">
        <v>30</v>
      </c>
      <c r="F19" s="85">
        <f>18.15*1.1</f>
        <v>19.965</v>
      </c>
      <c r="G19" s="85" t="s">
        <v>440</v>
      </c>
    </row>
    <row r="20" spans="1:7" x14ac:dyDescent="0.25">
      <c r="A20" s="89" t="s">
        <v>157</v>
      </c>
      <c r="B20" s="89" t="s">
        <v>174</v>
      </c>
      <c r="C20" s="89" t="s">
        <v>130</v>
      </c>
      <c r="D20" s="89" t="s">
        <v>527</v>
      </c>
      <c r="E20" s="92" t="s">
        <v>528</v>
      </c>
      <c r="F20" s="85">
        <f>F21*9</f>
        <v>311.40000000000003</v>
      </c>
      <c r="G20" s="85" t="s">
        <v>517</v>
      </c>
    </row>
    <row r="21" spans="1:7" ht="26.4" x14ac:dyDescent="0.25">
      <c r="A21" s="89" t="s">
        <v>158</v>
      </c>
      <c r="B21" s="89" t="s">
        <v>175</v>
      </c>
      <c r="C21" s="89" t="s">
        <v>130</v>
      </c>
      <c r="D21" s="89" t="s">
        <v>529</v>
      </c>
      <c r="E21" s="92" t="s">
        <v>6</v>
      </c>
      <c r="F21" s="85">
        <f>17.3*2</f>
        <v>34.6</v>
      </c>
      <c r="G21" s="85" t="s">
        <v>441</v>
      </c>
    </row>
    <row r="22" spans="1:7" x14ac:dyDescent="0.25">
      <c r="A22" s="120" t="s">
        <v>31</v>
      </c>
      <c r="B22" s="120" t="s">
        <v>522</v>
      </c>
      <c r="C22" s="120"/>
      <c r="D22" s="120" t="s">
        <v>103</v>
      </c>
      <c r="E22" s="121"/>
      <c r="F22" s="122"/>
      <c r="G22" s="122"/>
    </row>
    <row r="23" spans="1:7" ht="39.6" x14ac:dyDescent="0.25">
      <c r="A23" s="89" t="s">
        <v>32</v>
      </c>
      <c r="B23" s="89" t="s">
        <v>176</v>
      </c>
      <c r="C23" s="89" t="s">
        <v>130</v>
      </c>
      <c r="D23" s="89" t="s">
        <v>530</v>
      </c>
      <c r="E23" s="92" t="s">
        <v>30</v>
      </c>
      <c r="F23" s="85">
        <f>((F19)+(F21*0.03))*1.3</f>
        <v>27.303900000000002</v>
      </c>
      <c r="G23" s="85" t="s">
        <v>518</v>
      </c>
    </row>
    <row r="24" spans="1:7" x14ac:dyDescent="0.25">
      <c r="A24" s="120" t="s">
        <v>131</v>
      </c>
      <c r="B24" s="120" t="s">
        <v>522</v>
      </c>
      <c r="C24" s="120"/>
      <c r="D24" s="120" t="s">
        <v>177</v>
      </c>
      <c r="E24" s="121"/>
      <c r="F24" s="122"/>
      <c r="G24" s="122"/>
    </row>
    <row r="25" spans="1:7" x14ac:dyDescent="0.25">
      <c r="A25" s="120" t="s">
        <v>132</v>
      </c>
      <c r="B25" s="120" t="s">
        <v>522</v>
      </c>
      <c r="C25" s="120"/>
      <c r="D25" s="120" t="s">
        <v>124</v>
      </c>
      <c r="E25" s="121"/>
      <c r="F25" s="122"/>
      <c r="G25" s="122"/>
    </row>
    <row r="26" spans="1:7" ht="39.6" x14ac:dyDescent="0.25">
      <c r="A26" s="89" t="s">
        <v>133</v>
      </c>
      <c r="B26" s="89" t="s">
        <v>178</v>
      </c>
      <c r="C26" s="89" t="s">
        <v>27</v>
      </c>
      <c r="D26" s="89" t="s">
        <v>179</v>
      </c>
      <c r="E26" s="92" t="s">
        <v>6</v>
      </c>
      <c r="F26" s="85">
        <f>32.4*20</f>
        <v>648</v>
      </c>
      <c r="G26" s="85" t="s">
        <v>442</v>
      </c>
    </row>
    <row r="27" spans="1:7" x14ac:dyDescent="0.25">
      <c r="A27" s="120" t="s">
        <v>180</v>
      </c>
      <c r="B27" s="120" t="s">
        <v>522</v>
      </c>
      <c r="C27" s="120"/>
      <c r="D27" s="120" t="s">
        <v>181</v>
      </c>
      <c r="E27" s="121"/>
      <c r="F27" s="122"/>
      <c r="G27" s="122"/>
    </row>
    <row r="28" spans="1:7" ht="52.8" x14ac:dyDescent="0.25">
      <c r="A28" s="89" t="s">
        <v>182</v>
      </c>
      <c r="B28" s="89" t="s">
        <v>183</v>
      </c>
      <c r="C28" s="89" t="s">
        <v>27</v>
      </c>
      <c r="D28" s="89" t="s">
        <v>184</v>
      </c>
      <c r="E28" s="92" t="s">
        <v>30</v>
      </c>
      <c r="F28" s="85">
        <f>F26*0.15</f>
        <v>97.2</v>
      </c>
      <c r="G28" s="85" t="s">
        <v>821</v>
      </c>
    </row>
    <row r="29" spans="1:7" ht="52.8" x14ac:dyDescent="0.25">
      <c r="A29" s="89" t="s">
        <v>185</v>
      </c>
      <c r="B29" s="89" t="s">
        <v>186</v>
      </c>
      <c r="C29" s="89" t="s">
        <v>27</v>
      </c>
      <c r="D29" s="89" t="s">
        <v>187</v>
      </c>
      <c r="E29" s="92" t="s">
        <v>30</v>
      </c>
      <c r="F29" s="86">
        <f>648*0.3</f>
        <v>194.4</v>
      </c>
      <c r="G29" s="86" t="s">
        <v>443</v>
      </c>
    </row>
    <row r="30" spans="1:7" ht="26.4" x14ac:dyDescent="0.25">
      <c r="A30" s="89" t="s">
        <v>188</v>
      </c>
      <c r="B30" s="89" t="s">
        <v>189</v>
      </c>
      <c r="C30" s="89" t="s">
        <v>27</v>
      </c>
      <c r="D30" s="89" t="s">
        <v>190</v>
      </c>
      <c r="E30" s="92" t="s">
        <v>46</v>
      </c>
      <c r="F30" s="86">
        <v>1971.22</v>
      </c>
      <c r="G30" s="86" t="s">
        <v>822</v>
      </c>
    </row>
    <row r="31" spans="1:7" x14ac:dyDescent="0.25">
      <c r="A31" s="120" t="s">
        <v>134</v>
      </c>
      <c r="B31" s="120" t="s">
        <v>522</v>
      </c>
      <c r="C31" s="120"/>
      <c r="D31" s="120" t="s">
        <v>191</v>
      </c>
      <c r="E31" s="121"/>
      <c r="F31" s="122"/>
      <c r="G31" s="122"/>
    </row>
    <row r="32" spans="1:7" x14ac:dyDescent="0.25">
      <c r="A32" s="120" t="s">
        <v>135</v>
      </c>
      <c r="B32" s="120" t="s">
        <v>522</v>
      </c>
      <c r="C32" s="120"/>
      <c r="D32" s="120" t="s">
        <v>192</v>
      </c>
      <c r="E32" s="121"/>
      <c r="F32" s="122"/>
      <c r="G32" s="122"/>
    </row>
    <row r="33" spans="1:7" x14ac:dyDescent="0.25">
      <c r="A33" s="89" t="s">
        <v>193</v>
      </c>
      <c r="B33" s="89" t="s">
        <v>469</v>
      </c>
      <c r="C33" s="89" t="s">
        <v>130</v>
      </c>
      <c r="D33" s="89" t="s">
        <v>531</v>
      </c>
      <c r="E33" s="92" t="s">
        <v>194</v>
      </c>
      <c r="F33" s="85">
        <f>[6]Estacas!$F$12</f>
        <v>474</v>
      </c>
      <c r="G33" s="85" t="s">
        <v>444</v>
      </c>
    </row>
    <row r="34" spans="1:7" x14ac:dyDescent="0.25">
      <c r="A34" s="120" t="s">
        <v>136</v>
      </c>
      <c r="B34" s="120" t="s">
        <v>522</v>
      </c>
      <c r="C34" s="120"/>
      <c r="D34" s="120" t="s">
        <v>470</v>
      </c>
      <c r="E34" s="121"/>
      <c r="F34" s="122"/>
      <c r="G34" s="122"/>
    </row>
    <row r="35" spans="1:7" ht="52.8" x14ac:dyDescent="0.25">
      <c r="A35" s="81" t="s">
        <v>195</v>
      </c>
      <c r="B35" s="81">
        <v>102306</v>
      </c>
      <c r="C35" s="81" t="s">
        <v>27</v>
      </c>
      <c r="D35" s="81" t="s">
        <v>843</v>
      </c>
      <c r="E35" s="82" t="s">
        <v>30</v>
      </c>
      <c r="F35" s="87">
        <v>128.41999999999999</v>
      </c>
      <c r="G35" s="86" t="s">
        <v>445</v>
      </c>
    </row>
    <row r="36" spans="1:7" ht="26.4" x14ac:dyDescent="0.25">
      <c r="A36" s="81" t="s">
        <v>196</v>
      </c>
      <c r="B36" s="81" t="s">
        <v>159</v>
      </c>
      <c r="C36" s="81" t="s">
        <v>27</v>
      </c>
      <c r="D36" s="81" t="s">
        <v>160</v>
      </c>
      <c r="E36" s="82" t="s">
        <v>30</v>
      </c>
      <c r="F36" s="96">
        <v>5.94</v>
      </c>
      <c r="G36" s="86" t="s">
        <v>606</v>
      </c>
    </row>
    <row r="37" spans="1:7" ht="39.6" x14ac:dyDescent="0.25">
      <c r="A37" s="81" t="s">
        <v>197</v>
      </c>
      <c r="B37" s="81" t="s">
        <v>471</v>
      </c>
      <c r="C37" s="81" t="s">
        <v>27</v>
      </c>
      <c r="D37" s="81" t="s">
        <v>472</v>
      </c>
      <c r="E37" s="82" t="s">
        <v>139</v>
      </c>
      <c r="F37" s="88">
        <v>210.11</v>
      </c>
      <c r="G37" s="86" t="s">
        <v>592</v>
      </c>
    </row>
    <row r="38" spans="1:7" ht="26.4" x14ac:dyDescent="0.25">
      <c r="A38" s="81" t="s">
        <v>473</v>
      </c>
      <c r="B38" s="81" t="s">
        <v>719</v>
      </c>
      <c r="C38" s="81" t="s">
        <v>27</v>
      </c>
      <c r="D38" s="81" t="s">
        <v>720</v>
      </c>
      <c r="E38" s="82" t="s">
        <v>139</v>
      </c>
      <c r="F38" s="88">
        <v>193.75</v>
      </c>
      <c r="G38" s="86" t="s">
        <v>718</v>
      </c>
    </row>
    <row r="39" spans="1:7" ht="26.4" x14ac:dyDescent="0.25">
      <c r="A39" s="81" t="s">
        <v>198</v>
      </c>
      <c r="B39" s="81" t="s">
        <v>474</v>
      </c>
      <c r="C39" s="81" t="s">
        <v>27</v>
      </c>
      <c r="D39" s="81" t="s">
        <v>475</v>
      </c>
      <c r="E39" s="82" t="s">
        <v>139</v>
      </c>
      <c r="F39" s="88">
        <v>142.72</v>
      </c>
      <c r="G39" s="86" t="s">
        <v>593</v>
      </c>
    </row>
    <row r="40" spans="1:7" ht="26.4" x14ac:dyDescent="0.25">
      <c r="A40" s="81" t="s">
        <v>199</v>
      </c>
      <c r="B40" s="81" t="s">
        <v>476</v>
      </c>
      <c r="C40" s="81" t="s">
        <v>27</v>
      </c>
      <c r="D40" s="81" t="s">
        <v>477</v>
      </c>
      <c r="E40" s="82" t="s">
        <v>139</v>
      </c>
      <c r="F40" s="88">
        <v>38.200000000000003</v>
      </c>
      <c r="G40" s="86" t="s">
        <v>593</v>
      </c>
    </row>
    <row r="41" spans="1:7" ht="26.4" x14ac:dyDescent="0.25">
      <c r="A41" s="81" t="s">
        <v>200</v>
      </c>
      <c r="B41" s="81" t="s">
        <v>478</v>
      </c>
      <c r="C41" s="81" t="s">
        <v>27</v>
      </c>
      <c r="D41" s="81" t="s">
        <v>479</v>
      </c>
      <c r="E41" s="82" t="s">
        <v>139</v>
      </c>
      <c r="F41" s="88">
        <v>1407.11</v>
      </c>
      <c r="G41" s="86" t="s">
        <v>594</v>
      </c>
    </row>
    <row r="42" spans="1:7" ht="28.2" customHeight="1" x14ac:dyDescent="0.25">
      <c r="A42" s="81" t="s">
        <v>203</v>
      </c>
      <c r="B42" s="81" t="s">
        <v>108</v>
      </c>
      <c r="C42" s="81" t="s">
        <v>27</v>
      </c>
      <c r="D42" s="81" t="s">
        <v>141</v>
      </c>
      <c r="E42" s="82" t="s">
        <v>6</v>
      </c>
      <c r="F42" s="87">
        <v>181.44</v>
      </c>
      <c r="G42" s="86" t="s">
        <v>445</v>
      </c>
    </row>
    <row r="43" spans="1:7" ht="39.6" x14ac:dyDescent="0.25">
      <c r="A43" s="81" t="s">
        <v>204</v>
      </c>
      <c r="B43" s="81" t="s">
        <v>109</v>
      </c>
      <c r="C43" s="81" t="s">
        <v>27</v>
      </c>
      <c r="D43" s="81" t="s">
        <v>142</v>
      </c>
      <c r="E43" s="82" t="s">
        <v>30</v>
      </c>
      <c r="F43" s="87">
        <v>23.79</v>
      </c>
      <c r="G43" s="86" t="s">
        <v>445</v>
      </c>
    </row>
    <row r="44" spans="1:7" x14ac:dyDescent="0.25">
      <c r="A44" s="81" t="s">
        <v>480</v>
      </c>
      <c r="B44" s="81" t="s">
        <v>782</v>
      </c>
      <c r="C44" s="91" t="s">
        <v>833</v>
      </c>
      <c r="D44" s="89" t="s">
        <v>781</v>
      </c>
      <c r="E44" s="82" t="s">
        <v>6</v>
      </c>
      <c r="F44" s="88">
        <v>43.68</v>
      </c>
      <c r="G44" s="86" t="s">
        <v>447</v>
      </c>
    </row>
    <row r="45" spans="1:7" ht="28.8" customHeight="1" x14ac:dyDescent="0.25">
      <c r="A45" s="81" t="s">
        <v>481</v>
      </c>
      <c r="B45" s="81" t="s">
        <v>201</v>
      </c>
      <c r="C45" s="81" t="s">
        <v>27</v>
      </c>
      <c r="D45" s="81" t="s">
        <v>202</v>
      </c>
      <c r="E45" s="82" t="s">
        <v>6</v>
      </c>
      <c r="F45" s="87">
        <f>'[4]Memorial de Cálculo'!F45</f>
        <v>152.88</v>
      </c>
      <c r="G45" s="85" t="s">
        <v>447</v>
      </c>
    </row>
    <row r="46" spans="1:7" ht="26.4" x14ac:dyDescent="0.25">
      <c r="A46" s="81" t="s">
        <v>482</v>
      </c>
      <c r="B46" s="81" t="s">
        <v>532</v>
      </c>
      <c r="C46" s="81" t="s">
        <v>27</v>
      </c>
      <c r="D46" s="81" t="s">
        <v>533</v>
      </c>
      <c r="E46" s="82" t="s">
        <v>30</v>
      </c>
      <c r="F46" s="96">
        <v>98.69</v>
      </c>
      <c r="G46" s="86" t="s">
        <v>607</v>
      </c>
    </row>
    <row r="47" spans="1:7" ht="26.4" x14ac:dyDescent="0.25">
      <c r="A47" s="81" t="s">
        <v>721</v>
      </c>
      <c r="B47" s="81" t="s">
        <v>44</v>
      </c>
      <c r="C47" s="81" t="s">
        <v>27</v>
      </c>
      <c r="D47" s="81" t="s">
        <v>45</v>
      </c>
      <c r="E47" s="82" t="s">
        <v>46</v>
      </c>
      <c r="F47" s="96">
        <v>248.02</v>
      </c>
      <c r="G47" s="86" t="s">
        <v>608</v>
      </c>
    </row>
    <row r="48" spans="1:7" x14ac:dyDescent="0.25">
      <c r="A48" s="120" t="s">
        <v>137</v>
      </c>
      <c r="B48" s="120" t="s">
        <v>522</v>
      </c>
      <c r="C48" s="120"/>
      <c r="D48" s="120" t="s">
        <v>205</v>
      </c>
      <c r="E48" s="121"/>
      <c r="F48" s="122"/>
      <c r="G48" s="122"/>
    </row>
    <row r="49" spans="1:7" ht="26.4" x14ac:dyDescent="0.25">
      <c r="A49" s="89" t="s">
        <v>138</v>
      </c>
      <c r="B49" s="89" t="s">
        <v>206</v>
      </c>
      <c r="C49" s="89" t="s">
        <v>27</v>
      </c>
      <c r="D49" s="89" t="s">
        <v>207</v>
      </c>
      <c r="E49" s="92" t="s">
        <v>6</v>
      </c>
      <c r="F49" s="85">
        <f>[6]Pilar!$H$14</f>
        <v>160.23240000000001</v>
      </c>
      <c r="G49" s="85" t="s">
        <v>448</v>
      </c>
    </row>
    <row r="50" spans="1:7" ht="26.4" x14ac:dyDescent="0.25">
      <c r="A50" s="89" t="s">
        <v>599</v>
      </c>
      <c r="B50" s="91">
        <v>92265</v>
      </c>
      <c r="C50" s="91" t="s">
        <v>27</v>
      </c>
      <c r="D50" s="91" t="s">
        <v>609</v>
      </c>
      <c r="E50" s="94" t="s">
        <v>6</v>
      </c>
      <c r="F50" s="86">
        <f>[6]Vigas!$I$13</f>
        <v>142.12889999999999</v>
      </c>
      <c r="G50" s="86" t="s">
        <v>610</v>
      </c>
    </row>
    <row r="51" spans="1:7" ht="39.6" x14ac:dyDescent="0.25">
      <c r="A51" s="89" t="s">
        <v>595</v>
      </c>
      <c r="B51" s="91" t="s">
        <v>471</v>
      </c>
      <c r="C51" s="91" t="s">
        <v>27</v>
      </c>
      <c r="D51" s="91" t="s">
        <v>472</v>
      </c>
      <c r="E51" s="94" t="s">
        <v>139</v>
      </c>
      <c r="F51" s="86">
        <f>(223.806+66.365+57.281+58.974)*100/110</f>
        <v>369.47818181818178</v>
      </c>
      <c r="G51" s="86" t="s">
        <v>588</v>
      </c>
    </row>
    <row r="52" spans="1:7" ht="39.6" x14ac:dyDescent="0.25">
      <c r="A52" s="89" t="s">
        <v>600</v>
      </c>
      <c r="B52" s="91">
        <v>92760</v>
      </c>
      <c r="C52" s="91" t="s">
        <v>27</v>
      </c>
      <c r="D52" s="91" t="s">
        <v>598</v>
      </c>
      <c r="E52" s="94" t="s">
        <v>139</v>
      </c>
      <c r="F52" s="86">
        <f>20.395*100/110</f>
        <v>18.540909090909089</v>
      </c>
      <c r="G52" s="86" t="s">
        <v>588</v>
      </c>
    </row>
    <row r="53" spans="1:7" ht="39.6" x14ac:dyDescent="0.25">
      <c r="A53" s="89" t="s">
        <v>601</v>
      </c>
      <c r="B53" s="91" t="s">
        <v>483</v>
      </c>
      <c r="C53" s="91" t="s">
        <v>27</v>
      </c>
      <c r="D53" s="91" t="s">
        <v>484</v>
      </c>
      <c r="E53" s="94" t="s">
        <v>139</v>
      </c>
      <c r="F53" s="86">
        <f>(651.83+360.032+323.292+314.945)*100/110</f>
        <v>1500.09</v>
      </c>
      <c r="G53" s="86" t="s">
        <v>588</v>
      </c>
    </row>
    <row r="54" spans="1:7" ht="26.4" x14ac:dyDescent="0.25">
      <c r="A54" s="89" t="s">
        <v>602</v>
      </c>
      <c r="B54" s="91" t="s">
        <v>208</v>
      </c>
      <c r="C54" s="91" t="s">
        <v>27</v>
      </c>
      <c r="D54" s="91" t="s">
        <v>209</v>
      </c>
      <c r="E54" s="94" t="s">
        <v>30</v>
      </c>
      <c r="F54" s="86">
        <f>[6]Pilar!$G$14</f>
        <v>7.7710389999999991</v>
      </c>
      <c r="G54" s="86" t="s">
        <v>449</v>
      </c>
    </row>
    <row r="55" spans="1:7" ht="39.6" x14ac:dyDescent="0.25">
      <c r="A55" s="89" t="s">
        <v>603</v>
      </c>
      <c r="B55" s="91">
        <v>103674</v>
      </c>
      <c r="C55" s="91" t="s">
        <v>27</v>
      </c>
      <c r="D55" s="91" t="s">
        <v>566</v>
      </c>
      <c r="E55" s="94" t="s">
        <v>30</v>
      </c>
      <c r="F55" s="86">
        <f>[6]Vigas!$H$13</f>
        <v>10.254869999999999</v>
      </c>
      <c r="G55" s="86" t="s">
        <v>611</v>
      </c>
    </row>
    <row r="56" spans="1:7" ht="26.4" x14ac:dyDescent="0.25">
      <c r="A56" s="81" t="s">
        <v>723</v>
      </c>
      <c r="B56" s="81" t="s">
        <v>842</v>
      </c>
      <c r="C56" s="91" t="s">
        <v>833</v>
      </c>
      <c r="D56" s="81" t="s">
        <v>841</v>
      </c>
      <c r="E56" s="82" t="s">
        <v>6</v>
      </c>
      <c r="F56" s="93">
        <v>54.6</v>
      </c>
      <c r="G56" s="86" t="s">
        <v>450</v>
      </c>
    </row>
    <row r="57" spans="1:7" x14ac:dyDescent="0.25">
      <c r="A57" s="81" t="s">
        <v>851</v>
      </c>
      <c r="B57" s="81" t="s">
        <v>397</v>
      </c>
      <c r="C57" s="91" t="s">
        <v>833</v>
      </c>
      <c r="D57" s="81" t="s">
        <v>855</v>
      </c>
      <c r="E57" s="82" t="s">
        <v>528</v>
      </c>
      <c r="F57" s="93">
        <f>ROUND(F56*1.48,2)</f>
        <v>80.81</v>
      </c>
      <c r="G57" s="86" t="s">
        <v>856</v>
      </c>
    </row>
    <row r="58" spans="1:7" ht="28.8" customHeight="1" x14ac:dyDescent="0.25">
      <c r="A58" s="89" t="s">
        <v>852</v>
      </c>
      <c r="B58" s="89" t="s">
        <v>487</v>
      </c>
      <c r="C58" s="89" t="s">
        <v>27</v>
      </c>
      <c r="D58" s="89" t="s">
        <v>488</v>
      </c>
      <c r="E58" s="92" t="s">
        <v>30</v>
      </c>
      <c r="F58" s="85">
        <f>[7]Laje!$N$8</f>
        <v>193.28400000000002</v>
      </c>
      <c r="G58" s="85" t="s">
        <v>450</v>
      </c>
    </row>
    <row r="59" spans="1:7" x14ac:dyDescent="0.25">
      <c r="A59" s="120"/>
      <c r="B59" s="120" t="s">
        <v>522</v>
      </c>
      <c r="C59" s="120"/>
      <c r="D59" s="120" t="s">
        <v>210</v>
      </c>
      <c r="E59" s="121"/>
      <c r="F59" s="122"/>
      <c r="G59" s="122"/>
    </row>
    <row r="60" spans="1:7" x14ac:dyDescent="0.25">
      <c r="A60" s="124" t="s">
        <v>147</v>
      </c>
      <c r="B60" s="91" t="s">
        <v>834</v>
      </c>
      <c r="C60" s="91" t="s">
        <v>437</v>
      </c>
      <c r="D60" s="91" t="s">
        <v>835</v>
      </c>
      <c r="E60" s="125" t="s">
        <v>6</v>
      </c>
      <c r="F60" s="126">
        <f>'[6]Alvenarias e Fechamentos'!$M$5</f>
        <v>898.66450000000009</v>
      </c>
      <c r="G60" s="126" t="s">
        <v>451</v>
      </c>
    </row>
    <row r="61" spans="1:7" ht="27.6" x14ac:dyDescent="0.25">
      <c r="A61" s="124" t="s">
        <v>778</v>
      </c>
      <c r="B61" s="124">
        <v>93205</v>
      </c>
      <c r="C61" s="124" t="s">
        <v>27</v>
      </c>
      <c r="D61" s="127" t="s">
        <v>792</v>
      </c>
      <c r="E61" s="125" t="s">
        <v>10</v>
      </c>
      <c r="F61" s="126">
        <f>'[6]Alvenarias e Fechamentos'!$I$5</f>
        <v>437.17999999999995</v>
      </c>
      <c r="G61" s="126" t="s">
        <v>451</v>
      </c>
    </row>
    <row r="62" spans="1:7" ht="26.4" x14ac:dyDescent="0.25">
      <c r="A62" s="124" t="s">
        <v>779</v>
      </c>
      <c r="B62" s="91" t="s">
        <v>489</v>
      </c>
      <c r="C62" s="91" t="s">
        <v>27</v>
      </c>
      <c r="D62" s="91" t="s">
        <v>490</v>
      </c>
      <c r="E62" s="94" t="s">
        <v>139</v>
      </c>
      <c r="F62" s="86">
        <f>610*100/110</f>
        <v>554.5454545454545</v>
      </c>
      <c r="G62" s="86" t="s">
        <v>446</v>
      </c>
    </row>
    <row r="63" spans="1:7" ht="26.4" x14ac:dyDescent="0.25">
      <c r="A63" s="124" t="s">
        <v>780</v>
      </c>
      <c r="B63" s="91" t="s">
        <v>110</v>
      </c>
      <c r="C63" s="91" t="s">
        <v>27</v>
      </c>
      <c r="D63" s="91" t="s">
        <v>111</v>
      </c>
      <c r="E63" s="94" t="s">
        <v>30</v>
      </c>
      <c r="F63" s="86">
        <f>[6]Grout!$F$14</f>
        <v>9.3792668999999993</v>
      </c>
      <c r="G63" s="85" t="s">
        <v>452</v>
      </c>
    </row>
    <row r="64" spans="1:7" x14ac:dyDescent="0.25">
      <c r="A64" s="91" t="s">
        <v>491</v>
      </c>
      <c r="B64" s="91" t="s">
        <v>492</v>
      </c>
      <c r="C64" s="91" t="s">
        <v>130</v>
      </c>
      <c r="D64" s="91" t="s">
        <v>534</v>
      </c>
      <c r="E64" s="94" t="s">
        <v>6</v>
      </c>
      <c r="F64" s="86">
        <f>(1.3*2*10)+(0.35*2*12)</f>
        <v>34.4</v>
      </c>
      <c r="G64" s="86" t="s">
        <v>612</v>
      </c>
    </row>
    <row r="65" spans="1:7" x14ac:dyDescent="0.25">
      <c r="A65" s="120" t="s">
        <v>36</v>
      </c>
      <c r="B65" s="120" t="s">
        <v>522</v>
      </c>
      <c r="C65" s="120"/>
      <c r="D65" s="120" t="s">
        <v>42</v>
      </c>
      <c r="E65" s="121"/>
      <c r="F65" s="122"/>
      <c r="G65" s="122"/>
    </row>
    <row r="66" spans="1:7" x14ac:dyDescent="0.25">
      <c r="A66" s="120" t="s">
        <v>37</v>
      </c>
      <c r="B66" s="120" t="s">
        <v>522</v>
      </c>
      <c r="C66" s="120"/>
      <c r="D66" s="120" t="s">
        <v>213</v>
      </c>
      <c r="E66" s="121"/>
      <c r="F66" s="122"/>
      <c r="G66" s="122"/>
    </row>
    <row r="67" spans="1:7" ht="27.6" x14ac:dyDescent="0.25">
      <c r="A67" s="89" t="s">
        <v>104</v>
      </c>
      <c r="B67" s="91" t="s">
        <v>613</v>
      </c>
      <c r="C67" s="91" t="s">
        <v>437</v>
      </c>
      <c r="D67" s="128" t="s">
        <v>614</v>
      </c>
      <c r="E67" s="94" t="s">
        <v>139</v>
      </c>
      <c r="F67" s="86">
        <f>F68*13</f>
        <v>7758.4443299999984</v>
      </c>
      <c r="G67" s="85" t="s">
        <v>661</v>
      </c>
    </row>
    <row r="68" spans="1:7" ht="30" customHeight="1" x14ac:dyDescent="0.25">
      <c r="A68" s="89" t="s">
        <v>214</v>
      </c>
      <c r="B68" s="91" t="s">
        <v>215</v>
      </c>
      <c r="C68" s="91" t="s">
        <v>130</v>
      </c>
      <c r="D68" s="91" t="s">
        <v>535</v>
      </c>
      <c r="E68" s="94" t="s">
        <v>6</v>
      </c>
      <c r="F68" s="86">
        <f>590.31*1.011</f>
        <v>596.80340999999987</v>
      </c>
      <c r="G68" s="85" t="s">
        <v>570</v>
      </c>
    </row>
    <row r="69" spans="1:7" x14ac:dyDescent="0.25">
      <c r="A69" s="89" t="s">
        <v>783</v>
      </c>
      <c r="B69" s="91" t="s">
        <v>617</v>
      </c>
      <c r="C69" s="91" t="s">
        <v>437</v>
      </c>
      <c r="D69" s="91" t="s">
        <v>618</v>
      </c>
      <c r="E69" s="94" t="s">
        <v>10</v>
      </c>
      <c r="F69" s="93">
        <v>30.2</v>
      </c>
      <c r="G69" s="93" t="s">
        <v>662</v>
      </c>
    </row>
    <row r="70" spans="1:7" ht="28.8" customHeight="1" x14ac:dyDescent="0.25">
      <c r="A70" s="89" t="s">
        <v>784</v>
      </c>
      <c r="B70" s="91" t="s">
        <v>112</v>
      </c>
      <c r="C70" s="91" t="s">
        <v>27</v>
      </c>
      <c r="D70" s="91" t="s">
        <v>113</v>
      </c>
      <c r="E70" s="94" t="s">
        <v>10</v>
      </c>
      <c r="F70" s="86">
        <f>[6]Coberturas!$H$10+7</f>
        <v>58.599999999999994</v>
      </c>
      <c r="G70" s="85" t="s">
        <v>453</v>
      </c>
    </row>
    <row r="71" spans="1:7" ht="26.4" x14ac:dyDescent="0.25">
      <c r="A71" s="89" t="s">
        <v>785</v>
      </c>
      <c r="B71" s="91" t="s">
        <v>218</v>
      </c>
      <c r="C71" s="91" t="s">
        <v>27</v>
      </c>
      <c r="D71" s="91" t="s">
        <v>219</v>
      </c>
      <c r="E71" s="94" t="s">
        <v>10</v>
      </c>
      <c r="F71" s="86">
        <v>94.6</v>
      </c>
      <c r="G71" s="85" t="s">
        <v>453</v>
      </c>
    </row>
    <row r="72" spans="1:7" x14ac:dyDescent="0.25">
      <c r="A72" s="120" t="s">
        <v>126</v>
      </c>
      <c r="B72" s="120" t="s">
        <v>522</v>
      </c>
      <c r="C72" s="120"/>
      <c r="D72" s="120" t="s">
        <v>220</v>
      </c>
      <c r="E72" s="120"/>
      <c r="F72" s="120"/>
      <c r="G72" s="122"/>
    </row>
    <row r="73" spans="1:7" ht="26.4" x14ac:dyDescent="0.25">
      <c r="A73" s="89" t="s">
        <v>128</v>
      </c>
      <c r="B73" s="91" t="s">
        <v>613</v>
      </c>
      <c r="C73" s="91" t="s">
        <v>437</v>
      </c>
      <c r="D73" s="91" t="s">
        <v>614</v>
      </c>
      <c r="E73" s="94" t="s">
        <v>139</v>
      </c>
      <c r="F73" s="86">
        <f>[6]Coberturas!$D$11*13</f>
        <v>111.01999999999998</v>
      </c>
      <c r="G73" s="85" t="s">
        <v>663</v>
      </c>
    </row>
    <row r="74" spans="1:7" ht="27.6" customHeight="1" x14ac:dyDescent="0.25">
      <c r="A74" s="89" t="s">
        <v>824</v>
      </c>
      <c r="B74" s="91" t="s">
        <v>215</v>
      </c>
      <c r="C74" s="91" t="s">
        <v>130</v>
      </c>
      <c r="D74" s="91" t="s">
        <v>535</v>
      </c>
      <c r="E74" s="94" t="s">
        <v>6</v>
      </c>
      <c r="F74" s="86">
        <f>[7]Coberturas!$D$21</f>
        <v>7.6999999999999993</v>
      </c>
      <c r="G74" s="85" t="s">
        <v>453</v>
      </c>
    </row>
    <row r="75" spans="1:7" ht="27.6" customHeight="1" x14ac:dyDescent="0.25">
      <c r="A75" s="89" t="s">
        <v>825</v>
      </c>
      <c r="B75" s="91" t="s">
        <v>112</v>
      </c>
      <c r="C75" s="91" t="s">
        <v>27</v>
      </c>
      <c r="D75" s="91" t="s">
        <v>113</v>
      </c>
      <c r="E75" s="94" t="s">
        <v>10</v>
      </c>
      <c r="F75" s="86">
        <f>[6]Coberturas!$H$13</f>
        <v>2.8</v>
      </c>
      <c r="G75" s="85" t="s">
        <v>453</v>
      </c>
    </row>
    <row r="76" spans="1:7" ht="26.4" x14ac:dyDescent="0.25">
      <c r="A76" s="89" t="s">
        <v>826</v>
      </c>
      <c r="B76" s="91" t="s">
        <v>218</v>
      </c>
      <c r="C76" s="91" t="s">
        <v>27</v>
      </c>
      <c r="D76" s="91" t="s">
        <v>219</v>
      </c>
      <c r="E76" s="94" t="s">
        <v>10</v>
      </c>
      <c r="F76" s="86">
        <f>[6]Coberturas!$J$13</f>
        <v>2.8</v>
      </c>
      <c r="G76" s="85" t="s">
        <v>453</v>
      </c>
    </row>
    <row r="77" spans="1:7" x14ac:dyDescent="0.25">
      <c r="A77" s="120" t="s">
        <v>149</v>
      </c>
      <c r="B77" s="120" t="s">
        <v>522</v>
      </c>
      <c r="C77" s="120"/>
      <c r="D77" s="120" t="s">
        <v>493</v>
      </c>
      <c r="E77" s="120"/>
      <c r="F77" s="120"/>
      <c r="G77" s="122"/>
    </row>
    <row r="78" spans="1:7" ht="26.4" x14ac:dyDescent="0.25">
      <c r="A78" s="89" t="s">
        <v>150</v>
      </c>
      <c r="B78" s="91" t="s">
        <v>613</v>
      </c>
      <c r="C78" s="91" t="s">
        <v>437</v>
      </c>
      <c r="D78" s="91" t="s">
        <v>614</v>
      </c>
      <c r="E78" s="82" t="s">
        <v>139</v>
      </c>
      <c r="F78" s="83">
        <v>140.13</v>
      </c>
      <c r="G78" s="85" t="s">
        <v>664</v>
      </c>
    </row>
    <row r="79" spans="1:7" ht="26.4" x14ac:dyDescent="0.25">
      <c r="A79" s="89" t="s">
        <v>161</v>
      </c>
      <c r="B79" s="81" t="s">
        <v>848</v>
      </c>
      <c r="C79" s="91" t="s">
        <v>833</v>
      </c>
      <c r="D79" s="91" t="s">
        <v>847</v>
      </c>
      <c r="E79" s="82" t="s">
        <v>6</v>
      </c>
      <c r="F79" s="83">
        <v>15.57</v>
      </c>
      <c r="G79" s="85" t="s">
        <v>453</v>
      </c>
    </row>
    <row r="80" spans="1:7" ht="27" customHeight="1" x14ac:dyDescent="0.25">
      <c r="A80" s="89"/>
      <c r="B80" s="81" t="s">
        <v>112</v>
      </c>
      <c r="C80" s="81" t="s">
        <v>27</v>
      </c>
      <c r="D80" s="81" t="s">
        <v>113</v>
      </c>
      <c r="E80" s="82" t="s">
        <v>10</v>
      </c>
      <c r="F80" s="83">
        <v>17.3</v>
      </c>
      <c r="G80" s="85" t="s">
        <v>453</v>
      </c>
    </row>
    <row r="81" spans="1:7" ht="26.4" x14ac:dyDescent="0.25">
      <c r="A81" s="89"/>
      <c r="B81" s="81" t="s">
        <v>218</v>
      </c>
      <c r="C81" s="81" t="s">
        <v>27</v>
      </c>
      <c r="D81" s="81" t="s">
        <v>219</v>
      </c>
      <c r="E81" s="82" t="s">
        <v>10</v>
      </c>
      <c r="F81" s="93">
        <v>17.3</v>
      </c>
      <c r="G81" s="85" t="s">
        <v>453</v>
      </c>
    </row>
    <row r="82" spans="1:7" x14ac:dyDescent="0.25">
      <c r="A82" s="120" t="s">
        <v>221</v>
      </c>
      <c r="B82" s="120" t="s">
        <v>522</v>
      </c>
      <c r="C82" s="120"/>
      <c r="D82" s="120" t="s">
        <v>39</v>
      </c>
      <c r="E82" s="121"/>
      <c r="F82" s="122"/>
      <c r="G82" s="122"/>
    </row>
    <row r="83" spans="1:7" x14ac:dyDescent="0.25">
      <c r="A83" s="120" t="s">
        <v>222</v>
      </c>
      <c r="B83" s="120" t="s">
        <v>522</v>
      </c>
      <c r="C83" s="120"/>
      <c r="D83" s="120" t="s">
        <v>223</v>
      </c>
      <c r="E83" s="121"/>
      <c r="F83" s="122"/>
      <c r="G83" s="122"/>
    </row>
    <row r="84" spans="1:7" ht="52.8" x14ac:dyDescent="0.25">
      <c r="A84" s="89" t="s">
        <v>224</v>
      </c>
      <c r="B84" s="89" t="s">
        <v>225</v>
      </c>
      <c r="C84" s="89" t="s">
        <v>27</v>
      </c>
      <c r="D84" s="89" t="s">
        <v>226</v>
      </c>
      <c r="E84" s="92" t="s">
        <v>9</v>
      </c>
      <c r="F84" s="85">
        <f>[7]Esquadrias!$K$11+[7]Esquadrias!$K$12</f>
        <v>9</v>
      </c>
      <c r="G84" s="85" t="s">
        <v>454</v>
      </c>
    </row>
    <row r="85" spans="1:7" ht="26.4" x14ac:dyDescent="0.25">
      <c r="A85" s="89" t="s">
        <v>227</v>
      </c>
      <c r="B85" s="89" t="s">
        <v>228</v>
      </c>
      <c r="C85" s="89" t="s">
        <v>130</v>
      </c>
      <c r="D85" s="89" t="s">
        <v>536</v>
      </c>
      <c r="E85" s="92" t="s">
        <v>6</v>
      </c>
      <c r="F85" s="85">
        <f>[7]Esquadrias!$N$13</f>
        <v>5.75</v>
      </c>
      <c r="G85" s="85" t="s">
        <v>454</v>
      </c>
    </row>
    <row r="86" spans="1:7" ht="26.4" x14ac:dyDescent="0.25">
      <c r="A86" s="89" t="s">
        <v>229</v>
      </c>
      <c r="B86" s="89" t="s">
        <v>101</v>
      </c>
      <c r="C86" s="89" t="s">
        <v>130</v>
      </c>
      <c r="D86" s="89" t="s">
        <v>537</v>
      </c>
      <c r="E86" s="92" t="s">
        <v>6</v>
      </c>
      <c r="F86" s="85">
        <f>[7]Esquadrias!$N$14</f>
        <v>1.8900000000000001</v>
      </c>
      <c r="G86" s="85" t="s">
        <v>454</v>
      </c>
    </row>
    <row r="87" spans="1:7" ht="26.4" x14ac:dyDescent="0.25">
      <c r="A87" s="89" t="s">
        <v>512</v>
      </c>
      <c r="B87" s="91" t="s">
        <v>619</v>
      </c>
      <c r="C87" s="91" t="s">
        <v>130</v>
      </c>
      <c r="D87" s="91" t="s">
        <v>620</v>
      </c>
      <c r="E87" s="94" t="s">
        <v>9</v>
      </c>
      <c r="F87" s="86">
        <f>6*2</f>
        <v>12</v>
      </c>
      <c r="G87" s="85" t="s">
        <v>665</v>
      </c>
    </row>
    <row r="88" spans="1:7" x14ac:dyDescent="0.25">
      <c r="A88" s="120" t="s">
        <v>230</v>
      </c>
      <c r="B88" s="120" t="s">
        <v>522</v>
      </c>
      <c r="C88" s="120"/>
      <c r="D88" s="120" t="s">
        <v>231</v>
      </c>
      <c r="E88" s="121"/>
      <c r="F88" s="122"/>
      <c r="G88" s="122"/>
    </row>
    <row r="89" spans="1:7" x14ac:dyDescent="0.25">
      <c r="A89" s="89" t="s">
        <v>232</v>
      </c>
      <c r="B89" s="91" t="s">
        <v>621</v>
      </c>
      <c r="C89" s="91" t="s">
        <v>130</v>
      </c>
      <c r="D89" s="91" t="s">
        <v>622</v>
      </c>
      <c r="E89" s="94" t="s">
        <v>6</v>
      </c>
      <c r="F89" s="86">
        <f>[6]Esquadrias!$N$8+[6]Esquadrias!$N$10+[6]Esquadrias!$N$11</f>
        <v>100.08</v>
      </c>
      <c r="G89" s="85" t="s">
        <v>454</v>
      </c>
    </row>
    <row r="90" spans="1:7" ht="26.4" x14ac:dyDescent="0.25">
      <c r="A90" s="89" t="s">
        <v>666</v>
      </c>
      <c r="B90" s="91" t="s">
        <v>827</v>
      </c>
      <c r="C90" s="91" t="s">
        <v>130</v>
      </c>
      <c r="D90" s="91" t="s">
        <v>828</v>
      </c>
      <c r="E90" s="94" t="s">
        <v>6</v>
      </c>
      <c r="F90" s="86">
        <f>[6]Esquadrias!$N$9</f>
        <v>29.12</v>
      </c>
      <c r="G90" s="85" t="s">
        <v>454</v>
      </c>
    </row>
    <row r="91" spans="1:7" ht="26.4" x14ac:dyDescent="0.25">
      <c r="A91" s="89" t="s">
        <v>667</v>
      </c>
      <c r="B91" s="91" t="s">
        <v>235</v>
      </c>
      <c r="C91" s="91" t="s">
        <v>130</v>
      </c>
      <c r="D91" s="91" t="s">
        <v>539</v>
      </c>
      <c r="E91" s="94" t="s">
        <v>6</v>
      </c>
      <c r="F91" s="86">
        <f>F90</f>
        <v>29.12</v>
      </c>
      <c r="G91" s="85" t="s">
        <v>454</v>
      </c>
    </row>
    <row r="92" spans="1:7" ht="26.4" x14ac:dyDescent="0.25">
      <c r="A92" s="89" t="s">
        <v>668</v>
      </c>
      <c r="B92" s="91" t="s">
        <v>237</v>
      </c>
      <c r="C92" s="91" t="s">
        <v>27</v>
      </c>
      <c r="D92" s="91" t="s">
        <v>238</v>
      </c>
      <c r="E92" s="94" t="s">
        <v>6</v>
      </c>
      <c r="F92" s="86">
        <v>94.64</v>
      </c>
      <c r="G92" s="85" t="s">
        <v>454</v>
      </c>
    </row>
    <row r="93" spans="1:7" x14ac:dyDescent="0.25">
      <c r="A93" s="89" t="s">
        <v>669</v>
      </c>
      <c r="B93" s="91" t="s">
        <v>623</v>
      </c>
      <c r="C93" s="91" t="s">
        <v>130</v>
      </c>
      <c r="D93" s="91" t="s">
        <v>615</v>
      </c>
      <c r="E93" s="94" t="s">
        <v>6</v>
      </c>
      <c r="F93" s="86">
        <f>[6]Esquadrias!$E$17</f>
        <v>5.44</v>
      </c>
      <c r="G93" s="85" t="s">
        <v>454</v>
      </c>
    </row>
    <row r="94" spans="1:7" ht="26.4" x14ac:dyDescent="0.25">
      <c r="A94" s="89" t="s">
        <v>670</v>
      </c>
      <c r="B94" s="91" t="s">
        <v>583</v>
      </c>
      <c r="C94" s="91" t="s">
        <v>130</v>
      </c>
      <c r="D94" s="91" t="s">
        <v>584</v>
      </c>
      <c r="E94" s="94" t="s">
        <v>194</v>
      </c>
      <c r="F94" s="86">
        <f>[6]Esquadrias!$E$39</f>
        <v>81.400000000000006</v>
      </c>
      <c r="G94" s="85" t="s">
        <v>454</v>
      </c>
    </row>
    <row r="95" spans="1:7" x14ac:dyDescent="0.25">
      <c r="A95" s="120" t="s">
        <v>239</v>
      </c>
      <c r="B95" s="120" t="s">
        <v>522</v>
      </c>
      <c r="C95" s="120"/>
      <c r="D95" s="120" t="s">
        <v>240</v>
      </c>
      <c r="E95" s="121"/>
      <c r="F95" s="122"/>
      <c r="G95" s="122"/>
    </row>
    <row r="96" spans="1:7" x14ac:dyDescent="0.25">
      <c r="A96" s="120" t="s">
        <v>241</v>
      </c>
      <c r="B96" s="120" t="s">
        <v>522</v>
      </c>
      <c r="C96" s="120"/>
      <c r="D96" s="120" t="s">
        <v>242</v>
      </c>
      <c r="E96" s="121"/>
      <c r="F96" s="122"/>
      <c r="G96" s="122"/>
    </row>
    <row r="97" spans="1:7" ht="39.6" x14ac:dyDescent="0.25">
      <c r="A97" s="89" t="s">
        <v>513</v>
      </c>
      <c r="B97" s="89" t="s">
        <v>244</v>
      </c>
      <c r="C97" s="89" t="s">
        <v>27</v>
      </c>
      <c r="D97" s="89" t="s">
        <v>245</v>
      </c>
      <c r="E97" s="92" t="s">
        <v>9</v>
      </c>
      <c r="F97" s="86">
        <v>2</v>
      </c>
      <c r="G97" s="86" t="s">
        <v>455</v>
      </c>
    </row>
    <row r="98" spans="1:7" ht="39.6" x14ac:dyDescent="0.25">
      <c r="A98" s="89" t="s">
        <v>243</v>
      </c>
      <c r="B98" s="91" t="s">
        <v>494</v>
      </c>
      <c r="C98" s="91" t="s">
        <v>27</v>
      </c>
      <c r="D98" s="91" t="s">
        <v>495</v>
      </c>
      <c r="E98" s="94" t="s">
        <v>9</v>
      </c>
      <c r="F98" s="96">
        <v>4</v>
      </c>
      <c r="G98" s="86" t="s">
        <v>455</v>
      </c>
    </row>
    <row r="99" spans="1:7" ht="39.6" x14ac:dyDescent="0.25">
      <c r="A99" s="89" t="s">
        <v>246</v>
      </c>
      <c r="B99" s="91" t="s">
        <v>248</v>
      </c>
      <c r="C99" s="91" t="s">
        <v>27</v>
      </c>
      <c r="D99" s="91" t="s">
        <v>249</v>
      </c>
      <c r="E99" s="94" t="s">
        <v>10</v>
      </c>
      <c r="F99" s="96">
        <v>15</v>
      </c>
      <c r="G99" s="86" t="s">
        <v>455</v>
      </c>
    </row>
    <row r="100" spans="1:7" ht="39.6" x14ac:dyDescent="0.25">
      <c r="A100" s="89" t="s">
        <v>247</v>
      </c>
      <c r="B100" s="91" t="s">
        <v>251</v>
      </c>
      <c r="C100" s="91" t="s">
        <v>27</v>
      </c>
      <c r="D100" s="91" t="s">
        <v>252</v>
      </c>
      <c r="E100" s="94" t="s">
        <v>10</v>
      </c>
      <c r="F100" s="96">
        <v>20</v>
      </c>
      <c r="G100" s="86" t="s">
        <v>455</v>
      </c>
    </row>
    <row r="101" spans="1:7" ht="39.6" x14ac:dyDescent="0.25">
      <c r="A101" s="89" t="s">
        <v>250</v>
      </c>
      <c r="B101" s="91" t="s">
        <v>540</v>
      </c>
      <c r="C101" s="91" t="s">
        <v>27</v>
      </c>
      <c r="D101" s="91" t="s">
        <v>541</v>
      </c>
      <c r="E101" s="94" t="s">
        <v>10</v>
      </c>
      <c r="F101" s="96">
        <v>45</v>
      </c>
      <c r="G101" s="86" t="s">
        <v>455</v>
      </c>
    </row>
    <row r="102" spans="1:7" x14ac:dyDescent="0.25">
      <c r="A102" s="120" t="s">
        <v>253</v>
      </c>
      <c r="B102" s="120" t="s">
        <v>522</v>
      </c>
      <c r="C102" s="120"/>
      <c r="D102" s="120" t="s">
        <v>254</v>
      </c>
      <c r="E102" s="121"/>
      <c r="F102" s="122"/>
      <c r="G102" s="122"/>
    </row>
    <row r="103" spans="1:7" ht="26.4" x14ac:dyDescent="0.25">
      <c r="A103" s="89" t="s">
        <v>625</v>
      </c>
      <c r="B103" s="91">
        <v>94489</v>
      </c>
      <c r="C103" s="91" t="s">
        <v>27</v>
      </c>
      <c r="D103" s="91" t="s">
        <v>567</v>
      </c>
      <c r="E103" s="94" t="s">
        <v>9</v>
      </c>
      <c r="F103" s="93">
        <v>4</v>
      </c>
      <c r="G103" s="86" t="s">
        <v>455</v>
      </c>
    </row>
    <row r="104" spans="1:7" ht="26.4" x14ac:dyDescent="0.25">
      <c r="A104" s="89" t="s">
        <v>626</v>
      </c>
      <c r="B104" s="91">
        <v>94492</v>
      </c>
      <c r="C104" s="91" t="s">
        <v>27</v>
      </c>
      <c r="D104" s="91" t="s">
        <v>624</v>
      </c>
      <c r="E104" s="94" t="s">
        <v>9</v>
      </c>
      <c r="F104" s="93">
        <v>6</v>
      </c>
      <c r="G104" s="86" t="s">
        <v>455</v>
      </c>
    </row>
    <row r="105" spans="1:7" ht="39.6" x14ac:dyDescent="0.25">
      <c r="A105" s="89" t="s">
        <v>627</v>
      </c>
      <c r="B105" s="91">
        <v>89987</v>
      </c>
      <c r="C105" s="91" t="s">
        <v>27</v>
      </c>
      <c r="D105" s="91" t="s">
        <v>258</v>
      </c>
      <c r="E105" s="94" t="s">
        <v>9</v>
      </c>
      <c r="F105" s="93">
        <v>2</v>
      </c>
      <c r="G105" s="86" t="s">
        <v>455</v>
      </c>
    </row>
    <row r="106" spans="1:7" ht="26.4" x14ac:dyDescent="0.25">
      <c r="A106" s="89" t="s">
        <v>628</v>
      </c>
      <c r="B106" s="91">
        <v>94794</v>
      </c>
      <c r="C106" s="91" t="s">
        <v>27</v>
      </c>
      <c r="D106" s="91" t="s">
        <v>629</v>
      </c>
      <c r="E106" s="94" t="s">
        <v>9</v>
      </c>
      <c r="F106" s="93">
        <v>2</v>
      </c>
      <c r="G106" s="86" t="s">
        <v>455</v>
      </c>
    </row>
    <row r="107" spans="1:7" ht="26.4" x14ac:dyDescent="0.25">
      <c r="A107" s="89" t="s">
        <v>630</v>
      </c>
      <c r="B107" s="91" t="s">
        <v>542</v>
      </c>
      <c r="C107" s="91" t="s">
        <v>27</v>
      </c>
      <c r="D107" s="91" t="s">
        <v>543</v>
      </c>
      <c r="E107" s="94" t="s">
        <v>10</v>
      </c>
      <c r="F107" s="93">
        <v>88</v>
      </c>
      <c r="G107" s="86" t="s">
        <v>455</v>
      </c>
    </row>
    <row r="108" spans="1:7" ht="26.4" x14ac:dyDescent="0.25">
      <c r="A108" s="89" t="s">
        <v>631</v>
      </c>
      <c r="B108" s="91" t="s">
        <v>544</v>
      </c>
      <c r="C108" s="91" t="s">
        <v>27</v>
      </c>
      <c r="D108" s="91" t="s">
        <v>545</v>
      </c>
      <c r="E108" s="94" t="s">
        <v>10</v>
      </c>
      <c r="F108" s="93">
        <v>74</v>
      </c>
      <c r="G108" s="86" t="s">
        <v>455</v>
      </c>
    </row>
    <row r="109" spans="1:7" ht="39.6" x14ac:dyDescent="0.25">
      <c r="A109" s="89" t="s">
        <v>632</v>
      </c>
      <c r="B109" s="91" t="s">
        <v>262</v>
      </c>
      <c r="C109" s="91" t="s">
        <v>27</v>
      </c>
      <c r="D109" s="91" t="s">
        <v>263</v>
      </c>
      <c r="E109" s="94" t="s">
        <v>9</v>
      </c>
      <c r="F109" s="93">
        <v>4</v>
      </c>
      <c r="G109" s="86" t="s">
        <v>455</v>
      </c>
    </row>
    <row r="110" spans="1:7" x14ac:dyDescent="0.25">
      <c r="A110" s="120" t="s">
        <v>264</v>
      </c>
      <c r="B110" s="120" t="s">
        <v>522</v>
      </c>
      <c r="C110" s="120"/>
      <c r="D110" s="120" t="s">
        <v>265</v>
      </c>
      <c r="E110" s="121"/>
      <c r="F110" s="122"/>
      <c r="G110" s="122"/>
    </row>
    <row r="111" spans="1:7" ht="39.6" x14ac:dyDescent="0.25">
      <c r="A111" s="89" t="s">
        <v>266</v>
      </c>
      <c r="B111" s="91" t="s">
        <v>267</v>
      </c>
      <c r="C111" s="91" t="s">
        <v>27</v>
      </c>
      <c r="D111" s="91" t="s">
        <v>268</v>
      </c>
      <c r="E111" s="94" t="s">
        <v>9</v>
      </c>
      <c r="F111" s="93">
        <v>12</v>
      </c>
      <c r="G111" s="86" t="s">
        <v>455</v>
      </c>
    </row>
    <row r="112" spans="1:7" ht="39.6" x14ac:dyDescent="0.25">
      <c r="A112" s="89" t="s">
        <v>269</v>
      </c>
      <c r="B112" s="91" t="s">
        <v>270</v>
      </c>
      <c r="C112" s="91" t="s">
        <v>27</v>
      </c>
      <c r="D112" s="91" t="s">
        <v>271</v>
      </c>
      <c r="E112" s="94" t="s">
        <v>9</v>
      </c>
      <c r="F112" s="93">
        <v>3</v>
      </c>
      <c r="G112" s="86" t="s">
        <v>455</v>
      </c>
    </row>
    <row r="113" spans="1:7" ht="26.4" x14ac:dyDescent="0.25">
      <c r="A113" s="89" t="s">
        <v>272</v>
      </c>
      <c r="B113" s="91">
        <v>102989</v>
      </c>
      <c r="C113" s="91" t="s">
        <v>27</v>
      </c>
      <c r="D113" s="91" t="s">
        <v>633</v>
      </c>
      <c r="E113" s="94" t="s">
        <v>10</v>
      </c>
      <c r="F113" s="93">
        <v>11.7</v>
      </c>
      <c r="G113" s="86" t="s">
        <v>455</v>
      </c>
    </row>
    <row r="114" spans="1:7" ht="26.4" x14ac:dyDescent="0.25">
      <c r="A114" s="89" t="s">
        <v>273</v>
      </c>
      <c r="B114" s="91" t="s">
        <v>546</v>
      </c>
      <c r="C114" s="91" t="s">
        <v>27</v>
      </c>
      <c r="D114" s="91" t="s">
        <v>547</v>
      </c>
      <c r="E114" s="94" t="s">
        <v>10</v>
      </c>
      <c r="F114" s="93">
        <v>53</v>
      </c>
      <c r="G114" s="86" t="s">
        <v>455</v>
      </c>
    </row>
    <row r="115" spans="1:7" ht="26.4" x14ac:dyDescent="0.25">
      <c r="A115" s="89" t="s">
        <v>274</v>
      </c>
      <c r="B115" s="91" t="s">
        <v>548</v>
      </c>
      <c r="C115" s="91" t="s">
        <v>27</v>
      </c>
      <c r="D115" s="91" t="s">
        <v>549</v>
      </c>
      <c r="E115" s="94" t="s">
        <v>10</v>
      </c>
      <c r="F115" s="93">
        <v>188</v>
      </c>
      <c r="G115" s="86" t="s">
        <v>455</v>
      </c>
    </row>
    <row r="116" spans="1:7" x14ac:dyDescent="0.25">
      <c r="A116" s="120" t="s">
        <v>795</v>
      </c>
      <c r="B116" s="120" t="s">
        <v>522</v>
      </c>
      <c r="C116" s="120"/>
      <c r="D116" s="120" t="s">
        <v>276</v>
      </c>
      <c r="E116" s="121"/>
      <c r="F116" s="122"/>
      <c r="G116" s="122"/>
    </row>
    <row r="117" spans="1:7" ht="26.4" x14ac:dyDescent="0.25">
      <c r="A117" s="89" t="s">
        <v>796</v>
      </c>
      <c r="B117" s="91">
        <v>104315</v>
      </c>
      <c r="C117" s="91" t="s">
        <v>27</v>
      </c>
      <c r="D117" s="91" t="s">
        <v>616</v>
      </c>
      <c r="E117" s="94" t="s">
        <v>10</v>
      </c>
      <c r="F117" s="93">
        <f>14*4.5</f>
        <v>63</v>
      </c>
      <c r="G117" s="129" t="s">
        <v>463</v>
      </c>
    </row>
    <row r="118" spans="1:7" x14ac:dyDescent="0.25">
      <c r="A118" s="120" t="s">
        <v>596</v>
      </c>
      <c r="B118" s="120" t="s">
        <v>522</v>
      </c>
      <c r="C118" s="120"/>
      <c r="D118" s="120" t="s">
        <v>496</v>
      </c>
      <c r="E118" s="121"/>
      <c r="F118" s="122"/>
      <c r="G118" s="122"/>
    </row>
    <row r="119" spans="1:7" x14ac:dyDescent="0.25">
      <c r="A119" s="89" t="s">
        <v>597</v>
      </c>
      <c r="B119" s="91" t="s">
        <v>793</v>
      </c>
      <c r="C119" s="91" t="s">
        <v>833</v>
      </c>
      <c r="D119" s="91" t="s">
        <v>794</v>
      </c>
      <c r="E119" s="94" t="s">
        <v>538</v>
      </c>
      <c r="F119" s="93">
        <v>12</v>
      </c>
      <c r="G119" s="129" t="s">
        <v>463</v>
      </c>
    </row>
    <row r="120" spans="1:7" ht="26.4" x14ac:dyDescent="0.25">
      <c r="A120" s="89" t="s">
        <v>797</v>
      </c>
      <c r="B120" s="91">
        <v>86915</v>
      </c>
      <c r="C120" s="91" t="s">
        <v>27</v>
      </c>
      <c r="D120" s="91" t="s">
        <v>839</v>
      </c>
      <c r="E120" s="94" t="s">
        <v>172</v>
      </c>
      <c r="F120" s="93">
        <v>10</v>
      </c>
      <c r="G120" s="129" t="s">
        <v>463</v>
      </c>
    </row>
    <row r="121" spans="1:7" ht="26.4" x14ac:dyDescent="0.25">
      <c r="A121" s="89" t="s">
        <v>798</v>
      </c>
      <c r="B121" s="91" t="s">
        <v>465</v>
      </c>
      <c r="C121" s="91" t="s">
        <v>833</v>
      </c>
      <c r="D121" s="91" t="s">
        <v>550</v>
      </c>
      <c r="E121" s="94" t="s">
        <v>172</v>
      </c>
      <c r="F121" s="93">
        <v>3</v>
      </c>
      <c r="G121" s="123" t="s">
        <v>467</v>
      </c>
    </row>
    <row r="122" spans="1:7" x14ac:dyDescent="0.25">
      <c r="A122" s="89" t="s">
        <v>799</v>
      </c>
      <c r="B122" s="91" t="s">
        <v>742</v>
      </c>
      <c r="C122" s="91" t="s">
        <v>634</v>
      </c>
      <c r="D122" s="91" t="s">
        <v>635</v>
      </c>
      <c r="E122" s="94" t="s">
        <v>6</v>
      </c>
      <c r="F122" s="93">
        <v>2.1</v>
      </c>
      <c r="G122" s="129" t="s">
        <v>805</v>
      </c>
    </row>
    <row r="123" spans="1:7" ht="39.6" x14ac:dyDescent="0.25">
      <c r="A123" s="89" t="s">
        <v>800</v>
      </c>
      <c r="B123" s="91" t="s">
        <v>744</v>
      </c>
      <c r="C123" s="91" t="s">
        <v>27</v>
      </c>
      <c r="D123" s="91" t="s">
        <v>636</v>
      </c>
      <c r="E123" s="94" t="s">
        <v>9</v>
      </c>
      <c r="F123" s="93">
        <v>10</v>
      </c>
      <c r="G123" s="129" t="s">
        <v>463</v>
      </c>
    </row>
    <row r="124" spans="1:7" ht="26.4" x14ac:dyDescent="0.25">
      <c r="A124" s="89" t="s">
        <v>801</v>
      </c>
      <c r="B124" s="91" t="s">
        <v>466</v>
      </c>
      <c r="C124" s="91" t="s">
        <v>833</v>
      </c>
      <c r="D124" s="91" t="s">
        <v>551</v>
      </c>
      <c r="E124" s="94" t="s">
        <v>6</v>
      </c>
      <c r="F124" s="93">
        <v>4</v>
      </c>
      <c r="G124" s="123" t="s">
        <v>468</v>
      </c>
    </row>
    <row r="125" spans="1:7" ht="26.4" x14ac:dyDescent="0.25">
      <c r="A125" s="89" t="s">
        <v>802</v>
      </c>
      <c r="B125" s="91" t="s">
        <v>571</v>
      </c>
      <c r="C125" s="91" t="s">
        <v>833</v>
      </c>
      <c r="D125" s="91" t="s">
        <v>572</v>
      </c>
      <c r="E125" s="94" t="s">
        <v>172</v>
      </c>
      <c r="F125" s="93">
        <v>12</v>
      </c>
      <c r="G125" s="123" t="s">
        <v>463</v>
      </c>
    </row>
    <row r="126" spans="1:7" x14ac:dyDescent="0.25">
      <c r="A126" s="89" t="s">
        <v>803</v>
      </c>
      <c r="B126" s="91" t="s">
        <v>573</v>
      </c>
      <c r="C126" s="91" t="s">
        <v>833</v>
      </c>
      <c r="D126" s="91" t="s">
        <v>574</v>
      </c>
      <c r="E126" s="94" t="s">
        <v>172</v>
      </c>
      <c r="F126" s="93">
        <v>8</v>
      </c>
      <c r="G126" s="123" t="s">
        <v>463</v>
      </c>
    </row>
    <row r="127" spans="1:7" x14ac:dyDescent="0.25">
      <c r="A127" s="89" t="s">
        <v>804</v>
      </c>
      <c r="B127" s="81" t="s">
        <v>575</v>
      </c>
      <c r="C127" s="91" t="s">
        <v>833</v>
      </c>
      <c r="D127" s="81" t="s">
        <v>576</v>
      </c>
      <c r="E127" s="82" t="s">
        <v>172</v>
      </c>
      <c r="F127" s="93">
        <v>4</v>
      </c>
      <c r="G127" s="130" t="s">
        <v>463</v>
      </c>
    </row>
    <row r="128" spans="1:7" x14ac:dyDescent="0.25">
      <c r="A128" s="120" t="s">
        <v>278</v>
      </c>
      <c r="B128" s="120" t="s">
        <v>522</v>
      </c>
      <c r="C128" s="120"/>
      <c r="D128" s="120" t="s">
        <v>279</v>
      </c>
      <c r="E128" s="121"/>
      <c r="F128" s="122"/>
      <c r="G128" s="122"/>
    </row>
    <row r="129" spans="1:7" x14ac:dyDescent="0.25">
      <c r="A129" s="120" t="s">
        <v>280</v>
      </c>
      <c r="B129" s="120" t="s">
        <v>522</v>
      </c>
      <c r="C129" s="120"/>
      <c r="D129" s="120" t="s">
        <v>281</v>
      </c>
      <c r="E129" s="121"/>
      <c r="F129" s="122"/>
      <c r="G129" s="122"/>
    </row>
    <row r="130" spans="1:7" ht="26.4" x14ac:dyDescent="0.25">
      <c r="A130" s="89" t="s">
        <v>282</v>
      </c>
      <c r="B130" s="91" t="s">
        <v>806</v>
      </c>
      <c r="C130" s="91" t="s">
        <v>437</v>
      </c>
      <c r="D130" s="91" t="s">
        <v>807</v>
      </c>
      <c r="E130" s="94" t="s">
        <v>9</v>
      </c>
      <c r="F130" s="93">
        <v>1</v>
      </c>
      <c r="G130" s="86" t="s">
        <v>455</v>
      </c>
    </row>
    <row r="131" spans="1:7" ht="39.6" x14ac:dyDescent="0.25">
      <c r="A131" s="89" t="s">
        <v>671</v>
      </c>
      <c r="B131" s="91">
        <v>93008</v>
      </c>
      <c r="C131" s="91" t="s">
        <v>27</v>
      </c>
      <c r="D131" s="91" t="s">
        <v>808</v>
      </c>
      <c r="E131" s="94" t="s">
        <v>10</v>
      </c>
      <c r="F131" s="93">
        <v>30</v>
      </c>
      <c r="G131" s="86" t="s">
        <v>455</v>
      </c>
    </row>
    <row r="132" spans="1:7" ht="39.6" x14ac:dyDescent="0.25">
      <c r="A132" s="89" t="s">
        <v>672</v>
      </c>
      <c r="B132" s="91">
        <v>10188</v>
      </c>
      <c r="C132" s="91" t="s">
        <v>27</v>
      </c>
      <c r="D132" s="91" t="s">
        <v>809</v>
      </c>
      <c r="E132" s="94" t="s">
        <v>9</v>
      </c>
      <c r="F132" s="93">
        <v>1</v>
      </c>
      <c r="G132" s="86" t="s">
        <v>519</v>
      </c>
    </row>
    <row r="133" spans="1:7" ht="39.6" x14ac:dyDescent="0.25">
      <c r="A133" s="89" t="s">
        <v>673</v>
      </c>
      <c r="B133" s="89" t="s">
        <v>285</v>
      </c>
      <c r="C133" s="89" t="s">
        <v>27</v>
      </c>
      <c r="D133" s="89" t="s">
        <v>286</v>
      </c>
      <c r="E133" s="92" t="s">
        <v>10</v>
      </c>
      <c r="F133" s="83">
        <v>650</v>
      </c>
      <c r="G133" s="86" t="s">
        <v>519</v>
      </c>
    </row>
    <row r="134" spans="1:7" ht="39.6" x14ac:dyDescent="0.25">
      <c r="A134" s="89" t="s">
        <v>674</v>
      </c>
      <c r="B134" s="89" t="s">
        <v>288</v>
      </c>
      <c r="C134" s="89" t="s">
        <v>27</v>
      </c>
      <c r="D134" s="89" t="s">
        <v>289</v>
      </c>
      <c r="E134" s="92" t="s">
        <v>10</v>
      </c>
      <c r="F134" s="83">
        <v>1600</v>
      </c>
      <c r="G134" s="86" t="s">
        <v>519</v>
      </c>
    </row>
    <row r="135" spans="1:7" ht="39.6" x14ac:dyDescent="0.25">
      <c r="A135" s="89" t="s">
        <v>675</v>
      </c>
      <c r="B135" s="89" t="s">
        <v>291</v>
      </c>
      <c r="C135" s="89" t="s">
        <v>27</v>
      </c>
      <c r="D135" s="89" t="s">
        <v>292</v>
      </c>
      <c r="E135" s="92" t="s">
        <v>10</v>
      </c>
      <c r="F135" s="83">
        <v>600</v>
      </c>
      <c r="G135" s="86" t="s">
        <v>519</v>
      </c>
    </row>
    <row r="136" spans="1:7" ht="39.6" x14ac:dyDescent="0.25">
      <c r="A136" s="89" t="s">
        <v>676</v>
      </c>
      <c r="B136" s="89" t="s">
        <v>294</v>
      </c>
      <c r="C136" s="89" t="s">
        <v>27</v>
      </c>
      <c r="D136" s="89" t="s">
        <v>295</v>
      </c>
      <c r="E136" s="92" t="s">
        <v>10</v>
      </c>
      <c r="F136" s="83">
        <v>150</v>
      </c>
      <c r="G136" s="86" t="s">
        <v>519</v>
      </c>
    </row>
    <row r="137" spans="1:7" ht="39.6" x14ac:dyDescent="0.25">
      <c r="A137" s="89" t="s">
        <v>677</v>
      </c>
      <c r="B137" s="89" t="s">
        <v>297</v>
      </c>
      <c r="C137" s="89" t="s">
        <v>27</v>
      </c>
      <c r="D137" s="89" t="s">
        <v>298</v>
      </c>
      <c r="E137" s="92" t="s">
        <v>10</v>
      </c>
      <c r="F137" s="83">
        <v>90</v>
      </c>
      <c r="G137" s="86" t="s">
        <v>519</v>
      </c>
    </row>
    <row r="138" spans="1:7" ht="39.6" x14ac:dyDescent="0.25">
      <c r="A138" s="89" t="s">
        <v>678</v>
      </c>
      <c r="B138" s="89" t="s">
        <v>300</v>
      </c>
      <c r="C138" s="89" t="s">
        <v>27</v>
      </c>
      <c r="D138" s="89" t="s">
        <v>301</v>
      </c>
      <c r="E138" s="92" t="s">
        <v>10</v>
      </c>
      <c r="F138" s="83">
        <v>120</v>
      </c>
      <c r="G138" s="86" t="s">
        <v>519</v>
      </c>
    </row>
    <row r="139" spans="1:7" ht="26.4" x14ac:dyDescent="0.25">
      <c r="A139" s="89" t="s">
        <v>679</v>
      </c>
      <c r="B139" s="89" t="s">
        <v>304</v>
      </c>
      <c r="C139" s="89" t="s">
        <v>27</v>
      </c>
      <c r="D139" s="89" t="s">
        <v>810</v>
      </c>
      <c r="E139" s="92" t="s">
        <v>9</v>
      </c>
      <c r="F139" s="93">
        <v>9</v>
      </c>
      <c r="G139" s="86" t="s">
        <v>519</v>
      </c>
    </row>
    <row r="140" spans="1:7" ht="26.4" x14ac:dyDescent="0.25">
      <c r="A140" s="89" t="s">
        <v>680</v>
      </c>
      <c r="B140" s="89" t="s">
        <v>306</v>
      </c>
      <c r="C140" s="89" t="s">
        <v>27</v>
      </c>
      <c r="D140" s="89" t="s">
        <v>307</v>
      </c>
      <c r="E140" s="92" t="s">
        <v>9</v>
      </c>
      <c r="F140" s="93">
        <v>16</v>
      </c>
      <c r="G140" s="86" t="s">
        <v>519</v>
      </c>
    </row>
    <row r="141" spans="1:7" ht="26.4" x14ac:dyDescent="0.25">
      <c r="A141" s="89" t="s">
        <v>681</v>
      </c>
      <c r="B141" s="89" t="s">
        <v>309</v>
      </c>
      <c r="C141" s="89" t="s">
        <v>27</v>
      </c>
      <c r="D141" s="89" t="s">
        <v>310</v>
      </c>
      <c r="E141" s="92" t="s">
        <v>9</v>
      </c>
      <c r="F141" s="93">
        <v>2</v>
      </c>
      <c r="G141" s="86" t="s">
        <v>519</v>
      </c>
    </row>
    <row r="142" spans="1:7" ht="26.4" x14ac:dyDescent="0.25">
      <c r="A142" s="89" t="s">
        <v>682</v>
      </c>
      <c r="B142" s="89" t="s">
        <v>312</v>
      </c>
      <c r="C142" s="89" t="s">
        <v>27</v>
      </c>
      <c r="D142" s="89" t="s">
        <v>313</v>
      </c>
      <c r="E142" s="92" t="s">
        <v>9</v>
      </c>
      <c r="F142" s="93">
        <v>1</v>
      </c>
      <c r="G142" s="86" t="s">
        <v>519</v>
      </c>
    </row>
    <row r="143" spans="1:7" ht="26.4" x14ac:dyDescent="0.25">
      <c r="A143" s="89" t="s">
        <v>683</v>
      </c>
      <c r="B143" s="89" t="s">
        <v>315</v>
      </c>
      <c r="C143" s="89" t="s">
        <v>27</v>
      </c>
      <c r="D143" s="89" t="s">
        <v>316</v>
      </c>
      <c r="E143" s="92" t="s">
        <v>9</v>
      </c>
      <c r="F143" s="93">
        <v>1</v>
      </c>
      <c r="G143" s="86" t="s">
        <v>519</v>
      </c>
    </row>
    <row r="144" spans="1:7" ht="26.4" x14ac:dyDescent="0.25">
      <c r="A144" s="89" t="s">
        <v>684</v>
      </c>
      <c r="B144" s="89" t="s">
        <v>552</v>
      </c>
      <c r="C144" s="89" t="s">
        <v>27</v>
      </c>
      <c r="D144" s="91" t="s">
        <v>553</v>
      </c>
      <c r="E144" s="92" t="s">
        <v>9</v>
      </c>
      <c r="F144" s="83">
        <v>1</v>
      </c>
      <c r="G144" s="86" t="s">
        <v>519</v>
      </c>
    </row>
    <row r="145" spans="1:7" x14ac:dyDescent="0.25">
      <c r="A145" s="89" t="s">
        <v>685</v>
      </c>
      <c r="B145" s="91" t="s">
        <v>637</v>
      </c>
      <c r="C145" s="91" t="s">
        <v>437</v>
      </c>
      <c r="D145" s="91" t="s">
        <v>638</v>
      </c>
      <c r="E145" s="94" t="s">
        <v>9</v>
      </c>
      <c r="F145" s="93">
        <v>3</v>
      </c>
      <c r="G145" s="86"/>
    </row>
    <row r="146" spans="1:7" ht="39.6" x14ac:dyDescent="0.25">
      <c r="A146" s="89" t="s">
        <v>686</v>
      </c>
      <c r="B146" s="91" t="s">
        <v>319</v>
      </c>
      <c r="C146" s="91" t="s">
        <v>27</v>
      </c>
      <c r="D146" s="91" t="s">
        <v>320</v>
      </c>
      <c r="E146" s="94" t="s">
        <v>10</v>
      </c>
      <c r="F146" s="93">
        <v>450</v>
      </c>
      <c r="G146" s="86" t="s">
        <v>519</v>
      </c>
    </row>
    <row r="147" spans="1:7" ht="39.6" x14ac:dyDescent="0.25">
      <c r="A147" s="89" t="s">
        <v>687</v>
      </c>
      <c r="B147" s="91" t="s">
        <v>322</v>
      </c>
      <c r="C147" s="91" t="s">
        <v>27</v>
      </c>
      <c r="D147" s="91" t="s">
        <v>323</v>
      </c>
      <c r="E147" s="94" t="s">
        <v>10</v>
      </c>
      <c r="F147" s="93">
        <v>150</v>
      </c>
      <c r="G147" s="86" t="s">
        <v>519</v>
      </c>
    </row>
    <row r="148" spans="1:7" ht="26.4" x14ac:dyDescent="0.25">
      <c r="A148" s="89" t="s">
        <v>688</v>
      </c>
      <c r="B148" s="91" t="s">
        <v>639</v>
      </c>
      <c r="C148" s="91" t="s">
        <v>437</v>
      </c>
      <c r="D148" s="91" t="s">
        <v>640</v>
      </c>
      <c r="E148" s="94" t="s">
        <v>10</v>
      </c>
      <c r="F148" s="93">
        <v>28.5</v>
      </c>
      <c r="G148" s="86"/>
    </row>
    <row r="149" spans="1:7" ht="26.4" x14ac:dyDescent="0.25">
      <c r="A149" s="89" t="s">
        <v>689</v>
      </c>
      <c r="B149" s="91">
        <v>96985</v>
      </c>
      <c r="C149" s="91" t="s">
        <v>27</v>
      </c>
      <c r="D149" s="91" t="s">
        <v>327</v>
      </c>
      <c r="E149" s="94" t="s">
        <v>9</v>
      </c>
      <c r="F149" s="93">
        <v>2</v>
      </c>
      <c r="G149" s="86" t="s">
        <v>519</v>
      </c>
    </row>
    <row r="150" spans="1:7" ht="26.4" x14ac:dyDescent="0.25">
      <c r="A150" s="89" t="s">
        <v>690</v>
      </c>
      <c r="B150" s="91" t="s">
        <v>329</v>
      </c>
      <c r="C150" s="91" t="s">
        <v>27</v>
      </c>
      <c r="D150" s="91" t="s">
        <v>330</v>
      </c>
      <c r="E150" s="94" t="s">
        <v>9</v>
      </c>
      <c r="F150" s="93">
        <v>62</v>
      </c>
      <c r="G150" s="86" t="s">
        <v>455</v>
      </c>
    </row>
    <row r="151" spans="1:7" ht="26.4" x14ac:dyDescent="0.25">
      <c r="A151" s="89" t="s">
        <v>691</v>
      </c>
      <c r="B151" s="91" t="s">
        <v>332</v>
      </c>
      <c r="C151" s="91" t="s">
        <v>27</v>
      </c>
      <c r="D151" s="91" t="s">
        <v>333</v>
      </c>
      <c r="E151" s="94" t="s">
        <v>9</v>
      </c>
      <c r="F151" s="93">
        <v>7</v>
      </c>
      <c r="G151" s="86" t="s">
        <v>455</v>
      </c>
    </row>
    <row r="152" spans="1:7" x14ac:dyDescent="0.25">
      <c r="A152" s="89" t="s">
        <v>692</v>
      </c>
      <c r="B152" s="91" t="s">
        <v>335</v>
      </c>
      <c r="C152" s="91" t="s">
        <v>130</v>
      </c>
      <c r="D152" s="91" t="s">
        <v>554</v>
      </c>
      <c r="E152" s="94" t="s">
        <v>538</v>
      </c>
      <c r="F152" s="93">
        <v>7</v>
      </c>
      <c r="G152" s="86" t="s">
        <v>455</v>
      </c>
    </row>
    <row r="153" spans="1:7" x14ac:dyDescent="0.25">
      <c r="A153" s="89" t="s">
        <v>693</v>
      </c>
      <c r="B153" s="89" t="s">
        <v>337</v>
      </c>
      <c r="C153" s="89" t="s">
        <v>27</v>
      </c>
      <c r="D153" s="89" t="s">
        <v>338</v>
      </c>
      <c r="E153" s="92" t="s">
        <v>9</v>
      </c>
      <c r="F153" s="83">
        <v>7</v>
      </c>
      <c r="G153" s="86" t="s">
        <v>455</v>
      </c>
    </row>
    <row r="154" spans="1:7" ht="26.4" x14ac:dyDescent="0.25">
      <c r="A154" s="89" t="s">
        <v>694</v>
      </c>
      <c r="B154" s="89" t="s">
        <v>340</v>
      </c>
      <c r="C154" s="89" t="s">
        <v>27</v>
      </c>
      <c r="D154" s="89" t="s">
        <v>341</v>
      </c>
      <c r="E154" s="92" t="s">
        <v>9</v>
      </c>
      <c r="F154" s="83">
        <v>83</v>
      </c>
      <c r="G154" s="86" t="s">
        <v>519</v>
      </c>
    </row>
    <row r="155" spans="1:7" ht="26.4" x14ac:dyDescent="0.25">
      <c r="A155" s="89" t="s">
        <v>695</v>
      </c>
      <c r="B155" s="89" t="s">
        <v>343</v>
      </c>
      <c r="C155" s="89" t="s">
        <v>27</v>
      </c>
      <c r="D155" s="89" t="s">
        <v>344</v>
      </c>
      <c r="E155" s="92" t="s">
        <v>9</v>
      </c>
      <c r="F155" s="83">
        <v>7</v>
      </c>
      <c r="G155" s="86" t="s">
        <v>519</v>
      </c>
    </row>
    <row r="156" spans="1:7" ht="26.4" x14ac:dyDescent="0.25">
      <c r="A156" s="89" t="s">
        <v>696</v>
      </c>
      <c r="B156" s="89" t="s">
        <v>346</v>
      </c>
      <c r="C156" s="89" t="s">
        <v>27</v>
      </c>
      <c r="D156" s="89" t="s">
        <v>347</v>
      </c>
      <c r="E156" s="92" t="s">
        <v>9</v>
      </c>
      <c r="F156" s="83">
        <v>48</v>
      </c>
      <c r="G156" s="86" t="s">
        <v>455</v>
      </c>
    </row>
    <row r="157" spans="1:7" ht="26.4" x14ac:dyDescent="0.25">
      <c r="A157" s="89" t="s">
        <v>697</v>
      </c>
      <c r="B157" s="89" t="s">
        <v>811</v>
      </c>
      <c r="C157" s="91" t="s">
        <v>130</v>
      </c>
      <c r="D157" s="89" t="s">
        <v>812</v>
      </c>
      <c r="E157" s="92" t="s">
        <v>9</v>
      </c>
      <c r="F157" s="83">
        <v>42</v>
      </c>
      <c r="G157" s="86" t="s">
        <v>455</v>
      </c>
    </row>
    <row r="158" spans="1:7" x14ac:dyDescent="0.25">
      <c r="A158" s="89" t="s">
        <v>698</v>
      </c>
      <c r="B158" s="89" t="s">
        <v>813</v>
      </c>
      <c r="C158" s="89" t="s">
        <v>130</v>
      </c>
      <c r="D158" s="89" t="s">
        <v>814</v>
      </c>
      <c r="E158" s="92" t="s">
        <v>172</v>
      </c>
      <c r="F158" s="83">
        <f>F157*4</f>
        <v>168</v>
      </c>
      <c r="G158" s="86" t="s">
        <v>455</v>
      </c>
    </row>
    <row r="159" spans="1:7" ht="26.4" x14ac:dyDescent="0.25">
      <c r="A159" s="89" t="s">
        <v>699</v>
      </c>
      <c r="B159" s="89" t="s">
        <v>815</v>
      </c>
      <c r="C159" s="89" t="s">
        <v>130</v>
      </c>
      <c r="D159" s="89" t="s">
        <v>816</v>
      </c>
      <c r="E159" s="92" t="s">
        <v>172</v>
      </c>
      <c r="F159" s="83">
        <v>13</v>
      </c>
      <c r="G159" s="86" t="str">
        <f>G158</f>
        <v>quantidades estimadas conforme croqui</v>
      </c>
    </row>
    <row r="160" spans="1:7" x14ac:dyDescent="0.25">
      <c r="A160" s="89" t="s">
        <v>700</v>
      </c>
      <c r="B160" s="89" t="s">
        <v>817</v>
      </c>
      <c r="C160" s="89" t="s">
        <v>130</v>
      </c>
      <c r="D160" s="89" t="s">
        <v>818</v>
      </c>
      <c r="E160" s="92" t="s">
        <v>172</v>
      </c>
      <c r="F160" s="83">
        <f>F159*2</f>
        <v>26</v>
      </c>
      <c r="G160" s="86" t="s">
        <v>455</v>
      </c>
    </row>
    <row r="161" spans="1:7" x14ac:dyDescent="0.25">
      <c r="A161" s="89" t="s">
        <v>701</v>
      </c>
      <c r="B161" s="89" t="s">
        <v>505</v>
      </c>
      <c r="C161" s="89" t="s">
        <v>130</v>
      </c>
      <c r="D161" s="89" t="s">
        <v>555</v>
      </c>
      <c r="E161" s="92" t="s">
        <v>172</v>
      </c>
      <c r="F161" s="83">
        <v>10</v>
      </c>
      <c r="G161" s="86" t="s">
        <v>455</v>
      </c>
    </row>
    <row r="162" spans="1:7" ht="26.4" x14ac:dyDescent="0.25">
      <c r="A162" s="89" t="s">
        <v>702</v>
      </c>
      <c r="B162" s="91" t="s">
        <v>641</v>
      </c>
      <c r="C162" s="91" t="s">
        <v>437</v>
      </c>
      <c r="D162" s="91" t="s">
        <v>642</v>
      </c>
      <c r="E162" s="92" t="s">
        <v>9</v>
      </c>
      <c r="F162" s="83">
        <v>10</v>
      </c>
      <c r="G162" s="86" t="s">
        <v>455</v>
      </c>
    </row>
    <row r="163" spans="1:7" ht="26.4" x14ac:dyDescent="0.25">
      <c r="A163" s="89" t="s">
        <v>703</v>
      </c>
      <c r="B163" s="91">
        <v>91967</v>
      </c>
      <c r="C163" s="91" t="s">
        <v>27</v>
      </c>
      <c r="D163" s="91" t="s">
        <v>643</v>
      </c>
      <c r="E163" s="92" t="s">
        <v>9</v>
      </c>
      <c r="F163" s="93">
        <v>9</v>
      </c>
      <c r="G163" s="86" t="str">
        <f>G162</f>
        <v>quantidades estimadas conforme croqui</v>
      </c>
    </row>
    <row r="164" spans="1:7" ht="39.6" x14ac:dyDescent="0.25">
      <c r="A164" s="89" t="s">
        <v>704</v>
      </c>
      <c r="B164" s="89" t="s">
        <v>498</v>
      </c>
      <c r="C164" s="89" t="s">
        <v>27</v>
      </c>
      <c r="D164" s="89" t="s">
        <v>499</v>
      </c>
      <c r="E164" s="92" t="s">
        <v>9</v>
      </c>
      <c r="F164" s="93">
        <v>2</v>
      </c>
      <c r="G164" s="86" t="s">
        <v>455</v>
      </c>
    </row>
    <row r="165" spans="1:7" ht="26.4" x14ac:dyDescent="0.25">
      <c r="A165" s="89" t="s">
        <v>705</v>
      </c>
      <c r="B165" s="89">
        <v>91969</v>
      </c>
      <c r="C165" s="89" t="s">
        <v>27</v>
      </c>
      <c r="D165" s="89" t="s">
        <v>819</v>
      </c>
      <c r="E165" s="92" t="s">
        <v>9</v>
      </c>
      <c r="F165" s="93">
        <v>4</v>
      </c>
      <c r="G165" s="86" t="s">
        <v>455</v>
      </c>
    </row>
    <row r="166" spans="1:7" x14ac:dyDescent="0.25">
      <c r="A166" s="89" t="s">
        <v>706</v>
      </c>
      <c r="B166" s="91" t="s">
        <v>644</v>
      </c>
      <c r="C166" s="91" t="s">
        <v>130</v>
      </c>
      <c r="D166" s="91" t="s">
        <v>645</v>
      </c>
      <c r="E166" s="94" t="s">
        <v>464</v>
      </c>
      <c r="F166" s="93">
        <v>14</v>
      </c>
      <c r="G166" s="86" t="s">
        <v>455</v>
      </c>
    </row>
    <row r="167" spans="1:7" x14ac:dyDescent="0.25">
      <c r="A167" s="120" t="s">
        <v>350</v>
      </c>
      <c r="B167" s="120" t="s">
        <v>522</v>
      </c>
      <c r="C167" s="120"/>
      <c r="D167" s="120" t="s">
        <v>351</v>
      </c>
      <c r="E167" s="121"/>
      <c r="F167" s="122"/>
      <c r="G167" s="122"/>
    </row>
    <row r="168" spans="1:7" ht="26.4" x14ac:dyDescent="0.25">
      <c r="A168" s="89" t="s">
        <v>352</v>
      </c>
      <c r="B168" s="89" t="s">
        <v>353</v>
      </c>
      <c r="C168" s="89" t="s">
        <v>27</v>
      </c>
      <c r="D168" s="89" t="s">
        <v>354</v>
      </c>
      <c r="E168" s="92" t="s">
        <v>9</v>
      </c>
      <c r="F168" s="86">
        <v>7</v>
      </c>
      <c r="G168" s="86" t="s">
        <v>516</v>
      </c>
    </row>
    <row r="169" spans="1:7" ht="26.4" x14ac:dyDescent="0.25">
      <c r="A169" s="89" t="s">
        <v>355</v>
      </c>
      <c r="B169" s="89" t="s">
        <v>356</v>
      </c>
      <c r="C169" s="89" t="s">
        <v>27</v>
      </c>
      <c r="D169" s="89" t="s">
        <v>357</v>
      </c>
      <c r="E169" s="92" t="s">
        <v>9</v>
      </c>
      <c r="F169" s="86">
        <f>F168</f>
        <v>7</v>
      </c>
      <c r="G169" s="86" t="s">
        <v>516</v>
      </c>
    </row>
    <row r="170" spans="1:7" ht="26.4" x14ac:dyDescent="0.25">
      <c r="A170" s="89" t="s">
        <v>358</v>
      </c>
      <c r="B170" s="89" t="s">
        <v>359</v>
      </c>
      <c r="C170" s="89" t="s">
        <v>27</v>
      </c>
      <c r="D170" s="89" t="s">
        <v>506</v>
      </c>
      <c r="E170" s="92" t="s">
        <v>10</v>
      </c>
      <c r="F170" s="86">
        <v>20</v>
      </c>
      <c r="G170" s="86" t="s">
        <v>516</v>
      </c>
    </row>
    <row r="171" spans="1:7" ht="26.4" x14ac:dyDescent="0.25">
      <c r="A171" s="89" t="s">
        <v>360</v>
      </c>
      <c r="B171" s="89" t="s">
        <v>361</v>
      </c>
      <c r="C171" s="89" t="s">
        <v>27</v>
      </c>
      <c r="D171" s="89" t="s">
        <v>362</v>
      </c>
      <c r="E171" s="92" t="s">
        <v>10</v>
      </c>
      <c r="F171" s="86">
        <v>90</v>
      </c>
      <c r="G171" s="86" t="s">
        <v>516</v>
      </c>
    </row>
    <row r="172" spans="1:7" x14ac:dyDescent="0.25">
      <c r="A172" s="89" t="s">
        <v>363</v>
      </c>
      <c r="B172" s="89" t="s">
        <v>364</v>
      </c>
      <c r="C172" s="89" t="s">
        <v>130</v>
      </c>
      <c r="D172" s="89" t="s">
        <v>556</v>
      </c>
      <c r="E172" s="92" t="s">
        <v>194</v>
      </c>
      <c r="F172" s="86">
        <f>F171+F170</f>
        <v>110</v>
      </c>
      <c r="G172" s="86" t="s">
        <v>516</v>
      </c>
    </row>
    <row r="173" spans="1:7" ht="26.4" x14ac:dyDescent="0.25">
      <c r="A173" s="89" t="s">
        <v>365</v>
      </c>
      <c r="B173" s="89" t="s">
        <v>366</v>
      </c>
      <c r="C173" s="89" t="s">
        <v>130</v>
      </c>
      <c r="D173" s="89" t="s">
        <v>557</v>
      </c>
      <c r="E173" s="92" t="s">
        <v>194</v>
      </c>
      <c r="F173" s="86">
        <v>50</v>
      </c>
      <c r="G173" s="86" t="s">
        <v>516</v>
      </c>
    </row>
    <row r="174" spans="1:7" x14ac:dyDescent="0.25">
      <c r="A174" s="89" t="s">
        <v>367</v>
      </c>
      <c r="B174" s="89" t="s">
        <v>368</v>
      </c>
      <c r="C174" s="89" t="s">
        <v>130</v>
      </c>
      <c r="D174" s="89" t="s">
        <v>558</v>
      </c>
      <c r="E174" s="92" t="s">
        <v>172</v>
      </c>
      <c r="F174" s="86">
        <f>F175</f>
        <v>7</v>
      </c>
      <c r="G174" s="86" t="s">
        <v>516</v>
      </c>
    </row>
    <row r="175" spans="1:7" ht="26.4" x14ac:dyDescent="0.25">
      <c r="A175" s="89" t="s">
        <v>369</v>
      </c>
      <c r="B175" s="89" t="s">
        <v>370</v>
      </c>
      <c r="C175" s="89" t="s">
        <v>130</v>
      </c>
      <c r="D175" s="89" t="s">
        <v>559</v>
      </c>
      <c r="E175" s="92" t="s">
        <v>172</v>
      </c>
      <c r="F175" s="86">
        <f>F168</f>
        <v>7</v>
      </c>
      <c r="G175" s="86" t="s">
        <v>516</v>
      </c>
    </row>
    <row r="176" spans="1:7" x14ac:dyDescent="0.25">
      <c r="A176" s="89" t="s">
        <v>371</v>
      </c>
      <c r="B176" s="89" t="s">
        <v>372</v>
      </c>
      <c r="C176" s="89" t="s">
        <v>130</v>
      </c>
      <c r="D176" s="89" t="s">
        <v>560</v>
      </c>
      <c r="E176" s="92" t="s">
        <v>172</v>
      </c>
      <c r="F176" s="86">
        <v>35</v>
      </c>
      <c r="G176" s="86" t="s">
        <v>516</v>
      </c>
    </row>
    <row r="177" spans="1:7" x14ac:dyDescent="0.25">
      <c r="A177" s="120" t="s">
        <v>373</v>
      </c>
      <c r="B177" s="120" t="s">
        <v>522</v>
      </c>
      <c r="C177" s="120"/>
      <c r="D177" s="120" t="s">
        <v>646</v>
      </c>
      <c r="E177" s="121"/>
      <c r="F177" s="122"/>
      <c r="G177" s="122"/>
    </row>
    <row r="178" spans="1:7" x14ac:dyDescent="0.25">
      <c r="A178" s="120" t="s">
        <v>647</v>
      </c>
      <c r="B178" s="120"/>
      <c r="C178" s="120"/>
      <c r="D178" s="120" t="s">
        <v>374</v>
      </c>
      <c r="E178" s="121"/>
      <c r="F178" s="122"/>
      <c r="G178" s="122"/>
    </row>
    <row r="179" spans="1:7" ht="39.6" x14ac:dyDescent="0.25">
      <c r="A179" s="89" t="s">
        <v>648</v>
      </c>
      <c r="B179" s="89" t="s">
        <v>376</v>
      </c>
      <c r="C179" s="89" t="s">
        <v>27</v>
      </c>
      <c r="D179" s="89" t="s">
        <v>377</v>
      </c>
      <c r="E179" s="92" t="s">
        <v>6</v>
      </c>
      <c r="F179" s="85">
        <f>[7]Acabamentos!$D$119</f>
        <v>43.38</v>
      </c>
      <c r="G179" s="85" t="s">
        <v>456</v>
      </c>
    </row>
    <row r="180" spans="1:7" ht="39.6" x14ac:dyDescent="0.25">
      <c r="A180" s="89" t="s">
        <v>649</v>
      </c>
      <c r="B180" s="89" t="s">
        <v>507</v>
      </c>
      <c r="C180" s="89" t="s">
        <v>27</v>
      </c>
      <c r="D180" s="89" t="s">
        <v>508</v>
      </c>
      <c r="E180" s="92" t="s">
        <v>6</v>
      </c>
      <c r="F180" s="85">
        <f>F179</f>
        <v>43.38</v>
      </c>
      <c r="G180" s="85" t="str">
        <f>G179</f>
        <v>ver planilha[052 - O - 2607 - 35 - 001_0.xlsx]Acabamentos</v>
      </c>
    </row>
    <row r="181" spans="1:7" x14ac:dyDescent="0.25">
      <c r="A181" s="120" t="s">
        <v>650</v>
      </c>
      <c r="B181" s="120" t="s">
        <v>522</v>
      </c>
      <c r="C181" s="120"/>
      <c r="D181" s="120" t="s">
        <v>651</v>
      </c>
      <c r="E181" s="121"/>
      <c r="F181" s="121"/>
      <c r="G181" s="121"/>
    </row>
    <row r="182" spans="1:7" x14ac:dyDescent="0.25">
      <c r="A182" s="91" t="s">
        <v>652</v>
      </c>
      <c r="B182" s="91" t="s">
        <v>845</v>
      </c>
      <c r="C182" s="91" t="s">
        <v>833</v>
      </c>
      <c r="D182" s="81" t="s">
        <v>844</v>
      </c>
      <c r="E182" s="94" t="s">
        <v>6</v>
      </c>
      <c r="F182" s="90">
        <f>[6]Acabamentos!$D$120</f>
        <v>343</v>
      </c>
      <c r="G182" s="86" t="s">
        <v>456</v>
      </c>
    </row>
    <row r="183" spans="1:7" x14ac:dyDescent="0.25">
      <c r="A183" s="120" t="s">
        <v>379</v>
      </c>
      <c r="B183" s="120" t="s">
        <v>522</v>
      </c>
      <c r="C183" s="120"/>
      <c r="D183" s="120" t="s">
        <v>380</v>
      </c>
      <c r="E183" s="121"/>
      <c r="F183" s="122"/>
      <c r="G183" s="122"/>
    </row>
    <row r="184" spans="1:7" ht="39.6" x14ac:dyDescent="0.25">
      <c r="A184" s="89" t="s">
        <v>381</v>
      </c>
      <c r="B184" s="89" t="s">
        <v>561</v>
      </c>
      <c r="C184" s="89" t="s">
        <v>27</v>
      </c>
      <c r="D184" s="89" t="s">
        <v>562</v>
      </c>
      <c r="E184" s="92" t="s">
        <v>6</v>
      </c>
      <c r="F184" s="85">
        <f>[7]Acabamentos!$D$62+[7]Acabamentos!$D$63+[7]Acabamentos!$D$64</f>
        <v>1816.1600000000003</v>
      </c>
      <c r="G184" s="85" t="s">
        <v>456</v>
      </c>
    </row>
    <row r="185" spans="1:7" ht="39.6" x14ac:dyDescent="0.25">
      <c r="A185" s="89" t="s">
        <v>382</v>
      </c>
      <c r="B185" s="89" t="s">
        <v>509</v>
      </c>
      <c r="C185" s="89" t="s">
        <v>27</v>
      </c>
      <c r="D185" s="89" t="s">
        <v>510</v>
      </c>
      <c r="E185" s="92" t="s">
        <v>6</v>
      </c>
      <c r="F185" s="85">
        <f>F184</f>
        <v>1816.1600000000003</v>
      </c>
      <c r="G185" s="85" t="s">
        <v>456</v>
      </c>
    </row>
    <row r="186" spans="1:7" ht="39.6" x14ac:dyDescent="0.25">
      <c r="A186" s="89" t="s">
        <v>511</v>
      </c>
      <c r="B186" s="89" t="s">
        <v>577</v>
      </c>
      <c r="C186" s="89" t="s">
        <v>27</v>
      </c>
      <c r="D186" s="89" t="s">
        <v>578</v>
      </c>
      <c r="E186" s="92" t="s">
        <v>6</v>
      </c>
      <c r="F186" s="85">
        <f>[7]Acabamentos!$D$64</f>
        <v>144.16</v>
      </c>
      <c r="G186" s="85" t="s">
        <v>456</v>
      </c>
    </row>
    <row r="187" spans="1:7" x14ac:dyDescent="0.25">
      <c r="A187" s="120" t="s">
        <v>383</v>
      </c>
      <c r="B187" s="120" t="s">
        <v>522</v>
      </c>
      <c r="C187" s="120"/>
      <c r="D187" s="120" t="s">
        <v>384</v>
      </c>
      <c r="E187" s="121"/>
      <c r="F187" s="122"/>
      <c r="G187" s="122"/>
    </row>
    <row r="188" spans="1:7" ht="52.8" x14ac:dyDescent="0.25">
      <c r="A188" s="89" t="s">
        <v>385</v>
      </c>
      <c r="B188" s="89" t="s">
        <v>386</v>
      </c>
      <c r="C188" s="89" t="s">
        <v>27</v>
      </c>
      <c r="D188" s="89" t="s">
        <v>387</v>
      </c>
      <c r="E188" s="92" t="s">
        <v>6</v>
      </c>
      <c r="F188" s="85">
        <f>[7]Fachadas!$C$10</f>
        <v>613.06000000000017</v>
      </c>
      <c r="G188" s="85" t="s">
        <v>457</v>
      </c>
    </row>
    <row r="189" spans="1:7" ht="52.8" x14ac:dyDescent="0.25">
      <c r="A189" s="89" t="s">
        <v>388</v>
      </c>
      <c r="B189" s="89" t="s">
        <v>389</v>
      </c>
      <c r="C189" s="89" t="s">
        <v>27</v>
      </c>
      <c r="D189" s="89" t="s">
        <v>390</v>
      </c>
      <c r="E189" s="92" t="s">
        <v>6</v>
      </c>
      <c r="F189" s="85">
        <f>F188</f>
        <v>613.06000000000017</v>
      </c>
      <c r="G189" s="85" t="s">
        <v>457</v>
      </c>
    </row>
    <row r="190" spans="1:7" x14ac:dyDescent="0.25">
      <c r="A190" s="120" t="s">
        <v>391</v>
      </c>
      <c r="B190" s="120" t="s">
        <v>522</v>
      </c>
      <c r="C190" s="120"/>
      <c r="D190" s="120" t="s">
        <v>33</v>
      </c>
      <c r="E190" s="121"/>
      <c r="F190" s="122"/>
      <c r="G190" s="122"/>
    </row>
    <row r="191" spans="1:7" x14ac:dyDescent="0.25">
      <c r="A191" s="120" t="s">
        <v>392</v>
      </c>
      <c r="B191" s="120" t="s">
        <v>522</v>
      </c>
      <c r="C191" s="120"/>
      <c r="D191" s="120" t="s">
        <v>393</v>
      </c>
      <c r="E191" s="121"/>
      <c r="F191" s="122"/>
      <c r="G191" s="122"/>
    </row>
    <row r="192" spans="1:7" x14ac:dyDescent="0.25">
      <c r="A192" s="131" t="s">
        <v>710</v>
      </c>
      <c r="B192" s="91" t="s">
        <v>653</v>
      </c>
      <c r="C192" s="91" t="s">
        <v>130</v>
      </c>
      <c r="D192" s="91" t="s">
        <v>654</v>
      </c>
      <c r="E192" s="94" t="s">
        <v>30</v>
      </c>
      <c r="F192" s="93">
        <f>ROUND(F196*0.02,2)</f>
        <v>10.59</v>
      </c>
      <c r="G192" s="93" t="s">
        <v>707</v>
      </c>
    </row>
    <row r="193" spans="1:7" x14ac:dyDescent="0.25">
      <c r="A193" s="131" t="s">
        <v>711</v>
      </c>
      <c r="B193" s="91" t="s">
        <v>655</v>
      </c>
      <c r="C193" s="91" t="s">
        <v>130</v>
      </c>
      <c r="D193" s="91" t="s">
        <v>656</v>
      </c>
      <c r="E193" s="94" t="s">
        <v>30</v>
      </c>
      <c r="F193" s="93">
        <f>ROUND(F196*0.05,2)</f>
        <v>26.47</v>
      </c>
      <c r="G193" s="93" t="s">
        <v>708</v>
      </c>
    </row>
    <row r="194" spans="1:7" ht="39.6" x14ac:dyDescent="0.25">
      <c r="A194" s="131" t="s">
        <v>712</v>
      </c>
      <c r="B194" s="91">
        <v>87301</v>
      </c>
      <c r="C194" s="91" t="s">
        <v>27</v>
      </c>
      <c r="D194" s="91" t="s">
        <v>569</v>
      </c>
      <c r="E194" s="94" t="s">
        <v>30</v>
      </c>
      <c r="F194" s="93">
        <f>ROUND(F196*0.03,2)</f>
        <v>15.88</v>
      </c>
      <c r="G194" s="93" t="s">
        <v>709</v>
      </c>
    </row>
    <row r="195" spans="1:7" x14ac:dyDescent="0.25">
      <c r="A195" s="131" t="s">
        <v>713</v>
      </c>
      <c r="B195" s="91" t="s">
        <v>397</v>
      </c>
      <c r="C195" s="91" t="s">
        <v>130</v>
      </c>
      <c r="D195" s="91" t="s">
        <v>563</v>
      </c>
      <c r="E195" s="94" t="s">
        <v>528</v>
      </c>
      <c r="F195" s="86">
        <f>F196*0.97</f>
        <v>513.49860000000001</v>
      </c>
      <c r="G195" s="86" t="s">
        <v>456</v>
      </c>
    </row>
    <row r="196" spans="1:7" ht="39.6" x14ac:dyDescent="0.25">
      <c r="A196" s="131" t="s">
        <v>714</v>
      </c>
      <c r="B196" s="91">
        <v>87263</v>
      </c>
      <c r="C196" s="91" t="s">
        <v>27</v>
      </c>
      <c r="D196" s="91" t="s">
        <v>657</v>
      </c>
      <c r="E196" s="94" t="s">
        <v>6</v>
      </c>
      <c r="F196" s="86">
        <f>[7]Acabamentos!$D$10</f>
        <v>529.38</v>
      </c>
      <c r="G196" s="86" t="s">
        <v>456</v>
      </c>
    </row>
    <row r="197" spans="1:7" ht="39.6" x14ac:dyDescent="0.25">
      <c r="A197" s="131" t="s">
        <v>715</v>
      </c>
      <c r="B197" s="91" t="s">
        <v>658</v>
      </c>
      <c r="C197" s="91" t="s">
        <v>130</v>
      </c>
      <c r="D197" s="91" t="s">
        <v>659</v>
      </c>
      <c r="E197" s="94" t="s">
        <v>10</v>
      </c>
      <c r="F197" s="86">
        <f>[7]Acabamentos!$D$39</f>
        <v>314.10000000000002</v>
      </c>
      <c r="G197" s="86" t="s">
        <v>456</v>
      </c>
    </row>
    <row r="198" spans="1:7" ht="26.4" x14ac:dyDescent="0.25">
      <c r="A198" s="131" t="s">
        <v>716</v>
      </c>
      <c r="B198" s="91" t="s">
        <v>581</v>
      </c>
      <c r="C198" s="91" t="s">
        <v>130</v>
      </c>
      <c r="D198" s="91" t="s">
        <v>579</v>
      </c>
      <c r="E198" s="94" t="s">
        <v>194</v>
      </c>
      <c r="F198" s="93">
        <v>13.1</v>
      </c>
      <c r="G198" s="90" t="s">
        <v>580</v>
      </c>
    </row>
    <row r="199" spans="1:7" x14ac:dyDescent="0.25">
      <c r="A199" s="120" t="s">
        <v>400</v>
      </c>
      <c r="B199" s="120" t="s">
        <v>522</v>
      </c>
      <c r="C199" s="120"/>
      <c r="D199" s="120" t="s">
        <v>47</v>
      </c>
      <c r="E199" s="121"/>
      <c r="F199" s="122"/>
      <c r="G199" s="122"/>
    </row>
    <row r="200" spans="1:7" ht="26.4" x14ac:dyDescent="0.25">
      <c r="A200" s="89" t="s">
        <v>401</v>
      </c>
      <c r="B200" s="91">
        <v>96622</v>
      </c>
      <c r="C200" s="91" t="s">
        <v>27</v>
      </c>
      <c r="D200" s="91" t="s">
        <v>660</v>
      </c>
      <c r="E200" s="94" t="s">
        <v>30</v>
      </c>
      <c r="F200" s="85">
        <v>3.88</v>
      </c>
      <c r="G200" s="85" t="s">
        <v>849</v>
      </c>
    </row>
    <row r="201" spans="1:7" ht="39.6" x14ac:dyDescent="0.25">
      <c r="A201" s="89" t="s">
        <v>830</v>
      </c>
      <c r="B201" s="91">
        <v>94993</v>
      </c>
      <c r="C201" s="91" t="s">
        <v>27</v>
      </c>
      <c r="D201" s="91" t="s">
        <v>148</v>
      </c>
      <c r="E201" s="94" t="s">
        <v>6</v>
      </c>
      <c r="F201" s="85">
        <v>77.55</v>
      </c>
      <c r="G201" s="85" t="s">
        <v>462</v>
      </c>
    </row>
    <row r="202" spans="1:7" x14ac:dyDescent="0.25">
      <c r="A202" s="89" t="s">
        <v>831</v>
      </c>
      <c r="B202" s="91" t="s">
        <v>397</v>
      </c>
      <c r="C202" s="91" t="s">
        <v>130</v>
      </c>
      <c r="D202" s="91" t="s">
        <v>563</v>
      </c>
      <c r="E202" s="94" t="s">
        <v>139</v>
      </c>
      <c r="F202" s="85">
        <v>114.77</v>
      </c>
      <c r="G202" s="85" t="s">
        <v>850</v>
      </c>
    </row>
    <row r="203" spans="1:7" x14ac:dyDescent="0.25">
      <c r="A203" s="120" t="s">
        <v>403</v>
      </c>
      <c r="B203" s="120" t="s">
        <v>522</v>
      </c>
      <c r="C203" s="120"/>
      <c r="D203" s="120" t="s">
        <v>404</v>
      </c>
      <c r="E203" s="121"/>
      <c r="F203" s="122"/>
      <c r="G203" s="122"/>
    </row>
    <row r="204" spans="1:7" x14ac:dyDescent="0.25">
      <c r="A204" s="120" t="s">
        <v>405</v>
      </c>
      <c r="B204" s="120" t="s">
        <v>522</v>
      </c>
      <c r="C204" s="120"/>
      <c r="D204" s="120" t="s">
        <v>406</v>
      </c>
      <c r="E204" s="121"/>
      <c r="F204" s="122"/>
      <c r="G204" s="122"/>
    </row>
    <row r="205" spans="1:7" ht="26.4" x14ac:dyDescent="0.25">
      <c r="A205" s="89" t="s">
        <v>407</v>
      </c>
      <c r="B205" s="89" t="s">
        <v>114</v>
      </c>
      <c r="C205" s="89" t="s">
        <v>27</v>
      </c>
      <c r="D205" s="89" t="s">
        <v>408</v>
      </c>
      <c r="E205" s="92" t="s">
        <v>6</v>
      </c>
      <c r="F205" s="85">
        <f>[7]Fachadas!$C$10</f>
        <v>613.06000000000017</v>
      </c>
      <c r="G205" s="85" t="s">
        <v>457</v>
      </c>
    </row>
    <row r="206" spans="1:7" ht="26.4" x14ac:dyDescent="0.25">
      <c r="A206" s="89" t="s">
        <v>409</v>
      </c>
      <c r="B206" s="89" t="s">
        <v>105</v>
      </c>
      <c r="C206" s="89" t="s">
        <v>27</v>
      </c>
      <c r="D206" s="89" t="s">
        <v>144</v>
      </c>
      <c r="E206" s="92" t="s">
        <v>6</v>
      </c>
      <c r="F206" s="85">
        <f>[7]Acabamentos!$D$62+F205</f>
        <v>1708.3400000000004</v>
      </c>
      <c r="G206" s="85" t="s">
        <v>458</v>
      </c>
    </row>
    <row r="207" spans="1:7" ht="26.4" x14ac:dyDescent="0.25">
      <c r="A207" s="89" t="s">
        <v>410</v>
      </c>
      <c r="B207" s="89" t="s">
        <v>411</v>
      </c>
      <c r="C207" s="89" t="s">
        <v>27</v>
      </c>
      <c r="D207" s="89" t="s">
        <v>412</v>
      </c>
      <c r="E207" s="92" t="s">
        <v>6</v>
      </c>
      <c r="F207" s="85">
        <f>[7]Acabamentos!$D$119</f>
        <v>43.38</v>
      </c>
      <c r="G207" s="85" t="s">
        <v>456</v>
      </c>
    </row>
    <row r="208" spans="1:7" x14ac:dyDescent="0.25">
      <c r="A208" s="89" t="s">
        <v>413</v>
      </c>
      <c r="B208" s="89" t="s">
        <v>414</v>
      </c>
      <c r="C208" s="89" t="s">
        <v>130</v>
      </c>
      <c r="D208" s="89" t="s">
        <v>564</v>
      </c>
      <c r="E208" s="92" t="s">
        <v>6</v>
      </c>
      <c r="F208" s="85">
        <f>[7]Acabamentos!$D$63</f>
        <v>576.72</v>
      </c>
      <c r="G208" s="85" t="s">
        <v>456</v>
      </c>
    </row>
    <row r="209" spans="1:7" x14ac:dyDescent="0.25">
      <c r="A209" s="120" t="s">
        <v>415</v>
      </c>
      <c r="B209" s="120" t="s">
        <v>522</v>
      </c>
      <c r="C209" s="120"/>
      <c r="D209" s="120" t="s">
        <v>39</v>
      </c>
      <c r="E209" s="121"/>
      <c r="F209" s="122"/>
      <c r="G209" s="122"/>
    </row>
    <row r="210" spans="1:7" ht="39.6" x14ac:dyDescent="0.25">
      <c r="A210" s="89" t="s">
        <v>416</v>
      </c>
      <c r="B210" s="89" t="s">
        <v>417</v>
      </c>
      <c r="C210" s="91" t="s">
        <v>27</v>
      </c>
      <c r="D210" s="91" t="s">
        <v>418</v>
      </c>
      <c r="E210" s="94" t="s">
        <v>6</v>
      </c>
      <c r="F210" s="86">
        <v>203.56</v>
      </c>
      <c r="G210" s="85" t="s">
        <v>459</v>
      </c>
    </row>
    <row r="211" spans="1:7" ht="26.4" x14ac:dyDescent="0.25">
      <c r="A211" s="89" t="s">
        <v>419</v>
      </c>
      <c r="B211" s="89" t="s">
        <v>420</v>
      </c>
      <c r="C211" s="91" t="s">
        <v>27</v>
      </c>
      <c r="D211" s="91" t="s">
        <v>421</v>
      </c>
      <c r="E211" s="94" t="s">
        <v>6</v>
      </c>
      <c r="F211" s="86">
        <f>[7]Esquadrias!$E$9</f>
        <v>37.422000000000004</v>
      </c>
      <c r="G211" s="85" t="s">
        <v>459</v>
      </c>
    </row>
    <row r="212" spans="1:7" x14ac:dyDescent="0.25">
      <c r="A212" s="120" t="s">
        <v>422</v>
      </c>
      <c r="B212" s="120" t="s">
        <v>522</v>
      </c>
      <c r="C212" s="120"/>
      <c r="D212" s="120" t="s">
        <v>423</v>
      </c>
      <c r="E212" s="121"/>
      <c r="F212" s="122"/>
      <c r="G212" s="122"/>
    </row>
    <row r="213" spans="1:7" ht="39.6" x14ac:dyDescent="0.25">
      <c r="A213" s="89" t="s">
        <v>424</v>
      </c>
      <c r="B213" s="89" t="s">
        <v>417</v>
      </c>
      <c r="C213" s="89" t="s">
        <v>27</v>
      </c>
      <c r="D213" s="89" t="s">
        <v>418</v>
      </c>
      <c r="E213" s="92" t="s">
        <v>6</v>
      </c>
      <c r="F213" s="85">
        <f>[7]Coberturas!$D$10+[7]Coberturas!$D$11+[7]Coberturas!$D$12</f>
        <v>606.18399999999997</v>
      </c>
      <c r="G213" s="85" t="s">
        <v>460</v>
      </c>
    </row>
    <row r="214" spans="1:7" x14ac:dyDescent="0.25">
      <c r="A214" s="120" t="s">
        <v>426</v>
      </c>
      <c r="B214" s="120" t="s">
        <v>522</v>
      </c>
      <c r="C214" s="120"/>
      <c r="D214" s="120" t="s">
        <v>820</v>
      </c>
      <c r="E214" s="121"/>
      <c r="F214" s="122"/>
      <c r="G214" s="122"/>
    </row>
    <row r="215" spans="1:7" ht="26.4" x14ac:dyDescent="0.25">
      <c r="A215" s="89" t="s">
        <v>427</v>
      </c>
      <c r="B215" s="91" t="s">
        <v>428</v>
      </c>
      <c r="C215" s="91" t="s">
        <v>27</v>
      </c>
      <c r="D215" s="91" t="s">
        <v>429</v>
      </c>
      <c r="E215" s="94" t="s">
        <v>9</v>
      </c>
      <c r="F215" s="86">
        <v>9</v>
      </c>
      <c r="G215" s="85" t="s">
        <v>516</v>
      </c>
    </row>
    <row r="216" spans="1:7" x14ac:dyDescent="0.25">
      <c r="A216" s="120" t="s">
        <v>430</v>
      </c>
      <c r="B216" s="120" t="s">
        <v>522</v>
      </c>
      <c r="C216" s="120"/>
      <c r="D216" s="120" t="s">
        <v>123</v>
      </c>
      <c r="E216" s="121"/>
      <c r="F216" s="122"/>
      <c r="G216" s="122"/>
    </row>
    <row r="217" spans="1:7" x14ac:dyDescent="0.25">
      <c r="A217" s="120" t="s">
        <v>431</v>
      </c>
      <c r="B217" s="120" t="s">
        <v>522</v>
      </c>
      <c r="C217" s="120"/>
      <c r="D217" s="120" t="s">
        <v>124</v>
      </c>
      <c r="E217" s="121"/>
      <c r="F217" s="122"/>
      <c r="G217" s="122"/>
    </row>
    <row r="218" spans="1:7" x14ac:dyDescent="0.25">
      <c r="A218" s="89" t="s">
        <v>432</v>
      </c>
      <c r="B218" s="89" t="s">
        <v>433</v>
      </c>
      <c r="C218" s="89" t="s">
        <v>130</v>
      </c>
      <c r="D218" s="89" t="s">
        <v>125</v>
      </c>
      <c r="E218" s="92" t="s">
        <v>6</v>
      </c>
      <c r="F218" s="85">
        <f>F196+F201</f>
        <v>606.92999999999995</v>
      </c>
      <c r="G218" s="85" t="s">
        <v>461</v>
      </c>
    </row>
    <row r="219" spans="1:7" x14ac:dyDescent="0.25">
      <c r="A219" s="120" t="s">
        <v>434</v>
      </c>
      <c r="B219" s="120" t="s">
        <v>522</v>
      </c>
      <c r="C219" s="120"/>
      <c r="D219" s="120" t="s">
        <v>127</v>
      </c>
      <c r="E219" s="121"/>
      <c r="F219" s="122"/>
      <c r="G219" s="122"/>
    </row>
    <row r="220" spans="1:7" x14ac:dyDescent="0.25">
      <c r="A220" s="89" t="s">
        <v>435</v>
      </c>
      <c r="B220" s="89" t="s">
        <v>129</v>
      </c>
      <c r="C220" s="89" t="s">
        <v>27</v>
      </c>
      <c r="D220" s="89" t="s">
        <v>436</v>
      </c>
      <c r="E220" s="92" t="s">
        <v>6</v>
      </c>
      <c r="F220" s="85">
        <f>85*3</f>
        <v>255</v>
      </c>
      <c r="G220" s="85" t="s">
        <v>717</v>
      </c>
    </row>
    <row r="221" spans="1:7" x14ac:dyDescent="0.25">
      <c r="A221" s="21"/>
      <c r="G221" s="22"/>
    </row>
    <row r="222" spans="1:7" x14ac:dyDescent="0.25">
      <c r="A222" s="21"/>
      <c r="G222" s="22"/>
    </row>
    <row r="224" spans="1:7" ht="63.75" customHeight="1" x14ac:dyDescent="0.25">
      <c r="A224" s="144" t="s">
        <v>116</v>
      </c>
      <c r="B224" s="144"/>
      <c r="C224" s="144"/>
      <c r="D224" s="144"/>
      <c r="E224" s="144"/>
      <c r="F224" s="144"/>
      <c r="G224" s="144"/>
    </row>
  </sheetData>
  <mergeCells count="3">
    <mergeCell ref="E2:F2"/>
    <mergeCell ref="A7:G7"/>
    <mergeCell ref="A224:G224"/>
  </mergeCells>
  <phoneticPr fontId="35" type="noConversion"/>
  <pageMargins left="0.51181102362204722" right="0.51181102362204722" top="0.98425196850393704" bottom="0.98425196850393704" header="0.51181102362204722" footer="0.51181102362204722"/>
  <pageSetup paperSize="9" scale="47" fitToHeight="0" orientation="portrait" r:id="rId1"/>
  <headerFooter>
    <oddHeader xml:space="preserve">&amp;L </oddHeader>
    <oddFooter>&amp;L &amp;C&amp;A &amp;R&amp;P de &amp;N</oddFooter>
  </headerFooter>
  <drawing r:id="rId2"/>
  <legacyDrawing r:id="rId3"/>
  <oleObjects>
    <mc:AlternateContent xmlns:mc="http://schemas.openxmlformats.org/markup-compatibility/2006">
      <mc:Choice Requires="x14">
        <oleObject progId="Paint.Picture" shapeId="9218" r:id="rId4">
          <objectPr defaultSize="0" autoPict="0" r:id="rId5">
            <anchor moveWithCells="1">
              <from>
                <xdr:col>5</xdr:col>
                <xdr:colOff>495300</xdr:colOff>
                <xdr:row>0</xdr:row>
                <xdr:rowOff>99060</xdr:rowOff>
              </from>
              <to>
                <xdr:col>7</xdr:col>
                <xdr:colOff>0</xdr:colOff>
                <xdr:row>6</xdr:row>
                <xdr:rowOff>53340</xdr:rowOff>
              </to>
            </anchor>
          </objectPr>
        </oleObject>
      </mc:Choice>
      <mc:Fallback>
        <oleObject progId="Paint.Picture" shapeId="9218"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70"/>
  <sheetViews>
    <sheetView view="pageBreakPreview" topLeftCell="A19" zoomScale="70" zoomScaleNormal="100" zoomScaleSheetLayoutView="70" workbookViewId="0">
      <selection activeCell="V54" sqref="V54"/>
    </sheetView>
  </sheetViews>
  <sheetFormatPr defaultColWidth="9" defaultRowHeight="13.2" x14ac:dyDescent="0.25"/>
  <cols>
    <col min="1" max="16384" width="9" style="28"/>
  </cols>
  <sheetData>
    <row r="1" spans="1:11" ht="13.8" x14ac:dyDescent="0.25">
      <c r="A1" s="55"/>
      <c r="B1" s="56"/>
      <c r="C1" s="56"/>
      <c r="D1" s="56"/>
      <c r="E1" s="56"/>
      <c r="F1" s="56"/>
      <c r="G1" s="56"/>
      <c r="H1" s="56"/>
      <c r="I1" s="56"/>
      <c r="J1" s="56"/>
      <c r="K1" s="57"/>
    </row>
    <row r="2" spans="1:11" ht="13.8" x14ac:dyDescent="0.25">
      <c r="A2" s="58"/>
      <c r="B2" s="59" t="str">
        <f>'Orçamento Sintético'!A1</f>
        <v>Cliente: PREFEITURA MUNICIPAL DE SANTA GERTRUDES</v>
      </c>
      <c r="C2" s="59"/>
      <c r="D2" s="59"/>
      <c r="E2" s="59"/>
      <c r="F2" s="59"/>
      <c r="G2" s="59"/>
      <c r="H2" s="59"/>
      <c r="I2" s="59"/>
      <c r="J2" s="59"/>
      <c r="K2" s="60"/>
    </row>
    <row r="3" spans="1:11" ht="13.8" x14ac:dyDescent="0.25">
      <c r="A3" s="58"/>
      <c r="B3" s="59" t="str">
        <f>'Orçamento Sintético'!A2</f>
        <v>Obra: AMPLIAÇÃO 7 SALAS EMEIF PREF ANTONIO FILIER</v>
      </c>
      <c r="C3" s="59"/>
      <c r="D3" s="59"/>
      <c r="E3" s="59"/>
      <c r="F3" s="59"/>
      <c r="G3" s="59"/>
      <c r="H3" s="59"/>
      <c r="I3" s="59"/>
      <c r="J3" s="59"/>
      <c r="K3" s="60"/>
    </row>
    <row r="4" spans="1:11" ht="13.8" x14ac:dyDescent="0.25">
      <c r="A4" s="58"/>
      <c r="B4" s="59" t="str">
        <f>'Orçamento Sintético'!A3</f>
        <v>Local: MUNICÍPIO DE SANTA GERTRUDES</v>
      </c>
      <c r="C4" s="59"/>
      <c r="D4" s="59"/>
      <c r="E4" s="59"/>
      <c r="F4" s="59"/>
      <c r="G4" s="59"/>
      <c r="H4" s="59"/>
      <c r="I4" s="59"/>
      <c r="J4" s="59"/>
      <c r="K4" s="60"/>
    </row>
    <row r="5" spans="1:11" ht="13.8" x14ac:dyDescent="0.25">
      <c r="A5" s="58"/>
      <c r="B5" s="59"/>
      <c r="C5" s="59"/>
      <c r="D5" s="59"/>
      <c r="E5" s="59"/>
      <c r="F5" s="59"/>
      <c r="G5" s="59"/>
      <c r="H5" s="59"/>
      <c r="I5" s="59"/>
      <c r="J5" s="59"/>
      <c r="K5" s="60"/>
    </row>
    <row r="6" spans="1:11" ht="13.8" x14ac:dyDescent="0.25">
      <c r="A6" s="58"/>
      <c r="B6" s="59" t="s">
        <v>117</v>
      </c>
      <c r="C6" s="59"/>
      <c r="D6" s="59"/>
      <c r="E6" s="59"/>
      <c r="F6" s="59"/>
      <c r="G6" s="59"/>
      <c r="H6" s="59"/>
      <c r="I6" s="59"/>
      <c r="J6" s="59"/>
      <c r="K6" s="60"/>
    </row>
    <row r="7" spans="1:11" ht="13.8" x14ac:dyDescent="0.25">
      <c r="A7" s="58"/>
      <c r="B7" s="59"/>
      <c r="C7" s="59"/>
      <c r="D7" s="59"/>
      <c r="E7" s="59"/>
      <c r="F7" s="59"/>
      <c r="G7" s="59"/>
      <c r="H7" s="59"/>
      <c r="I7" s="59"/>
      <c r="J7" s="59"/>
      <c r="K7" s="60"/>
    </row>
    <row r="8" spans="1:11" ht="13.8" x14ac:dyDescent="0.25">
      <c r="A8" s="58"/>
      <c r="B8" s="59"/>
      <c r="C8" s="59"/>
      <c r="D8" s="59"/>
      <c r="E8" s="59"/>
      <c r="F8" s="59"/>
      <c r="G8" s="59"/>
      <c r="H8" s="59"/>
      <c r="I8" s="59"/>
      <c r="J8" s="59"/>
      <c r="K8" s="60"/>
    </row>
    <row r="9" spans="1:11" ht="13.8" x14ac:dyDescent="0.25">
      <c r="A9" s="58"/>
      <c r="B9" s="59"/>
      <c r="C9" s="59"/>
      <c r="D9" s="59"/>
      <c r="E9" s="59"/>
      <c r="F9" s="59"/>
      <c r="G9" s="59"/>
      <c r="H9" s="59"/>
      <c r="I9" s="59"/>
      <c r="J9" s="59"/>
      <c r="K9" s="60"/>
    </row>
    <row r="10" spans="1:11" ht="13.8" x14ac:dyDescent="0.25">
      <c r="A10" s="58"/>
      <c r="B10" s="59"/>
      <c r="C10" s="59"/>
      <c r="D10" s="59"/>
      <c r="E10" s="59"/>
      <c r="F10" s="59"/>
      <c r="G10" s="59"/>
      <c r="H10" s="59"/>
      <c r="I10" s="59"/>
      <c r="J10" s="59"/>
      <c r="K10" s="60"/>
    </row>
    <row r="11" spans="1:11" ht="13.8" x14ac:dyDescent="0.25">
      <c r="A11" s="58"/>
      <c r="B11" s="59"/>
      <c r="C11" s="59"/>
      <c r="D11" s="59"/>
      <c r="E11" s="59"/>
      <c r="F11" s="59"/>
      <c r="G11" s="59"/>
      <c r="H11" s="59"/>
      <c r="I11" s="59"/>
      <c r="J11" s="59"/>
      <c r="K11" s="60"/>
    </row>
    <row r="12" spans="1:11" ht="13.8" x14ac:dyDescent="0.25">
      <c r="A12" s="58"/>
      <c r="B12" s="59"/>
      <c r="C12" s="59"/>
      <c r="D12" s="59"/>
      <c r="E12" s="59"/>
      <c r="F12" s="59"/>
      <c r="G12" s="59"/>
      <c r="H12" s="59"/>
      <c r="I12" s="59"/>
      <c r="J12" s="59"/>
      <c r="K12" s="60"/>
    </row>
    <row r="13" spans="1:11" ht="13.8" x14ac:dyDescent="0.25">
      <c r="A13" s="58"/>
      <c r="B13" s="59"/>
      <c r="C13" s="59"/>
      <c r="D13" s="59"/>
      <c r="E13" s="59"/>
      <c r="F13" s="59"/>
      <c r="G13" s="59"/>
      <c r="H13" s="59"/>
      <c r="I13" s="59"/>
      <c r="J13" s="59"/>
      <c r="K13" s="60"/>
    </row>
    <row r="14" spans="1:11" ht="13.8" x14ac:dyDescent="0.25">
      <c r="A14" s="58"/>
      <c r="B14" s="59"/>
      <c r="C14" s="59"/>
      <c r="D14" s="59"/>
      <c r="E14" s="59"/>
      <c r="F14" s="59"/>
      <c r="G14" s="59"/>
      <c r="H14" s="59"/>
      <c r="I14" s="59"/>
      <c r="J14" s="59"/>
      <c r="K14" s="60"/>
    </row>
    <row r="15" spans="1:11" ht="13.8" x14ac:dyDescent="0.25">
      <c r="A15" s="58"/>
      <c r="B15" s="59"/>
      <c r="C15" s="59"/>
      <c r="D15" s="59"/>
      <c r="E15" s="59"/>
      <c r="F15" s="59"/>
      <c r="G15" s="59"/>
      <c r="H15" s="59"/>
      <c r="I15" s="59"/>
      <c r="J15" s="59"/>
      <c r="K15" s="60"/>
    </row>
    <row r="16" spans="1:11" ht="13.8" x14ac:dyDescent="0.25">
      <c r="A16" s="58"/>
      <c r="B16" s="59"/>
      <c r="C16" s="59"/>
      <c r="D16" s="59"/>
      <c r="E16" s="59"/>
      <c r="F16" s="59"/>
      <c r="G16" s="59"/>
      <c r="H16" s="59"/>
      <c r="I16" s="59"/>
      <c r="J16" s="59"/>
      <c r="K16" s="60"/>
    </row>
    <row r="17" spans="1:11" ht="13.8" x14ac:dyDescent="0.25">
      <c r="A17" s="58"/>
      <c r="B17" s="59"/>
      <c r="C17" s="59"/>
      <c r="D17" s="59"/>
      <c r="E17" s="59"/>
      <c r="F17" s="59"/>
      <c r="G17" s="59"/>
      <c r="H17" s="59"/>
      <c r="I17" s="59"/>
      <c r="J17" s="59"/>
      <c r="K17" s="60"/>
    </row>
    <row r="18" spans="1:11" ht="13.8" x14ac:dyDescent="0.25">
      <c r="A18" s="58"/>
      <c r="B18" s="59"/>
      <c r="C18" s="59"/>
      <c r="D18" s="59"/>
      <c r="E18" s="59"/>
      <c r="F18" s="59"/>
      <c r="G18" s="59"/>
      <c r="H18" s="59"/>
      <c r="I18" s="59"/>
      <c r="J18" s="59"/>
      <c r="K18" s="60"/>
    </row>
    <row r="19" spans="1:11" ht="13.8" x14ac:dyDescent="0.25">
      <c r="A19" s="58"/>
      <c r="B19" s="59"/>
      <c r="C19" s="59"/>
      <c r="D19" s="59"/>
      <c r="E19" s="59"/>
      <c r="F19" s="59"/>
      <c r="G19" s="59"/>
      <c r="H19" s="59"/>
      <c r="I19" s="59"/>
      <c r="J19" s="59"/>
      <c r="K19" s="60"/>
    </row>
    <row r="20" spans="1:11" ht="13.8" x14ac:dyDescent="0.25">
      <c r="A20" s="58"/>
      <c r="B20" s="59"/>
      <c r="C20" s="59"/>
      <c r="D20" s="59"/>
      <c r="E20" s="59"/>
      <c r="F20" s="59"/>
      <c r="G20" s="59"/>
      <c r="H20" s="59"/>
      <c r="I20" s="59"/>
      <c r="J20" s="59"/>
      <c r="K20" s="60"/>
    </row>
    <row r="21" spans="1:11" ht="13.8" x14ac:dyDescent="0.25">
      <c r="A21" s="58"/>
      <c r="B21" s="59"/>
      <c r="C21" s="59"/>
      <c r="D21" s="59"/>
      <c r="E21" s="59"/>
      <c r="F21" s="59"/>
      <c r="G21" s="59"/>
      <c r="H21" s="59"/>
      <c r="I21" s="59"/>
      <c r="J21" s="59"/>
      <c r="K21" s="60"/>
    </row>
    <row r="22" spans="1:11" ht="13.8" x14ac:dyDescent="0.25">
      <c r="A22" s="58"/>
      <c r="B22" s="59"/>
      <c r="C22" s="59"/>
      <c r="D22" s="59"/>
      <c r="E22" s="59"/>
      <c r="F22" s="59"/>
      <c r="G22" s="59"/>
      <c r="H22" s="59"/>
      <c r="I22" s="59"/>
      <c r="J22" s="59"/>
      <c r="K22" s="60"/>
    </row>
    <row r="23" spans="1:11" ht="13.8" x14ac:dyDescent="0.25">
      <c r="A23" s="58"/>
      <c r="B23" s="59"/>
      <c r="C23" s="59"/>
      <c r="D23" s="59"/>
      <c r="E23" s="59"/>
      <c r="F23" s="59"/>
      <c r="G23" s="59"/>
      <c r="H23" s="59"/>
      <c r="I23" s="59"/>
      <c r="J23" s="59"/>
      <c r="K23" s="60"/>
    </row>
    <row r="24" spans="1:11" ht="13.8" x14ac:dyDescent="0.25">
      <c r="A24" s="58"/>
      <c r="B24" s="59"/>
      <c r="C24" s="59"/>
      <c r="D24" s="59"/>
      <c r="E24" s="59"/>
      <c r="F24" s="59"/>
      <c r="G24" s="59"/>
      <c r="H24" s="59"/>
      <c r="I24" s="59"/>
      <c r="J24" s="59"/>
      <c r="K24" s="60"/>
    </row>
    <row r="25" spans="1:11" ht="13.8" x14ac:dyDescent="0.25">
      <c r="A25" s="58"/>
      <c r="B25" s="59"/>
      <c r="C25" s="59"/>
      <c r="D25" s="59"/>
      <c r="E25" s="59"/>
      <c r="F25" s="59"/>
      <c r="G25" s="59"/>
      <c r="H25" s="59"/>
      <c r="I25" s="59"/>
      <c r="J25" s="59"/>
      <c r="K25" s="60"/>
    </row>
    <row r="26" spans="1:11" ht="13.8" x14ac:dyDescent="0.25">
      <c r="A26" s="58"/>
      <c r="B26" s="59"/>
      <c r="C26" s="59"/>
      <c r="D26" s="59"/>
      <c r="E26" s="59"/>
      <c r="F26" s="59"/>
      <c r="G26" s="59"/>
      <c r="H26" s="59"/>
      <c r="I26" s="59"/>
      <c r="J26" s="59"/>
      <c r="K26" s="60"/>
    </row>
    <row r="27" spans="1:11" ht="13.8" x14ac:dyDescent="0.25">
      <c r="A27" s="58"/>
      <c r="B27" s="59"/>
      <c r="C27" s="59"/>
      <c r="D27" s="59"/>
      <c r="E27" s="59"/>
      <c r="F27" s="59"/>
      <c r="G27" s="59"/>
      <c r="H27" s="59"/>
      <c r="I27" s="59"/>
      <c r="J27" s="59"/>
      <c r="K27" s="60"/>
    </row>
    <row r="28" spans="1:11" ht="13.8" x14ac:dyDescent="0.25">
      <c r="A28" s="58"/>
      <c r="B28" s="59"/>
      <c r="C28" s="59"/>
      <c r="D28" s="59"/>
      <c r="E28" s="59"/>
      <c r="F28" s="59"/>
      <c r="G28" s="59"/>
      <c r="H28" s="59"/>
      <c r="I28" s="59"/>
      <c r="J28" s="59"/>
      <c r="K28" s="60"/>
    </row>
    <row r="29" spans="1:11" ht="13.8" x14ac:dyDescent="0.25">
      <c r="A29" s="58"/>
      <c r="B29" s="59"/>
      <c r="C29" s="59"/>
      <c r="D29" s="59"/>
      <c r="E29" s="59"/>
      <c r="F29" s="59"/>
      <c r="G29" s="59"/>
      <c r="H29" s="59"/>
      <c r="I29" s="59"/>
      <c r="J29" s="59"/>
      <c r="K29" s="60"/>
    </row>
    <row r="30" spans="1:11" ht="13.8" x14ac:dyDescent="0.25">
      <c r="A30" s="58"/>
      <c r="B30" s="59"/>
      <c r="C30" s="59"/>
      <c r="D30" s="59"/>
      <c r="E30" s="59"/>
      <c r="F30" s="59"/>
      <c r="G30" s="59"/>
      <c r="H30" s="59"/>
      <c r="I30" s="59"/>
      <c r="J30" s="59"/>
      <c r="K30" s="60"/>
    </row>
    <row r="31" spans="1:11" ht="13.8" x14ac:dyDescent="0.25">
      <c r="A31" s="58"/>
      <c r="B31" s="59"/>
      <c r="C31" s="59"/>
      <c r="D31" s="59"/>
      <c r="E31" s="59"/>
      <c r="F31" s="59"/>
      <c r="G31" s="59"/>
      <c r="H31" s="59"/>
      <c r="I31" s="59"/>
      <c r="J31" s="59"/>
      <c r="K31" s="60"/>
    </row>
    <row r="32" spans="1:11" ht="13.8" x14ac:dyDescent="0.25">
      <c r="A32" s="58"/>
      <c r="B32" s="59"/>
      <c r="C32" s="59"/>
      <c r="D32" s="59"/>
      <c r="E32" s="59"/>
      <c r="F32" s="59"/>
      <c r="G32" s="59"/>
      <c r="H32" s="59"/>
      <c r="I32" s="59"/>
      <c r="J32" s="59"/>
      <c r="K32" s="60"/>
    </row>
    <row r="33" spans="1:11" ht="13.8" x14ac:dyDescent="0.25">
      <c r="A33" s="58"/>
      <c r="B33" s="59"/>
      <c r="C33" s="59"/>
      <c r="D33" s="59"/>
      <c r="E33" s="59"/>
      <c r="F33" s="59"/>
      <c r="G33" s="59"/>
      <c r="H33" s="59"/>
      <c r="I33" s="59"/>
      <c r="J33" s="59"/>
      <c r="K33" s="60"/>
    </row>
    <row r="34" spans="1:11" ht="13.8" x14ac:dyDescent="0.25">
      <c r="A34" s="58"/>
      <c r="B34" s="59"/>
      <c r="C34" s="59"/>
      <c r="D34" s="59"/>
      <c r="E34" s="59"/>
      <c r="F34" s="59"/>
      <c r="G34" s="59"/>
      <c r="H34" s="59"/>
      <c r="I34" s="59"/>
      <c r="J34" s="59"/>
      <c r="K34" s="60"/>
    </row>
    <row r="35" spans="1:11" ht="13.8" x14ac:dyDescent="0.25">
      <c r="A35" s="58"/>
      <c r="B35" s="59"/>
      <c r="C35" s="59"/>
      <c r="D35" s="59"/>
      <c r="E35" s="59"/>
      <c r="F35" s="59"/>
      <c r="G35" s="59"/>
      <c r="H35" s="59"/>
      <c r="I35" s="59"/>
      <c r="J35" s="59"/>
      <c r="K35" s="60"/>
    </row>
    <row r="36" spans="1:11" ht="13.8" x14ac:dyDescent="0.25">
      <c r="A36" s="58"/>
      <c r="B36" s="59"/>
      <c r="C36" s="59"/>
      <c r="D36" s="59"/>
      <c r="E36" s="59"/>
      <c r="F36" s="59"/>
      <c r="G36" s="59"/>
      <c r="H36" s="59"/>
      <c r="I36" s="59"/>
      <c r="J36" s="59"/>
      <c r="K36" s="60"/>
    </row>
    <row r="37" spans="1:11" ht="13.8" x14ac:dyDescent="0.25">
      <c r="A37" s="58"/>
      <c r="B37" s="59"/>
      <c r="C37" s="59"/>
      <c r="D37" s="59"/>
      <c r="E37" s="59"/>
      <c r="F37" s="59"/>
      <c r="G37" s="59"/>
      <c r="H37" s="59"/>
      <c r="I37" s="59"/>
      <c r="J37" s="59"/>
      <c r="K37" s="60"/>
    </row>
    <row r="38" spans="1:11" ht="13.8" x14ac:dyDescent="0.25">
      <c r="A38" s="58"/>
      <c r="B38" s="59"/>
      <c r="C38" s="59"/>
      <c r="D38" s="59"/>
      <c r="E38" s="59"/>
      <c r="F38" s="59"/>
      <c r="G38" s="59"/>
      <c r="H38" s="59"/>
      <c r="I38" s="59"/>
      <c r="J38" s="59"/>
      <c r="K38" s="60"/>
    </row>
    <row r="39" spans="1:11" ht="13.8" x14ac:dyDescent="0.25">
      <c r="A39" s="58"/>
      <c r="B39" s="59"/>
      <c r="C39" s="59"/>
      <c r="D39" s="59"/>
      <c r="E39" s="59"/>
      <c r="F39" s="59"/>
      <c r="G39" s="59"/>
      <c r="H39" s="59"/>
      <c r="I39" s="59"/>
      <c r="J39" s="59"/>
      <c r="K39" s="60"/>
    </row>
    <row r="40" spans="1:11" ht="13.8" x14ac:dyDescent="0.25">
      <c r="A40" s="58"/>
      <c r="B40" s="59"/>
      <c r="C40" s="59"/>
      <c r="D40" s="59"/>
      <c r="E40" s="59"/>
      <c r="F40" s="59"/>
      <c r="G40" s="59"/>
      <c r="H40" s="59"/>
      <c r="I40" s="59"/>
      <c r="J40" s="59"/>
      <c r="K40" s="60"/>
    </row>
    <row r="41" spans="1:11" ht="13.8" x14ac:dyDescent="0.25">
      <c r="A41" s="58"/>
      <c r="B41" s="59"/>
      <c r="C41" s="59"/>
      <c r="D41" s="59"/>
      <c r="E41" s="59"/>
      <c r="F41" s="59"/>
      <c r="G41" s="59"/>
      <c r="H41" s="59"/>
      <c r="I41" s="59"/>
      <c r="J41" s="59"/>
      <c r="K41" s="60"/>
    </row>
    <row r="42" spans="1:11" ht="13.8" x14ac:dyDescent="0.25">
      <c r="A42" s="58"/>
      <c r="B42" s="59"/>
      <c r="C42" s="59"/>
      <c r="D42" s="59"/>
      <c r="E42" s="59"/>
      <c r="F42" s="59"/>
      <c r="G42" s="59"/>
      <c r="H42" s="59"/>
      <c r="I42" s="59"/>
      <c r="J42" s="59"/>
      <c r="K42" s="60"/>
    </row>
    <row r="43" spans="1:11" ht="13.8" x14ac:dyDescent="0.25">
      <c r="A43" s="58"/>
      <c r="B43" s="59"/>
      <c r="C43" s="59"/>
      <c r="D43" s="59"/>
      <c r="E43" s="59"/>
      <c r="F43" s="59"/>
      <c r="G43" s="59"/>
      <c r="H43" s="59"/>
      <c r="I43" s="59"/>
      <c r="J43" s="59"/>
      <c r="K43" s="60"/>
    </row>
    <row r="44" spans="1:11" ht="13.8" x14ac:dyDescent="0.25">
      <c r="A44" s="58"/>
      <c r="B44" s="59"/>
      <c r="C44" s="59"/>
      <c r="D44" s="59"/>
      <c r="E44" s="59"/>
      <c r="F44" s="59"/>
      <c r="G44" s="59"/>
      <c r="H44" s="59"/>
      <c r="I44" s="59"/>
      <c r="J44" s="59"/>
      <c r="K44" s="60"/>
    </row>
    <row r="45" spans="1:11" ht="13.8" x14ac:dyDescent="0.25">
      <c r="A45" s="58"/>
      <c r="B45" s="59"/>
      <c r="C45" s="59"/>
      <c r="D45" s="59"/>
      <c r="E45" s="59"/>
      <c r="F45" s="59"/>
      <c r="G45" s="59"/>
      <c r="H45" s="59"/>
      <c r="I45" s="59"/>
      <c r="J45" s="59"/>
      <c r="K45" s="60"/>
    </row>
    <row r="46" spans="1:11" ht="13.8" x14ac:dyDescent="0.25">
      <c r="A46" s="58"/>
      <c r="B46" s="59"/>
      <c r="C46" s="59"/>
      <c r="D46" s="59"/>
      <c r="E46" s="59"/>
      <c r="F46" s="59"/>
      <c r="G46" s="59"/>
      <c r="H46" s="59"/>
      <c r="I46" s="59"/>
      <c r="J46" s="59"/>
      <c r="K46" s="60"/>
    </row>
    <row r="47" spans="1:11" ht="13.8" x14ac:dyDescent="0.25">
      <c r="A47" s="58"/>
      <c r="B47" s="59"/>
      <c r="C47" s="59"/>
      <c r="D47" s="59"/>
      <c r="E47" s="59"/>
      <c r="F47" s="59"/>
      <c r="G47" s="59"/>
      <c r="H47" s="59"/>
      <c r="I47" s="59"/>
      <c r="J47" s="59"/>
      <c r="K47" s="60"/>
    </row>
    <row r="48" spans="1:11" ht="13.8" x14ac:dyDescent="0.25">
      <c r="A48" s="58"/>
      <c r="B48" s="59"/>
      <c r="C48" s="59"/>
      <c r="D48" s="59"/>
      <c r="E48" s="59"/>
      <c r="F48" s="59"/>
      <c r="G48" s="59"/>
      <c r="H48" s="59"/>
      <c r="I48" s="59"/>
      <c r="J48" s="59"/>
      <c r="K48" s="60"/>
    </row>
    <row r="49" spans="1:11" ht="13.8" x14ac:dyDescent="0.25">
      <c r="A49" s="58"/>
      <c r="B49" s="59"/>
      <c r="C49" s="59"/>
      <c r="D49" s="59"/>
      <c r="E49" s="59"/>
      <c r="F49" s="59"/>
      <c r="G49" s="59"/>
      <c r="H49" s="59"/>
      <c r="I49" s="59"/>
      <c r="J49" s="59"/>
      <c r="K49" s="60"/>
    </row>
    <row r="50" spans="1:11" ht="13.8" x14ac:dyDescent="0.25">
      <c r="A50" s="58"/>
      <c r="B50" s="59"/>
      <c r="C50" s="59"/>
      <c r="D50" s="59"/>
      <c r="E50" s="59"/>
      <c r="F50" s="59"/>
      <c r="G50" s="59"/>
      <c r="H50" s="59"/>
      <c r="I50" s="59"/>
      <c r="J50" s="59"/>
      <c r="K50" s="60"/>
    </row>
    <row r="51" spans="1:11" ht="13.8" x14ac:dyDescent="0.25">
      <c r="A51" s="58"/>
      <c r="B51" s="59"/>
      <c r="C51" s="59"/>
      <c r="D51" s="59"/>
      <c r="E51" s="59"/>
      <c r="F51" s="59"/>
      <c r="G51" s="59"/>
      <c r="H51" s="59"/>
      <c r="I51" s="59"/>
      <c r="J51" s="59"/>
      <c r="K51" s="60"/>
    </row>
    <row r="52" spans="1:11" ht="13.8" x14ac:dyDescent="0.25">
      <c r="A52" s="58"/>
      <c r="B52" s="59"/>
      <c r="C52" s="59"/>
      <c r="D52" s="59"/>
      <c r="E52" s="59"/>
      <c r="F52" s="59"/>
      <c r="G52" s="59"/>
      <c r="H52" s="59"/>
      <c r="I52" s="59"/>
      <c r="J52" s="59"/>
      <c r="K52" s="60"/>
    </row>
    <row r="53" spans="1:11" ht="13.8" x14ac:dyDescent="0.25">
      <c r="A53" s="58"/>
      <c r="B53" s="59"/>
      <c r="C53" s="59"/>
      <c r="D53" s="59"/>
      <c r="E53" s="59"/>
      <c r="F53" s="59"/>
      <c r="G53" s="59"/>
      <c r="H53" s="59"/>
      <c r="I53" s="59"/>
      <c r="J53" s="59"/>
      <c r="K53" s="60"/>
    </row>
    <row r="54" spans="1:11" ht="13.8" x14ac:dyDescent="0.25">
      <c r="A54" s="58"/>
      <c r="B54" s="59"/>
      <c r="C54" s="59"/>
      <c r="D54" s="59"/>
      <c r="E54" s="59"/>
      <c r="F54" s="59"/>
      <c r="G54" s="59"/>
      <c r="H54" s="59"/>
      <c r="I54" s="59"/>
      <c r="J54" s="59"/>
      <c r="K54" s="60"/>
    </row>
    <row r="55" spans="1:11" ht="13.8" x14ac:dyDescent="0.25">
      <c r="A55" s="58"/>
      <c r="B55" s="59"/>
      <c r="C55" s="59"/>
      <c r="D55" s="59"/>
      <c r="E55" s="59"/>
      <c r="F55" s="59"/>
      <c r="G55" s="59"/>
      <c r="H55" s="59"/>
      <c r="I55" s="59"/>
      <c r="J55" s="59"/>
      <c r="K55" s="60"/>
    </row>
    <row r="56" spans="1:11" ht="13.8" x14ac:dyDescent="0.25">
      <c r="A56" s="58"/>
      <c r="B56" s="59"/>
      <c r="C56" s="59"/>
      <c r="D56" s="59"/>
      <c r="E56" s="59"/>
      <c r="F56" s="59"/>
      <c r="G56" s="59"/>
      <c r="H56" s="59"/>
      <c r="I56" s="59"/>
      <c r="J56" s="59"/>
      <c r="K56" s="60"/>
    </row>
    <row r="57" spans="1:11" ht="13.8" x14ac:dyDescent="0.25">
      <c r="A57" s="58"/>
      <c r="B57" s="59"/>
      <c r="C57" s="59"/>
      <c r="D57" s="59"/>
      <c r="E57" s="59"/>
      <c r="F57" s="59"/>
      <c r="G57" s="59"/>
      <c r="H57" s="59"/>
      <c r="I57" s="59"/>
      <c r="J57" s="59"/>
      <c r="K57" s="60"/>
    </row>
    <row r="58" spans="1:11" ht="13.8" x14ac:dyDescent="0.25">
      <c r="A58" s="58"/>
      <c r="B58" s="59"/>
      <c r="C58" s="59"/>
      <c r="D58" s="59"/>
      <c r="E58" s="59"/>
      <c r="F58" s="59"/>
      <c r="G58" s="59"/>
      <c r="H58" s="59"/>
      <c r="I58" s="59"/>
      <c r="J58" s="59"/>
      <c r="K58" s="60"/>
    </row>
    <row r="59" spans="1:11" ht="13.8" x14ac:dyDescent="0.25">
      <c r="A59" s="58"/>
      <c r="B59" s="59"/>
      <c r="C59" s="59"/>
      <c r="D59" s="59"/>
      <c r="E59" s="59"/>
      <c r="F59" s="59"/>
      <c r="G59" s="59"/>
      <c r="H59" s="59"/>
      <c r="I59" s="59"/>
      <c r="J59" s="59"/>
      <c r="K59" s="60"/>
    </row>
    <row r="60" spans="1:11" ht="13.8" x14ac:dyDescent="0.25">
      <c r="A60" s="58"/>
      <c r="B60" s="59"/>
      <c r="C60" s="59"/>
      <c r="D60" s="59"/>
      <c r="E60" s="59"/>
      <c r="F60" s="59"/>
      <c r="G60" s="59"/>
      <c r="H60" s="59"/>
      <c r="I60" s="59"/>
      <c r="J60" s="59"/>
      <c r="K60" s="60"/>
    </row>
    <row r="61" spans="1:11" ht="13.8" x14ac:dyDescent="0.25">
      <c r="A61" s="58"/>
      <c r="B61" s="59"/>
      <c r="C61" s="59"/>
      <c r="D61" s="59"/>
      <c r="E61" s="59"/>
      <c r="F61" s="59"/>
      <c r="G61" s="59"/>
      <c r="H61" s="59"/>
      <c r="I61" s="59"/>
      <c r="J61" s="59"/>
      <c r="K61" s="60"/>
    </row>
    <row r="62" spans="1:11" ht="14.4" thickBot="1" x14ac:dyDescent="0.3">
      <c r="A62" s="61"/>
      <c r="B62" s="62"/>
      <c r="C62" s="62"/>
      <c r="D62" s="62"/>
      <c r="E62" s="62"/>
      <c r="F62" s="62"/>
      <c r="G62" s="62"/>
      <c r="H62" s="62"/>
      <c r="I62" s="62"/>
      <c r="J62" s="62"/>
      <c r="K62" s="63"/>
    </row>
    <row r="67" spans="2:2" ht="13.8" x14ac:dyDescent="0.25">
      <c r="B67" s="64"/>
    </row>
    <row r="68" spans="2:2" ht="21.75" customHeight="1" x14ac:dyDescent="0.25">
      <c r="B68" s="65" t="s">
        <v>118</v>
      </c>
    </row>
    <row r="69" spans="2:2" ht="13.8" x14ac:dyDescent="0.25">
      <c r="B69" s="65" t="s">
        <v>119</v>
      </c>
    </row>
    <row r="70" spans="2:2" x14ac:dyDescent="0.25">
      <c r="B70" s="66" t="s">
        <v>120</v>
      </c>
    </row>
  </sheetData>
  <pageMargins left="0.511811024" right="0.511811024" top="0.78740157499999996" bottom="0.78740157499999996" header="0.31496062000000002" footer="0.31496062000000002"/>
  <pageSetup paperSize="9" scale="82"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49"/>
  <sheetViews>
    <sheetView view="pageBreakPreview" zoomScale="80" zoomScaleNormal="100" zoomScaleSheetLayoutView="80" workbookViewId="0">
      <selection activeCell="F4" sqref="F4"/>
    </sheetView>
  </sheetViews>
  <sheetFormatPr defaultColWidth="9" defaultRowHeight="13.8" x14ac:dyDescent="0.25"/>
  <cols>
    <col min="1" max="1" width="4.59765625" bestFit="1" customWidth="1"/>
    <col min="2" max="2" width="34.5" customWidth="1"/>
    <col min="3" max="3" width="12" customWidth="1"/>
    <col min="4" max="13" width="12.69921875" customWidth="1"/>
    <col min="14" max="20" width="12" bestFit="1" customWidth="1"/>
  </cols>
  <sheetData>
    <row r="1" spans="1:14" ht="13.8" customHeight="1" x14ac:dyDescent="0.25">
      <c r="A1" s="146" t="str">
        <f>'Orçamento Sintético'!A1</f>
        <v>Cliente: PREFEITURA MUNICIPAL DE SANTA GERTRUDES</v>
      </c>
      <c r="B1" s="146"/>
      <c r="C1" s="146"/>
      <c r="D1" s="146"/>
      <c r="E1" s="110" t="s">
        <v>11</v>
      </c>
      <c r="F1" s="2"/>
      <c r="G1" s="3"/>
    </row>
    <row r="2" spans="1:14" ht="58.2" customHeight="1" x14ac:dyDescent="0.25">
      <c r="A2" s="146" t="str">
        <f>'Orçamento Sintético'!A2</f>
        <v>Obra: AMPLIAÇÃO 7 SALAS EMEIF PREF ANTONIO FILIER</v>
      </c>
      <c r="B2" s="146"/>
      <c r="C2" s="146"/>
      <c r="D2" s="146"/>
      <c r="E2" s="111">
        <f>BDI!N26</f>
        <v>0.28820000000000001</v>
      </c>
      <c r="F2" s="3"/>
      <c r="G2" s="3"/>
    </row>
    <row r="3" spans="1:14" ht="26.4" customHeight="1" x14ac:dyDescent="0.25">
      <c r="A3" s="147" t="s">
        <v>15</v>
      </c>
      <c r="B3" s="148"/>
      <c r="C3" s="148"/>
      <c r="D3" s="148"/>
      <c r="E3" s="148"/>
      <c r="F3" s="148"/>
    </row>
    <row r="4" spans="1:14" ht="27.6" x14ac:dyDescent="0.25">
      <c r="A4" s="72" t="s">
        <v>0</v>
      </c>
      <c r="B4" s="72" t="s">
        <v>1</v>
      </c>
      <c r="C4" s="74" t="s">
        <v>763</v>
      </c>
      <c r="D4" s="73" t="s">
        <v>764</v>
      </c>
      <c r="E4" s="73" t="s">
        <v>765</v>
      </c>
      <c r="F4" s="73" t="s">
        <v>766</v>
      </c>
      <c r="G4" s="73" t="s">
        <v>767</v>
      </c>
      <c r="H4" s="73" t="s">
        <v>768</v>
      </c>
      <c r="I4" s="73" t="s">
        <v>769</v>
      </c>
      <c r="J4" s="73" t="s">
        <v>770</v>
      </c>
      <c r="K4" s="73" t="s">
        <v>771</v>
      </c>
      <c r="L4" s="73" t="s">
        <v>772</v>
      </c>
      <c r="M4" s="73" t="s">
        <v>773</v>
      </c>
    </row>
    <row r="5" spans="1:14" x14ac:dyDescent="0.25">
      <c r="A5" s="98" t="s">
        <v>4</v>
      </c>
      <c r="B5" s="98" t="str">
        <f>'Orçamento Sintético'!D9</f>
        <v>SERVIÇOS PRELIMINARES</v>
      </c>
      <c r="C5" s="99">
        <f>'Orçamento Sintético'!I9</f>
        <v>41643.39</v>
      </c>
      <c r="D5" s="107">
        <v>30734.67</v>
      </c>
      <c r="E5" s="107">
        <f t="shared" ref="E5:M5" si="0">ROUND($C$5*E6,2)</f>
        <v>1212.08</v>
      </c>
      <c r="F5" s="107">
        <f t="shared" si="0"/>
        <v>1212.08</v>
      </c>
      <c r="G5" s="107">
        <f t="shared" si="0"/>
        <v>1212.08</v>
      </c>
      <c r="H5" s="107">
        <f t="shared" si="0"/>
        <v>1212.08</v>
      </c>
      <c r="I5" s="107">
        <f t="shared" si="0"/>
        <v>1212.08</v>
      </c>
      <c r="J5" s="107">
        <f t="shared" si="0"/>
        <v>1212.08</v>
      </c>
      <c r="K5" s="107">
        <f t="shared" si="0"/>
        <v>1212.08</v>
      </c>
      <c r="L5" s="107">
        <f t="shared" si="0"/>
        <v>1212.08</v>
      </c>
      <c r="M5" s="107">
        <f t="shared" si="0"/>
        <v>1212.08</v>
      </c>
      <c r="N5" s="113"/>
    </row>
    <row r="6" spans="1:14" x14ac:dyDescent="0.25">
      <c r="A6" s="98"/>
      <c r="B6" s="98"/>
      <c r="C6" s="101">
        <f>C5/$C$39</f>
        <v>1.9697940681727689E-2</v>
      </c>
      <c r="D6" s="114">
        <v>0.73804510000000001</v>
      </c>
      <c r="E6" s="114">
        <v>2.9106099999999999E-2</v>
      </c>
      <c r="F6" s="114">
        <v>2.9106099999999999E-2</v>
      </c>
      <c r="G6" s="114">
        <v>2.9106099999999999E-2</v>
      </c>
      <c r="H6" s="114">
        <v>2.9106099999999999E-2</v>
      </c>
      <c r="I6" s="114">
        <v>2.9106099999999999E-2</v>
      </c>
      <c r="J6" s="114">
        <v>2.9106099999999999E-2</v>
      </c>
      <c r="K6" s="114">
        <v>2.9106099999999999E-2</v>
      </c>
      <c r="L6" s="114">
        <v>2.9106099999999999E-2</v>
      </c>
      <c r="M6" s="114">
        <v>2.9106099999999999E-2</v>
      </c>
    </row>
    <row r="7" spans="1:14" x14ac:dyDescent="0.25">
      <c r="A7" s="98" t="s">
        <v>7</v>
      </c>
      <c r="B7" s="98" t="str">
        <f>'Orçamento Sintético'!D17</f>
        <v>REMOÇÕES E DEMOLIÇÕES</v>
      </c>
      <c r="C7" s="99">
        <f>'Orçamento Sintético'!I17</f>
        <v>6999.78</v>
      </c>
      <c r="D7" s="107">
        <f>D8*C7</f>
        <v>6999.78</v>
      </c>
      <c r="E7" s="103"/>
      <c r="F7" s="103"/>
      <c r="G7" s="103"/>
      <c r="H7" s="103"/>
      <c r="I7" s="103"/>
      <c r="J7" s="103"/>
      <c r="K7" s="103"/>
      <c r="L7" s="103"/>
      <c r="M7" s="103"/>
      <c r="N7" s="113"/>
    </row>
    <row r="8" spans="1:14" x14ac:dyDescent="0.25">
      <c r="A8" s="98"/>
      <c r="B8" s="98"/>
      <c r="C8" s="101">
        <f>C7/$C$39</f>
        <v>3.3109996862681892E-3</v>
      </c>
      <c r="D8" s="108">
        <v>1</v>
      </c>
      <c r="E8" s="102"/>
      <c r="F8" s="102"/>
      <c r="G8" s="102"/>
      <c r="H8" s="102"/>
      <c r="I8" s="102"/>
      <c r="J8" s="102"/>
      <c r="K8" s="102"/>
      <c r="L8" s="102"/>
      <c r="M8" s="102"/>
    </row>
    <row r="9" spans="1:14" x14ac:dyDescent="0.25">
      <c r="A9" s="98" t="s">
        <v>131</v>
      </c>
      <c r="B9" s="98" t="str">
        <f>'Orçamento Sintético'!D24</f>
        <v>MOVIMENTO DE TERRA</v>
      </c>
      <c r="C9" s="99">
        <f>'Orçamento Sintético'!I24</f>
        <v>12551.039999999999</v>
      </c>
      <c r="D9" s="103"/>
      <c r="E9" s="107">
        <f>E10*$C$9</f>
        <v>5522.4575999999997</v>
      </c>
      <c r="F9" s="107">
        <f>F10*$C$9</f>
        <v>7028.5824000000002</v>
      </c>
      <c r="G9" s="103"/>
      <c r="H9" s="103"/>
      <c r="I9" s="103"/>
      <c r="J9" s="103"/>
      <c r="K9" s="103"/>
      <c r="L9" s="103"/>
      <c r="M9" s="103"/>
      <c r="N9" s="113"/>
    </row>
    <row r="10" spans="1:14" x14ac:dyDescent="0.25">
      <c r="A10" s="98"/>
      <c r="B10" s="98"/>
      <c r="C10" s="101">
        <f>C9/$C$39</f>
        <v>5.9368279434981516E-3</v>
      </c>
      <c r="D10" s="102"/>
      <c r="E10" s="108">
        <v>0.44</v>
      </c>
      <c r="F10" s="108">
        <v>0.56000000000000005</v>
      </c>
      <c r="G10" s="102"/>
      <c r="H10" s="102"/>
      <c r="I10" s="102"/>
      <c r="J10" s="102"/>
      <c r="K10" s="102"/>
      <c r="L10" s="102"/>
      <c r="M10" s="102"/>
    </row>
    <row r="11" spans="1:14" x14ac:dyDescent="0.25">
      <c r="A11" s="98" t="s">
        <v>134</v>
      </c>
      <c r="B11" s="98" t="str">
        <f>'Orçamento Sintético'!D31</f>
        <v>INFRAESTRUTURA</v>
      </c>
      <c r="C11" s="99">
        <f>'Orçamento Sintético'!I31</f>
        <v>152146.26</v>
      </c>
      <c r="D11" s="103"/>
      <c r="E11" s="103"/>
      <c r="F11" s="107">
        <f>F12*$C$11</f>
        <v>48686.803200000002</v>
      </c>
      <c r="G11" s="107">
        <f>G12*$C$11</f>
        <v>103459.45680000001</v>
      </c>
      <c r="H11" s="103"/>
      <c r="I11" s="103"/>
      <c r="J11" s="103"/>
      <c r="K11" s="103"/>
      <c r="L11" s="103"/>
      <c r="M11" s="103"/>
      <c r="N11" s="113"/>
    </row>
    <row r="12" spans="1:14" x14ac:dyDescent="0.25">
      <c r="A12" s="98"/>
      <c r="B12" s="98"/>
      <c r="C12" s="101">
        <f>C11/$C$39</f>
        <v>7.1967435994685316E-2</v>
      </c>
      <c r="D12" s="102"/>
      <c r="E12" s="102"/>
      <c r="F12" s="108">
        <v>0.32</v>
      </c>
      <c r="G12" s="108">
        <v>0.68</v>
      </c>
      <c r="H12" s="102"/>
      <c r="I12" s="102"/>
      <c r="J12" s="102"/>
      <c r="K12" s="102"/>
      <c r="L12" s="102"/>
      <c r="M12" s="102"/>
    </row>
    <row r="13" spans="1:14" x14ac:dyDescent="0.25">
      <c r="A13" s="98" t="s">
        <v>137</v>
      </c>
      <c r="B13" s="98" t="str">
        <f>'Orçamento Sintético'!D48</f>
        <v>SUPERESTRUTURA</v>
      </c>
      <c r="C13" s="99">
        <f>'Orçamento Sintético'!I48</f>
        <v>108631.44999999998</v>
      </c>
      <c r="D13" s="103"/>
      <c r="E13" s="103"/>
      <c r="F13" s="103"/>
      <c r="G13" s="107">
        <f>G14*$C$13</f>
        <v>20639.975499999997</v>
      </c>
      <c r="H13" s="107">
        <f t="shared" ref="H13:J13" si="1">H14*$C$13</f>
        <v>20639.975499999997</v>
      </c>
      <c r="I13" s="107">
        <f t="shared" si="1"/>
        <v>24985.233499999998</v>
      </c>
      <c r="J13" s="107">
        <f t="shared" si="1"/>
        <v>42366.265499999994</v>
      </c>
      <c r="K13" s="103"/>
      <c r="L13" s="103"/>
      <c r="M13" s="103"/>
      <c r="N13" s="113"/>
    </row>
    <row r="14" spans="1:14" x14ac:dyDescent="0.25">
      <c r="A14" s="98"/>
      <c r="B14" s="98"/>
      <c r="C14" s="101">
        <f>C13/$C$39</f>
        <v>5.1384285915965708E-2</v>
      </c>
      <c r="D14" s="102"/>
      <c r="E14" s="102"/>
      <c r="F14" s="102"/>
      <c r="G14" s="108">
        <v>0.19</v>
      </c>
      <c r="H14" s="108">
        <v>0.19</v>
      </c>
      <c r="I14" s="108">
        <v>0.23</v>
      </c>
      <c r="J14" s="108">
        <v>0.39</v>
      </c>
      <c r="K14" s="102"/>
      <c r="L14" s="102"/>
      <c r="M14" s="102"/>
    </row>
    <row r="15" spans="1:14" x14ac:dyDescent="0.25">
      <c r="A15" s="98" t="s">
        <v>146</v>
      </c>
      <c r="B15" s="98" t="str">
        <f>'Orçamento Sintético'!D59</f>
        <v>PAREDES E PAINÉIS</v>
      </c>
      <c r="C15" s="99">
        <f>'Orçamento Sintético'!I59</f>
        <v>220840.73</v>
      </c>
      <c r="D15" s="103"/>
      <c r="E15" s="103"/>
      <c r="F15" s="103"/>
      <c r="G15" s="107">
        <f>G16*$C$15</f>
        <v>44168.146000000008</v>
      </c>
      <c r="H15" s="107">
        <f t="shared" ref="H15:K15" si="2">H16*$C$15</f>
        <v>55210.182500000003</v>
      </c>
      <c r="I15" s="107">
        <f t="shared" si="2"/>
        <v>66252.218999999997</v>
      </c>
      <c r="J15" s="107">
        <f t="shared" si="2"/>
        <v>35334.516800000005</v>
      </c>
      <c r="K15" s="107">
        <f t="shared" si="2"/>
        <v>19875.665700000001</v>
      </c>
      <c r="L15" s="103"/>
      <c r="M15" s="103"/>
      <c r="N15" s="113"/>
    </row>
    <row r="16" spans="1:14" x14ac:dyDescent="0.25">
      <c r="A16" s="98"/>
      <c r="B16" s="98"/>
      <c r="C16" s="101">
        <f>C15/$C$39</f>
        <v>0.10446093845024243</v>
      </c>
      <c r="D16" s="102"/>
      <c r="E16" s="102"/>
      <c r="F16" s="102"/>
      <c r="G16" s="108">
        <v>0.2</v>
      </c>
      <c r="H16" s="108">
        <v>0.25</v>
      </c>
      <c r="I16" s="108">
        <v>0.3</v>
      </c>
      <c r="J16" s="108">
        <v>0.16</v>
      </c>
      <c r="K16" s="108">
        <v>0.09</v>
      </c>
      <c r="L16" s="102"/>
      <c r="M16" s="102"/>
    </row>
    <row r="17" spans="1:14" x14ac:dyDescent="0.25">
      <c r="A17" s="98" t="s">
        <v>36</v>
      </c>
      <c r="B17" s="98" t="str">
        <f>'Orçamento Sintético'!D65</f>
        <v>COBERTURA</v>
      </c>
      <c r="C17" s="99">
        <f>'Orçamento Sintético'!I65</f>
        <v>446120.91</v>
      </c>
      <c r="D17" s="103"/>
      <c r="E17" s="103"/>
      <c r="F17" s="103"/>
      <c r="G17" s="103"/>
      <c r="H17" s="103"/>
      <c r="I17" s="107">
        <f>I18*$C$17</f>
        <v>62456.9274</v>
      </c>
      <c r="J17" s="107">
        <f>J18*$C$17</f>
        <v>383663.98259999999</v>
      </c>
      <c r="K17" s="103"/>
      <c r="L17" s="103"/>
      <c r="M17" s="103"/>
      <c r="N17" s="113"/>
    </row>
    <row r="18" spans="1:14" x14ac:dyDescent="0.25">
      <c r="A18" s="98"/>
      <c r="B18" s="98"/>
      <c r="C18" s="101">
        <f>C17/$C$39</f>
        <v>0.21102180254917713</v>
      </c>
      <c r="D18" s="102"/>
      <c r="E18" s="102"/>
      <c r="F18" s="102"/>
      <c r="G18" s="102"/>
      <c r="H18" s="102"/>
      <c r="I18" s="108">
        <v>0.14000000000000001</v>
      </c>
      <c r="J18" s="108">
        <v>0.86</v>
      </c>
      <c r="K18" s="102"/>
      <c r="L18" s="102"/>
      <c r="M18" s="102"/>
    </row>
    <row r="19" spans="1:14" x14ac:dyDescent="0.25">
      <c r="A19" s="98" t="s">
        <v>221</v>
      </c>
      <c r="B19" s="98" t="str">
        <f>'Orçamento Sintético'!D82</f>
        <v>ESQUADRIAS</v>
      </c>
      <c r="C19" s="99">
        <f>'Orçamento Sintético'!I82</f>
        <v>327077.63</v>
      </c>
      <c r="D19" s="103"/>
      <c r="E19" s="103"/>
      <c r="F19" s="103"/>
      <c r="G19" s="103"/>
      <c r="H19" s="103"/>
      <c r="I19" s="103"/>
      <c r="J19" s="103"/>
      <c r="K19" s="107">
        <f>K20*$C$19</f>
        <v>22895.434100000002</v>
      </c>
      <c r="L19" s="107">
        <f t="shared" ref="L19:M19" si="3">L20*$C$19</f>
        <v>183163.47280000002</v>
      </c>
      <c r="M19" s="107">
        <f t="shared" si="3"/>
        <v>121018.7231</v>
      </c>
      <c r="N19" s="113"/>
    </row>
    <row r="20" spans="1:14" x14ac:dyDescent="0.25">
      <c r="A20" s="98"/>
      <c r="B20" s="98"/>
      <c r="C20" s="101">
        <f>C19/$C$39</f>
        <v>0.15471256672571751</v>
      </c>
      <c r="D20" s="102"/>
      <c r="E20" s="102"/>
      <c r="F20" s="102"/>
      <c r="G20" s="102"/>
      <c r="H20" s="102"/>
      <c r="I20" s="102"/>
      <c r="J20" s="102"/>
      <c r="K20" s="108">
        <v>7.0000000000000007E-2</v>
      </c>
      <c r="L20" s="108">
        <v>0.56000000000000005</v>
      </c>
      <c r="M20" s="108">
        <v>0.37</v>
      </c>
    </row>
    <row r="21" spans="1:14" x14ac:dyDescent="0.25">
      <c r="A21" s="98" t="s">
        <v>239</v>
      </c>
      <c r="B21" s="98" t="str">
        <f>'Orçamento Sintético'!D95</f>
        <v>INSTALAÇÕES HIDRÁULICAS</v>
      </c>
      <c r="C21" s="99">
        <f>'Orçamento Sintético'!I95</f>
        <v>67895.37000000001</v>
      </c>
      <c r="D21" s="103"/>
      <c r="E21" s="103"/>
      <c r="F21" s="103"/>
      <c r="G21" s="107">
        <f>G22*$C$21</f>
        <v>6789.5370000000012</v>
      </c>
      <c r="H21" s="107">
        <f t="shared" ref="H21:L21" si="4">H22*$C$21</f>
        <v>6789.5370000000012</v>
      </c>
      <c r="I21" s="107">
        <f t="shared" si="4"/>
        <v>16973.842500000002</v>
      </c>
      <c r="J21" s="107">
        <f t="shared" si="4"/>
        <v>13579.074000000002</v>
      </c>
      <c r="K21" s="107">
        <f t="shared" si="4"/>
        <v>10184.3055</v>
      </c>
      <c r="L21" s="107">
        <f t="shared" si="4"/>
        <v>13579.074000000002</v>
      </c>
      <c r="M21" s="103"/>
      <c r="N21" s="113"/>
    </row>
    <row r="22" spans="1:14" x14ac:dyDescent="0.25">
      <c r="A22" s="98"/>
      <c r="B22" s="98"/>
      <c r="C22" s="101">
        <f>C21/$C$39</f>
        <v>3.2115516311807327E-2</v>
      </c>
      <c r="D22" s="102"/>
      <c r="E22" s="102"/>
      <c r="F22" s="102"/>
      <c r="G22" s="108">
        <v>0.1</v>
      </c>
      <c r="H22" s="108">
        <v>0.1</v>
      </c>
      <c r="I22" s="108">
        <v>0.25</v>
      </c>
      <c r="J22" s="108">
        <v>0.2</v>
      </c>
      <c r="K22" s="108">
        <v>0.15</v>
      </c>
      <c r="L22" s="108">
        <v>0.2</v>
      </c>
      <c r="M22" s="102"/>
    </row>
    <row r="23" spans="1:14" x14ac:dyDescent="0.25">
      <c r="A23" s="98" t="s">
        <v>278</v>
      </c>
      <c r="B23" s="98" t="str">
        <f>'Orçamento Sintético'!D128</f>
        <v>INSTALAÇÕES ELÉTRICAS</v>
      </c>
      <c r="C23" s="99">
        <f>'Orçamento Sintético'!I128</f>
        <v>204594.49999999997</v>
      </c>
      <c r="D23" s="103"/>
      <c r="E23" s="103"/>
      <c r="F23" s="107">
        <f>F24*$C$23</f>
        <v>10229.724999999999</v>
      </c>
      <c r="G23" s="107">
        <f t="shared" ref="G23:K23" si="5">G24*$C$23</f>
        <v>20459.449999999997</v>
      </c>
      <c r="H23" s="107">
        <f t="shared" si="5"/>
        <v>30689.174999999996</v>
      </c>
      <c r="I23" s="107">
        <f t="shared" si="5"/>
        <v>51148.624999999993</v>
      </c>
      <c r="J23" s="107">
        <f t="shared" si="5"/>
        <v>61378.349999999991</v>
      </c>
      <c r="K23" s="107">
        <f t="shared" si="5"/>
        <v>30689.174999999996</v>
      </c>
      <c r="L23" s="103"/>
      <c r="M23" s="103"/>
      <c r="N23" s="113"/>
    </row>
    <row r="24" spans="1:14" x14ac:dyDescent="0.25">
      <c r="A24" s="98"/>
      <c r="B24" s="98"/>
      <c r="C24" s="101">
        <f>C23/$C$39</f>
        <v>9.6776230868998309E-2</v>
      </c>
      <c r="D24" s="102"/>
      <c r="E24" s="102"/>
      <c r="F24" s="108">
        <v>0.05</v>
      </c>
      <c r="G24" s="108">
        <v>0.1</v>
      </c>
      <c r="H24" s="108">
        <v>0.15</v>
      </c>
      <c r="I24" s="108">
        <v>0.25</v>
      </c>
      <c r="J24" s="108">
        <v>0.3</v>
      </c>
      <c r="K24" s="108">
        <v>0.15</v>
      </c>
      <c r="L24" s="102"/>
      <c r="M24" s="102"/>
    </row>
    <row r="25" spans="1:14" x14ac:dyDescent="0.25">
      <c r="A25" s="98" t="s">
        <v>373</v>
      </c>
      <c r="B25" s="98" t="str">
        <f>'Orçamento Sintético'!D177</f>
        <v>FORROS</v>
      </c>
      <c r="C25" s="99">
        <f>'Orçamento Sintético'!I177</f>
        <v>77689.94</v>
      </c>
      <c r="D25" s="103"/>
      <c r="E25" s="103"/>
      <c r="F25" s="103"/>
      <c r="G25" s="103"/>
      <c r="H25" s="103"/>
      <c r="I25" s="103"/>
      <c r="J25" s="103"/>
      <c r="K25" s="103"/>
      <c r="L25" s="107">
        <f>L26*C25</f>
        <v>77689.94</v>
      </c>
      <c r="M25" s="103"/>
      <c r="N25" s="113"/>
    </row>
    <row r="26" spans="1:14" x14ac:dyDescent="0.25">
      <c r="A26" s="98"/>
      <c r="B26" s="98"/>
      <c r="C26" s="101">
        <f>C25/$C$39</f>
        <v>3.6748493090667772E-2</v>
      </c>
      <c r="D26" s="102"/>
      <c r="E26" s="102"/>
      <c r="F26" s="102"/>
      <c r="G26" s="102"/>
      <c r="H26" s="102"/>
      <c r="I26" s="102"/>
      <c r="J26" s="102"/>
      <c r="K26" s="102"/>
      <c r="L26" s="108">
        <v>1</v>
      </c>
      <c r="M26" s="102"/>
    </row>
    <row r="27" spans="1:14" ht="15.6" customHeight="1" x14ac:dyDescent="0.25">
      <c r="A27" s="98" t="s">
        <v>379</v>
      </c>
      <c r="B27" s="98" t="str">
        <f>'Orçamento Sintético'!D183</f>
        <v>REVESTIMENTO DE PAREDES INTERNAS</v>
      </c>
      <c r="C27" s="99">
        <f>'Orçamento Sintético'!I183</f>
        <v>109516.75000000001</v>
      </c>
      <c r="D27" s="103"/>
      <c r="E27" s="103"/>
      <c r="F27" s="103"/>
      <c r="G27" s="103"/>
      <c r="H27" s="103"/>
      <c r="I27" s="107">
        <f>I28*$C$27</f>
        <v>16427.512500000001</v>
      </c>
      <c r="J27" s="107">
        <f t="shared" ref="J27:K27" si="6">J28*$C$27</f>
        <v>49282.537500000006</v>
      </c>
      <c r="K27" s="107">
        <f t="shared" si="6"/>
        <v>43806.700000000012</v>
      </c>
      <c r="L27" s="103"/>
      <c r="M27" s="103"/>
      <c r="N27" s="113"/>
    </row>
    <row r="28" spans="1:14" x14ac:dyDescent="0.25">
      <c r="A28" s="98"/>
      <c r="B28" s="98"/>
      <c r="C28" s="101">
        <f>C27/$C$39</f>
        <v>5.1803045937316855E-2</v>
      </c>
      <c r="D28" s="102"/>
      <c r="E28" s="102"/>
      <c r="F28" s="102"/>
      <c r="G28" s="102"/>
      <c r="H28" s="102"/>
      <c r="I28" s="108">
        <v>0.15</v>
      </c>
      <c r="J28" s="108">
        <v>0.45</v>
      </c>
      <c r="K28" s="108">
        <v>0.4</v>
      </c>
      <c r="L28" s="102"/>
      <c r="M28" s="102"/>
    </row>
    <row r="29" spans="1:14" x14ac:dyDescent="0.25">
      <c r="A29" s="98" t="s">
        <v>383</v>
      </c>
      <c r="B29" s="98" t="str">
        <f>'Orçamento Sintético'!D187</f>
        <v>REVETIMENTO DE PAREDES EXTERNAS</v>
      </c>
      <c r="C29" s="99">
        <f>'Orçamento Sintético'!I187</f>
        <v>50841.07</v>
      </c>
      <c r="D29" s="103"/>
      <c r="E29" s="103"/>
      <c r="F29" s="103"/>
      <c r="G29" s="103"/>
      <c r="H29" s="103"/>
      <c r="I29" s="103"/>
      <c r="J29" s="107">
        <f>J30*$C$29</f>
        <v>17794.374499999998</v>
      </c>
      <c r="K29" s="107">
        <f>K30*$C$29</f>
        <v>33046.695500000002</v>
      </c>
      <c r="L29" s="103"/>
      <c r="M29" s="103"/>
      <c r="N29" s="113"/>
    </row>
    <row r="30" spans="1:14" x14ac:dyDescent="0.25">
      <c r="A30" s="98"/>
      <c r="B30" s="98"/>
      <c r="C30" s="101">
        <f>C29/$C$39</f>
        <v>2.4048579643865815E-2</v>
      </c>
      <c r="D30" s="102"/>
      <c r="E30" s="102"/>
      <c r="F30" s="102"/>
      <c r="G30" s="102"/>
      <c r="H30" s="102"/>
      <c r="I30" s="102"/>
      <c r="J30" s="108">
        <v>0.35</v>
      </c>
      <c r="K30" s="108">
        <v>0.65</v>
      </c>
      <c r="L30" s="102"/>
      <c r="M30" s="102"/>
    </row>
    <row r="31" spans="1:14" x14ac:dyDescent="0.25">
      <c r="A31" s="98" t="s">
        <v>391</v>
      </c>
      <c r="B31" s="98" t="str">
        <f>'Orçamento Sintético'!D190</f>
        <v>PISOS</v>
      </c>
      <c r="C31" s="99">
        <f>'Orçamento Sintético'!I190</f>
        <v>142249.35</v>
      </c>
      <c r="D31" s="103"/>
      <c r="E31" s="103"/>
      <c r="F31" s="103"/>
      <c r="G31" s="103"/>
      <c r="H31" s="103"/>
      <c r="I31" s="103"/>
      <c r="J31" s="107">
        <f>J32*$C$31</f>
        <v>56899.740000000005</v>
      </c>
      <c r="K31" s="107">
        <f>K32*$C$31</f>
        <v>85349.61</v>
      </c>
      <c r="L31" s="103"/>
      <c r="M31" s="103"/>
      <c r="N31" s="113"/>
    </row>
    <row r="32" spans="1:14" x14ac:dyDescent="0.25">
      <c r="A32" s="98"/>
      <c r="B32" s="98"/>
      <c r="C32" s="101">
        <f>C31/$C$39</f>
        <v>6.7286050879006756E-2</v>
      </c>
      <c r="D32" s="102"/>
      <c r="E32" s="102"/>
      <c r="F32" s="102"/>
      <c r="G32" s="102"/>
      <c r="H32" s="102"/>
      <c r="I32" s="102"/>
      <c r="J32" s="108">
        <v>0.4</v>
      </c>
      <c r="K32" s="108">
        <v>0.6</v>
      </c>
      <c r="L32" s="102"/>
      <c r="M32" s="102"/>
    </row>
    <row r="33" spans="1:14" x14ac:dyDescent="0.25">
      <c r="A33" s="98" t="s">
        <v>403</v>
      </c>
      <c r="B33" s="98" t="str">
        <f>'Orçamento Sintético'!D203</f>
        <v>PINTURA</v>
      </c>
      <c r="C33" s="99">
        <f>'Orçamento Sintético'!I203</f>
        <v>129400.72</v>
      </c>
      <c r="D33" s="103"/>
      <c r="E33" s="103"/>
      <c r="F33" s="103"/>
      <c r="G33" s="103"/>
      <c r="H33" s="103"/>
      <c r="I33" s="103"/>
      <c r="J33" s="103"/>
      <c r="K33" s="103"/>
      <c r="L33" s="107">
        <f>L34*$C$33</f>
        <v>45290.252</v>
      </c>
      <c r="M33" s="107">
        <f>M34*$C$33</f>
        <v>84110.468000000008</v>
      </c>
      <c r="N33" s="113"/>
    </row>
    <row r="34" spans="1:14" x14ac:dyDescent="0.25">
      <c r="A34" s="98"/>
      <c r="B34" s="98"/>
      <c r="C34" s="101">
        <f>C33/$C$39</f>
        <v>6.1208458454819696E-2</v>
      </c>
      <c r="D34" s="102"/>
      <c r="E34" s="102"/>
      <c r="F34" s="102"/>
      <c r="G34" s="102"/>
      <c r="H34" s="102"/>
      <c r="I34" s="102"/>
      <c r="J34" s="102"/>
      <c r="K34" s="102"/>
      <c r="L34" s="108">
        <v>0.35</v>
      </c>
      <c r="M34" s="108">
        <v>0.65</v>
      </c>
    </row>
    <row r="35" spans="1:14" x14ac:dyDescent="0.25">
      <c r="A35" s="98" t="s">
        <v>425</v>
      </c>
      <c r="B35" s="98" t="str">
        <f>'Orçamento Sintético'!D214</f>
        <v xml:space="preserve">ILUMINAÇÃO DE EMERGÊNCIA </v>
      </c>
      <c r="C35" s="99">
        <f>'Orçamento Sintético'!I214</f>
        <v>235.89</v>
      </c>
      <c r="D35" s="103"/>
      <c r="E35" s="103"/>
      <c r="F35" s="103"/>
      <c r="G35" s="103"/>
      <c r="H35" s="103"/>
      <c r="I35" s="103"/>
      <c r="J35" s="103"/>
      <c r="K35" s="103"/>
      <c r="L35" s="103"/>
      <c r="M35" s="107">
        <f>M36*C35</f>
        <v>235.89</v>
      </c>
      <c r="N35" s="113"/>
    </row>
    <row r="36" spans="1:14" x14ac:dyDescent="0.25">
      <c r="A36" s="98"/>
      <c r="B36" s="98"/>
      <c r="C36" s="101">
        <f>C35/$C$39</f>
        <v>1.1157946621090993E-4</v>
      </c>
      <c r="D36" s="102"/>
      <c r="E36" s="102"/>
      <c r="F36" s="102"/>
      <c r="G36" s="102"/>
      <c r="H36" s="102"/>
      <c r="I36" s="102"/>
      <c r="J36" s="102"/>
      <c r="K36" s="102"/>
      <c r="L36" s="102"/>
      <c r="M36" s="108">
        <v>1</v>
      </c>
    </row>
    <row r="37" spans="1:14" ht="14.55" customHeight="1" x14ac:dyDescent="0.25">
      <c r="A37" s="98" t="s">
        <v>430</v>
      </c>
      <c r="B37" s="98" t="str">
        <f>'Orçamento Sintético'!D216</f>
        <v>SERVIÇOS COMPLEMENTARES</v>
      </c>
      <c r="C37" s="99">
        <f>'Orçamento Sintético'!I216</f>
        <v>15663.880000000001</v>
      </c>
      <c r="D37" s="103"/>
      <c r="E37" s="103"/>
      <c r="F37" s="103"/>
      <c r="G37" s="103"/>
      <c r="H37" s="103"/>
      <c r="I37" s="103"/>
      <c r="J37" s="103"/>
      <c r="K37" s="103"/>
      <c r="L37" s="103"/>
      <c r="M37" s="107">
        <f>M38*C37</f>
        <v>15663.880000000001</v>
      </c>
      <c r="N37" s="113"/>
    </row>
    <row r="38" spans="1:14" ht="14.55" customHeight="1" x14ac:dyDescent="0.25">
      <c r="A38" s="98"/>
      <c r="B38" s="98"/>
      <c r="C38" s="101">
        <f>C37/$C$39</f>
        <v>7.4092474000243677E-3</v>
      </c>
      <c r="D38" s="102"/>
      <c r="E38" s="102"/>
      <c r="F38" s="102"/>
      <c r="G38" s="102"/>
      <c r="H38" s="102"/>
      <c r="I38" s="102"/>
      <c r="J38" s="102"/>
      <c r="K38" s="102"/>
      <c r="L38" s="102"/>
      <c r="M38" s="108">
        <v>1</v>
      </c>
    </row>
    <row r="39" spans="1:14" ht="13.95" customHeight="1" x14ac:dyDescent="0.25">
      <c r="A39" s="145" t="s">
        <v>775</v>
      </c>
      <c r="B39" s="145"/>
      <c r="C39" s="99">
        <f>C5+C7+C9+C11+C13+C15+C17+C19+C21+C23+C25+C27+C29+C31+C33+C35+C37</f>
        <v>2114098.66</v>
      </c>
      <c r="D39" s="99">
        <f t="shared" ref="D39:M39" si="7">D5+D7+D9+D11+D13+D15+D17+D19+D21+D23+D25+D27+D29+D31+D33+D35+D37</f>
        <v>37734.449999999997</v>
      </c>
      <c r="E39" s="99">
        <f t="shared" si="7"/>
        <v>6734.5375999999997</v>
      </c>
      <c r="F39" s="99">
        <f t="shared" si="7"/>
        <v>67157.190600000002</v>
      </c>
      <c r="G39" s="99">
        <f t="shared" si="7"/>
        <v>196728.64530000003</v>
      </c>
      <c r="H39" s="99">
        <f t="shared" si="7"/>
        <v>114540.94999999998</v>
      </c>
      <c r="I39" s="99">
        <f t="shared" si="7"/>
        <v>239456.43990000003</v>
      </c>
      <c r="J39" s="99">
        <f t="shared" si="7"/>
        <v>661510.92090000003</v>
      </c>
      <c r="K39" s="99">
        <f t="shared" si="7"/>
        <v>247059.66580000002</v>
      </c>
      <c r="L39" s="99">
        <f t="shared" si="7"/>
        <v>320934.81880000001</v>
      </c>
      <c r="M39" s="99">
        <f t="shared" si="7"/>
        <v>222241.04110000003</v>
      </c>
    </row>
    <row r="40" spans="1:14" ht="13.95" customHeight="1" x14ac:dyDescent="0.25">
      <c r="A40" s="145" t="s">
        <v>774</v>
      </c>
      <c r="B40" s="145"/>
      <c r="C40" s="100"/>
      <c r="D40" s="104">
        <f>D39/$C$39</f>
        <v>1.7848954125915768E-2</v>
      </c>
      <c r="E40" s="104">
        <f t="shared" ref="E40:M40" si="8">E39/$C$39</f>
        <v>3.1855360998147546E-3</v>
      </c>
      <c r="F40" s="104">
        <f t="shared" si="8"/>
        <v>3.1766346514783751E-2</v>
      </c>
      <c r="G40" s="104">
        <f t="shared" si="8"/>
        <v>9.3055565013224137E-2</v>
      </c>
      <c r="H40" s="104">
        <f t="shared" si="8"/>
        <v>5.4179567002800133E-2</v>
      </c>
      <c r="I40" s="104">
        <f t="shared" si="8"/>
        <v>0.11326644514310416</v>
      </c>
      <c r="J40" s="104">
        <f t="shared" si="8"/>
        <v>0.31290447007804262</v>
      </c>
      <c r="K40" s="104">
        <f t="shared" si="8"/>
        <v>0.11686288368396204</v>
      </c>
      <c r="L40" s="104">
        <f t="shared" si="8"/>
        <v>0.15180692598329351</v>
      </c>
      <c r="M40" s="104">
        <f t="shared" si="8"/>
        <v>0.10512330635505915</v>
      </c>
    </row>
    <row r="41" spans="1:14" ht="13.95" customHeight="1" x14ac:dyDescent="0.25">
      <c r="A41" s="145" t="s">
        <v>777</v>
      </c>
      <c r="B41" s="145"/>
      <c r="C41" s="100"/>
      <c r="D41" s="105">
        <f>D39</f>
        <v>37734.449999999997</v>
      </c>
      <c r="E41" s="105">
        <f>D41+E39</f>
        <v>44468.987599999993</v>
      </c>
      <c r="F41" s="105">
        <f t="shared" ref="F41:M41" si="9">E41+F39</f>
        <v>111626.17819999999</v>
      </c>
      <c r="G41" s="105">
        <f t="shared" si="9"/>
        <v>308354.82350000006</v>
      </c>
      <c r="H41" s="105">
        <f t="shared" si="9"/>
        <v>422895.77350000001</v>
      </c>
      <c r="I41" s="105">
        <f t="shared" si="9"/>
        <v>662352.21340000001</v>
      </c>
      <c r="J41" s="105">
        <f t="shared" si="9"/>
        <v>1323863.1343</v>
      </c>
      <c r="K41" s="105">
        <f t="shared" si="9"/>
        <v>1570922.8001000001</v>
      </c>
      <c r="L41" s="105">
        <f t="shared" si="9"/>
        <v>1891857.6189000001</v>
      </c>
      <c r="M41" s="105">
        <f t="shared" si="9"/>
        <v>2114098.66</v>
      </c>
    </row>
    <row r="42" spans="1:14" ht="13.95" customHeight="1" x14ac:dyDescent="0.25">
      <c r="A42" s="145" t="s">
        <v>776</v>
      </c>
      <c r="B42" s="145"/>
      <c r="C42" s="100"/>
      <c r="D42" s="106">
        <f>D40</f>
        <v>1.7848954125915768E-2</v>
      </c>
      <c r="E42" s="106">
        <f>D42+E40</f>
        <v>2.1034490225730521E-2</v>
      </c>
      <c r="F42" s="106">
        <f t="shared" ref="F42:M42" si="10">E42+F40</f>
        <v>5.2800836740514272E-2</v>
      </c>
      <c r="G42" s="106">
        <f t="shared" si="10"/>
        <v>0.1458564017537384</v>
      </c>
      <c r="H42" s="106">
        <f t="shared" si="10"/>
        <v>0.20003596875653853</v>
      </c>
      <c r="I42" s="106">
        <f t="shared" si="10"/>
        <v>0.3133024138996427</v>
      </c>
      <c r="J42" s="106">
        <f t="shared" si="10"/>
        <v>0.62620688397768531</v>
      </c>
      <c r="K42" s="106">
        <f t="shared" si="10"/>
        <v>0.74306976766164734</v>
      </c>
      <c r="L42" s="106">
        <f t="shared" si="10"/>
        <v>0.89487669364494082</v>
      </c>
      <c r="M42" s="106">
        <f t="shared" si="10"/>
        <v>1</v>
      </c>
    </row>
    <row r="43" spans="1:14" ht="13.95" customHeight="1" x14ac:dyDescent="0.25">
      <c r="A43" s="71"/>
      <c r="B43" s="71"/>
      <c r="C43" s="71"/>
      <c r="D43" s="68"/>
      <c r="E43" s="68"/>
      <c r="F43" s="68"/>
      <c r="G43" s="68"/>
      <c r="H43" s="68"/>
      <c r="I43" s="68"/>
      <c r="J43" s="68"/>
      <c r="K43" s="68"/>
      <c r="L43" s="68"/>
      <c r="M43" s="68"/>
    </row>
    <row r="44" spans="1:14" x14ac:dyDescent="0.25">
      <c r="C44" s="71"/>
      <c r="D44" s="68"/>
      <c r="E44" s="68"/>
      <c r="F44" s="68"/>
      <c r="G44" s="68"/>
      <c r="H44" s="68"/>
      <c r="I44" s="68"/>
      <c r="J44" s="68"/>
      <c r="K44" s="68"/>
      <c r="L44" s="68"/>
      <c r="M44" s="68"/>
    </row>
    <row r="47" spans="1:14" x14ac:dyDescent="0.25">
      <c r="G47" s="109" t="s">
        <v>836</v>
      </c>
    </row>
    <row r="48" spans="1:14" x14ac:dyDescent="0.25">
      <c r="G48" s="109" t="s">
        <v>837</v>
      </c>
    </row>
    <row r="49" spans="7:7" x14ac:dyDescent="0.25">
      <c r="G49" s="109">
        <v>5060435411</v>
      </c>
    </row>
  </sheetData>
  <mergeCells count="7">
    <mergeCell ref="A42:B42"/>
    <mergeCell ref="A1:D1"/>
    <mergeCell ref="A2:D2"/>
    <mergeCell ref="A41:B41"/>
    <mergeCell ref="A3:F3"/>
    <mergeCell ref="A40:B40"/>
    <mergeCell ref="A39:B39"/>
  </mergeCells>
  <pageMargins left="0.51181102362204722" right="0.51181102362204722" top="0.59055118110236227" bottom="0.59055118110236227" header="0.51181102362204722" footer="0.51181102362204722"/>
  <pageSetup paperSize="8" scale="68" orientation="landscape" r:id="rId1"/>
  <headerFooter>
    <oddHeader xml:space="preserve">&amp;L &amp;C </oddHeader>
    <oddFooter xml:space="preserve">&amp;L </oddFooter>
  </headerFooter>
  <drawing r:id="rId2"/>
  <legacyDrawing r:id="rId3"/>
  <oleObjects>
    <mc:AlternateContent xmlns:mc="http://schemas.openxmlformats.org/markup-compatibility/2006">
      <mc:Choice Requires="x14">
        <oleObject progId="Paint.Picture" shapeId="4098" r:id="rId4">
          <objectPr defaultSize="0" autoPict="0" r:id="rId5">
            <anchor moveWithCells="1">
              <from>
                <xdr:col>5</xdr:col>
                <xdr:colOff>914400</xdr:colOff>
                <xdr:row>0</xdr:row>
                <xdr:rowOff>99060</xdr:rowOff>
              </from>
              <to>
                <xdr:col>10</xdr:col>
                <xdr:colOff>68580</xdr:colOff>
                <xdr:row>2</xdr:row>
                <xdr:rowOff>236220</xdr:rowOff>
              </to>
            </anchor>
          </objectPr>
        </oleObject>
      </mc:Choice>
      <mc:Fallback>
        <oleObject progId="Paint.Picture" shapeId="4098"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WC60"/>
  <sheetViews>
    <sheetView topLeftCell="I37" workbookViewId="0">
      <selection activeCell="I12" sqref="I12:P12"/>
    </sheetView>
  </sheetViews>
  <sheetFormatPr defaultColWidth="0" defaultRowHeight="12.75" customHeight="1" zeroHeight="1" x14ac:dyDescent="0.25"/>
  <cols>
    <col min="1" max="1" width="26.5" style="28" hidden="1" customWidth="1"/>
    <col min="2" max="3" width="8" style="28" hidden="1" customWidth="1"/>
    <col min="4" max="4" width="20.59765625" style="28" hidden="1" customWidth="1"/>
    <col min="5" max="8" width="8" style="28" hidden="1" customWidth="1"/>
    <col min="9" max="13" width="9.296875" style="28" customWidth="1"/>
    <col min="14" max="14" width="17" style="28" customWidth="1"/>
    <col min="15" max="15" width="11.19921875" style="28" customWidth="1"/>
    <col min="16" max="18" width="9.296875" style="28" customWidth="1"/>
    <col min="19" max="19" width="3.19921875" style="28" customWidth="1"/>
    <col min="20" max="20" width="25.796875" style="28" customWidth="1"/>
    <col min="21" max="21" width="12" style="28" customWidth="1"/>
    <col min="22" max="256" width="8" style="28" hidden="1"/>
    <col min="257" max="264" width="8" style="28" hidden="1" customWidth="1"/>
    <col min="265" max="270" width="9.296875" style="28" customWidth="1"/>
    <col min="271" max="271" width="11.19921875" style="28" customWidth="1"/>
    <col min="272" max="274" width="9.296875" style="28" customWidth="1"/>
    <col min="275" max="275" width="3.19921875" style="28" customWidth="1"/>
    <col min="276" max="276" width="25.796875" style="28" customWidth="1"/>
    <col min="277" max="277" width="12" style="28" customWidth="1"/>
    <col min="278" max="512" width="8" style="28" hidden="1"/>
    <col min="513" max="520" width="8" style="28" hidden="1" customWidth="1"/>
    <col min="521" max="526" width="9.296875" style="28" customWidth="1"/>
    <col min="527" max="527" width="11.19921875" style="28" customWidth="1"/>
    <col min="528" max="530" width="9.296875" style="28" customWidth="1"/>
    <col min="531" max="531" width="3.19921875" style="28" customWidth="1"/>
    <col min="532" max="532" width="25.796875" style="28" customWidth="1"/>
    <col min="533" max="533" width="12" style="28" customWidth="1"/>
    <col min="534" max="768" width="8" style="28" hidden="1"/>
    <col min="769" max="776" width="8" style="28" hidden="1" customWidth="1"/>
    <col min="777" max="782" width="9.296875" style="28" customWidth="1"/>
    <col min="783" max="783" width="11.19921875" style="28" customWidth="1"/>
    <col min="784" max="786" width="9.296875" style="28" customWidth="1"/>
    <col min="787" max="787" width="3.19921875" style="28" customWidth="1"/>
    <col min="788" max="788" width="25.796875" style="28" customWidth="1"/>
    <col min="789" max="789" width="12" style="28" customWidth="1"/>
    <col min="790" max="1024" width="8" style="28" hidden="1"/>
    <col min="1025" max="1032" width="8" style="28" hidden="1" customWidth="1"/>
    <col min="1033" max="1038" width="9.296875" style="28" customWidth="1"/>
    <col min="1039" max="1039" width="11.19921875" style="28" customWidth="1"/>
    <col min="1040" max="1042" width="9.296875" style="28" customWidth="1"/>
    <col min="1043" max="1043" width="3.19921875" style="28" customWidth="1"/>
    <col min="1044" max="1044" width="25.796875" style="28" customWidth="1"/>
    <col min="1045" max="1045" width="12" style="28" customWidth="1"/>
    <col min="1046" max="1280" width="8" style="28" hidden="1"/>
    <col min="1281" max="1288" width="8" style="28" hidden="1" customWidth="1"/>
    <col min="1289" max="1294" width="9.296875" style="28" customWidth="1"/>
    <col min="1295" max="1295" width="11.19921875" style="28" customWidth="1"/>
    <col min="1296" max="1298" width="9.296875" style="28" customWidth="1"/>
    <col min="1299" max="1299" width="3.19921875" style="28" customWidth="1"/>
    <col min="1300" max="1300" width="25.796875" style="28" customWidth="1"/>
    <col min="1301" max="1301" width="12" style="28" customWidth="1"/>
    <col min="1302" max="1536" width="8" style="28" hidden="1"/>
    <col min="1537" max="1544" width="8" style="28" hidden="1" customWidth="1"/>
    <col min="1545" max="1550" width="9.296875" style="28" customWidth="1"/>
    <col min="1551" max="1551" width="11.19921875" style="28" customWidth="1"/>
    <col min="1552" max="1554" width="9.296875" style="28" customWidth="1"/>
    <col min="1555" max="1555" width="3.19921875" style="28" customWidth="1"/>
    <col min="1556" max="1556" width="25.796875" style="28" customWidth="1"/>
    <col min="1557" max="1557" width="12" style="28" customWidth="1"/>
    <col min="1558" max="1792" width="8" style="28" hidden="1"/>
    <col min="1793" max="1800" width="8" style="28" hidden="1" customWidth="1"/>
    <col min="1801" max="1806" width="9.296875" style="28" customWidth="1"/>
    <col min="1807" max="1807" width="11.19921875" style="28" customWidth="1"/>
    <col min="1808" max="1810" width="9.296875" style="28" customWidth="1"/>
    <col min="1811" max="1811" width="3.19921875" style="28" customWidth="1"/>
    <col min="1812" max="1812" width="25.796875" style="28" customWidth="1"/>
    <col min="1813" max="1813" width="12" style="28" customWidth="1"/>
    <col min="1814" max="2048" width="8" style="28" hidden="1"/>
    <col min="2049" max="2056" width="8" style="28" hidden="1" customWidth="1"/>
    <col min="2057" max="2062" width="9.296875" style="28" customWidth="1"/>
    <col min="2063" max="2063" width="11.19921875" style="28" customWidth="1"/>
    <col min="2064" max="2066" width="9.296875" style="28" customWidth="1"/>
    <col min="2067" max="2067" width="3.19921875" style="28" customWidth="1"/>
    <col min="2068" max="2068" width="25.796875" style="28" customWidth="1"/>
    <col min="2069" max="2069" width="12" style="28" customWidth="1"/>
    <col min="2070" max="2304" width="8" style="28" hidden="1"/>
    <col min="2305" max="2312" width="8" style="28" hidden="1" customWidth="1"/>
    <col min="2313" max="2318" width="9.296875" style="28" customWidth="1"/>
    <col min="2319" max="2319" width="11.19921875" style="28" customWidth="1"/>
    <col min="2320" max="2322" width="9.296875" style="28" customWidth="1"/>
    <col min="2323" max="2323" width="3.19921875" style="28" customWidth="1"/>
    <col min="2324" max="2324" width="25.796875" style="28" customWidth="1"/>
    <col min="2325" max="2325" width="12" style="28" customWidth="1"/>
    <col min="2326" max="2560" width="8" style="28" hidden="1"/>
    <col min="2561" max="2568" width="8" style="28" hidden="1" customWidth="1"/>
    <col min="2569" max="2574" width="9.296875" style="28" customWidth="1"/>
    <col min="2575" max="2575" width="11.19921875" style="28" customWidth="1"/>
    <col min="2576" max="2578" width="9.296875" style="28" customWidth="1"/>
    <col min="2579" max="2579" width="3.19921875" style="28" customWidth="1"/>
    <col min="2580" max="2580" width="25.796875" style="28" customWidth="1"/>
    <col min="2581" max="2581" width="12" style="28" customWidth="1"/>
    <col min="2582" max="2816" width="8" style="28" hidden="1"/>
    <col min="2817" max="2824" width="8" style="28" hidden="1" customWidth="1"/>
    <col min="2825" max="2830" width="9.296875" style="28" customWidth="1"/>
    <col min="2831" max="2831" width="11.19921875" style="28" customWidth="1"/>
    <col min="2832" max="2834" width="9.296875" style="28" customWidth="1"/>
    <col min="2835" max="2835" width="3.19921875" style="28" customWidth="1"/>
    <col min="2836" max="2836" width="25.796875" style="28" customWidth="1"/>
    <col min="2837" max="2837" width="12" style="28" customWidth="1"/>
    <col min="2838" max="3072" width="8" style="28" hidden="1"/>
    <col min="3073" max="3080" width="8" style="28" hidden="1" customWidth="1"/>
    <col min="3081" max="3086" width="9.296875" style="28" customWidth="1"/>
    <col min="3087" max="3087" width="11.19921875" style="28" customWidth="1"/>
    <col min="3088" max="3090" width="9.296875" style="28" customWidth="1"/>
    <col min="3091" max="3091" width="3.19921875" style="28" customWidth="1"/>
    <col min="3092" max="3092" width="25.796875" style="28" customWidth="1"/>
    <col min="3093" max="3093" width="12" style="28" customWidth="1"/>
    <col min="3094" max="3328" width="8" style="28" hidden="1"/>
    <col min="3329" max="3336" width="8" style="28" hidden="1" customWidth="1"/>
    <col min="3337" max="3342" width="9.296875" style="28" customWidth="1"/>
    <col min="3343" max="3343" width="11.19921875" style="28" customWidth="1"/>
    <col min="3344" max="3346" width="9.296875" style="28" customWidth="1"/>
    <col min="3347" max="3347" width="3.19921875" style="28" customWidth="1"/>
    <col min="3348" max="3348" width="25.796875" style="28" customWidth="1"/>
    <col min="3349" max="3349" width="12" style="28" customWidth="1"/>
    <col min="3350" max="3584" width="8" style="28" hidden="1"/>
    <col min="3585" max="3592" width="8" style="28" hidden="1" customWidth="1"/>
    <col min="3593" max="3598" width="9.296875" style="28" customWidth="1"/>
    <col min="3599" max="3599" width="11.19921875" style="28" customWidth="1"/>
    <col min="3600" max="3602" width="9.296875" style="28" customWidth="1"/>
    <col min="3603" max="3603" width="3.19921875" style="28" customWidth="1"/>
    <col min="3604" max="3604" width="25.796875" style="28" customWidth="1"/>
    <col min="3605" max="3605" width="12" style="28" customWidth="1"/>
    <col min="3606" max="3840" width="8" style="28" hidden="1"/>
    <col min="3841" max="3848" width="8" style="28" hidden="1" customWidth="1"/>
    <col min="3849" max="3854" width="9.296875" style="28" customWidth="1"/>
    <col min="3855" max="3855" width="11.19921875" style="28" customWidth="1"/>
    <col min="3856" max="3858" width="9.296875" style="28" customWidth="1"/>
    <col min="3859" max="3859" width="3.19921875" style="28" customWidth="1"/>
    <col min="3860" max="3860" width="25.796875" style="28" customWidth="1"/>
    <col min="3861" max="3861" width="12" style="28" customWidth="1"/>
    <col min="3862" max="4096" width="8" style="28" hidden="1"/>
    <col min="4097" max="4104" width="8" style="28" hidden="1" customWidth="1"/>
    <col min="4105" max="4110" width="9.296875" style="28" customWidth="1"/>
    <col min="4111" max="4111" width="11.19921875" style="28" customWidth="1"/>
    <col min="4112" max="4114" width="9.296875" style="28" customWidth="1"/>
    <col min="4115" max="4115" width="3.19921875" style="28" customWidth="1"/>
    <col min="4116" max="4116" width="25.796875" style="28" customWidth="1"/>
    <col min="4117" max="4117" width="12" style="28" customWidth="1"/>
    <col min="4118" max="4352" width="8" style="28" hidden="1"/>
    <col min="4353" max="4360" width="8" style="28" hidden="1" customWidth="1"/>
    <col min="4361" max="4366" width="9.296875" style="28" customWidth="1"/>
    <col min="4367" max="4367" width="11.19921875" style="28" customWidth="1"/>
    <col min="4368" max="4370" width="9.296875" style="28" customWidth="1"/>
    <col min="4371" max="4371" width="3.19921875" style="28" customWidth="1"/>
    <col min="4372" max="4372" width="25.796875" style="28" customWidth="1"/>
    <col min="4373" max="4373" width="12" style="28" customWidth="1"/>
    <col min="4374" max="4608" width="8" style="28" hidden="1"/>
    <col min="4609" max="4616" width="8" style="28" hidden="1" customWidth="1"/>
    <col min="4617" max="4622" width="9.296875" style="28" customWidth="1"/>
    <col min="4623" max="4623" width="11.19921875" style="28" customWidth="1"/>
    <col min="4624" max="4626" width="9.296875" style="28" customWidth="1"/>
    <col min="4627" max="4627" width="3.19921875" style="28" customWidth="1"/>
    <col min="4628" max="4628" width="25.796875" style="28" customWidth="1"/>
    <col min="4629" max="4629" width="12" style="28" customWidth="1"/>
    <col min="4630" max="4864" width="8" style="28" hidden="1"/>
    <col min="4865" max="4872" width="8" style="28" hidden="1" customWidth="1"/>
    <col min="4873" max="4878" width="9.296875" style="28" customWidth="1"/>
    <col min="4879" max="4879" width="11.19921875" style="28" customWidth="1"/>
    <col min="4880" max="4882" width="9.296875" style="28" customWidth="1"/>
    <col min="4883" max="4883" width="3.19921875" style="28" customWidth="1"/>
    <col min="4884" max="4884" width="25.796875" style="28" customWidth="1"/>
    <col min="4885" max="4885" width="12" style="28" customWidth="1"/>
    <col min="4886" max="5120" width="8" style="28" hidden="1"/>
    <col min="5121" max="5128" width="8" style="28" hidden="1" customWidth="1"/>
    <col min="5129" max="5134" width="9.296875" style="28" customWidth="1"/>
    <col min="5135" max="5135" width="11.19921875" style="28" customWidth="1"/>
    <col min="5136" max="5138" width="9.296875" style="28" customWidth="1"/>
    <col min="5139" max="5139" width="3.19921875" style="28" customWidth="1"/>
    <col min="5140" max="5140" width="25.796875" style="28" customWidth="1"/>
    <col min="5141" max="5141" width="12" style="28" customWidth="1"/>
    <col min="5142" max="5376" width="8" style="28" hidden="1"/>
    <col min="5377" max="5384" width="8" style="28" hidden="1" customWidth="1"/>
    <col min="5385" max="5390" width="9.296875" style="28" customWidth="1"/>
    <col min="5391" max="5391" width="11.19921875" style="28" customWidth="1"/>
    <col min="5392" max="5394" width="9.296875" style="28" customWidth="1"/>
    <col min="5395" max="5395" width="3.19921875" style="28" customWidth="1"/>
    <col min="5396" max="5396" width="25.796875" style="28" customWidth="1"/>
    <col min="5397" max="5397" width="12" style="28" customWidth="1"/>
    <col min="5398" max="5632" width="8" style="28" hidden="1"/>
    <col min="5633" max="5640" width="8" style="28" hidden="1" customWidth="1"/>
    <col min="5641" max="5646" width="9.296875" style="28" customWidth="1"/>
    <col min="5647" max="5647" width="11.19921875" style="28" customWidth="1"/>
    <col min="5648" max="5650" width="9.296875" style="28" customWidth="1"/>
    <col min="5651" max="5651" width="3.19921875" style="28" customWidth="1"/>
    <col min="5652" max="5652" width="25.796875" style="28" customWidth="1"/>
    <col min="5653" max="5653" width="12" style="28" customWidth="1"/>
    <col min="5654" max="5888" width="8" style="28" hidden="1"/>
    <col min="5889" max="5896" width="8" style="28" hidden="1" customWidth="1"/>
    <col min="5897" max="5902" width="9.296875" style="28" customWidth="1"/>
    <col min="5903" max="5903" width="11.19921875" style="28" customWidth="1"/>
    <col min="5904" max="5906" width="9.296875" style="28" customWidth="1"/>
    <col min="5907" max="5907" width="3.19921875" style="28" customWidth="1"/>
    <col min="5908" max="5908" width="25.796875" style="28" customWidth="1"/>
    <col min="5909" max="5909" width="12" style="28" customWidth="1"/>
    <col min="5910" max="6144" width="8" style="28" hidden="1"/>
    <col min="6145" max="6152" width="8" style="28" hidden="1" customWidth="1"/>
    <col min="6153" max="6158" width="9.296875" style="28" customWidth="1"/>
    <col min="6159" max="6159" width="11.19921875" style="28" customWidth="1"/>
    <col min="6160" max="6162" width="9.296875" style="28" customWidth="1"/>
    <col min="6163" max="6163" width="3.19921875" style="28" customWidth="1"/>
    <col min="6164" max="6164" width="25.796875" style="28" customWidth="1"/>
    <col min="6165" max="6165" width="12" style="28" customWidth="1"/>
    <col min="6166" max="6400" width="8" style="28" hidden="1"/>
    <col min="6401" max="6408" width="8" style="28" hidden="1" customWidth="1"/>
    <col min="6409" max="6414" width="9.296875" style="28" customWidth="1"/>
    <col min="6415" max="6415" width="11.19921875" style="28" customWidth="1"/>
    <col min="6416" max="6418" width="9.296875" style="28" customWidth="1"/>
    <col min="6419" max="6419" width="3.19921875" style="28" customWidth="1"/>
    <col min="6420" max="6420" width="25.796875" style="28" customWidth="1"/>
    <col min="6421" max="6421" width="12" style="28" customWidth="1"/>
    <col min="6422" max="6656" width="8" style="28" hidden="1"/>
    <col min="6657" max="6664" width="8" style="28" hidden="1" customWidth="1"/>
    <col min="6665" max="6670" width="9.296875" style="28" customWidth="1"/>
    <col min="6671" max="6671" width="11.19921875" style="28" customWidth="1"/>
    <col min="6672" max="6674" width="9.296875" style="28" customWidth="1"/>
    <col min="6675" max="6675" width="3.19921875" style="28" customWidth="1"/>
    <col min="6676" max="6676" width="25.796875" style="28" customWidth="1"/>
    <col min="6677" max="6677" width="12" style="28" customWidth="1"/>
    <col min="6678" max="6912" width="8" style="28" hidden="1"/>
    <col min="6913" max="6920" width="8" style="28" hidden="1" customWidth="1"/>
    <col min="6921" max="6926" width="9.296875" style="28" customWidth="1"/>
    <col min="6927" max="6927" width="11.19921875" style="28" customWidth="1"/>
    <col min="6928" max="6930" width="9.296875" style="28" customWidth="1"/>
    <col min="6931" max="6931" width="3.19921875" style="28" customWidth="1"/>
    <col min="6932" max="6932" width="25.796875" style="28" customWidth="1"/>
    <col min="6933" max="6933" width="12" style="28" customWidth="1"/>
    <col min="6934" max="7168" width="8" style="28" hidden="1"/>
    <col min="7169" max="7176" width="8" style="28" hidden="1" customWidth="1"/>
    <col min="7177" max="7182" width="9.296875" style="28" customWidth="1"/>
    <col min="7183" max="7183" width="11.19921875" style="28" customWidth="1"/>
    <col min="7184" max="7186" width="9.296875" style="28" customWidth="1"/>
    <col min="7187" max="7187" width="3.19921875" style="28" customWidth="1"/>
    <col min="7188" max="7188" width="25.796875" style="28" customWidth="1"/>
    <col min="7189" max="7189" width="12" style="28" customWidth="1"/>
    <col min="7190" max="7424" width="8" style="28" hidden="1"/>
    <col min="7425" max="7432" width="8" style="28" hidden="1" customWidth="1"/>
    <col min="7433" max="7438" width="9.296875" style="28" customWidth="1"/>
    <col min="7439" max="7439" width="11.19921875" style="28" customWidth="1"/>
    <col min="7440" max="7442" width="9.296875" style="28" customWidth="1"/>
    <col min="7443" max="7443" width="3.19921875" style="28" customWidth="1"/>
    <col min="7444" max="7444" width="25.796875" style="28" customWidth="1"/>
    <col min="7445" max="7445" width="12" style="28" customWidth="1"/>
    <col min="7446" max="7680" width="8" style="28" hidden="1"/>
    <col min="7681" max="7688" width="8" style="28" hidden="1" customWidth="1"/>
    <col min="7689" max="7694" width="9.296875" style="28" customWidth="1"/>
    <col min="7695" max="7695" width="11.19921875" style="28" customWidth="1"/>
    <col min="7696" max="7698" width="9.296875" style="28" customWidth="1"/>
    <col min="7699" max="7699" width="3.19921875" style="28" customWidth="1"/>
    <col min="7700" max="7700" width="25.796875" style="28" customWidth="1"/>
    <col min="7701" max="7701" width="12" style="28" customWidth="1"/>
    <col min="7702" max="7936" width="8" style="28" hidden="1"/>
    <col min="7937" max="7944" width="8" style="28" hidden="1" customWidth="1"/>
    <col min="7945" max="7950" width="9.296875" style="28" customWidth="1"/>
    <col min="7951" max="7951" width="11.19921875" style="28" customWidth="1"/>
    <col min="7952" max="7954" width="9.296875" style="28" customWidth="1"/>
    <col min="7955" max="7955" width="3.19921875" style="28" customWidth="1"/>
    <col min="7956" max="7956" width="25.796875" style="28" customWidth="1"/>
    <col min="7957" max="7957" width="12" style="28" customWidth="1"/>
    <col min="7958" max="8192" width="8" style="28" hidden="1"/>
    <col min="8193" max="8200" width="8" style="28" hidden="1" customWidth="1"/>
    <col min="8201" max="8206" width="9.296875" style="28" customWidth="1"/>
    <col min="8207" max="8207" width="11.19921875" style="28" customWidth="1"/>
    <col min="8208" max="8210" width="9.296875" style="28" customWidth="1"/>
    <col min="8211" max="8211" width="3.19921875" style="28" customWidth="1"/>
    <col min="8212" max="8212" width="25.796875" style="28" customWidth="1"/>
    <col min="8213" max="8213" width="12" style="28" customWidth="1"/>
    <col min="8214" max="8448" width="8" style="28" hidden="1"/>
    <col min="8449" max="8456" width="8" style="28" hidden="1" customWidth="1"/>
    <col min="8457" max="8462" width="9.296875" style="28" customWidth="1"/>
    <col min="8463" max="8463" width="11.19921875" style="28" customWidth="1"/>
    <col min="8464" max="8466" width="9.296875" style="28" customWidth="1"/>
    <col min="8467" max="8467" width="3.19921875" style="28" customWidth="1"/>
    <col min="8468" max="8468" width="25.796875" style="28" customWidth="1"/>
    <col min="8469" max="8469" width="12" style="28" customWidth="1"/>
    <col min="8470" max="8704" width="8" style="28" hidden="1"/>
    <col min="8705" max="8712" width="8" style="28" hidden="1" customWidth="1"/>
    <col min="8713" max="8718" width="9.296875" style="28" customWidth="1"/>
    <col min="8719" max="8719" width="11.19921875" style="28" customWidth="1"/>
    <col min="8720" max="8722" width="9.296875" style="28" customWidth="1"/>
    <col min="8723" max="8723" width="3.19921875" style="28" customWidth="1"/>
    <col min="8724" max="8724" width="25.796875" style="28" customWidth="1"/>
    <col min="8725" max="8725" width="12" style="28" customWidth="1"/>
    <col min="8726" max="8960" width="8" style="28" hidden="1"/>
    <col min="8961" max="8968" width="8" style="28" hidden="1" customWidth="1"/>
    <col min="8969" max="8974" width="9.296875" style="28" customWidth="1"/>
    <col min="8975" max="8975" width="11.19921875" style="28" customWidth="1"/>
    <col min="8976" max="8978" width="9.296875" style="28" customWidth="1"/>
    <col min="8979" max="8979" width="3.19921875" style="28" customWidth="1"/>
    <col min="8980" max="8980" width="25.796875" style="28" customWidth="1"/>
    <col min="8981" max="8981" width="12" style="28" customWidth="1"/>
    <col min="8982" max="9216" width="8" style="28" hidden="1"/>
    <col min="9217" max="9224" width="8" style="28" hidden="1" customWidth="1"/>
    <col min="9225" max="9230" width="9.296875" style="28" customWidth="1"/>
    <col min="9231" max="9231" width="11.19921875" style="28" customWidth="1"/>
    <col min="9232" max="9234" width="9.296875" style="28" customWidth="1"/>
    <col min="9235" max="9235" width="3.19921875" style="28" customWidth="1"/>
    <col min="9236" max="9236" width="25.796875" style="28" customWidth="1"/>
    <col min="9237" max="9237" width="12" style="28" customWidth="1"/>
    <col min="9238" max="9472" width="8" style="28" hidden="1"/>
    <col min="9473" max="9480" width="8" style="28" hidden="1" customWidth="1"/>
    <col min="9481" max="9486" width="9.296875" style="28" customWidth="1"/>
    <col min="9487" max="9487" width="11.19921875" style="28" customWidth="1"/>
    <col min="9488" max="9490" width="9.296875" style="28" customWidth="1"/>
    <col min="9491" max="9491" width="3.19921875" style="28" customWidth="1"/>
    <col min="9492" max="9492" width="25.796875" style="28" customWidth="1"/>
    <col min="9493" max="9493" width="12" style="28" customWidth="1"/>
    <col min="9494" max="9728" width="8" style="28" hidden="1"/>
    <col min="9729" max="9736" width="8" style="28" hidden="1" customWidth="1"/>
    <col min="9737" max="9742" width="9.296875" style="28" customWidth="1"/>
    <col min="9743" max="9743" width="11.19921875" style="28" customWidth="1"/>
    <col min="9744" max="9746" width="9.296875" style="28" customWidth="1"/>
    <col min="9747" max="9747" width="3.19921875" style="28" customWidth="1"/>
    <col min="9748" max="9748" width="25.796875" style="28" customWidth="1"/>
    <col min="9749" max="9749" width="12" style="28" customWidth="1"/>
    <col min="9750" max="9984" width="8" style="28" hidden="1"/>
    <col min="9985" max="9992" width="8" style="28" hidden="1" customWidth="1"/>
    <col min="9993" max="9998" width="9.296875" style="28" customWidth="1"/>
    <col min="9999" max="9999" width="11.19921875" style="28" customWidth="1"/>
    <col min="10000" max="10002" width="9.296875" style="28" customWidth="1"/>
    <col min="10003" max="10003" width="3.19921875" style="28" customWidth="1"/>
    <col min="10004" max="10004" width="25.796875" style="28" customWidth="1"/>
    <col min="10005" max="10005" width="12" style="28" customWidth="1"/>
    <col min="10006" max="10240" width="8" style="28" hidden="1"/>
    <col min="10241" max="10248" width="8" style="28" hidden="1" customWidth="1"/>
    <col min="10249" max="10254" width="9.296875" style="28" customWidth="1"/>
    <col min="10255" max="10255" width="11.19921875" style="28" customWidth="1"/>
    <col min="10256" max="10258" width="9.296875" style="28" customWidth="1"/>
    <col min="10259" max="10259" width="3.19921875" style="28" customWidth="1"/>
    <col min="10260" max="10260" width="25.796875" style="28" customWidth="1"/>
    <col min="10261" max="10261" width="12" style="28" customWidth="1"/>
    <col min="10262" max="10496" width="8" style="28" hidden="1"/>
    <col min="10497" max="10504" width="8" style="28" hidden="1" customWidth="1"/>
    <col min="10505" max="10510" width="9.296875" style="28" customWidth="1"/>
    <col min="10511" max="10511" width="11.19921875" style="28" customWidth="1"/>
    <col min="10512" max="10514" width="9.296875" style="28" customWidth="1"/>
    <col min="10515" max="10515" width="3.19921875" style="28" customWidth="1"/>
    <col min="10516" max="10516" width="25.796875" style="28" customWidth="1"/>
    <col min="10517" max="10517" width="12" style="28" customWidth="1"/>
    <col min="10518" max="10752" width="8" style="28" hidden="1"/>
    <col min="10753" max="10760" width="8" style="28" hidden="1" customWidth="1"/>
    <col min="10761" max="10766" width="9.296875" style="28" customWidth="1"/>
    <col min="10767" max="10767" width="11.19921875" style="28" customWidth="1"/>
    <col min="10768" max="10770" width="9.296875" style="28" customWidth="1"/>
    <col min="10771" max="10771" width="3.19921875" style="28" customWidth="1"/>
    <col min="10772" max="10772" width="25.796875" style="28" customWidth="1"/>
    <col min="10773" max="10773" width="12" style="28" customWidth="1"/>
    <col min="10774" max="11008" width="8" style="28" hidden="1"/>
    <col min="11009" max="11016" width="8" style="28" hidden="1" customWidth="1"/>
    <col min="11017" max="11022" width="9.296875" style="28" customWidth="1"/>
    <col min="11023" max="11023" width="11.19921875" style="28" customWidth="1"/>
    <col min="11024" max="11026" width="9.296875" style="28" customWidth="1"/>
    <col min="11027" max="11027" width="3.19921875" style="28" customWidth="1"/>
    <col min="11028" max="11028" width="25.796875" style="28" customWidth="1"/>
    <col min="11029" max="11029" width="12" style="28" customWidth="1"/>
    <col min="11030" max="11264" width="8" style="28" hidden="1"/>
    <col min="11265" max="11272" width="8" style="28" hidden="1" customWidth="1"/>
    <col min="11273" max="11278" width="9.296875" style="28" customWidth="1"/>
    <col min="11279" max="11279" width="11.19921875" style="28" customWidth="1"/>
    <col min="11280" max="11282" width="9.296875" style="28" customWidth="1"/>
    <col min="11283" max="11283" width="3.19921875" style="28" customWidth="1"/>
    <col min="11284" max="11284" width="25.796875" style="28" customWidth="1"/>
    <col min="11285" max="11285" width="12" style="28" customWidth="1"/>
    <col min="11286" max="11520" width="8" style="28" hidden="1"/>
    <col min="11521" max="11528" width="8" style="28" hidden="1" customWidth="1"/>
    <col min="11529" max="11534" width="9.296875" style="28" customWidth="1"/>
    <col min="11535" max="11535" width="11.19921875" style="28" customWidth="1"/>
    <col min="11536" max="11538" width="9.296875" style="28" customWidth="1"/>
    <col min="11539" max="11539" width="3.19921875" style="28" customWidth="1"/>
    <col min="11540" max="11540" width="25.796875" style="28" customWidth="1"/>
    <col min="11541" max="11541" width="12" style="28" customWidth="1"/>
    <col min="11542" max="11776" width="8" style="28" hidden="1"/>
    <col min="11777" max="11784" width="8" style="28" hidden="1" customWidth="1"/>
    <col min="11785" max="11790" width="9.296875" style="28" customWidth="1"/>
    <col min="11791" max="11791" width="11.19921875" style="28" customWidth="1"/>
    <col min="11792" max="11794" width="9.296875" style="28" customWidth="1"/>
    <col min="11795" max="11795" width="3.19921875" style="28" customWidth="1"/>
    <col min="11796" max="11796" width="25.796875" style="28" customWidth="1"/>
    <col min="11797" max="11797" width="12" style="28" customWidth="1"/>
    <col min="11798" max="12032" width="8" style="28" hidden="1"/>
    <col min="12033" max="12040" width="8" style="28" hidden="1" customWidth="1"/>
    <col min="12041" max="12046" width="9.296875" style="28" customWidth="1"/>
    <col min="12047" max="12047" width="11.19921875" style="28" customWidth="1"/>
    <col min="12048" max="12050" width="9.296875" style="28" customWidth="1"/>
    <col min="12051" max="12051" width="3.19921875" style="28" customWidth="1"/>
    <col min="12052" max="12052" width="25.796875" style="28" customWidth="1"/>
    <col min="12053" max="12053" width="12" style="28" customWidth="1"/>
    <col min="12054" max="12288" width="8" style="28" hidden="1"/>
    <col min="12289" max="12296" width="8" style="28" hidden="1" customWidth="1"/>
    <col min="12297" max="12302" width="9.296875" style="28" customWidth="1"/>
    <col min="12303" max="12303" width="11.19921875" style="28" customWidth="1"/>
    <col min="12304" max="12306" width="9.296875" style="28" customWidth="1"/>
    <col min="12307" max="12307" width="3.19921875" style="28" customWidth="1"/>
    <col min="12308" max="12308" width="25.796875" style="28" customWidth="1"/>
    <col min="12309" max="12309" width="12" style="28" customWidth="1"/>
    <col min="12310" max="12544" width="8" style="28" hidden="1"/>
    <col min="12545" max="12552" width="8" style="28" hidden="1" customWidth="1"/>
    <col min="12553" max="12558" width="9.296875" style="28" customWidth="1"/>
    <col min="12559" max="12559" width="11.19921875" style="28" customWidth="1"/>
    <col min="12560" max="12562" width="9.296875" style="28" customWidth="1"/>
    <col min="12563" max="12563" width="3.19921875" style="28" customWidth="1"/>
    <col min="12564" max="12564" width="25.796875" style="28" customWidth="1"/>
    <col min="12565" max="12565" width="12" style="28" customWidth="1"/>
    <col min="12566" max="12800" width="8" style="28" hidden="1"/>
    <col min="12801" max="12808" width="8" style="28" hidden="1" customWidth="1"/>
    <col min="12809" max="12814" width="9.296875" style="28" customWidth="1"/>
    <col min="12815" max="12815" width="11.19921875" style="28" customWidth="1"/>
    <col min="12816" max="12818" width="9.296875" style="28" customWidth="1"/>
    <col min="12819" max="12819" width="3.19921875" style="28" customWidth="1"/>
    <col min="12820" max="12820" width="25.796875" style="28" customWidth="1"/>
    <col min="12821" max="12821" width="12" style="28" customWidth="1"/>
    <col min="12822" max="13056" width="8" style="28" hidden="1"/>
    <col min="13057" max="13064" width="8" style="28" hidden="1" customWidth="1"/>
    <col min="13065" max="13070" width="9.296875" style="28" customWidth="1"/>
    <col min="13071" max="13071" width="11.19921875" style="28" customWidth="1"/>
    <col min="13072" max="13074" width="9.296875" style="28" customWidth="1"/>
    <col min="13075" max="13075" width="3.19921875" style="28" customWidth="1"/>
    <col min="13076" max="13076" width="25.796875" style="28" customWidth="1"/>
    <col min="13077" max="13077" width="12" style="28" customWidth="1"/>
    <col min="13078" max="13312" width="8" style="28" hidden="1"/>
    <col min="13313" max="13320" width="8" style="28" hidden="1" customWidth="1"/>
    <col min="13321" max="13326" width="9.296875" style="28" customWidth="1"/>
    <col min="13327" max="13327" width="11.19921875" style="28" customWidth="1"/>
    <col min="13328" max="13330" width="9.296875" style="28" customWidth="1"/>
    <col min="13331" max="13331" width="3.19921875" style="28" customWidth="1"/>
    <col min="13332" max="13332" width="25.796875" style="28" customWidth="1"/>
    <col min="13333" max="13333" width="12" style="28" customWidth="1"/>
    <col min="13334" max="13568" width="8" style="28" hidden="1"/>
    <col min="13569" max="13576" width="8" style="28" hidden="1" customWidth="1"/>
    <col min="13577" max="13582" width="9.296875" style="28" customWidth="1"/>
    <col min="13583" max="13583" width="11.19921875" style="28" customWidth="1"/>
    <col min="13584" max="13586" width="9.296875" style="28" customWidth="1"/>
    <col min="13587" max="13587" width="3.19921875" style="28" customWidth="1"/>
    <col min="13588" max="13588" width="25.796875" style="28" customWidth="1"/>
    <col min="13589" max="13589" width="12" style="28" customWidth="1"/>
    <col min="13590" max="13824" width="8" style="28" hidden="1"/>
    <col min="13825" max="13832" width="8" style="28" hidden="1" customWidth="1"/>
    <col min="13833" max="13838" width="9.296875" style="28" customWidth="1"/>
    <col min="13839" max="13839" width="11.19921875" style="28" customWidth="1"/>
    <col min="13840" max="13842" width="9.296875" style="28" customWidth="1"/>
    <col min="13843" max="13843" width="3.19921875" style="28" customWidth="1"/>
    <col min="13844" max="13844" width="25.796875" style="28" customWidth="1"/>
    <col min="13845" max="13845" width="12" style="28" customWidth="1"/>
    <col min="13846" max="14080" width="8" style="28" hidden="1"/>
    <col min="14081" max="14088" width="8" style="28" hidden="1" customWidth="1"/>
    <col min="14089" max="14094" width="9.296875" style="28" customWidth="1"/>
    <col min="14095" max="14095" width="11.19921875" style="28" customWidth="1"/>
    <col min="14096" max="14098" width="9.296875" style="28" customWidth="1"/>
    <col min="14099" max="14099" width="3.19921875" style="28" customWidth="1"/>
    <col min="14100" max="14100" width="25.796875" style="28" customWidth="1"/>
    <col min="14101" max="14101" width="12" style="28" customWidth="1"/>
    <col min="14102" max="14336" width="8" style="28" hidden="1"/>
    <col min="14337" max="14344" width="8" style="28" hidden="1" customWidth="1"/>
    <col min="14345" max="14350" width="9.296875" style="28" customWidth="1"/>
    <col min="14351" max="14351" width="11.19921875" style="28" customWidth="1"/>
    <col min="14352" max="14354" width="9.296875" style="28" customWidth="1"/>
    <col min="14355" max="14355" width="3.19921875" style="28" customWidth="1"/>
    <col min="14356" max="14356" width="25.796875" style="28" customWidth="1"/>
    <col min="14357" max="14357" width="12" style="28" customWidth="1"/>
    <col min="14358" max="14592" width="8" style="28" hidden="1"/>
    <col min="14593" max="14600" width="8" style="28" hidden="1" customWidth="1"/>
    <col min="14601" max="14606" width="9.296875" style="28" customWidth="1"/>
    <col min="14607" max="14607" width="11.19921875" style="28" customWidth="1"/>
    <col min="14608" max="14610" width="9.296875" style="28" customWidth="1"/>
    <col min="14611" max="14611" width="3.19921875" style="28" customWidth="1"/>
    <col min="14612" max="14612" width="25.796875" style="28" customWidth="1"/>
    <col min="14613" max="14613" width="12" style="28" customWidth="1"/>
    <col min="14614" max="14848" width="8" style="28" hidden="1"/>
    <col min="14849" max="14856" width="8" style="28" hidden="1" customWidth="1"/>
    <col min="14857" max="14862" width="9.296875" style="28" customWidth="1"/>
    <col min="14863" max="14863" width="11.19921875" style="28" customWidth="1"/>
    <col min="14864" max="14866" width="9.296875" style="28" customWidth="1"/>
    <col min="14867" max="14867" width="3.19921875" style="28" customWidth="1"/>
    <col min="14868" max="14868" width="25.796875" style="28" customWidth="1"/>
    <col min="14869" max="14869" width="12" style="28" customWidth="1"/>
    <col min="14870" max="15104" width="8" style="28" hidden="1"/>
    <col min="15105" max="15112" width="8" style="28" hidden="1" customWidth="1"/>
    <col min="15113" max="15118" width="9.296875" style="28" customWidth="1"/>
    <col min="15119" max="15119" width="11.19921875" style="28" customWidth="1"/>
    <col min="15120" max="15122" width="9.296875" style="28" customWidth="1"/>
    <col min="15123" max="15123" width="3.19921875" style="28" customWidth="1"/>
    <col min="15124" max="15124" width="25.796875" style="28" customWidth="1"/>
    <col min="15125" max="15125" width="12" style="28" customWidth="1"/>
    <col min="15126" max="15360" width="8" style="28" hidden="1"/>
    <col min="15361" max="15368" width="8" style="28" hidden="1" customWidth="1"/>
    <col min="15369" max="15374" width="9.296875" style="28" customWidth="1"/>
    <col min="15375" max="15375" width="11.19921875" style="28" customWidth="1"/>
    <col min="15376" max="15378" width="9.296875" style="28" customWidth="1"/>
    <col min="15379" max="15379" width="3.19921875" style="28" customWidth="1"/>
    <col min="15380" max="15380" width="25.796875" style="28" customWidth="1"/>
    <col min="15381" max="15381" width="12" style="28" customWidth="1"/>
    <col min="15382" max="15616" width="8" style="28" hidden="1"/>
    <col min="15617" max="15624" width="8" style="28" hidden="1" customWidth="1"/>
    <col min="15625" max="15630" width="9.296875" style="28" customWidth="1"/>
    <col min="15631" max="15631" width="11.19921875" style="28" customWidth="1"/>
    <col min="15632" max="15634" width="9.296875" style="28" customWidth="1"/>
    <col min="15635" max="15635" width="3.19921875" style="28" customWidth="1"/>
    <col min="15636" max="15636" width="25.796875" style="28" customWidth="1"/>
    <col min="15637" max="15637" width="12" style="28" customWidth="1"/>
    <col min="15638" max="15872" width="8" style="28" hidden="1"/>
    <col min="15873" max="15880" width="8" style="28" hidden="1" customWidth="1"/>
    <col min="15881" max="15886" width="9.296875" style="28" customWidth="1"/>
    <col min="15887" max="15887" width="11.19921875" style="28" customWidth="1"/>
    <col min="15888" max="15890" width="9.296875" style="28" customWidth="1"/>
    <col min="15891" max="15891" width="3.19921875" style="28" customWidth="1"/>
    <col min="15892" max="15892" width="25.796875" style="28" customWidth="1"/>
    <col min="15893" max="15893" width="12" style="28" customWidth="1"/>
    <col min="15894" max="16128" width="8" style="28" hidden="1"/>
    <col min="16129" max="16136" width="8" style="28" hidden="1" customWidth="1"/>
    <col min="16137" max="16142" width="9.296875" style="28" customWidth="1"/>
    <col min="16143" max="16143" width="11.19921875" style="28" customWidth="1"/>
    <col min="16144" max="16146" width="9.296875" style="28" customWidth="1"/>
    <col min="16147" max="16147" width="3.19921875" style="28" customWidth="1"/>
    <col min="16148" max="16148" width="25.796875" style="28" customWidth="1"/>
    <col min="16149" max="16149" width="12" style="28" customWidth="1"/>
    <col min="16150" max="16384" width="8" style="28" hidden="1"/>
  </cols>
  <sheetData>
    <row r="1" spans="1:29" ht="15" customHeight="1" x14ac:dyDescent="0.3">
      <c r="E1" s="29" t="s">
        <v>48</v>
      </c>
      <c r="F1" s="29" t="s">
        <v>49</v>
      </c>
      <c r="G1" s="29" t="s">
        <v>50</v>
      </c>
      <c r="N1" s="30" t="s">
        <v>51</v>
      </c>
      <c r="Q1" s="31"/>
      <c r="R1" s="31"/>
    </row>
    <row r="2" spans="1:29" ht="12.6" customHeight="1" x14ac:dyDescent="0.3">
      <c r="A2" s="28" t="s">
        <v>52</v>
      </c>
      <c r="B2" s="32" t="s">
        <v>53</v>
      </c>
      <c r="C2" s="28" t="str">
        <f t="shared" ref="C2:C48" si="0">CONCATENATE(A2,"-",B2)</f>
        <v>Construção e Reforma de Edifícios-AC</v>
      </c>
      <c r="E2" s="33">
        <v>0.03</v>
      </c>
      <c r="F2" s="33">
        <v>0.04</v>
      </c>
      <c r="G2" s="33">
        <v>5.5E-2</v>
      </c>
      <c r="Q2" s="31"/>
      <c r="R2" s="31"/>
    </row>
    <row r="3" spans="1:29" ht="7.2" customHeight="1" x14ac:dyDescent="0.25">
      <c r="A3" s="28" t="str">
        <f>A2</f>
        <v>Construção e Reforma de Edifícios</v>
      </c>
      <c r="B3" s="32" t="s">
        <v>54</v>
      </c>
      <c r="C3" s="28" t="str">
        <f t="shared" si="0"/>
        <v>Construção e Reforma de Edifícios-SG</v>
      </c>
      <c r="E3" s="33">
        <v>8.0000000000000002E-3</v>
      </c>
      <c r="F3" s="33">
        <v>8.0000000000000002E-3</v>
      </c>
      <c r="G3" s="33">
        <v>0.01</v>
      </c>
    </row>
    <row r="4" spans="1:29" ht="13.2" x14ac:dyDescent="0.25">
      <c r="A4" s="28" t="str">
        <f>A3</f>
        <v>Construção e Reforma de Edifícios</v>
      </c>
      <c r="B4" s="32" t="s">
        <v>55</v>
      </c>
      <c r="C4" s="28" t="str">
        <f t="shared" si="0"/>
        <v>Construção e Reforma de Edifícios-R</v>
      </c>
      <c r="E4" s="33">
        <v>9.7000000000000003E-3</v>
      </c>
      <c r="F4" s="33">
        <v>1.2699999999999999E-2</v>
      </c>
      <c r="G4" s="33">
        <v>1.2699999999999999E-2</v>
      </c>
      <c r="I4" s="150" t="s">
        <v>56</v>
      </c>
      <c r="J4" s="151"/>
      <c r="K4" s="150" t="s">
        <v>57</v>
      </c>
      <c r="L4" s="152"/>
      <c r="M4" s="152"/>
      <c r="N4" s="152"/>
      <c r="O4" s="152"/>
      <c r="P4" s="152"/>
      <c r="Q4" s="152"/>
      <c r="R4" s="151"/>
    </row>
    <row r="5" spans="1:29" ht="12.75" customHeight="1" x14ac:dyDescent="0.35">
      <c r="A5" s="28" t="str">
        <f>A4</f>
        <v>Construção e Reforma de Edifícios</v>
      </c>
      <c r="B5" s="32" t="s">
        <v>58</v>
      </c>
      <c r="C5" s="28" t="str">
        <f t="shared" si="0"/>
        <v>Construção e Reforma de Edifícios-DF</v>
      </c>
      <c r="E5" s="33">
        <v>5.8999999999999999E-3</v>
      </c>
      <c r="F5" s="33">
        <v>1.23E-2</v>
      </c>
      <c r="G5" s="33">
        <v>1.3899999999999999E-2</v>
      </c>
      <c r="I5" s="153"/>
      <c r="J5" s="154"/>
      <c r="K5" s="155" t="s">
        <v>100</v>
      </c>
      <c r="L5" s="156"/>
      <c r="M5" s="156"/>
      <c r="N5" s="156"/>
      <c r="O5" s="156"/>
      <c r="P5" s="156"/>
      <c r="Q5" s="156"/>
      <c r="R5" s="157"/>
      <c r="S5" s="34"/>
    </row>
    <row r="6" spans="1:29" ht="13.5" customHeight="1" x14ac:dyDescent="0.25">
      <c r="A6" s="28" t="e">
        <f>#REF!</f>
        <v>#REF!</v>
      </c>
      <c r="B6" s="36" t="s">
        <v>16</v>
      </c>
      <c r="C6" s="28" t="e">
        <f t="shared" si="0"/>
        <v>#REF!</v>
      </c>
      <c r="E6" s="33">
        <v>0.2034</v>
      </c>
      <c r="F6" s="33">
        <v>0.22120000000000001</v>
      </c>
      <c r="G6" s="33">
        <v>0.25</v>
      </c>
      <c r="I6" s="150" t="s">
        <v>60</v>
      </c>
      <c r="J6" s="152"/>
      <c r="K6" s="152"/>
      <c r="L6" s="152"/>
      <c r="M6" s="152"/>
      <c r="N6" s="152"/>
      <c r="O6" s="152"/>
      <c r="P6" s="152"/>
      <c r="Q6" s="152"/>
      <c r="R6" s="151"/>
    </row>
    <row r="7" spans="1:29" ht="13.2" x14ac:dyDescent="0.25">
      <c r="A7" s="28" t="s">
        <v>61</v>
      </c>
      <c r="B7" s="32" t="s">
        <v>53</v>
      </c>
      <c r="C7" s="28" t="str">
        <f t="shared" si="0"/>
        <v>Construção de Praças Urbanas, Rodovias, Ferrovias e recapeamento e pavimentação de vias urbanas-AC</v>
      </c>
      <c r="E7" s="33">
        <v>3.7999999999999999E-2</v>
      </c>
      <c r="F7" s="33">
        <v>4.0099999999999997E-2</v>
      </c>
      <c r="G7" s="33">
        <v>4.6699999999999998E-2</v>
      </c>
      <c r="I7" s="149" t="str">
        <f>'Orçamento Sintético'!A2</f>
        <v>Obra: AMPLIAÇÃO 7 SALAS EMEIF PREF ANTONIO FILIER</v>
      </c>
      <c r="J7" s="149"/>
      <c r="K7" s="149"/>
      <c r="L7" s="149"/>
      <c r="M7" s="149"/>
      <c r="N7" s="149"/>
      <c r="O7" s="149"/>
      <c r="P7" s="149"/>
      <c r="Q7" s="149"/>
      <c r="R7" s="149"/>
    </row>
    <row r="8" spans="1:29" ht="6" customHeight="1" x14ac:dyDescent="0.25">
      <c r="A8" s="28" t="s">
        <v>61</v>
      </c>
      <c r="B8" s="32" t="s">
        <v>54</v>
      </c>
      <c r="C8" s="28" t="str">
        <f t="shared" si="0"/>
        <v>Construção de Praças Urbanas, Rodovias, Ferrovias e recapeamento e pavimentação de vias urbanas-SG</v>
      </c>
      <c r="E8" s="33">
        <v>3.2000000000000002E-3</v>
      </c>
      <c r="F8" s="33">
        <v>4.0000000000000001E-3</v>
      </c>
      <c r="G8" s="33">
        <v>7.4000000000000003E-3</v>
      </c>
      <c r="I8" s="35"/>
      <c r="J8" s="35"/>
      <c r="K8" s="35"/>
      <c r="L8" s="35"/>
      <c r="M8" s="35"/>
      <c r="N8" s="35"/>
      <c r="O8" s="35"/>
      <c r="P8" s="35"/>
      <c r="Q8" s="35"/>
      <c r="R8" s="35"/>
    </row>
    <row r="9" spans="1:29" ht="13.2" x14ac:dyDescent="0.25">
      <c r="A9" s="28" t="s">
        <v>61</v>
      </c>
      <c r="B9" s="32" t="s">
        <v>55</v>
      </c>
      <c r="C9" s="28" t="str">
        <f t="shared" si="0"/>
        <v>Construção de Praças Urbanas, Rodovias, Ferrovias e recapeamento e pavimentação de vias urbanas-R</v>
      </c>
      <c r="E9" s="33">
        <v>5.0000000000000001E-3</v>
      </c>
      <c r="F9" s="33">
        <v>5.6000000000000008E-3</v>
      </c>
      <c r="G9" s="33">
        <v>9.7000000000000003E-3</v>
      </c>
      <c r="I9" s="150" t="s">
        <v>62</v>
      </c>
      <c r="J9" s="152"/>
      <c r="K9" s="152"/>
      <c r="L9" s="152"/>
      <c r="M9" s="152"/>
      <c r="N9" s="152"/>
      <c r="O9" s="152"/>
      <c r="P9" s="152"/>
      <c r="Q9" s="150" t="s">
        <v>63</v>
      </c>
      <c r="R9" s="151"/>
    </row>
    <row r="10" spans="1:29" ht="13.2" x14ac:dyDescent="0.25">
      <c r="A10" s="28" t="s">
        <v>61</v>
      </c>
      <c r="B10" s="32" t="s">
        <v>58</v>
      </c>
      <c r="C10" s="28" t="str">
        <f t="shared" si="0"/>
        <v>Construção de Praças Urbanas, Rodovias, Ferrovias e recapeamento e pavimentação de vias urbanas-DF</v>
      </c>
      <c r="E10" s="33">
        <v>1.0200000000000001E-2</v>
      </c>
      <c r="F10" s="33">
        <v>1.11E-2</v>
      </c>
      <c r="G10" s="33">
        <v>1.21E-2</v>
      </c>
      <c r="I10" s="158" t="s">
        <v>52</v>
      </c>
      <c r="J10" s="159"/>
      <c r="K10" s="159"/>
      <c r="L10" s="159"/>
      <c r="M10" s="159"/>
      <c r="N10" s="159"/>
      <c r="O10" s="159"/>
      <c r="P10" s="160"/>
      <c r="Q10" s="161" t="str">
        <f>[8]DADOS!$C$38</f>
        <v>Sim</v>
      </c>
      <c r="R10" s="162"/>
    </row>
    <row r="11" spans="1:29" ht="13.2" x14ac:dyDescent="0.25">
      <c r="A11" s="28" t="s">
        <v>61</v>
      </c>
      <c r="B11" s="32" t="s">
        <v>59</v>
      </c>
      <c r="C11" s="28" t="str">
        <f t="shared" si="0"/>
        <v>Construção de Praças Urbanas, Rodovias, Ferrovias e recapeamento e pavimentação de vias urbanas-L</v>
      </c>
      <c r="E11" s="33">
        <v>6.6400000000000001E-2</v>
      </c>
      <c r="F11" s="33">
        <v>7.2999999999999995E-2</v>
      </c>
      <c r="G11" s="33">
        <v>8.6899999999999991E-2</v>
      </c>
    </row>
    <row r="12" spans="1:29" ht="15" customHeight="1" x14ac:dyDescent="0.25">
      <c r="A12" s="28" t="s">
        <v>61</v>
      </c>
      <c r="B12" s="36" t="s">
        <v>16</v>
      </c>
      <c r="C12" s="28" t="str">
        <f t="shared" si="0"/>
        <v>Construção de Praças Urbanas, Rodovias, Ferrovias e recapeamento e pavimentação de vias urbanas-BDI PAD</v>
      </c>
      <c r="E12" s="33">
        <v>0.19600000000000001</v>
      </c>
      <c r="F12" s="33">
        <v>0.2097</v>
      </c>
      <c r="G12" s="33">
        <v>0.24230000000000002</v>
      </c>
      <c r="I12" s="163" t="s">
        <v>64</v>
      </c>
      <c r="J12" s="163"/>
      <c r="K12" s="163"/>
      <c r="L12" s="163"/>
      <c r="M12" s="163"/>
      <c r="N12" s="163"/>
      <c r="O12" s="163"/>
      <c r="P12" s="163"/>
      <c r="Q12" s="164">
        <v>1</v>
      </c>
      <c r="R12" s="164"/>
    </row>
    <row r="13" spans="1:29" ht="15" customHeight="1" x14ac:dyDescent="0.25">
      <c r="A13" s="28" t="s">
        <v>65</v>
      </c>
      <c r="B13" s="32" t="s">
        <v>53</v>
      </c>
      <c r="C13" s="28" t="str">
        <f t="shared" si="0"/>
        <v>Construção de Redes de Abastecimento de Água, Coleta de Esgoto-AC</v>
      </c>
      <c r="E13" s="33">
        <v>3.4300000000000004E-2</v>
      </c>
      <c r="F13" s="33">
        <v>4.9299999999999997E-2</v>
      </c>
      <c r="G13" s="33">
        <v>6.7099999999999993E-2</v>
      </c>
      <c r="I13" s="165" t="s">
        <v>66</v>
      </c>
      <c r="J13" s="165"/>
      <c r="K13" s="165"/>
      <c r="L13" s="165"/>
      <c r="M13" s="165"/>
      <c r="N13" s="165"/>
      <c r="O13" s="165"/>
      <c r="P13" s="165"/>
      <c r="Q13" s="164">
        <v>0.05</v>
      </c>
      <c r="R13" s="164"/>
    </row>
    <row r="14" spans="1:29" ht="13.2" x14ac:dyDescent="0.25">
      <c r="A14" s="28" t="str">
        <f>A13</f>
        <v>Construção de Redes de Abastecimento de Água, Coleta de Esgoto</v>
      </c>
      <c r="B14" s="32" t="s">
        <v>54</v>
      </c>
      <c r="C14" s="28" t="str">
        <f t="shared" si="0"/>
        <v>Construção de Redes de Abastecimento de Água, Coleta de Esgoto-SG</v>
      </c>
      <c r="E14" s="33">
        <v>2.8000000000000004E-3</v>
      </c>
      <c r="F14" s="33">
        <v>4.8999999999999998E-3</v>
      </c>
      <c r="G14" s="33">
        <v>7.4999999999999997E-3</v>
      </c>
    </row>
    <row r="15" spans="1:29" ht="12.75" customHeight="1" x14ac:dyDescent="0.25">
      <c r="B15" s="32"/>
      <c r="E15" s="33"/>
      <c r="F15" s="33"/>
      <c r="G15" s="33"/>
      <c r="I15" s="166" t="s">
        <v>67</v>
      </c>
      <c r="J15" s="166"/>
      <c r="K15" s="166"/>
      <c r="L15" s="166"/>
      <c r="M15" s="166" t="s">
        <v>68</v>
      </c>
      <c r="N15" s="167" t="s">
        <v>69</v>
      </c>
      <c r="O15" s="167" t="s">
        <v>70</v>
      </c>
      <c r="P15" s="166" t="s">
        <v>71</v>
      </c>
      <c r="Q15" s="166" t="s">
        <v>72</v>
      </c>
      <c r="R15" s="168" t="s">
        <v>73</v>
      </c>
      <c r="T15" s="169" t="e">
        <f>IF(V26,"Para BDI fora do intervalo estatístico, deve ser apresentado Relatório Técnico Circunstanciado justificando a adoção do percentual de cada parcela do BDI.","")</f>
        <v>#N/A</v>
      </c>
      <c r="U15" s="169"/>
      <c r="V15" s="37"/>
      <c r="W15" s="37"/>
      <c r="X15" s="37"/>
      <c r="Y15" s="37"/>
      <c r="Z15" s="37"/>
      <c r="AA15" s="37"/>
      <c r="AB15" s="37"/>
      <c r="AC15" s="37"/>
    </row>
    <row r="16" spans="1:29" ht="15.75" customHeight="1" x14ac:dyDescent="0.25">
      <c r="A16" s="28" t="str">
        <f>A14</f>
        <v>Construção de Redes de Abastecimento de Água, Coleta de Esgoto</v>
      </c>
      <c r="B16" s="32" t="s">
        <v>55</v>
      </c>
      <c r="C16" s="28" t="str">
        <f t="shared" si="0"/>
        <v>Construção de Redes de Abastecimento de Água, Coleta de Esgoto-R</v>
      </c>
      <c r="E16" s="33">
        <v>0.01</v>
      </c>
      <c r="F16" s="33">
        <v>1.3899999999999999E-2</v>
      </c>
      <c r="G16" s="33">
        <v>1.7399999999999999E-2</v>
      </c>
      <c r="I16" s="166"/>
      <c r="J16" s="166"/>
      <c r="K16" s="166"/>
      <c r="L16" s="166"/>
      <c r="M16" s="166"/>
      <c r="N16" s="167"/>
      <c r="O16" s="167"/>
      <c r="P16" s="166"/>
      <c r="Q16" s="166"/>
      <c r="R16" s="168"/>
      <c r="T16" s="169"/>
      <c r="U16" s="169"/>
      <c r="V16" s="37"/>
      <c r="W16" s="37"/>
      <c r="X16" s="37"/>
      <c r="Y16" s="37"/>
      <c r="Z16" s="37"/>
      <c r="AA16" s="37"/>
      <c r="AB16" s="37"/>
      <c r="AC16" s="37"/>
    </row>
    <row r="17" spans="1:31" ht="26.25" customHeight="1" x14ac:dyDescent="0.25">
      <c r="A17" s="28" t="str">
        <f>A16</f>
        <v>Construção de Redes de Abastecimento de Água, Coleta de Esgoto</v>
      </c>
      <c r="B17" s="32" t="s">
        <v>58</v>
      </c>
      <c r="C17" s="28" t="str">
        <f t="shared" si="0"/>
        <v>Construção de Redes de Abastecimento de Água, Coleta de Esgoto-DF</v>
      </c>
      <c r="E17" s="33">
        <v>9.3999999999999986E-3</v>
      </c>
      <c r="F17" s="33">
        <v>9.8999999999999991E-3</v>
      </c>
      <c r="G17" s="33">
        <v>1.1699999999999999E-2</v>
      </c>
      <c r="I17" s="170" t="str">
        <f>IF($I$10=$A$58,"Encargos Sociais incidentes sobre a mão de obra","Administração Central")</f>
        <v>Administração Central</v>
      </c>
      <c r="J17" s="170"/>
      <c r="K17" s="170"/>
      <c r="L17" s="170"/>
      <c r="M17" s="4" t="str">
        <f>IF($I$10=$A$58,"K1","AC")</f>
        <v>AC</v>
      </c>
      <c r="N17" s="5">
        <v>0.03</v>
      </c>
      <c r="O17" s="38" t="s">
        <v>74</v>
      </c>
      <c r="P17" s="6">
        <f>VLOOKUP(CONCATENATE(I$10,"-",M17),$C$2:$G$48,3,FALSE)</f>
        <v>0.03</v>
      </c>
      <c r="Q17" s="6">
        <f>VLOOKUP(CONCATENATE(I$10,"-",M17),$C$2:$G$48,4,FALSE)</f>
        <v>0.04</v>
      </c>
      <c r="R17" s="6">
        <f>VLOOKUP(CONCATENATE(I$10,"-",M17),$C$2:$G$48,5,FALSE)</f>
        <v>5.5E-2</v>
      </c>
      <c r="T17" s="169"/>
      <c r="U17" s="169"/>
      <c r="V17" s="37"/>
      <c r="W17" s="37"/>
      <c r="X17" s="37"/>
      <c r="Y17" s="37"/>
      <c r="Z17" s="37"/>
      <c r="AA17" s="37"/>
      <c r="AB17" s="37"/>
      <c r="AC17" s="37"/>
    </row>
    <row r="18" spans="1:31" ht="26.25" customHeight="1" x14ac:dyDescent="0.25">
      <c r="A18" s="28" t="str">
        <f>A17</f>
        <v>Construção de Redes de Abastecimento de Água, Coleta de Esgoto</v>
      </c>
      <c r="B18" s="32" t="s">
        <v>59</v>
      </c>
      <c r="C18" s="28" t="str">
        <f t="shared" si="0"/>
        <v>Construção de Redes de Abastecimento de Água, Coleta de Esgoto-L</v>
      </c>
      <c r="E18" s="33">
        <v>6.7400000000000002E-2</v>
      </c>
      <c r="F18" s="33">
        <v>8.0399999999999985E-2</v>
      </c>
      <c r="G18" s="33">
        <v>9.4E-2</v>
      </c>
      <c r="I18" s="170" t="str">
        <f>IF($I$10=$A$58,"Administração Central da empresa ou consultoria - overhead","Seguro e Garantia")</f>
        <v>Seguro e Garantia</v>
      </c>
      <c r="J18" s="170"/>
      <c r="K18" s="170"/>
      <c r="L18" s="170"/>
      <c r="M18" s="4" t="str">
        <f>IF($I$10=$A$58,"K2","SG")</f>
        <v>SG</v>
      </c>
      <c r="N18" s="5">
        <v>8.0000000000000002E-3</v>
      </c>
      <c r="O18" s="38" t="s">
        <v>74</v>
      </c>
      <c r="P18" s="6">
        <f>VLOOKUP(CONCATENATE(I$10,"-",M18),$C$2:$G$48,3,FALSE)</f>
        <v>8.0000000000000002E-3</v>
      </c>
      <c r="Q18" s="6">
        <f>VLOOKUP(CONCATENATE(I$10,"-",M18),$C$2:$G$48,4,FALSE)</f>
        <v>8.0000000000000002E-3</v>
      </c>
      <c r="R18" s="6">
        <f>VLOOKUP(CONCATENATE(I$10,"-",M18),$C$2:$G$48,5,FALSE)</f>
        <v>0.01</v>
      </c>
      <c r="T18" s="169"/>
      <c r="U18" s="169"/>
      <c r="V18" s="37"/>
      <c r="W18" s="37"/>
      <c r="X18" s="37"/>
      <c r="Y18" s="37"/>
      <c r="Z18" s="37"/>
      <c r="AA18" s="37"/>
      <c r="AB18" s="37"/>
      <c r="AC18" s="37"/>
    </row>
    <row r="19" spans="1:31" ht="26.25" customHeight="1" x14ac:dyDescent="0.25">
      <c r="A19" s="28" t="str">
        <f>A18</f>
        <v>Construção de Redes de Abastecimento de Água, Coleta de Esgoto</v>
      </c>
      <c r="B19" s="36" t="s">
        <v>16</v>
      </c>
      <c r="C19" s="28" t="str">
        <f t="shared" si="0"/>
        <v>Construção de Redes de Abastecimento de Água, Coleta de Esgoto-BDI PAD</v>
      </c>
      <c r="E19" s="33">
        <v>0.20760000000000001</v>
      </c>
      <c r="F19" s="33">
        <v>0.24179999999999999</v>
      </c>
      <c r="G19" s="33">
        <v>0.26440000000000002</v>
      </c>
      <c r="I19" s="170" t="str">
        <f>IF($I$10=$A$58,"","Risco")</f>
        <v>Risco</v>
      </c>
      <c r="J19" s="170"/>
      <c r="K19" s="170"/>
      <c r="L19" s="170"/>
      <c r="M19" s="4" t="str">
        <f>IF($I$10=$A$58,"","R")</f>
        <v>R</v>
      </c>
      <c r="N19" s="5">
        <v>9.7000000000000003E-3</v>
      </c>
      <c r="O19" s="38" t="s">
        <v>74</v>
      </c>
      <c r="P19" s="6">
        <f>VLOOKUP(CONCATENATE(I$10,"-",M19),$C$2:$G$48,3,FALSE)</f>
        <v>9.7000000000000003E-3</v>
      </c>
      <c r="Q19" s="6">
        <f>VLOOKUP(CONCATENATE(I$10,"-",M19),$C$2:$G$48,4,FALSE)</f>
        <v>1.2699999999999999E-2</v>
      </c>
      <c r="R19" s="6">
        <f>VLOOKUP(CONCATENATE(I$10,"-",M19),$C$2:$G$48,5,FALSE)</f>
        <v>1.2699999999999999E-2</v>
      </c>
      <c r="T19" s="169"/>
      <c r="U19" s="169"/>
      <c r="V19" s="37"/>
      <c r="W19" s="37"/>
      <c r="X19" s="37"/>
      <c r="Y19" s="37"/>
      <c r="Z19" s="37"/>
      <c r="AA19" s="37"/>
      <c r="AB19" s="37"/>
      <c r="AC19" s="37"/>
    </row>
    <row r="20" spans="1:31" ht="26.25" customHeight="1" x14ac:dyDescent="0.25">
      <c r="A20" s="28" t="s">
        <v>75</v>
      </c>
      <c r="B20" s="32" t="s">
        <v>53</v>
      </c>
      <c r="C20" s="28" t="str">
        <f t="shared" si="0"/>
        <v>Construção e Manutenção de Estações e Redes de Distribuição de Energia Elétrica-AC</v>
      </c>
      <c r="E20" s="33">
        <v>5.2900000000000003E-2</v>
      </c>
      <c r="F20" s="33">
        <v>5.9200000000000003E-2</v>
      </c>
      <c r="G20" s="33">
        <v>7.9299999999999995E-2</v>
      </c>
      <c r="I20" s="170" t="str">
        <f>IF($I$10=$A$58,"","Despesas Financeiras")</f>
        <v>Despesas Financeiras</v>
      </c>
      <c r="J20" s="170"/>
      <c r="K20" s="170"/>
      <c r="L20" s="170"/>
      <c r="M20" s="4" t="str">
        <f>IF($I$10=$A$58,"","DF")</f>
        <v>DF</v>
      </c>
      <c r="N20" s="5">
        <v>5.8999999999999999E-3</v>
      </c>
      <c r="O20" s="38" t="s">
        <v>74</v>
      </c>
      <c r="P20" s="6">
        <f>VLOOKUP(CONCATENATE(I$10,"-",M20),$C$2:$G$48,3,FALSE)</f>
        <v>5.8999999999999999E-3</v>
      </c>
      <c r="Q20" s="6">
        <f>VLOOKUP(CONCATENATE(I$10,"-",M20),$C$2:$G$48,4,FALSE)</f>
        <v>1.23E-2</v>
      </c>
      <c r="R20" s="6">
        <f>VLOOKUP(CONCATENATE(I$10,"-",M20),$C$2:$G$48,5,FALSE)</f>
        <v>1.3899999999999999E-2</v>
      </c>
      <c r="T20" s="169"/>
      <c r="U20" s="169"/>
    </row>
    <row r="21" spans="1:31" ht="26.25" customHeight="1" x14ac:dyDescent="0.25">
      <c r="A21" s="28" t="str">
        <f>A20</f>
        <v>Construção e Manutenção de Estações e Redes de Distribuição de Energia Elétrica</v>
      </c>
      <c r="B21" s="32" t="s">
        <v>54</v>
      </c>
      <c r="C21" s="28" t="str">
        <f t="shared" si="0"/>
        <v>Construção e Manutenção de Estações e Redes de Distribuição de Energia Elétrica-SG</v>
      </c>
      <c r="E21" s="33">
        <v>2.5000000000000001E-3</v>
      </c>
      <c r="F21" s="33">
        <v>5.1000000000000004E-3</v>
      </c>
      <c r="G21" s="33">
        <v>5.6000000000000008E-3</v>
      </c>
      <c r="I21" s="170" t="str">
        <f>IF($I$10=$A$58,"Margem bruta da empresa de consultoria","Lucro")</f>
        <v>Lucro</v>
      </c>
      <c r="J21" s="170"/>
      <c r="K21" s="170"/>
      <c r="L21" s="170"/>
      <c r="M21" s="4" t="str">
        <f>IF($I$10=$A$58,"K3","L")</f>
        <v>L</v>
      </c>
      <c r="N21" s="5">
        <v>6.1600000000000002E-2</v>
      </c>
      <c r="O21" s="38" t="s">
        <v>74</v>
      </c>
      <c r="P21" s="6" t="e">
        <f>VLOOKUP(CONCATENATE(I$10,"-",M21),$C$2:$G$48,3,FALSE)</f>
        <v>#N/A</v>
      </c>
      <c r="Q21" s="6" t="e">
        <f>VLOOKUP(CONCATENATE(I$10,"-",M21),$C$2:$G$48,4,FALSE)</f>
        <v>#N/A</v>
      </c>
      <c r="R21" s="6" t="e">
        <f>VLOOKUP(CONCATENATE(I$10,"-",M21),$C$2:$G$48,5,FALSE)</f>
        <v>#N/A</v>
      </c>
      <c r="T21" s="169"/>
      <c r="U21" s="169"/>
    </row>
    <row r="22" spans="1:31" ht="26.25" customHeight="1" x14ac:dyDescent="0.25">
      <c r="A22" s="28" t="str">
        <f>A21</f>
        <v>Construção e Manutenção de Estações e Redes de Distribuição de Energia Elétrica</v>
      </c>
      <c r="B22" s="32" t="s">
        <v>55</v>
      </c>
      <c r="C22" s="28" t="str">
        <f t="shared" si="0"/>
        <v>Construção e Manutenção de Estações e Redes de Distribuição de Energia Elétrica-R</v>
      </c>
      <c r="E22" s="33">
        <v>0.01</v>
      </c>
      <c r="F22" s="33">
        <v>1.4800000000000001E-2</v>
      </c>
      <c r="G22" s="33">
        <v>1.9699999999999999E-2</v>
      </c>
      <c r="I22" s="171" t="s">
        <v>17</v>
      </c>
      <c r="J22" s="171"/>
      <c r="K22" s="171"/>
      <c r="L22" s="171"/>
      <c r="M22" s="4" t="s">
        <v>18</v>
      </c>
      <c r="N22" s="5">
        <v>3.6499999999999998E-2</v>
      </c>
      <c r="O22" s="38" t="s">
        <v>74</v>
      </c>
      <c r="P22" s="6">
        <v>3.6499999999999998E-2</v>
      </c>
      <c r="Q22" s="6">
        <v>3.6499999999999998E-2</v>
      </c>
      <c r="R22" s="6">
        <v>3.6499999999999998E-2</v>
      </c>
      <c r="T22" s="169"/>
      <c r="U22" s="169"/>
    </row>
    <row r="23" spans="1:31" ht="26.25" customHeight="1" x14ac:dyDescent="0.25">
      <c r="A23" s="28" t="str">
        <f>A22</f>
        <v>Construção e Manutenção de Estações e Redes de Distribuição de Energia Elétrica</v>
      </c>
      <c r="B23" s="32" t="s">
        <v>58</v>
      </c>
      <c r="C23" s="28" t="str">
        <f t="shared" si="0"/>
        <v>Construção e Manutenção de Estações e Redes de Distribuição de Energia Elétrica-DF</v>
      </c>
      <c r="E23" s="33">
        <v>1.01E-2</v>
      </c>
      <c r="F23" s="33">
        <v>1.0700000000000001E-2</v>
      </c>
      <c r="G23" s="33">
        <v>1.11E-2</v>
      </c>
      <c r="I23" s="170" t="s">
        <v>19</v>
      </c>
      <c r="J23" s="170"/>
      <c r="K23" s="170"/>
      <c r="L23" s="170"/>
      <c r="M23" s="4" t="s">
        <v>20</v>
      </c>
      <c r="N23" s="6">
        <f>Q13</f>
        <v>0.05</v>
      </c>
      <c r="O23" s="38" t="s">
        <v>74</v>
      </c>
      <c r="P23" s="6">
        <v>0</v>
      </c>
      <c r="Q23" s="6">
        <v>2.5000000000000001E-2</v>
      </c>
      <c r="R23" s="6">
        <v>0.05</v>
      </c>
      <c r="T23" s="169"/>
      <c r="U23" s="169"/>
    </row>
    <row r="24" spans="1:31" ht="26.25" customHeight="1" x14ac:dyDescent="0.25">
      <c r="A24" s="28" t="str">
        <f>A23</f>
        <v>Construção e Manutenção de Estações e Redes de Distribuição de Energia Elétrica</v>
      </c>
      <c r="B24" s="32" t="s">
        <v>59</v>
      </c>
      <c r="C24" s="28" t="str">
        <f t="shared" si="0"/>
        <v>Construção e Manutenção de Estações e Redes de Distribuição de Energia Elétrica-L</v>
      </c>
      <c r="E24" s="33">
        <v>0.08</v>
      </c>
      <c r="F24" s="33">
        <v>8.3100000000000007E-2</v>
      </c>
      <c r="G24" s="33">
        <v>9.5100000000000004E-2</v>
      </c>
      <c r="I24" s="170" t="s">
        <v>21</v>
      </c>
      <c r="J24" s="170"/>
      <c r="K24" s="170"/>
      <c r="L24" s="170"/>
      <c r="M24" s="4" t="s">
        <v>22</v>
      </c>
      <c r="N24" s="6">
        <f>IF(AND($I$10&lt;&gt;$A$57,Q10="Sim"),4.5%,0%)</f>
        <v>4.4999999999999998E-2</v>
      </c>
      <c r="O24" s="38" t="str">
        <f>IF(AND(N24&gt;=P24, N24&lt;=R24), "OK", "Não OK")</f>
        <v>OK</v>
      </c>
      <c r="P24" s="39">
        <v>0</v>
      </c>
      <c r="Q24" s="39">
        <v>4.4999999999999998E-2</v>
      </c>
      <c r="R24" s="39">
        <v>4.4999999999999998E-2</v>
      </c>
    </row>
    <row r="25" spans="1:31" ht="30.75" customHeight="1" x14ac:dyDescent="0.3">
      <c r="A25" s="28" t="str">
        <f>A24</f>
        <v>Construção e Manutenção de Estações e Redes de Distribuição de Energia Elétrica</v>
      </c>
      <c r="B25" s="36" t="s">
        <v>16</v>
      </c>
      <c r="C25" s="28" t="str">
        <f t="shared" si="0"/>
        <v>Construção e Manutenção de Estações e Redes de Distribuição de Energia Elétrica-BDI PAD</v>
      </c>
      <c r="E25" s="33">
        <v>0.24</v>
      </c>
      <c r="F25" s="33">
        <v>0.25840000000000002</v>
      </c>
      <c r="G25" s="33">
        <v>0.27860000000000001</v>
      </c>
      <c r="I25" s="170" t="s">
        <v>76</v>
      </c>
      <c r="J25" s="170"/>
      <c r="K25" s="170"/>
      <c r="L25" s="170"/>
      <c r="M25" s="7" t="s">
        <v>16</v>
      </c>
      <c r="N25" s="6">
        <f>IF($I$10=$A$57,0,ROUND((((1+N17+N18+N19)*(1+N20)*(1+N21)/(1-(N22+N23)))-1),4))</f>
        <v>0.22470000000000001</v>
      </c>
      <c r="O25" s="40" t="e">
        <f>IF(OR($I$10=$A$58,$I$10=$A$57,AND(N25&gt;=P25, N25&lt;=R25)), "OK", "FORA DO INTERVALO")</f>
        <v>#N/A</v>
      </c>
      <c r="P25" s="6" t="e">
        <f>IF($I$10=$A$57,0,VLOOKUP(CONCATENATE($I$10,"-",$M25),$C$2:$G$48,3,FALSE))</f>
        <v>#N/A</v>
      </c>
      <c r="Q25" s="6" t="e">
        <f>IF($I$10=$A$57,0,VLOOKUP(CONCATENATE($I$10,"-",$M25),$C$2:$G$48,4,FALSE))</f>
        <v>#N/A</v>
      </c>
      <c r="R25" s="6" t="e">
        <f>IF($I$10=$A$57,0,VLOOKUP(CONCATENATE($I$10,"-",$M25),$C$2:$G$48,5,FALSE))</f>
        <v>#N/A</v>
      </c>
      <c r="T25" s="41"/>
      <c r="V25" s="37"/>
      <c r="W25" s="37"/>
      <c r="X25" s="37"/>
      <c r="Y25" s="37"/>
      <c r="Z25" s="37"/>
      <c r="AA25" s="37"/>
      <c r="AB25" s="37"/>
      <c r="AC25" s="37"/>
      <c r="AD25" s="37"/>
      <c r="AE25" s="37"/>
    </row>
    <row r="26" spans="1:31" ht="30" customHeight="1" x14ac:dyDescent="0.3">
      <c r="A26" s="28" t="s">
        <v>77</v>
      </c>
      <c r="B26" s="32" t="s">
        <v>53</v>
      </c>
      <c r="C26" s="28" t="str">
        <f t="shared" si="0"/>
        <v>Obras Portuárias, Marítimas e Fluviais-AC</v>
      </c>
      <c r="E26" s="33">
        <v>0.04</v>
      </c>
      <c r="F26" s="33">
        <v>5.5199999999999999E-2</v>
      </c>
      <c r="G26" s="33">
        <v>7.85E-2</v>
      </c>
      <c r="I26" s="173" t="s">
        <v>78</v>
      </c>
      <c r="J26" s="173"/>
      <c r="K26" s="173"/>
      <c r="L26" s="173"/>
      <c r="M26" s="42" t="s">
        <v>79</v>
      </c>
      <c r="N26" s="43">
        <f>IF($I$10=$A$57,0,ROUND((((1+N17+N18+N19)*(1+N20)*(1+N21)/(1-(N22+N23+N24)))-1),4))</f>
        <v>0.28820000000000001</v>
      </c>
      <c r="O26" s="44" t="e">
        <f>IF(Q10&lt;&gt;"Sim","",O25)</f>
        <v>#N/A</v>
      </c>
      <c r="P26" s="174"/>
      <c r="Q26" s="174"/>
      <c r="R26" s="174"/>
      <c r="T26" s="41"/>
      <c r="V26" s="45" t="e">
        <f>AND(COUNTA(N17:N22)=6,O25&lt;&gt;"ok",NOT(V28))</f>
        <v>#N/A</v>
      </c>
      <c r="W26" s="28" t="s">
        <v>80</v>
      </c>
    </row>
    <row r="27" spans="1:31" ht="7.5" customHeight="1" x14ac:dyDescent="0.25">
      <c r="A27" s="28" t="str">
        <f>A26</f>
        <v>Obras Portuárias, Marítimas e Fluviais</v>
      </c>
      <c r="B27" s="32" t="s">
        <v>54</v>
      </c>
      <c r="C27" s="28" t="str">
        <f t="shared" si="0"/>
        <v>Obras Portuárias, Marítimas e Fluviais-SG</v>
      </c>
      <c r="E27" s="33">
        <v>8.1000000000000013E-3</v>
      </c>
      <c r="F27" s="33">
        <v>1.2199999999999999E-2</v>
      </c>
      <c r="G27" s="33">
        <v>1.9900000000000001E-2</v>
      </c>
      <c r="V27" s="45"/>
    </row>
    <row r="28" spans="1:31" ht="21.75" customHeight="1" x14ac:dyDescent="0.25">
      <c r="A28" s="28" t="str">
        <f>A27</f>
        <v>Obras Portuárias, Marítimas e Fluviais</v>
      </c>
      <c r="B28" s="32" t="s">
        <v>55</v>
      </c>
      <c r="C28" s="28" t="str">
        <f t="shared" si="0"/>
        <v>Obras Portuárias, Marítimas e Fluviais-R</v>
      </c>
      <c r="E28" s="33">
        <v>1.46E-2</v>
      </c>
      <c r="F28" s="33">
        <v>2.3199999999999998E-2</v>
      </c>
      <c r="G28" s="33">
        <v>3.1600000000000003E-2</v>
      </c>
      <c r="I28" s="46" t="str">
        <f>IF(V28,"X","")</f>
        <v/>
      </c>
      <c r="J28" s="175" t="s">
        <v>81</v>
      </c>
      <c r="K28" s="175"/>
      <c r="L28" s="175"/>
      <c r="M28" s="175"/>
      <c r="N28" s="175"/>
      <c r="O28" s="175"/>
      <c r="P28" s="175"/>
      <c r="Q28" s="175"/>
      <c r="R28" s="175"/>
      <c r="V28" s="45" t="b">
        <v>0</v>
      </c>
      <c r="W28" s="28" t="s">
        <v>82</v>
      </c>
    </row>
    <row r="29" spans="1:31" ht="7.5" customHeight="1" x14ac:dyDescent="0.25">
      <c r="B29" s="32"/>
      <c r="E29" s="33"/>
      <c r="F29" s="33"/>
      <c r="G29" s="33"/>
      <c r="V29" s="45"/>
    </row>
    <row r="30" spans="1:31" ht="18.75" customHeight="1" x14ac:dyDescent="0.25">
      <c r="B30" s="32"/>
      <c r="E30" s="33"/>
      <c r="F30" s="33"/>
      <c r="G30" s="33"/>
      <c r="I30" s="176" t="s">
        <v>83</v>
      </c>
      <c r="J30" s="176"/>
      <c r="K30" s="176"/>
      <c r="L30" s="176"/>
      <c r="M30" s="176"/>
      <c r="N30" s="176"/>
      <c r="O30" s="176"/>
      <c r="P30" s="176"/>
      <c r="Q30" s="176"/>
      <c r="R30" s="176"/>
    </row>
    <row r="31" spans="1:31" ht="30" customHeight="1" x14ac:dyDescent="0.3">
      <c r="A31" s="28" t="str">
        <f>A28</f>
        <v>Obras Portuárias, Marítimas e Fluviais</v>
      </c>
      <c r="B31" s="32" t="s">
        <v>58</v>
      </c>
      <c r="C31" s="28" t="str">
        <f t="shared" si="0"/>
        <v>Obras Portuárias, Marítimas e Fluviais-DF</v>
      </c>
      <c r="E31" s="33">
        <v>9.3999999999999986E-3</v>
      </c>
      <c r="F31" s="33">
        <v>1.0200000000000001E-2</v>
      </c>
      <c r="G31" s="33">
        <v>1.3300000000000001E-2</v>
      </c>
      <c r="I31" s="47"/>
      <c r="J31" s="47"/>
      <c r="K31" s="47"/>
      <c r="L31" s="177" t="str">
        <f>IF(Q10="Sim","BDI.DES =","BDI.PAD =")</f>
        <v>BDI.DES =</v>
      </c>
      <c r="M31" s="178" t="str">
        <f>IF($I$10=$A$58,"(1+K1+K2)*(1+K3)","(1+AC + S + R + G)*(1 + DF)*(1+L)")</f>
        <v>(1+AC + S + R + G)*(1 + DF)*(1+L)</v>
      </c>
      <c r="N31" s="178"/>
      <c r="O31" s="178"/>
      <c r="P31" s="179" t="s">
        <v>84</v>
      </c>
      <c r="Q31" s="47"/>
      <c r="R31" s="47"/>
    </row>
    <row r="32" spans="1:31" ht="27" customHeight="1" x14ac:dyDescent="0.25">
      <c r="A32" s="28" t="str">
        <f>A31</f>
        <v>Obras Portuárias, Marítimas e Fluviais</v>
      </c>
      <c r="B32" s="32" t="s">
        <v>59</v>
      </c>
      <c r="C32" s="28" t="str">
        <f t="shared" si="0"/>
        <v>Obras Portuárias, Marítimas e Fluviais-L</v>
      </c>
      <c r="E32" s="33">
        <v>7.1399999999999991E-2</v>
      </c>
      <c r="F32" s="33">
        <v>8.4000000000000005E-2</v>
      </c>
      <c r="G32" s="33">
        <v>0.1043</v>
      </c>
      <c r="I32" s="47"/>
      <c r="J32" s="47"/>
      <c r="K32" s="47"/>
      <c r="L32" s="177"/>
      <c r="M32" s="181" t="str">
        <f>IF(Q10="Sim","(1-CP-ISS-CRPB)","(1-CP-ISS)")</f>
        <v>(1-CP-ISS-CRPB)</v>
      </c>
      <c r="N32" s="181"/>
      <c r="O32" s="181"/>
      <c r="P32" s="180"/>
      <c r="Q32" s="47"/>
      <c r="R32" s="47"/>
    </row>
    <row r="33" spans="1:18" ht="7.5" customHeight="1" x14ac:dyDescent="0.25">
      <c r="A33" s="28" t="str">
        <f>A32</f>
        <v>Obras Portuárias, Marítimas e Fluviais</v>
      </c>
      <c r="B33" s="36" t="s">
        <v>16</v>
      </c>
      <c r="C33" s="28" t="str">
        <f t="shared" si="0"/>
        <v>Obras Portuárias, Marítimas e Fluviais-BDI PAD</v>
      </c>
      <c r="E33" s="33">
        <v>0.22800000000000001</v>
      </c>
      <c r="F33" s="33">
        <v>0.27479999999999999</v>
      </c>
      <c r="G33" s="33">
        <v>0.3095</v>
      </c>
      <c r="I33" s="48"/>
      <c r="J33" s="48"/>
      <c r="K33" s="48"/>
      <c r="L33" s="48"/>
      <c r="M33" s="48"/>
      <c r="N33" s="48"/>
      <c r="O33" s="48"/>
      <c r="P33" s="48"/>
      <c r="Q33" s="48"/>
      <c r="R33" s="48"/>
    </row>
    <row r="34" spans="1:18" ht="45" customHeight="1" x14ac:dyDescent="0.25">
      <c r="B34" s="36"/>
      <c r="E34" s="33"/>
      <c r="F34" s="33"/>
      <c r="G34" s="33"/>
      <c r="I34" s="172" t="str">
        <f>CONCATENATE("Declaro para os devidos fins que, conforme legislação tributária municipal, a base de cálculo para ",I10,", é de ",Q12*100,"%, com a respectiva alíquota de ",Q13*100,"%.")</f>
        <v>Declaro para os devidos fins que, conforme legislação tributária municipal, a base de cálculo para Construção e Reforma de Edifícios, é de 100%, com a respectiva alíquota de 5%.</v>
      </c>
      <c r="J34" s="172"/>
      <c r="K34" s="172"/>
      <c r="L34" s="172"/>
      <c r="M34" s="172"/>
      <c r="N34" s="172"/>
      <c r="O34" s="172"/>
      <c r="P34" s="172"/>
      <c r="Q34" s="172"/>
      <c r="R34" s="172"/>
    </row>
    <row r="35" spans="1:18" ht="11.25" customHeight="1" x14ac:dyDescent="0.25">
      <c r="B35" s="36"/>
      <c r="E35" s="33"/>
      <c r="F35" s="33"/>
      <c r="G35" s="33"/>
    </row>
    <row r="36" spans="1:18" ht="52.5" customHeight="1" x14ac:dyDescent="0.25">
      <c r="B36" s="36"/>
      <c r="E36" s="33"/>
      <c r="F36" s="33"/>
      <c r="G36" s="33"/>
      <c r="I36" s="172" t="str">
        <f>CONCATENATE("Declaro para os devidos fins que o regime de Contribuição Previdenciária sobre a Receita Bruta adotado para elaboração do orçamento foi ",IF(Q10="Sim","COM","SEM"),"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6" s="172"/>
      <c r="K36" s="172"/>
      <c r="L36" s="172"/>
      <c r="M36" s="172"/>
      <c r="N36" s="172"/>
      <c r="O36" s="172"/>
      <c r="P36" s="172"/>
      <c r="Q36" s="172"/>
      <c r="R36" s="172"/>
    </row>
    <row r="37" spans="1:18" ht="18" customHeight="1" x14ac:dyDescent="0.25">
      <c r="A37" s="28" t="s">
        <v>85</v>
      </c>
      <c r="B37" s="32" t="s">
        <v>53</v>
      </c>
      <c r="C37" s="28" t="str">
        <f t="shared" si="0"/>
        <v>Fornecimento de Materiais e Equipamentos (aquisição indireta - em conjunto com licitação de obras)-AC</v>
      </c>
      <c r="E37" s="33">
        <v>1.4999999999999999E-2</v>
      </c>
      <c r="F37" s="33">
        <v>3.4500000000000003E-2</v>
      </c>
      <c r="G37" s="33">
        <v>4.4900000000000002E-2</v>
      </c>
    </row>
    <row r="38" spans="1:18" ht="13.2" x14ac:dyDescent="0.25">
      <c r="A38" s="28" t="str">
        <f>A37</f>
        <v>Fornecimento de Materiais e Equipamentos (aquisição indireta - em conjunto com licitação de obras)</v>
      </c>
      <c r="B38" s="32" t="s">
        <v>54</v>
      </c>
      <c r="C38" s="28" t="str">
        <f t="shared" si="0"/>
        <v>Fornecimento de Materiais e Equipamentos (aquisição indireta - em conjunto com licitação de obras)-SG</v>
      </c>
      <c r="E38" s="33">
        <v>3.0000000000000001E-3</v>
      </c>
      <c r="F38" s="33">
        <v>4.7999999999999996E-3</v>
      </c>
      <c r="G38" s="33">
        <v>8.199999999999999E-3</v>
      </c>
      <c r="I38" s="28" t="s">
        <v>86</v>
      </c>
    </row>
    <row r="39" spans="1:18" ht="13.2" x14ac:dyDescent="0.25">
      <c r="A39" s="28" t="str">
        <f>A38</f>
        <v>Fornecimento de Materiais e Equipamentos (aquisição indireta - em conjunto com licitação de obras)</v>
      </c>
      <c r="B39" s="32" t="s">
        <v>55</v>
      </c>
      <c r="C39" s="28" t="str">
        <f t="shared" si="0"/>
        <v>Fornecimento de Materiais e Equipamentos (aquisição indireta - em conjunto com licitação de obras)-R</v>
      </c>
      <c r="E39" s="33">
        <v>5.6000000000000008E-3</v>
      </c>
      <c r="F39" s="33">
        <v>8.5000000000000006E-3</v>
      </c>
      <c r="G39" s="33">
        <v>8.8999999999999999E-3</v>
      </c>
      <c r="I39" s="182"/>
      <c r="J39" s="183"/>
      <c r="K39" s="183"/>
      <c r="L39" s="183"/>
      <c r="M39" s="183"/>
      <c r="N39" s="183"/>
      <c r="O39" s="183"/>
      <c r="P39" s="183"/>
      <c r="Q39" s="183"/>
      <c r="R39" s="184"/>
    </row>
    <row r="40" spans="1:18" ht="16.5" customHeight="1" x14ac:dyDescent="0.25">
      <c r="A40" s="28" t="str">
        <f>A39</f>
        <v>Fornecimento de Materiais e Equipamentos (aquisição indireta - em conjunto com licitação de obras)</v>
      </c>
      <c r="B40" s="32" t="s">
        <v>58</v>
      </c>
      <c r="C40" s="28" t="str">
        <f t="shared" si="0"/>
        <v>Fornecimento de Materiais e Equipamentos (aquisição indireta - em conjunto com licitação de obras)-DF</v>
      </c>
      <c r="E40" s="33">
        <v>8.5000000000000006E-3</v>
      </c>
      <c r="F40" s="33">
        <v>8.5000000000000006E-3</v>
      </c>
      <c r="G40" s="33">
        <v>1.11E-2</v>
      </c>
    </row>
    <row r="41" spans="1:18" ht="13.2" x14ac:dyDescent="0.25">
      <c r="A41" s="28" t="str">
        <f>A40</f>
        <v>Fornecimento de Materiais e Equipamentos (aquisição indireta - em conjunto com licitação de obras)</v>
      </c>
      <c r="B41" s="32" t="s">
        <v>59</v>
      </c>
      <c r="C41" s="28" t="str">
        <f t="shared" si="0"/>
        <v>Fornecimento de Materiais e Equipamentos (aquisição indireta - em conjunto com licitação de obras)-L</v>
      </c>
      <c r="E41" s="33">
        <v>3.5000000000000003E-2</v>
      </c>
      <c r="F41" s="33">
        <v>5.1100000000000007E-2</v>
      </c>
      <c r="G41" s="33">
        <v>6.2199999999999998E-2</v>
      </c>
      <c r="I41" s="185" t="s">
        <v>43</v>
      </c>
      <c r="J41" s="185"/>
      <c r="K41" s="185"/>
      <c r="L41" s="185"/>
      <c r="O41" s="186"/>
      <c r="P41" s="186"/>
      <c r="Q41" s="186"/>
      <c r="R41" s="186"/>
    </row>
    <row r="42" spans="1:18" ht="15" customHeight="1" x14ac:dyDescent="0.25">
      <c r="A42" s="28" t="str">
        <f>A41</f>
        <v>Fornecimento de Materiais e Equipamentos (aquisição indireta - em conjunto com licitação de obras)</v>
      </c>
      <c r="B42" s="36" t="s">
        <v>16</v>
      </c>
      <c r="C42" s="28" t="str">
        <f t="shared" si="0"/>
        <v>Fornecimento de Materiais e Equipamentos (aquisição indireta - em conjunto com licitação de obras)-BDI PAD</v>
      </c>
      <c r="E42" s="33">
        <v>0.111</v>
      </c>
      <c r="F42" s="33">
        <v>0.14019999999999999</v>
      </c>
      <c r="G42" s="33">
        <v>0.16800000000000001</v>
      </c>
      <c r="I42" s="187" t="s">
        <v>87</v>
      </c>
      <c r="J42" s="187"/>
      <c r="K42" s="187"/>
      <c r="L42" s="187"/>
      <c r="N42" s="49"/>
      <c r="O42" s="50" t="s">
        <v>88</v>
      </c>
      <c r="P42" s="51"/>
      <c r="Q42" s="51"/>
      <c r="R42" s="51"/>
    </row>
    <row r="43" spans="1:18" ht="13.2" x14ac:dyDescent="0.25">
      <c r="A43" s="28" t="s">
        <v>89</v>
      </c>
      <c r="B43" s="32" t="s">
        <v>90</v>
      </c>
      <c r="C43" s="28" t="str">
        <f t="shared" si="0"/>
        <v>Estudos e Projetos, Planos e Gerenciamento e outros correlatos-K1</v>
      </c>
      <c r="E43" s="33" t="s">
        <v>74</v>
      </c>
      <c r="F43" s="33" t="s">
        <v>74</v>
      </c>
      <c r="G43" s="33" t="s">
        <v>74</v>
      </c>
    </row>
    <row r="44" spans="1:18" ht="20.399999999999999" customHeight="1" x14ac:dyDescent="0.25">
      <c r="A44" s="28" t="str">
        <f>A43</f>
        <v>Estudos e Projetos, Planos e Gerenciamento e outros correlatos</v>
      </c>
      <c r="B44" s="32" t="s">
        <v>91</v>
      </c>
      <c r="C44" s="28" t="str">
        <f t="shared" si="0"/>
        <v>Estudos e Projetos, Planos e Gerenciamento e outros correlatos-K2</v>
      </c>
      <c r="E44" s="33" t="s">
        <v>74</v>
      </c>
      <c r="F44" s="33">
        <v>0.2</v>
      </c>
      <c r="G44" s="33" t="s">
        <v>74</v>
      </c>
      <c r="I44" s="188"/>
      <c r="J44" s="188"/>
      <c r="K44" s="188"/>
      <c r="L44" s="188"/>
      <c r="M44" s="52"/>
      <c r="N44" s="52"/>
      <c r="O44" s="188"/>
      <c r="P44" s="188"/>
      <c r="Q44" s="188"/>
      <c r="R44" s="188"/>
    </row>
    <row r="45" spans="1:18" ht="13.2" x14ac:dyDescent="0.25">
      <c r="A45" s="28" t="str">
        <f>A44</f>
        <v>Estudos e Projetos, Planos e Gerenciamento e outros correlatos</v>
      </c>
      <c r="B45" s="32" t="s">
        <v>14</v>
      </c>
      <c r="C45" s="28" t="str">
        <f t="shared" si="0"/>
        <v>Estudos e Projetos, Planos e Gerenciamento e outros correlatos-</v>
      </c>
      <c r="E45" s="33" t="s">
        <v>74</v>
      </c>
      <c r="F45" s="33" t="s">
        <v>74</v>
      </c>
      <c r="G45" s="33" t="s">
        <v>74</v>
      </c>
      <c r="I45" s="190" t="s">
        <v>92</v>
      </c>
      <c r="J45" s="190"/>
      <c r="K45" s="190"/>
      <c r="L45" s="190"/>
      <c r="O45" s="190" t="s">
        <v>93</v>
      </c>
      <c r="P45" s="190"/>
      <c r="Q45" s="190"/>
      <c r="R45" s="190"/>
    </row>
    <row r="46" spans="1:18" ht="13.8" x14ac:dyDescent="0.25">
      <c r="A46" s="28" t="str">
        <f>A45</f>
        <v>Estudos e Projetos, Planos e Gerenciamento e outros correlatos</v>
      </c>
      <c r="B46" s="32" t="s">
        <v>14</v>
      </c>
      <c r="C46" s="28" t="str">
        <f t="shared" si="0"/>
        <v>Estudos e Projetos, Planos e Gerenciamento e outros correlatos-</v>
      </c>
      <c r="E46" s="33" t="s">
        <v>74</v>
      </c>
      <c r="F46" s="33" t="s">
        <v>74</v>
      </c>
      <c r="G46" s="33" t="s">
        <v>74</v>
      </c>
      <c r="I46" s="53" t="s">
        <v>94</v>
      </c>
      <c r="J46" s="189" t="s">
        <v>859</v>
      </c>
      <c r="K46" s="189"/>
      <c r="L46" s="189"/>
      <c r="M46" s="52"/>
      <c r="N46" s="52"/>
      <c r="O46" s="53" t="s">
        <v>94</v>
      </c>
      <c r="P46" s="191"/>
      <c r="Q46" s="191"/>
      <c r="R46" s="191"/>
    </row>
    <row r="47" spans="1:18" ht="13.8" x14ac:dyDescent="0.25">
      <c r="A47" s="28" t="str">
        <f>A46</f>
        <v>Estudos e Projetos, Planos e Gerenciamento e outros correlatos</v>
      </c>
      <c r="B47" s="32" t="s">
        <v>95</v>
      </c>
      <c r="C47" s="28" t="str">
        <f t="shared" si="0"/>
        <v>Estudos e Projetos, Planos e Gerenciamento e outros correlatos-K3</v>
      </c>
      <c r="E47" s="33" t="s">
        <v>74</v>
      </c>
      <c r="F47" s="33">
        <v>0.12</v>
      </c>
      <c r="G47" s="33" t="s">
        <v>74</v>
      </c>
      <c r="I47" s="53" t="s">
        <v>96</v>
      </c>
      <c r="J47" s="189" t="str">
        <f>[8]DADOS!B55</f>
        <v>Engenheiro Civil</v>
      </c>
      <c r="K47" s="189"/>
      <c r="L47" s="189"/>
      <c r="M47" s="52"/>
      <c r="N47" s="52"/>
      <c r="O47" s="53" t="s">
        <v>97</v>
      </c>
      <c r="P47" s="191"/>
      <c r="Q47" s="191"/>
      <c r="R47" s="191"/>
    </row>
    <row r="48" spans="1:18" ht="13.8" x14ac:dyDescent="0.25">
      <c r="A48" s="28" t="str">
        <f>A47</f>
        <v>Estudos e Projetos, Planos e Gerenciamento e outros correlatos</v>
      </c>
      <c r="B48" s="36" t="s">
        <v>16</v>
      </c>
      <c r="C48" s="28" t="str">
        <f t="shared" si="0"/>
        <v>Estudos e Projetos, Planos e Gerenciamento e outros correlatos-BDI PAD</v>
      </c>
      <c r="E48" s="33" t="s">
        <v>74</v>
      </c>
      <c r="F48" s="33" t="s">
        <v>74</v>
      </c>
      <c r="G48" s="33" t="s">
        <v>74</v>
      </c>
      <c r="I48" s="53" t="str">
        <f>[8]DADOS!A56</f>
        <v>CREA/CAU:</v>
      </c>
      <c r="J48" s="189">
        <v>506043511</v>
      </c>
      <c r="K48" s="189"/>
      <c r="L48" s="189"/>
      <c r="M48" s="52"/>
      <c r="N48" s="52"/>
      <c r="O48" s="52"/>
      <c r="P48" s="52"/>
      <c r="Q48" s="52"/>
      <c r="R48" s="52"/>
    </row>
    <row r="49" spans="1:12" ht="13.2" x14ac:dyDescent="0.25">
      <c r="I49" s="53" t="str">
        <f>[8]DADOS!A57</f>
        <v>ART/RRT:</v>
      </c>
      <c r="J49" s="189"/>
      <c r="K49" s="189"/>
      <c r="L49" s="189"/>
    </row>
    <row r="50" spans="1:12" ht="13.2" x14ac:dyDescent="0.25"/>
    <row r="51" spans="1:12" ht="13.2" hidden="1" x14ac:dyDescent="0.25">
      <c r="A51" s="28" t="s">
        <v>52</v>
      </c>
    </row>
    <row r="52" spans="1:12" ht="13.2" hidden="1" x14ac:dyDescent="0.25">
      <c r="A52" s="28" t="s">
        <v>61</v>
      </c>
    </row>
    <row r="53" spans="1:12" ht="13.2" hidden="1" x14ac:dyDescent="0.25">
      <c r="A53" s="28" t="s">
        <v>65</v>
      </c>
    </row>
    <row r="54" spans="1:12" ht="13.2" hidden="1" x14ac:dyDescent="0.25">
      <c r="A54" s="28" t="s">
        <v>75</v>
      </c>
    </row>
    <row r="55" spans="1:12" ht="13.2" hidden="1" x14ac:dyDescent="0.25">
      <c r="A55" s="28" t="s">
        <v>77</v>
      </c>
    </row>
    <row r="56" spans="1:12" ht="13.2" hidden="1" x14ac:dyDescent="0.25">
      <c r="A56" s="28" t="s">
        <v>85</v>
      </c>
    </row>
    <row r="57" spans="1:12" ht="13.2" hidden="1" x14ac:dyDescent="0.25">
      <c r="A57" s="28" t="s">
        <v>98</v>
      </c>
    </row>
    <row r="58" spans="1:12" ht="13.2" hidden="1" x14ac:dyDescent="0.25">
      <c r="A58" s="28" t="s">
        <v>89</v>
      </c>
    </row>
    <row r="59" spans="1:12" ht="13.8" hidden="1" x14ac:dyDescent="0.25">
      <c r="A59" s="54"/>
      <c r="B59" s="52"/>
      <c r="C59" s="52"/>
      <c r="D59" s="52"/>
      <c r="E59" s="52"/>
      <c r="F59" s="52"/>
      <c r="G59" s="52"/>
    </row>
    <row r="60" spans="1:12" ht="12.75" customHeight="1" x14ac:dyDescent="0.25"/>
  </sheetData>
  <mergeCells count="55">
    <mergeCell ref="J48:L48"/>
    <mergeCell ref="J49:L49"/>
    <mergeCell ref="I45:L45"/>
    <mergeCell ref="O45:R45"/>
    <mergeCell ref="J46:L46"/>
    <mergeCell ref="P46:R46"/>
    <mergeCell ref="J47:L47"/>
    <mergeCell ref="P47:R47"/>
    <mergeCell ref="I39:R39"/>
    <mergeCell ref="I41:L41"/>
    <mergeCell ref="O41:R41"/>
    <mergeCell ref="I42:L42"/>
    <mergeCell ref="I44:L44"/>
    <mergeCell ref="O44:R44"/>
    <mergeCell ref="I36:R36"/>
    <mergeCell ref="I24:L24"/>
    <mergeCell ref="I25:L25"/>
    <mergeCell ref="I26:L26"/>
    <mergeCell ref="P26:R26"/>
    <mergeCell ref="J28:R28"/>
    <mergeCell ref="I30:R30"/>
    <mergeCell ref="L31:L32"/>
    <mergeCell ref="M31:O31"/>
    <mergeCell ref="P31:P32"/>
    <mergeCell ref="M32:O32"/>
    <mergeCell ref="I34:R34"/>
    <mergeCell ref="T15:U23"/>
    <mergeCell ref="I17:L17"/>
    <mergeCell ref="I18:L18"/>
    <mergeCell ref="I19:L19"/>
    <mergeCell ref="I20:L20"/>
    <mergeCell ref="I21:L21"/>
    <mergeCell ref="I22:L22"/>
    <mergeCell ref="I23:L23"/>
    <mergeCell ref="I13:P13"/>
    <mergeCell ref="Q13:R13"/>
    <mergeCell ref="I15:L16"/>
    <mergeCell ref="M15:M16"/>
    <mergeCell ref="N15:N16"/>
    <mergeCell ref="O15:O16"/>
    <mergeCell ref="P15:P16"/>
    <mergeCell ref="Q15:Q16"/>
    <mergeCell ref="R15:R16"/>
    <mergeCell ref="I9:P9"/>
    <mergeCell ref="Q9:R9"/>
    <mergeCell ref="I10:P10"/>
    <mergeCell ref="Q10:R10"/>
    <mergeCell ref="I12:P12"/>
    <mergeCell ref="Q12:R12"/>
    <mergeCell ref="I7:R7"/>
    <mergeCell ref="I4:J4"/>
    <mergeCell ref="K4:R4"/>
    <mergeCell ref="I5:J5"/>
    <mergeCell ref="K5:R5"/>
    <mergeCell ref="I6:R6"/>
  </mergeCells>
  <conditionalFormatting sqref="I25:N25">
    <cfRule type="expression" dxfId="6" priority="7" stopIfTrue="1">
      <formula>$Q$10="Não"</formula>
    </cfRule>
  </conditionalFormatting>
  <conditionalFormatting sqref="I26:N26">
    <cfRule type="expression" dxfId="5" priority="6" stopIfTrue="1">
      <formula>$Q$10="sim"</formula>
    </cfRule>
  </conditionalFormatting>
  <conditionalFormatting sqref="I28:R28">
    <cfRule type="expression" dxfId="4" priority="2" stopIfTrue="1">
      <formula>AND(NOT($V$26),NOT($V$28))</formula>
    </cfRule>
  </conditionalFormatting>
  <conditionalFormatting sqref="O17:O26">
    <cfRule type="expression" dxfId="3" priority="8" stopIfTrue="1">
      <formula>AND(O17&lt;&gt;"OK",O17&lt;&gt;"-",O17&lt;&gt;"")</formula>
    </cfRule>
    <cfRule type="cellIs" dxfId="2" priority="9" stopIfTrue="1" operator="equal">
      <formula>"OK"</formula>
    </cfRule>
  </conditionalFormatting>
  <conditionalFormatting sqref="O41">
    <cfRule type="expression" dxfId="1" priority="3" stopIfTrue="1">
      <formula>$O$41=""</formula>
    </cfRule>
  </conditionalFormatting>
  <conditionalFormatting sqref="P17:R25">
    <cfRule type="expression" dxfId="0" priority="1" stopIfTrue="1">
      <formula>$I$10=$A$57</formula>
    </cfRule>
  </conditionalFormatting>
  <dataValidations count="6">
    <dataValidation type="decimal" allowBlank="1" showInputMessage="1" showErrorMessage="1" errorTitle="Erro de valores" error="Digite um valor entre 0% e 100%" sqref="N17:N22 JJ17:JJ22 TF17:TF22 ADB17:ADB22 AMX17:AMX22 AWT17:AWT22 BGP17:BGP22 BQL17:BQL22 CAH17:CAH22 CKD17:CKD22 CTZ17:CTZ22 DDV17:DDV22 DNR17:DNR22 DXN17:DXN22 EHJ17:EHJ22 ERF17:ERF22 FBB17:FBB22 FKX17:FKX22 FUT17:FUT22 GEP17:GEP22 GOL17:GOL22 GYH17:GYH22 HID17:HID22 HRZ17:HRZ22 IBV17:IBV22 ILR17:ILR22 IVN17:IVN22 JFJ17:JFJ22 JPF17:JPF22 JZB17:JZB22 KIX17:KIX22 KST17:KST22 LCP17:LCP22 LML17:LML22 LWH17:LWH22 MGD17:MGD22 MPZ17:MPZ22 MZV17:MZV22 NJR17:NJR22 NTN17:NTN22 ODJ17:ODJ22 ONF17:ONF22 OXB17:OXB22 PGX17:PGX22 PQT17:PQT22 QAP17:QAP22 QKL17:QKL22 QUH17:QUH22 RED17:RED22 RNZ17:RNZ22 RXV17:RXV22 SHR17:SHR22 SRN17:SRN22 TBJ17:TBJ22 TLF17:TLF22 TVB17:TVB22 UEX17:UEX22 UOT17:UOT22 UYP17:UYP22 VIL17:VIL22 VSH17:VSH22 WCD17:WCD22 WLZ17:WLZ22 WVV17:WVV22 N65553:N65558 JJ65553:JJ65558 TF65553:TF65558 ADB65553:ADB65558 AMX65553:AMX65558 AWT65553:AWT65558 BGP65553:BGP65558 BQL65553:BQL65558 CAH65553:CAH65558 CKD65553:CKD65558 CTZ65553:CTZ65558 DDV65553:DDV65558 DNR65553:DNR65558 DXN65553:DXN65558 EHJ65553:EHJ65558 ERF65553:ERF65558 FBB65553:FBB65558 FKX65553:FKX65558 FUT65553:FUT65558 GEP65553:GEP65558 GOL65553:GOL65558 GYH65553:GYH65558 HID65553:HID65558 HRZ65553:HRZ65558 IBV65553:IBV65558 ILR65553:ILR65558 IVN65553:IVN65558 JFJ65553:JFJ65558 JPF65553:JPF65558 JZB65553:JZB65558 KIX65553:KIX65558 KST65553:KST65558 LCP65553:LCP65558 LML65553:LML65558 LWH65553:LWH65558 MGD65553:MGD65558 MPZ65553:MPZ65558 MZV65553:MZV65558 NJR65553:NJR65558 NTN65553:NTN65558 ODJ65553:ODJ65558 ONF65553:ONF65558 OXB65553:OXB65558 PGX65553:PGX65558 PQT65553:PQT65558 QAP65553:QAP65558 QKL65553:QKL65558 QUH65553:QUH65558 RED65553:RED65558 RNZ65553:RNZ65558 RXV65553:RXV65558 SHR65553:SHR65558 SRN65553:SRN65558 TBJ65553:TBJ65558 TLF65553:TLF65558 TVB65553:TVB65558 UEX65553:UEX65558 UOT65553:UOT65558 UYP65553:UYP65558 VIL65553:VIL65558 VSH65553:VSH65558 WCD65553:WCD65558 WLZ65553:WLZ65558 WVV65553:WVV65558 N131089:N131094 JJ131089:JJ131094 TF131089:TF131094 ADB131089:ADB131094 AMX131089:AMX131094 AWT131089:AWT131094 BGP131089:BGP131094 BQL131089:BQL131094 CAH131089:CAH131094 CKD131089:CKD131094 CTZ131089:CTZ131094 DDV131089:DDV131094 DNR131089:DNR131094 DXN131089:DXN131094 EHJ131089:EHJ131094 ERF131089:ERF131094 FBB131089:FBB131094 FKX131089:FKX131094 FUT131089:FUT131094 GEP131089:GEP131094 GOL131089:GOL131094 GYH131089:GYH131094 HID131089:HID131094 HRZ131089:HRZ131094 IBV131089:IBV131094 ILR131089:ILR131094 IVN131089:IVN131094 JFJ131089:JFJ131094 JPF131089:JPF131094 JZB131089:JZB131094 KIX131089:KIX131094 KST131089:KST131094 LCP131089:LCP131094 LML131089:LML131094 LWH131089:LWH131094 MGD131089:MGD131094 MPZ131089:MPZ131094 MZV131089:MZV131094 NJR131089:NJR131094 NTN131089:NTN131094 ODJ131089:ODJ131094 ONF131089:ONF131094 OXB131089:OXB131094 PGX131089:PGX131094 PQT131089:PQT131094 QAP131089:QAP131094 QKL131089:QKL131094 QUH131089:QUH131094 RED131089:RED131094 RNZ131089:RNZ131094 RXV131089:RXV131094 SHR131089:SHR131094 SRN131089:SRN131094 TBJ131089:TBJ131094 TLF131089:TLF131094 TVB131089:TVB131094 UEX131089:UEX131094 UOT131089:UOT131094 UYP131089:UYP131094 VIL131089:VIL131094 VSH131089:VSH131094 WCD131089:WCD131094 WLZ131089:WLZ131094 WVV131089:WVV131094 N196625:N196630 JJ196625:JJ196630 TF196625:TF196630 ADB196625:ADB196630 AMX196625:AMX196630 AWT196625:AWT196630 BGP196625:BGP196630 BQL196625:BQL196630 CAH196625:CAH196630 CKD196625:CKD196630 CTZ196625:CTZ196630 DDV196625:DDV196630 DNR196625:DNR196630 DXN196625:DXN196630 EHJ196625:EHJ196630 ERF196625:ERF196630 FBB196625:FBB196630 FKX196625:FKX196630 FUT196625:FUT196630 GEP196625:GEP196630 GOL196625:GOL196630 GYH196625:GYH196630 HID196625:HID196630 HRZ196625:HRZ196630 IBV196625:IBV196630 ILR196625:ILR196630 IVN196625:IVN196630 JFJ196625:JFJ196630 JPF196625:JPF196630 JZB196625:JZB196630 KIX196625:KIX196630 KST196625:KST196630 LCP196625:LCP196630 LML196625:LML196630 LWH196625:LWH196630 MGD196625:MGD196630 MPZ196625:MPZ196630 MZV196625:MZV196630 NJR196625:NJR196630 NTN196625:NTN196630 ODJ196625:ODJ196630 ONF196625:ONF196630 OXB196625:OXB196630 PGX196625:PGX196630 PQT196625:PQT196630 QAP196625:QAP196630 QKL196625:QKL196630 QUH196625:QUH196630 RED196625:RED196630 RNZ196625:RNZ196630 RXV196625:RXV196630 SHR196625:SHR196630 SRN196625:SRN196630 TBJ196625:TBJ196630 TLF196625:TLF196630 TVB196625:TVB196630 UEX196625:UEX196630 UOT196625:UOT196630 UYP196625:UYP196630 VIL196625:VIL196630 VSH196625:VSH196630 WCD196625:WCD196630 WLZ196625:WLZ196630 WVV196625:WVV196630 N262161:N262166 JJ262161:JJ262166 TF262161:TF262166 ADB262161:ADB262166 AMX262161:AMX262166 AWT262161:AWT262166 BGP262161:BGP262166 BQL262161:BQL262166 CAH262161:CAH262166 CKD262161:CKD262166 CTZ262161:CTZ262166 DDV262161:DDV262166 DNR262161:DNR262166 DXN262161:DXN262166 EHJ262161:EHJ262166 ERF262161:ERF262166 FBB262161:FBB262166 FKX262161:FKX262166 FUT262161:FUT262166 GEP262161:GEP262166 GOL262161:GOL262166 GYH262161:GYH262166 HID262161:HID262166 HRZ262161:HRZ262166 IBV262161:IBV262166 ILR262161:ILR262166 IVN262161:IVN262166 JFJ262161:JFJ262166 JPF262161:JPF262166 JZB262161:JZB262166 KIX262161:KIX262166 KST262161:KST262166 LCP262161:LCP262166 LML262161:LML262166 LWH262161:LWH262166 MGD262161:MGD262166 MPZ262161:MPZ262166 MZV262161:MZV262166 NJR262161:NJR262166 NTN262161:NTN262166 ODJ262161:ODJ262166 ONF262161:ONF262166 OXB262161:OXB262166 PGX262161:PGX262166 PQT262161:PQT262166 QAP262161:QAP262166 QKL262161:QKL262166 QUH262161:QUH262166 RED262161:RED262166 RNZ262161:RNZ262166 RXV262161:RXV262166 SHR262161:SHR262166 SRN262161:SRN262166 TBJ262161:TBJ262166 TLF262161:TLF262166 TVB262161:TVB262166 UEX262161:UEX262166 UOT262161:UOT262166 UYP262161:UYP262166 VIL262161:VIL262166 VSH262161:VSH262166 WCD262161:WCD262166 WLZ262161:WLZ262166 WVV262161:WVV262166 N327697:N327702 JJ327697:JJ327702 TF327697:TF327702 ADB327697:ADB327702 AMX327697:AMX327702 AWT327697:AWT327702 BGP327697:BGP327702 BQL327697:BQL327702 CAH327697:CAH327702 CKD327697:CKD327702 CTZ327697:CTZ327702 DDV327697:DDV327702 DNR327697:DNR327702 DXN327697:DXN327702 EHJ327697:EHJ327702 ERF327697:ERF327702 FBB327697:FBB327702 FKX327697:FKX327702 FUT327697:FUT327702 GEP327697:GEP327702 GOL327697:GOL327702 GYH327697:GYH327702 HID327697:HID327702 HRZ327697:HRZ327702 IBV327697:IBV327702 ILR327697:ILR327702 IVN327697:IVN327702 JFJ327697:JFJ327702 JPF327697:JPF327702 JZB327697:JZB327702 KIX327697:KIX327702 KST327697:KST327702 LCP327697:LCP327702 LML327697:LML327702 LWH327697:LWH327702 MGD327697:MGD327702 MPZ327697:MPZ327702 MZV327697:MZV327702 NJR327697:NJR327702 NTN327697:NTN327702 ODJ327697:ODJ327702 ONF327697:ONF327702 OXB327697:OXB327702 PGX327697:PGX327702 PQT327697:PQT327702 QAP327697:QAP327702 QKL327697:QKL327702 QUH327697:QUH327702 RED327697:RED327702 RNZ327697:RNZ327702 RXV327697:RXV327702 SHR327697:SHR327702 SRN327697:SRN327702 TBJ327697:TBJ327702 TLF327697:TLF327702 TVB327697:TVB327702 UEX327697:UEX327702 UOT327697:UOT327702 UYP327697:UYP327702 VIL327697:VIL327702 VSH327697:VSH327702 WCD327697:WCD327702 WLZ327697:WLZ327702 WVV327697:WVV327702 N393233:N393238 JJ393233:JJ393238 TF393233:TF393238 ADB393233:ADB393238 AMX393233:AMX393238 AWT393233:AWT393238 BGP393233:BGP393238 BQL393233:BQL393238 CAH393233:CAH393238 CKD393233:CKD393238 CTZ393233:CTZ393238 DDV393233:DDV393238 DNR393233:DNR393238 DXN393233:DXN393238 EHJ393233:EHJ393238 ERF393233:ERF393238 FBB393233:FBB393238 FKX393233:FKX393238 FUT393233:FUT393238 GEP393233:GEP393238 GOL393233:GOL393238 GYH393233:GYH393238 HID393233:HID393238 HRZ393233:HRZ393238 IBV393233:IBV393238 ILR393233:ILR393238 IVN393233:IVN393238 JFJ393233:JFJ393238 JPF393233:JPF393238 JZB393233:JZB393238 KIX393233:KIX393238 KST393233:KST393238 LCP393233:LCP393238 LML393233:LML393238 LWH393233:LWH393238 MGD393233:MGD393238 MPZ393233:MPZ393238 MZV393233:MZV393238 NJR393233:NJR393238 NTN393233:NTN393238 ODJ393233:ODJ393238 ONF393233:ONF393238 OXB393233:OXB393238 PGX393233:PGX393238 PQT393233:PQT393238 QAP393233:QAP393238 QKL393233:QKL393238 QUH393233:QUH393238 RED393233:RED393238 RNZ393233:RNZ393238 RXV393233:RXV393238 SHR393233:SHR393238 SRN393233:SRN393238 TBJ393233:TBJ393238 TLF393233:TLF393238 TVB393233:TVB393238 UEX393233:UEX393238 UOT393233:UOT393238 UYP393233:UYP393238 VIL393233:VIL393238 VSH393233:VSH393238 WCD393233:WCD393238 WLZ393233:WLZ393238 WVV393233:WVV393238 N458769:N458774 JJ458769:JJ458774 TF458769:TF458774 ADB458769:ADB458774 AMX458769:AMX458774 AWT458769:AWT458774 BGP458769:BGP458774 BQL458769:BQL458774 CAH458769:CAH458774 CKD458769:CKD458774 CTZ458769:CTZ458774 DDV458769:DDV458774 DNR458769:DNR458774 DXN458769:DXN458774 EHJ458769:EHJ458774 ERF458769:ERF458774 FBB458769:FBB458774 FKX458769:FKX458774 FUT458769:FUT458774 GEP458769:GEP458774 GOL458769:GOL458774 GYH458769:GYH458774 HID458769:HID458774 HRZ458769:HRZ458774 IBV458769:IBV458774 ILR458769:ILR458774 IVN458769:IVN458774 JFJ458769:JFJ458774 JPF458769:JPF458774 JZB458769:JZB458774 KIX458769:KIX458774 KST458769:KST458774 LCP458769:LCP458774 LML458769:LML458774 LWH458769:LWH458774 MGD458769:MGD458774 MPZ458769:MPZ458774 MZV458769:MZV458774 NJR458769:NJR458774 NTN458769:NTN458774 ODJ458769:ODJ458774 ONF458769:ONF458774 OXB458769:OXB458774 PGX458769:PGX458774 PQT458769:PQT458774 QAP458769:QAP458774 QKL458769:QKL458774 QUH458769:QUH458774 RED458769:RED458774 RNZ458769:RNZ458774 RXV458769:RXV458774 SHR458769:SHR458774 SRN458769:SRN458774 TBJ458769:TBJ458774 TLF458769:TLF458774 TVB458769:TVB458774 UEX458769:UEX458774 UOT458769:UOT458774 UYP458769:UYP458774 VIL458769:VIL458774 VSH458769:VSH458774 WCD458769:WCD458774 WLZ458769:WLZ458774 WVV458769:WVV458774 N524305:N524310 JJ524305:JJ524310 TF524305:TF524310 ADB524305:ADB524310 AMX524305:AMX524310 AWT524305:AWT524310 BGP524305:BGP524310 BQL524305:BQL524310 CAH524305:CAH524310 CKD524305:CKD524310 CTZ524305:CTZ524310 DDV524305:DDV524310 DNR524305:DNR524310 DXN524305:DXN524310 EHJ524305:EHJ524310 ERF524305:ERF524310 FBB524305:FBB524310 FKX524305:FKX524310 FUT524305:FUT524310 GEP524305:GEP524310 GOL524305:GOL524310 GYH524305:GYH524310 HID524305:HID524310 HRZ524305:HRZ524310 IBV524305:IBV524310 ILR524305:ILR524310 IVN524305:IVN524310 JFJ524305:JFJ524310 JPF524305:JPF524310 JZB524305:JZB524310 KIX524305:KIX524310 KST524305:KST524310 LCP524305:LCP524310 LML524305:LML524310 LWH524305:LWH524310 MGD524305:MGD524310 MPZ524305:MPZ524310 MZV524305:MZV524310 NJR524305:NJR524310 NTN524305:NTN524310 ODJ524305:ODJ524310 ONF524305:ONF524310 OXB524305:OXB524310 PGX524305:PGX524310 PQT524305:PQT524310 QAP524305:QAP524310 QKL524305:QKL524310 QUH524305:QUH524310 RED524305:RED524310 RNZ524305:RNZ524310 RXV524305:RXV524310 SHR524305:SHR524310 SRN524305:SRN524310 TBJ524305:TBJ524310 TLF524305:TLF524310 TVB524305:TVB524310 UEX524305:UEX524310 UOT524305:UOT524310 UYP524305:UYP524310 VIL524305:VIL524310 VSH524305:VSH524310 WCD524305:WCD524310 WLZ524305:WLZ524310 WVV524305:WVV524310 N589841:N589846 JJ589841:JJ589846 TF589841:TF589846 ADB589841:ADB589846 AMX589841:AMX589846 AWT589841:AWT589846 BGP589841:BGP589846 BQL589841:BQL589846 CAH589841:CAH589846 CKD589841:CKD589846 CTZ589841:CTZ589846 DDV589841:DDV589846 DNR589841:DNR589846 DXN589841:DXN589846 EHJ589841:EHJ589846 ERF589841:ERF589846 FBB589841:FBB589846 FKX589841:FKX589846 FUT589841:FUT589846 GEP589841:GEP589846 GOL589841:GOL589846 GYH589841:GYH589846 HID589841:HID589846 HRZ589841:HRZ589846 IBV589841:IBV589846 ILR589841:ILR589846 IVN589841:IVN589846 JFJ589841:JFJ589846 JPF589841:JPF589846 JZB589841:JZB589846 KIX589841:KIX589846 KST589841:KST589846 LCP589841:LCP589846 LML589841:LML589846 LWH589841:LWH589846 MGD589841:MGD589846 MPZ589841:MPZ589846 MZV589841:MZV589846 NJR589841:NJR589846 NTN589841:NTN589846 ODJ589841:ODJ589846 ONF589841:ONF589846 OXB589841:OXB589846 PGX589841:PGX589846 PQT589841:PQT589846 QAP589841:QAP589846 QKL589841:QKL589846 QUH589841:QUH589846 RED589841:RED589846 RNZ589841:RNZ589846 RXV589841:RXV589846 SHR589841:SHR589846 SRN589841:SRN589846 TBJ589841:TBJ589846 TLF589841:TLF589846 TVB589841:TVB589846 UEX589841:UEX589846 UOT589841:UOT589846 UYP589841:UYP589846 VIL589841:VIL589846 VSH589841:VSH589846 WCD589841:WCD589846 WLZ589841:WLZ589846 WVV589841:WVV589846 N655377:N655382 JJ655377:JJ655382 TF655377:TF655382 ADB655377:ADB655382 AMX655377:AMX655382 AWT655377:AWT655382 BGP655377:BGP655382 BQL655377:BQL655382 CAH655377:CAH655382 CKD655377:CKD655382 CTZ655377:CTZ655382 DDV655377:DDV655382 DNR655377:DNR655382 DXN655377:DXN655382 EHJ655377:EHJ655382 ERF655377:ERF655382 FBB655377:FBB655382 FKX655377:FKX655382 FUT655377:FUT655382 GEP655377:GEP655382 GOL655377:GOL655382 GYH655377:GYH655382 HID655377:HID655382 HRZ655377:HRZ655382 IBV655377:IBV655382 ILR655377:ILR655382 IVN655377:IVN655382 JFJ655377:JFJ655382 JPF655377:JPF655382 JZB655377:JZB655382 KIX655377:KIX655382 KST655377:KST655382 LCP655377:LCP655382 LML655377:LML655382 LWH655377:LWH655382 MGD655377:MGD655382 MPZ655377:MPZ655382 MZV655377:MZV655382 NJR655377:NJR655382 NTN655377:NTN655382 ODJ655377:ODJ655382 ONF655377:ONF655382 OXB655377:OXB655382 PGX655377:PGX655382 PQT655377:PQT655382 QAP655377:QAP655382 QKL655377:QKL655382 QUH655377:QUH655382 RED655377:RED655382 RNZ655377:RNZ655382 RXV655377:RXV655382 SHR655377:SHR655382 SRN655377:SRN655382 TBJ655377:TBJ655382 TLF655377:TLF655382 TVB655377:TVB655382 UEX655377:UEX655382 UOT655377:UOT655382 UYP655377:UYP655382 VIL655377:VIL655382 VSH655377:VSH655382 WCD655377:WCD655382 WLZ655377:WLZ655382 WVV655377:WVV655382 N720913:N720918 JJ720913:JJ720918 TF720913:TF720918 ADB720913:ADB720918 AMX720913:AMX720918 AWT720913:AWT720918 BGP720913:BGP720918 BQL720913:BQL720918 CAH720913:CAH720918 CKD720913:CKD720918 CTZ720913:CTZ720918 DDV720913:DDV720918 DNR720913:DNR720918 DXN720913:DXN720918 EHJ720913:EHJ720918 ERF720913:ERF720918 FBB720913:FBB720918 FKX720913:FKX720918 FUT720913:FUT720918 GEP720913:GEP720918 GOL720913:GOL720918 GYH720913:GYH720918 HID720913:HID720918 HRZ720913:HRZ720918 IBV720913:IBV720918 ILR720913:ILR720918 IVN720913:IVN720918 JFJ720913:JFJ720918 JPF720913:JPF720918 JZB720913:JZB720918 KIX720913:KIX720918 KST720913:KST720918 LCP720913:LCP720918 LML720913:LML720918 LWH720913:LWH720918 MGD720913:MGD720918 MPZ720913:MPZ720918 MZV720913:MZV720918 NJR720913:NJR720918 NTN720913:NTN720918 ODJ720913:ODJ720918 ONF720913:ONF720918 OXB720913:OXB720918 PGX720913:PGX720918 PQT720913:PQT720918 QAP720913:QAP720918 QKL720913:QKL720918 QUH720913:QUH720918 RED720913:RED720918 RNZ720913:RNZ720918 RXV720913:RXV720918 SHR720913:SHR720918 SRN720913:SRN720918 TBJ720913:TBJ720918 TLF720913:TLF720918 TVB720913:TVB720918 UEX720913:UEX720918 UOT720913:UOT720918 UYP720913:UYP720918 VIL720913:VIL720918 VSH720913:VSH720918 WCD720913:WCD720918 WLZ720913:WLZ720918 WVV720913:WVV720918 N786449:N786454 JJ786449:JJ786454 TF786449:TF786454 ADB786449:ADB786454 AMX786449:AMX786454 AWT786449:AWT786454 BGP786449:BGP786454 BQL786449:BQL786454 CAH786449:CAH786454 CKD786449:CKD786454 CTZ786449:CTZ786454 DDV786449:DDV786454 DNR786449:DNR786454 DXN786449:DXN786454 EHJ786449:EHJ786454 ERF786449:ERF786454 FBB786449:FBB786454 FKX786449:FKX786454 FUT786449:FUT786454 GEP786449:GEP786454 GOL786449:GOL786454 GYH786449:GYH786454 HID786449:HID786454 HRZ786449:HRZ786454 IBV786449:IBV786454 ILR786449:ILR786454 IVN786449:IVN786454 JFJ786449:JFJ786454 JPF786449:JPF786454 JZB786449:JZB786454 KIX786449:KIX786454 KST786449:KST786454 LCP786449:LCP786454 LML786449:LML786454 LWH786449:LWH786454 MGD786449:MGD786454 MPZ786449:MPZ786454 MZV786449:MZV786454 NJR786449:NJR786454 NTN786449:NTN786454 ODJ786449:ODJ786454 ONF786449:ONF786454 OXB786449:OXB786454 PGX786449:PGX786454 PQT786449:PQT786454 QAP786449:QAP786454 QKL786449:QKL786454 QUH786449:QUH786454 RED786449:RED786454 RNZ786449:RNZ786454 RXV786449:RXV786454 SHR786449:SHR786454 SRN786449:SRN786454 TBJ786449:TBJ786454 TLF786449:TLF786454 TVB786449:TVB786454 UEX786449:UEX786454 UOT786449:UOT786454 UYP786449:UYP786454 VIL786449:VIL786454 VSH786449:VSH786454 WCD786449:WCD786454 WLZ786449:WLZ786454 WVV786449:WVV786454 N851985:N851990 JJ851985:JJ851990 TF851985:TF851990 ADB851985:ADB851990 AMX851985:AMX851990 AWT851985:AWT851990 BGP851985:BGP851990 BQL851985:BQL851990 CAH851985:CAH851990 CKD851985:CKD851990 CTZ851985:CTZ851990 DDV851985:DDV851990 DNR851985:DNR851990 DXN851985:DXN851990 EHJ851985:EHJ851990 ERF851985:ERF851990 FBB851985:FBB851990 FKX851985:FKX851990 FUT851985:FUT851990 GEP851985:GEP851990 GOL851985:GOL851990 GYH851985:GYH851990 HID851985:HID851990 HRZ851985:HRZ851990 IBV851985:IBV851990 ILR851985:ILR851990 IVN851985:IVN851990 JFJ851985:JFJ851990 JPF851985:JPF851990 JZB851985:JZB851990 KIX851985:KIX851990 KST851985:KST851990 LCP851985:LCP851990 LML851985:LML851990 LWH851985:LWH851990 MGD851985:MGD851990 MPZ851985:MPZ851990 MZV851985:MZV851990 NJR851985:NJR851990 NTN851985:NTN851990 ODJ851985:ODJ851990 ONF851985:ONF851990 OXB851985:OXB851990 PGX851985:PGX851990 PQT851985:PQT851990 QAP851985:QAP851990 QKL851985:QKL851990 QUH851985:QUH851990 RED851985:RED851990 RNZ851985:RNZ851990 RXV851985:RXV851990 SHR851985:SHR851990 SRN851985:SRN851990 TBJ851985:TBJ851990 TLF851985:TLF851990 TVB851985:TVB851990 UEX851985:UEX851990 UOT851985:UOT851990 UYP851985:UYP851990 VIL851985:VIL851990 VSH851985:VSH851990 WCD851985:WCD851990 WLZ851985:WLZ851990 WVV851985:WVV851990 N917521:N917526 JJ917521:JJ917526 TF917521:TF917526 ADB917521:ADB917526 AMX917521:AMX917526 AWT917521:AWT917526 BGP917521:BGP917526 BQL917521:BQL917526 CAH917521:CAH917526 CKD917521:CKD917526 CTZ917521:CTZ917526 DDV917521:DDV917526 DNR917521:DNR917526 DXN917521:DXN917526 EHJ917521:EHJ917526 ERF917521:ERF917526 FBB917521:FBB917526 FKX917521:FKX917526 FUT917521:FUT917526 GEP917521:GEP917526 GOL917521:GOL917526 GYH917521:GYH917526 HID917521:HID917526 HRZ917521:HRZ917526 IBV917521:IBV917526 ILR917521:ILR917526 IVN917521:IVN917526 JFJ917521:JFJ917526 JPF917521:JPF917526 JZB917521:JZB917526 KIX917521:KIX917526 KST917521:KST917526 LCP917521:LCP917526 LML917521:LML917526 LWH917521:LWH917526 MGD917521:MGD917526 MPZ917521:MPZ917526 MZV917521:MZV917526 NJR917521:NJR917526 NTN917521:NTN917526 ODJ917521:ODJ917526 ONF917521:ONF917526 OXB917521:OXB917526 PGX917521:PGX917526 PQT917521:PQT917526 QAP917521:QAP917526 QKL917521:QKL917526 QUH917521:QUH917526 RED917521:RED917526 RNZ917521:RNZ917526 RXV917521:RXV917526 SHR917521:SHR917526 SRN917521:SRN917526 TBJ917521:TBJ917526 TLF917521:TLF917526 TVB917521:TVB917526 UEX917521:UEX917526 UOT917521:UOT917526 UYP917521:UYP917526 VIL917521:VIL917526 VSH917521:VSH917526 WCD917521:WCD917526 WLZ917521:WLZ917526 WVV917521:WVV917526 N983057:N983062 JJ983057:JJ983062 TF983057:TF983062 ADB983057:ADB983062 AMX983057:AMX983062 AWT983057:AWT983062 BGP983057:BGP983062 BQL983057:BQL983062 CAH983057:CAH983062 CKD983057:CKD983062 CTZ983057:CTZ983062 DDV983057:DDV983062 DNR983057:DNR983062 DXN983057:DXN983062 EHJ983057:EHJ983062 ERF983057:ERF983062 FBB983057:FBB983062 FKX983057:FKX983062 FUT983057:FUT983062 GEP983057:GEP983062 GOL983057:GOL983062 GYH983057:GYH983062 HID983057:HID983062 HRZ983057:HRZ983062 IBV983057:IBV983062 ILR983057:ILR983062 IVN983057:IVN983062 JFJ983057:JFJ983062 JPF983057:JPF983062 JZB983057:JZB983062 KIX983057:KIX983062 KST983057:KST983062 LCP983057:LCP983062 LML983057:LML983062 LWH983057:LWH983062 MGD983057:MGD983062 MPZ983057:MPZ983062 MZV983057:MZV983062 NJR983057:NJR983062 NTN983057:NTN983062 ODJ983057:ODJ983062 ONF983057:ONF983062 OXB983057:OXB983062 PGX983057:PGX983062 PQT983057:PQT983062 QAP983057:QAP983062 QKL983057:QKL983062 QUH983057:QUH983062 RED983057:RED983062 RNZ983057:RNZ983062 RXV983057:RXV983062 SHR983057:SHR983062 SRN983057:SRN983062 TBJ983057:TBJ983062 TLF983057:TLF983062 TVB983057:TVB983062 UEX983057:UEX983062 UOT983057:UOT983062 UYP983057:UYP983062 VIL983057:VIL983062 VSH983057:VSH983062 WCD983057:WCD983062 WLZ983057:WLZ983062 WVV983057:WVV983062" xr:uid="{00000000-0002-0000-05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3:R13 JM13:JN13 TI13:TJ13 ADE13:ADF13 ANA13:ANB13 AWW13:AWX13 BGS13:BGT13 BQO13:BQP13 CAK13:CAL13 CKG13:CKH13 CUC13:CUD13 DDY13:DDZ13 DNU13:DNV13 DXQ13:DXR13 EHM13:EHN13 ERI13:ERJ13 FBE13:FBF13 FLA13:FLB13 FUW13:FUX13 GES13:GET13 GOO13:GOP13 GYK13:GYL13 HIG13:HIH13 HSC13:HSD13 IBY13:IBZ13 ILU13:ILV13 IVQ13:IVR13 JFM13:JFN13 JPI13:JPJ13 JZE13:JZF13 KJA13:KJB13 KSW13:KSX13 LCS13:LCT13 LMO13:LMP13 LWK13:LWL13 MGG13:MGH13 MQC13:MQD13 MZY13:MZZ13 NJU13:NJV13 NTQ13:NTR13 ODM13:ODN13 ONI13:ONJ13 OXE13:OXF13 PHA13:PHB13 PQW13:PQX13 QAS13:QAT13 QKO13:QKP13 QUK13:QUL13 REG13:REH13 ROC13:ROD13 RXY13:RXZ13 SHU13:SHV13 SRQ13:SRR13 TBM13:TBN13 TLI13:TLJ13 TVE13:TVF13 UFA13:UFB13 UOW13:UOX13 UYS13:UYT13 VIO13:VIP13 VSK13:VSL13 WCG13:WCH13 WMC13:WMD13 WVY13:WVZ13 Q65549:R65549 JM65549:JN65549 TI65549:TJ65549 ADE65549:ADF65549 ANA65549:ANB65549 AWW65549:AWX65549 BGS65549:BGT65549 BQO65549:BQP65549 CAK65549:CAL65549 CKG65549:CKH65549 CUC65549:CUD65549 DDY65549:DDZ65549 DNU65549:DNV65549 DXQ65549:DXR65549 EHM65549:EHN65549 ERI65549:ERJ65549 FBE65549:FBF65549 FLA65549:FLB65549 FUW65549:FUX65549 GES65549:GET65549 GOO65549:GOP65549 GYK65549:GYL65549 HIG65549:HIH65549 HSC65549:HSD65549 IBY65549:IBZ65549 ILU65549:ILV65549 IVQ65549:IVR65549 JFM65549:JFN65549 JPI65549:JPJ65549 JZE65549:JZF65549 KJA65549:KJB65549 KSW65549:KSX65549 LCS65549:LCT65549 LMO65549:LMP65549 LWK65549:LWL65549 MGG65549:MGH65549 MQC65549:MQD65549 MZY65549:MZZ65549 NJU65549:NJV65549 NTQ65549:NTR65549 ODM65549:ODN65549 ONI65549:ONJ65549 OXE65549:OXF65549 PHA65549:PHB65549 PQW65549:PQX65549 QAS65549:QAT65549 QKO65549:QKP65549 QUK65549:QUL65549 REG65549:REH65549 ROC65549:ROD65549 RXY65549:RXZ65549 SHU65549:SHV65549 SRQ65549:SRR65549 TBM65549:TBN65549 TLI65549:TLJ65549 TVE65549:TVF65549 UFA65549:UFB65549 UOW65549:UOX65549 UYS65549:UYT65549 VIO65549:VIP65549 VSK65549:VSL65549 WCG65549:WCH65549 WMC65549:WMD65549 WVY65549:WVZ65549 Q131085:R131085 JM131085:JN131085 TI131085:TJ131085 ADE131085:ADF131085 ANA131085:ANB131085 AWW131085:AWX131085 BGS131085:BGT131085 BQO131085:BQP131085 CAK131085:CAL131085 CKG131085:CKH131085 CUC131085:CUD131085 DDY131085:DDZ131085 DNU131085:DNV131085 DXQ131085:DXR131085 EHM131085:EHN131085 ERI131085:ERJ131085 FBE131085:FBF131085 FLA131085:FLB131085 FUW131085:FUX131085 GES131085:GET131085 GOO131085:GOP131085 GYK131085:GYL131085 HIG131085:HIH131085 HSC131085:HSD131085 IBY131085:IBZ131085 ILU131085:ILV131085 IVQ131085:IVR131085 JFM131085:JFN131085 JPI131085:JPJ131085 JZE131085:JZF131085 KJA131085:KJB131085 KSW131085:KSX131085 LCS131085:LCT131085 LMO131085:LMP131085 LWK131085:LWL131085 MGG131085:MGH131085 MQC131085:MQD131085 MZY131085:MZZ131085 NJU131085:NJV131085 NTQ131085:NTR131085 ODM131085:ODN131085 ONI131085:ONJ131085 OXE131085:OXF131085 PHA131085:PHB131085 PQW131085:PQX131085 QAS131085:QAT131085 QKO131085:QKP131085 QUK131085:QUL131085 REG131085:REH131085 ROC131085:ROD131085 RXY131085:RXZ131085 SHU131085:SHV131085 SRQ131085:SRR131085 TBM131085:TBN131085 TLI131085:TLJ131085 TVE131085:TVF131085 UFA131085:UFB131085 UOW131085:UOX131085 UYS131085:UYT131085 VIO131085:VIP131085 VSK131085:VSL131085 WCG131085:WCH131085 WMC131085:WMD131085 WVY131085:WVZ131085 Q196621:R196621 JM196621:JN196621 TI196621:TJ196621 ADE196621:ADF196621 ANA196621:ANB196621 AWW196621:AWX196621 BGS196621:BGT196621 BQO196621:BQP196621 CAK196621:CAL196621 CKG196621:CKH196621 CUC196621:CUD196621 DDY196621:DDZ196621 DNU196621:DNV196621 DXQ196621:DXR196621 EHM196621:EHN196621 ERI196621:ERJ196621 FBE196621:FBF196621 FLA196621:FLB196621 FUW196621:FUX196621 GES196621:GET196621 GOO196621:GOP196621 GYK196621:GYL196621 HIG196621:HIH196621 HSC196621:HSD196621 IBY196621:IBZ196621 ILU196621:ILV196621 IVQ196621:IVR196621 JFM196621:JFN196621 JPI196621:JPJ196621 JZE196621:JZF196621 KJA196621:KJB196621 KSW196621:KSX196621 LCS196621:LCT196621 LMO196621:LMP196621 LWK196621:LWL196621 MGG196621:MGH196621 MQC196621:MQD196621 MZY196621:MZZ196621 NJU196621:NJV196621 NTQ196621:NTR196621 ODM196621:ODN196621 ONI196621:ONJ196621 OXE196621:OXF196621 PHA196621:PHB196621 PQW196621:PQX196621 QAS196621:QAT196621 QKO196621:QKP196621 QUK196621:QUL196621 REG196621:REH196621 ROC196621:ROD196621 RXY196621:RXZ196621 SHU196621:SHV196621 SRQ196621:SRR196621 TBM196621:TBN196621 TLI196621:TLJ196621 TVE196621:TVF196621 UFA196621:UFB196621 UOW196621:UOX196621 UYS196621:UYT196621 VIO196621:VIP196621 VSK196621:VSL196621 WCG196621:WCH196621 WMC196621:WMD196621 WVY196621:WVZ196621 Q262157:R262157 JM262157:JN262157 TI262157:TJ262157 ADE262157:ADF262157 ANA262157:ANB262157 AWW262157:AWX262157 BGS262157:BGT262157 BQO262157:BQP262157 CAK262157:CAL262157 CKG262157:CKH262157 CUC262157:CUD262157 DDY262157:DDZ262157 DNU262157:DNV262157 DXQ262157:DXR262157 EHM262157:EHN262157 ERI262157:ERJ262157 FBE262157:FBF262157 FLA262157:FLB262157 FUW262157:FUX262157 GES262157:GET262157 GOO262157:GOP262157 GYK262157:GYL262157 HIG262157:HIH262157 HSC262157:HSD262157 IBY262157:IBZ262157 ILU262157:ILV262157 IVQ262157:IVR262157 JFM262157:JFN262157 JPI262157:JPJ262157 JZE262157:JZF262157 KJA262157:KJB262157 KSW262157:KSX262157 LCS262157:LCT262157 LMO262157:LMP262157 LWK262157:LWL262157 MGG262157:MGH262157 MQC262157:MQD262157 MZY262157:MZZ262157 NJU262157:NJV262157 NTQ262157:NTR262157 ODM262157:ODN262157 ONI262157:ONJ262157 OXE262157:OXF262157 PHA262157:PHB262157 PQW262157:PQX262157 QAS262157:QAT262157 QKO262157:QKP262157 QUK262157:QUL262157 REG262157:REH262157 ROC262157:ROD262157 RXY262157:RXZ262157 SHU262157:SHV262157 SRQ262157:SRR262157 TBM262157:TBN262157 TLI262157:TLJ262157 TVE262157:TVF262157 UFA262157:UFB262157 UOW262157:UOX262157 UYS262157:UYT262157 VIO262157:VIP262157 VSK262157:VSL262157 WCG262157:WCH262157 WMC262157:WMD262157 WVY262157:WVZ262157 Q327693:R327693 JM327693:JN327693 TI327693:TJ327693 ADE327693:ADF327693 ANA327693:ANB327693 AWW327693:AWX327693 BGS327693:BGT327693 BQO327693:BQP327693 CAK327693:CAL327693 CKG327693:CKH327693 CUC327693:CUD327693 DDY327693:DDZ327693 DNU327693:DNV327693 DXQ327693:DXR327693 EHM327693:EHN327693 ERI327693:ERJ327693 FBE327693:FBF327693 FLA327693:FLB327693 FUW327693:FUX327693 GES327693:GET327693 GOO327693:GOP327693 GYK327693:GYL327693 HIG327693:HIH327693 HSC327693:HSD327693 IBY327693:IBZ327693 ILU327693:ILV327693 IVQ327693:IVR327693 JFM327693:JFN327693 JPI327693:JPJ327693 JZE327693:JZF327693 KJA327693:KJB327693 KSW327693:KSX327693 LCS327693:LCT327693 LMO327693:LMP327693 LWK327693:LWL327693 MGG327693:MGH327693 MQC327693:MQD327693 MZY327693:MZZ327693 NJU327693:NJV327693 NTQ327693:NTR327693 ODM327693:ODN327693 ONI327693:ONJ327693 OXE327693:OXF327693 PHA327693:PHB327693 PQW327693:PQX327693 QAS327693:QAT327693 QKO327693:QKP327693 QUK327693:QUL327693 REG327693:REH327693 ROC327693:ROD327693 RXY327693:RXZ327693 SHU327693:SHV327693 SRQ327693:SRR327693 TBM327693:TBN327693 TLI327693:TLJ327693 TVE327693:TVF327693 UFA327693:UFB327693 UOW327693:UOX327693 UYS327693:UYT327693 VIO327693:VIP327693 VSK327693:VSL327693 WCG327693:WCH327693 WMC327693:WMD327693 WVY327693:WVZ327693 Q393229:R393229 JM393229:JN393229 TI393229:TJ393229 ADE393229:ADF393229 ANA393229:ANB393229 AWW393229:AWX393229 BGS393229:BGT393229 BQO393229:BQP393229 CAK393229:CAL393229 CKG393229:CKH393229 CUC393229:CUD393229 DDY393229:DDZ393229 DNU393229:DNV393229 DXQ393229:DXR393229 EHM393229:EHN393229 ERI393229:ERJ393229 FBE393229:FBF393229 FLA393229:FLB393229 FUW393229:FUX393229 GES393229:GET393229 GOO393229:GOP393229 GYK393229:GYL393229 HIG393229:HIH393229 HSC393229:HSD393229 IBY393229:IBZ393229 ILU393229:ILV393229 IVQ393229:IVR393229 JFM393229:JFN393229 JPI393229:JPJ393229 JZE393229:JZF393229 KJA393229:KJB393229 KSW393229:KSX393229 LCS393229:LCT393229 LMO393229:LMP393229 LWK393229:LWL393229 MGG393229:MGH393229 MQC393229:MQD393229 MZY393229:MZZ393229 NJU393229:NJV393229 NTQ393229:NTR393229 ODM393229:ODN393229 ONI393229:ONJ393229 OXE393229:OXF393229 PHA393229:PHB393229 PQW393229:PQX393229 QAS393229:QAT393229 QKO393229:QKP393229 QUK393229:QUL393229 REG393229:REH393229 ROC393229:ROD393229 RXY393229:RXZ393229 SHU393229:SHV393229 SRQ393229:SRR393229 TBM393229:TBN393229 TLI393229:TLJ393229 TVE393229:TVF393229 UFA393229:UFB393229 UOW393229:UOX393229 UYS393229:UYT393229 VIO393229:VIP393229 VSK393229:VSL393229 WCG393229:WCH393229 WMC393229:WMD393229 WVY393229:WVZ393229 Q458765:R458765 JM458765:JN458765 TI458765:TJ458765 ADE458765:ADF458765 ANA458765:ANB458765 AWW458765:AWX458765 BGS458765:BGT458765 BQO458765:BQP458765 CAK458765:CAL458765 CKG458765:CKH458765 CUC458765:CUD458765 DDY458765:DDZ458765 DNU458765:DNV458765 DXQ458765:DXR458765 EHM458765:EHN458765 ERI458765:ERJ458765 FBE458765:FBF458765 FLA458765:FLB458765 FUW458765:FUX458765 GES458765:GET458765 GOO458765:GOP458765 GYK458765:GYL458765 HIG458765:HIH458765 HSC458765:HSD458765 IBY458765:IBZ458765 ILU458765:ILV458765 IVQ458765:IVR458765 JFM458765:JFN458765 JPI458765:JPJ458765 JZE458765:JZF458765 KJA458765:KJB458765 KSW458765:KSX458765 LCS458765:LCT458765 LMO458765:LMP458765 LWK458765:LWL458765 MGG458765:MGH458765 MQC458765:MQD458765 MZY458765:MZZ458765 NJU458765:NJV458765 NTQ458765:NTR458765 ODM458765:ODN458765 ONI458765:ONJ458765 OXE458765:OXF458765 PHA458765:PHB458765 PQW458765:PQX458765 QAS458765:QAT458765 QKO458765:QKP458765 QUK458765:QUL458765 REG458765:REH458765 ROC458765:ROD458765 RXY458765:RXZ458765 SHU458765:SHV458765 SRQ458765:SRR458765 TBM458765:TBN458765 TLI458765:TLJ458765 TVE458765:TVF458765 UFA458765:UFB458765 UOW458765:UOX458765 UYS458765:UYT458765 VIO458765:VIP458765 VSK458765:VSL458765 WCG458765:WCH458765 WMC458765:WMD458765 WVY458765:WVZ458765 Q524301:R524301 JM524301:JN524301 TI524301:TJ524301 ADE524301:ADF524301 ANA524301:ANB524301 AWW524301:AWX524301 BGS524301:BGT524301 BQO524301:BQP524301 CAK524301:CAL524301 CKG524301:CKH524301 CUC524301:CUD524301 DDY524301:DDZ524301 DNU524301:DNV524301 DXQ524301:DXR524301 EHM524301:EHN524301 ERI524301:ERJ524301 FBE524301:FBF524301 FLA524301:FLB524301 FUW524301:FUX524301 GES524301:GET524301 GOO524301:GOP524301 GYK524301:GYL524301 HIG524301:HIH524301 HSC524301:HSD524301 IBY524301:IBZ524301 ILU524301:ILV524301 IVQ524301:IVR524301 JFM524301:JFN524301 JPI524301:JPJ524301 JZE524301:JZF524301 KJA524301:KJB524301 KSW524301:KSX524301 LCS524301:LCT524301 LMO524301:LMP524301 LWK524301:LWL524301 MGG524301:MGH524301 MQC524301:MQD524301 MZY524301:MZZ524301 NJU524301:NJV524301 NTQ524301:NTR524301 ODM524301:ODN524301 ONI524301:ONJ524301 OXE524301:OXF524301 PHA524301:PHB524301 PQW524301:PQX524301 QAS524301:QAT524301 QKO524301:QKP524301 QUK524301:QUL524301 REG524301:REH524301 ROC524301:ROD524301 RXY524301:RXZ524301 SHU524301:SHV524301 SRQ524301:SRR524301 TBM524301:TBN524301 TLI524301:TLJ524301 TVE524301:TVF524301 UFA524301:UFB524301 UOW524301:UOX524301 UYS524301:UYT524301 VIO524301:VIP524301 VSK524301:VSL524301 WCG524301:WCH524301 WMC524301:WMD524301 WVY524301:WVZ524301 Q589837:R589837 JM589837:JN589837 TI589837:TJ589837 ADE589837:ADF589837 ANA589837:ANB589837 AWW589837:AWX589837 BGS589837:BGT589837 BQO589837:BQP589837 CAK589837:CAL589837 CKG589837:CKH589837 CUC589837:CUD589837 DDY589837:DDZ589837 DNU589837:DNV589837 DXQ589837:DXR589837 EHM589837:EHN589837 ERI589837:ERJ589837 FBE589837:FBF589837 FLA589837:FLB589837 FUW589837:FUX589837 GES589837:GET589837 GOO589837:GOP589837 GYK589837:GYL589837 HIG589837:HIH589837 HSC589837:HSD589837 IBY589837:IBZ589837 ILU589837:ILV589837 IVQ589837:IVR589837 JFM589837:JFN589837 JPI589837:JPJ589837 JZE589837:JZF589837 KJA589837:KJB589837 KSW589837:KSX589837 LCS589837:LCT589837 LMO589837:LMP589837 LWK589837:LWL589837 MGG589837:MGH589837 MQC589837:MQD589837 MZY589837:MZZ589837 NJU589837:NJV589837 NTQ589837:NTR589837 ODM589837:ODN589837 ONI589837:ONJ589837 OXE589837:OXF589837 PHA589837:PHB589837 PQW589837:PQX589837 QAS589837:QAT589837 QKO589837:QKP589837 QUK589837:QUL589837 REG589837:REH589837 ROC589837:ROD589837 RXY589837:RXZ589837 SHU589837:SHV589837 SRQ589837:SRR589837 TBM589837:TBN589837 TLI589837:TLJ589837 TVE589837:TVF589837 UFA589837:UFB589837 UOW589837:UOX589837 UYS589837:UYT589837 VIO589837:VIP589837 VSK589837:VSL589837 WCG589837:WCH589837 WMC589837:WMD589837 WVY589837:WVZ589837 Q655373:R655373 JM655373:JN655373 TI655373:TJ655373 ADE655373:ADF655373 ANA655373:ANB655373 AWW655373:AWX655373 BGS655373:BGT655373 BQO655373:BQP655373 CAK655373:CAL655373 CKG655373:CKH655373 CUC655373:CUD655373 DDY655373:DDZ655373 DNU655373:DNV655373 DXQ655373:DXR655373 EHM655373:EHN655373 ERI655373:ERJ655373 FBE655373:FBF655373 FLA655373:FLB655373 FUW655373:FUX655373 GES655373:GET655373 GOO655373:GOP655373 GYK655373:GYL655373 HIG655373:HIH655373 HSC655373:HSD655373 IBY655373:IBZ655373 ILU655373:ILV655373 IVQ655373:IVR655373 JFM655373:JFN655373 JPI655373:JPJ655373 JZE655373:JZF655373 KJA655373:KJB655373 KSW655373:KSX655373 LCS655373:LCT655373 LMO655373:LMP655373 LWK655373:LWL655373 MGG655373:MGH655373 MQC655373:MQD655373 MZY655373:MZZ655373 NJU655373:NJV655373 NTQ655373:NTR655373 ODM655373:ODN655373 ONI655373:ONJ655373 OXE655373:OXF655373 PHA655373:PHB655373 PQW655373:PQX655373 QAS655373:QAT655373 QKO655373:QKP655373 QUK655373:QUL655373 REG655373:REH655373 ROC655373:ROD655373 RXY655373:RXZ655373 SHU655373:SHV655373 SRQ655373:SRR655373 TBM655373:TBN655373 TLI655373:TLJ655373 TVE655373:TVF655373 UFA655373:UFB655373 UOW655373:UOX655373 UYS655373:UYT655373 VIO655373:VIP655373 VSK655373:VSL655373 WCG655373:WCH655373 WMC655373:WMD655373 WVY655373:WVZ655373 Q720909:R720909 JM720909:JN720909 TI720909:TJ720909 ADE720909:ADF720909 ANA720909:ANB720909 AWW720909:AWX720909 BGS720909:BGT720909 BQO720909:BQP720909 CAK720909:CAL720909 CKG720909:CKH720909 CUC720909:CUD720909 DDY720909:DDZ720909 DNU720909:DNV720909 DXQ720909:DXR720909 EHM720909:EHN720909 ERI720909:ERJ720909 FBE720909:FBF720909 FLA720909:FLB720909 FUW720909:FUX720909 GES720909:GET720909 GOO720909:GOP720909 GYK720909:GYL720909 HIG720909:HIH720909 HSC720909:HSD720909 IBY720909:IBZ720909 ILU720909:ILV720909 IVQ720909:IVR720909 JFM720909:JFN720909 JPI720909:JPJ720909 JZE720909:JZF720909 KJA720909:KJB720909 KSW720909:KSX720909 LCS720909:LCT720909 LMO720909:LMP720909 LWK720909:LWL720909 MGG720909:MGH720909 MQC720909:MQD720909 MZY720909:MZZ720909 NJU720909:NJV720909 NTQ720909:NTR720909 ODM720909:ODN720909 ONI720909:ONJ720909 OXE720909:OXF720909 PHA720909:PHB720909 PQW720909:PQX720909 QAS720909:QAT720909 QKO720909:QKP720909 QUK720909:QUL720909 REG720909:REH720909 ROC720909:ROD720909 RXY720909:RXZ720909 SHU720909:SHV720909 SRQ720909:SRR720909 TBM720909:TBN720909 TLI720909:TLJ720909 TVE720909:TVF720909 UFA720909:UFB720909 UOW720909:UOX720909 UYS720909:UYT720909 VIO720909:VIP720909 VSK720909:VSL720909 WCG720909:WCH720909 WMC720909:WMD720909 WVY720909:WVZ720909 Q786445:R786445 JM786445:JN786445 TI786445:TJ786445 ADE786445:ADF786445 ANA786445:ANB786445 AWW786445:AWX786445 BGS786445:BGT786445 BQO786445:BQP786445 CAK786445:CAL786445 CKG786445:CKH786445 CUC786445:CUD786445 DDY786445:DDZ786445 DNU786445:DNV786445 DXQ786445:DXR786445 EHM786445:EHN786445 ERI786445:ERJ786445 FBE786445:FBF786445 FLA786445:FLB786445 FUW786445:FUX786445 GES786445:GET786445 GOO786445:GOP786445 GYK786445:GYL786445 HIG786445:HIH786445 HSC786445:HSD786445 IBY786445:IBZ786445 ILU786445:ILV786445 IVQ786445:IVR786445 JFM786445:JFN786445 JPI786445:JPJ786445 JZE786445:JZF786445 KJA786445:KJB786445 KSW786445:KSX786445 LCS786445:LCT786445 LMO786445:LMP786445 LWK786445:LWL786445 MGG786445:MGH786445 MQC786445:MQD786445 MZY786445:MZZ786445 NJU786445:NJV786445 NTQ786445:NTR786445 ODM786445:ODN786445 ONI786445:ONJ786445 OXE786445:OXF786445 PHA786445:PHB786445 PQW786445:PQX786445 QAS786445:QAT786445 QKO786445:QKP786445 QUK786445:QUL786445 REG786445:REH786445 ROC786445:ROD786445 RXY786445:RXZ786445 SHU786445:SHV786445 SRQ786445:SRR786445 TBM786445:TBN786445 TLI786445:TLJ786445 TVE786445:TVF786445 UFA786445:UFB786445 UOW786445:UOX786445 UYS786445:UYT786445 VIO786445:VIP786445 VSK786445:VSL786445 WCG786445:WCH786445 WMC786445:WMD786445 WVY786445:WVZ786445 Q851981:R851981 JM851981:JN851981 TI851981:TJ851981 ADE851981:ADF851981 ANA851981:ANB851981 AWW851981:AWX851981 BGS851981:BGT851981 BQO851981:BQP851981 CAK851981:CAL851981 CKG851981:CKH851981 CUC851981:CUD851981 DDY851981:DDZ851981 DNU851981:DNV851981 DXQ851981:DXR851981 EHM851981:EHN851981 ERI851981:ERJ851981 FBE851981:FBF851981 FLA851981:FLB851981 FUW851981:FUX851981 GES851981:GET851981 GOO851981:GOP851981 GYK851981:GYL851981 HIG851981:HIH851981 HSC851981:HSD851981 IBY851981:IBZ851981 ILU851981:ILV851981 IVQ851981:IVR851981 JFM851981:JFN851981 JPI851981:JPJ851981 JZE851981:JZF851981 KJA851981:KJB851981 KSW851981:KSX851981 LCS851981:LCT851981 LMO851981:LMP851981 LWK851981:LWL851981 MGG851981:MGH851981 MQC851981:MQD851981 MZY851981:MZZ851981 NJU851981:NJV851981 NTQ851981:NTR851981 ODM851981:ODN851981 ONI851981:ONJ851981 OXE851981:OXF851981 PHA851981:PHB851981 PQW851981:PQX851981 QAS851981:QAT851981 QKO851981:QKP851981 QUK851981:QUL851981 REG851981:REH851981 ROC851981:ROD851981 RXY851981:RXZ851981 SHU851981:SHV851981 SRQ851981:SRR851981 TBM851981:TBN851981 TLI851981:TLJ851981 TVE851981:TVF851981 UFA851981:UFB851981 UOW851981:UOX851981 UYS851981:UYT851981 VIO851981:VIP851981 VSK851981:VSL851981 WCG851981:WCH851981 WMC851981:WMD851981 WVY851981:WVZ851981 Q917517:R917517 JM917517:JN917517 TI917517:TJ917517 ADE917517:ADF917517 ANA917517:ANB917517 AWW917517:AWX917517 BGS917517:BGT917517 BQO917517:BQP917517 CAK917517:CAL917517 CKG917517:CKH917517 CUC917517:CUD917517 DDY917517:DDZ917517 DNU917517:DNV917517 DXQ917517:DXR917517 EHM917517:EHN917517 ERI917517:ERJ917517 FBE917517:FBF917517 FLA917517:FLB917517 FUW917517:FUX917517 GES917517:GET917517 GOO917517:GOP917517 GYK917517:GYL917517 HIG917517:HIH917517 HSC917517:HSD917517 IBY917517:IBZ917517 ILU917517:ILV917517 IVQ917517:IVR917517 JFM917517:JFN917517 JPI917517:JPJ917517 JZE917517:JZF917517 KJA917517:KJB917517 KSW917517:KSX917517 LCS917517:LCT917517 LMO917517:LMP917517 LWK917517:LWL917517 MGG917517:MGH917517 MQC917517:MQD917517 MZY917517:MZZ917517 NJU917517:NJV917517 NTQ917517:NTR917517 ODM917517:ODN917517 ONI917517:ONJ917517 OXE917517:OXF917517 PHA917517:PHB917517 PQW917517:PQX917517 QAS917517:QAT917517 QKO917517:QKP917517 QUK917517:QUL917517 REG917517:REH917517 ROC917517:ROD917517 RXY917517:RXZ917517 SHU917517:SHV917517 SRQ917517:SRR917517 TBM917517:TBN917517 TLI917517:TLJ917517 TVE917517:TVF917517 UFA917517:UFB917517 UOW917517:UOX917517 UYS917517:UYT917517 VIO917517:VIP917517 VSK917517:VSL917517 WCG917517:WCH917517 WMC917517:WMD917517 WVY917517:WVZ917517 Q983053:R983053 JM983053:JN983053 TI983053:TJ983053 ADE983053:ADF983053 ANA983053:ANB983053 AWW983053:AWX983053 BGS983053:BGT983053 BQO983053:BQP983053 CAK983053:CAL983053 CKG983053:CKH983053 CUC983053:CUD983053 DDY983053:DDZ983053 DNU983053:DNV983053 DXQ983053:DXR983053 EHM983053:EHN983053 ERI983053:ERJ983053 FBE983053:FBF983053 FLA983053:FLB983053 FUW983053:FUX983053 GES983053:GET983053 GOO983053:GOP983053 GYK983053:GYL983053 HIG983053:HIH983053 HSC983053:HSD983053 IBY983053:IBZ983053 ILU983053:ILV983053 IVQ983053:IVR983053 JFM983053:JFN983053 JPI983053:JPJ983053 JZE983053:JZF983053 KJA983053:KJB983053 KSW983053:KSX983053 LCS983053:LCT983053 LMO983053:LMP983053 LWK983053:LWL983053 MGG983053:MGH983053 MQC983053:MQD983053 MZY983053:MZZ983053 NJU983053:NJV983053 NTQ983053:NTR983053 ODM983053:ODN983053 ONI983053:ONJ983053 OXE983053:OXF983053 PHA983053:PHB983053 PQW983053:PQX983053 QAS983053:QAT983053 QKO983053:QKP983053 QUK983053:QUL983053 REG983053:REH983053 ROC983053:ROD983053 RXY983053:RXZ983053 SHU983053:SHV983053 SRQ983053:SRR983053 TBM983053:TBN983053 TLI983053:TLJ983053 TVE983053:TVF983053 UFA983053:UFB983053 UOW983053:UOX983053 UYS983053:UYT983053 VIO983053:VIP983053 VSK983053:VSL983053 WCG983053:WCH983053 WMC983053:WMD983053 WVY983053:WVZ983053" xr:uid="{00000000-0002-0000-0500-000001000000}">
      <formula1>0</formula1>
    </dataValidation>
    <dataValidation type="decimal" allowBlank="1" showInputMessage="1" showErrorMessage="1" errorTitle="Valor não permitido" error="Digite um percentual entre 0% e 100%." promptTitle="Valores admissíveis:" prompt="Insira valores entre 0 e 100%." sqref="Q12:R12 JM12:JN12 TI12:TJ12 ADE12:ADF12 ANA12:ANB12 AWW12:AWX12 BGS12:BGT12 BQO12:BQP12 CAK12:CAL12 CKG12:CKH12 CUC12:CUD12 DDY12:DDZ12 DNU12:DNV12 DXQ12:DXR12 EHM12:EHN12 ERI12:ERJ12 FBE12:FBF12 FLA12:FLB12 FUW12:FUX12 GES12:GET12 GOO12:GOP12 GYK12:GYL12 HIG12:HIH12 HSC12:HSD12 IBY12:IBZ12 ILU12:ILV12 IVQ12:IVR12 JFM12:JFN12 JPI12:JPJ12 JZE12:JZF12 KJA12:KJB12 KSW12:KSX12 LCS12:LCT12 LMO12:LMP12 LWK12:LWL12 MGG12:MGH12 MQC12:MQD12 MZY12:MZZ12 NJU12:NJV12 NTQ12:NTR12 ODM12:ODN12 ONI12:ONJ12 OXE12:OXF12 PHA12:PHB12 PQW12:PQX12 QAS12:QAT12 QKO12:QKP12 QUK12:QUL12 REG12:REH12 ROC12:ROD12 RXY12:RXZ12 SHU12:SHV12 SRQ12:SRR12 TBM12:TBN12 TLI12:TLJ12 TVE12:TVF12 UFA12:UFB12 UOW12:UOX12 UYS12:UYT12 VIO12:VIP12 VSK12:VSL12 WCG12:WCH12 WMC12:WMD12 WVY12:WVZ12 Q65548:R65548 JM65548:JN65548 TI65548:TJ65548 ADE65548:ADF65548 ANA65548:ANB65548 AWW65548:AWX65548 BGS65548:BGT65548 BQO65548:BQP65548 CAK65548:CAL65548 CKG65548:CKH65548 CUC65548:CUD65548 DDY65548:DDZ65548 DNU65548:DNV65548 DXQ65548:DXR65548 EHM65548:EHN65548 ERI65548:ERJ65548 FBE65548:FBF65548 FLA65548:FLB65548 FUW65548:FUX65548 GES65548:GET65548 GOO65548:GOP65548 GYK65548:GYL65548 HIG65548:HIH65548 HSC65548:HSD65548 IBY65548:IBZ65548 ILU65548:ILV65548 IVQ65548:IVR65548 JFM65548:JFN65548 JPI65548:JPJ65548 JZE65548:JZF65548 KJA65548:KJB65548 KSW65548:KSX65548 LCS65548:LCT65548 LMO65548:LMP65548 LWK65548:LWL65548 MGG65548:MGH65548 MQC65548:MQD65548 MZY65548:MZZ65548 NJU65548:NJV65548 NTQ65548:NTR65548 ODM65548:ODN65548 ONI65548:ONJ65548 OXE65548:OXF65548 PHA65548:PHB65548 PQW65548:PQX65548 QAS65548:QAT65548 QKO65548:QKP65548 QUK65548:QUL65548 REG65548:REH65548 ROC65548:ROD65548 RXY65548:RXZ65548 SHU65548:SHV65548 SRQ65548:SRR65548 TBM65548:TBN65548 TLI65548:TLJ65548 TVE65548:TVF65548 UFA65548:UFB65548 UOW65548:UOX65548 UYS65548:UYT65548 VIO65548:VIP65548 VSK65548:VSL65548 WCG65548:WCH65548 WMC65548:WMD65548 WVY65548:WVZ65548 Q131084:R131084 JM131084:JN131084 TI131084:TJ131084 ADE131084:ADF131084 ANA131084:ANB131084 AWW131084:AWX131084 BGS131084:BGT131084 BQO131084:BQP131084 CAK131084:CAL131084 CKG131084:CKH131084 CUC131084:CUD131084 DDY131084:DDZ131084 DNU131084:DNV131084 DXQ131084:DXR131084 EHM131084:EHN131084 ERI131084:ERJ131084 FBE131084:FBF131084 FLA131084:FLB131084 FUW131084:FUX131084 GES131084:GET131084 GOO131084:GOP131084 GYK131084:GYL131084 HIG131084:HIH131084 HSC131084:HSD131084 IBY131084:IBZ131084 ILU131084:ILV131084 IVQ131084:IVR131084 JFM131084:JFN131084 JPI131084:JPJ131084 JZE131084:JZF131084 KJA131084:KJB131084 KSW131084:KSX131084 LCS131084:LCT131084 LMO131084:LMP131084 LWK131084:LWL131084 MGG131084:MGH131084 MQC131084:MQD131084 MZY131084:MZZ131084 NJU131084:NJV131084 NTQ131084:NTR131084 ODM131084:ODN131084 ONI131084:ONJ131084 OXE131084:OXF131084 PHA131084:PHB131084 PQW131084:PQX131084 QAS131084:QAT131084 QKO131084:QKP131084 QUK131084:QUL131084 REG131084:REH131084 ROC131084:ROD131084 RXY131084:RXZ131084 SHU131084:SHV131084 SRQ131084:SRR131084 TBM131084:TBN131084 TLI131084:TLJ131084 TVE131084:TVF131084 UFA131084:UFB131084 UOW131084:UOX131084 UYS131084:UYT131084 VIO131084:VIP131084 VSK131084:VSL131084 WCG131084:WCH131084 WMC131084:WMD131084 WVY131084:WVZ131084 Q196620:R196620 JM196620:JN196620 TI196620:TJ196620 ADE196620:ADF196620 ANA196620:ANB196620 AWW196620:AWX196620 BGS196620:BGT196620 BQO196620:BQP196620 CAK196620:CAL196620 CKG196620:CKH196620 CUC196620:CUD196620 DDY196620:DDZ196620 DNU196620:DNV196620 DXQ196620:DXR196620 EHM196620:EHN196620 ERI196620:ERJ196620 FBE196620:FBF196620 FLA196620:FLB196620 FUW196620:FUX196620 GES196620:GET196620 GOO196620:GOP196620 GYK196620:GYL196620 HIG196620:HIH196620 HSC196620:HSD196620 IBY196620:IBZ196620 ILU196620:ILV196620 IVQ196620:IVR196620 JFM196620:JFN196620 JPI196620:JPJ196620 JZE196620:JZF196620 KJA196620:KJB196620 KSW196620:KSX196620 LCS196620:LCT196620 LMO196620:LMP196620 LWK196620:LWL196620 MGG196620:MGH196620 MQC196620:MQD196620 MZY196620:MZZ196620 NJU196620:NJV196620 NTQ196620:NTR196620 ODM196620:ODN196620 ONI196620:ONJ196620 OXE196620:OXF196620 PHA196620:PHB196620 PQW196620:PQX196620 QAS196620:QAT196620 QKO196620:QKP196620 QUK196620:QUL196620 REG196620:REH196620 ROC196620:ROD196620 RXY196620:RXZ196620 SHU196620:SHV196620 SRQ196620:SRR196620 TBM196620:TBN196620 TLI196620:TLJ196620 TVE196620:TVF196620 UFA196620:UFB196620 UOW196620:UOX196620 UYS196620:UYT196620 VIO196620:VIP196620 VSK196620:VSL196620 WCG196620:WCH196620 WMC196620:WMD196620 WVY196620:WVZ196620 Q262156:R262156 JM262156:JN262156 TI262156:TJ262156 ADE262156:ADF262156 ANA262156:ANB262156 AWW262156:AWX262156 BGS262156:BGT262156 BQO262156:BQP262156 CAK262156:CAL262156 CKG262156:CKH262156 CUC262156:CUD262156 DDY262156:DDZ262156 DNU262156:DNV262156 DXQ262156:DXR262156 EHM262156:EHN262156 ERI262156:ERJ262156 FBE262156:FBF262156 FLA262156:FLB262156 FUW262156:FUX262156 GES262156:GET262156 GOO262156:GOP262156 GYK262156:GYL262156 HIG262156:HIH262156 HSC262156:HSD262156 IBY262156:IBZ262156 ILU262156:ILV262156 IVQ262156:IVR262156 JFM262156:JFN262156 JPI262156:JPJ262156 JZE262156:JZF262156 KJA262156:KJB262156 KSW262156:KSX262156 LCS262156:LCT262156 LMO262156:LMP262156 LWK262156:LWL262156 MGG262156:MGH262156 MQC262156:MQD262156 MZY262156:MZZ262156 NJU262156:NJV262156 NTQ262156:NTR262156 ODM262156:ODN262156 ONI262156:ONJ262156 OXE262156:OXF262156 PHA262156:PHB262156 PQW262156:PQX262156 QAS262156:QAT262156 QKO262156:QKP262156 QUK262156:QUL262156 REG262156:REH262156 ROC262156:ROD262156 RXY262156:RXZ262156 SHU262156:SHV262156 SRQ262156:SRR262156 TBM262156:TBN262156 TLI262156:TLJ262156 TVE262156:TVF262156 UFA262156:UFB262156 UOW262156:UOX262156 UYS262156:UYT262156 VIO262156:VIP262156 VSK262156:VSL262156 WCG262156:WCH262156 WMC262156:WMD262156 WVY262156:WVZ262156 Q327692:R327692 JM327692:JN327692 TI327692:TJ327692 ADE327692:ADF327692 ANA327692:ANB327692 AWW327692:AWX327692 BGS327692:BGT327692 BQO327692:BQP327692 CAK327692:CAL327692 CKG327692:CKH327692 CUC327692:CUD327692 DDY327692:DDZ327692 DNU327692:DNV327692 DXQ327692:DXR327692 EHM327692:EHN327692 ERI327692:ERJ327692 FBE327692:FBF327692 FLA327692:FLB327692 FUW327692:FUX327692 GES327692:GET327692 GOO327692:GOP327692 GYK327692:GYL327692 HIG327692:HIH327692 HSC327692:HSD327692 IBY327692:IBZ327692 ILU327692:ILV327692 IVQ327692:IVR327692 JFM327692:JFN327692 JPI327692:JPJ327692 JZE327692:JZF327692 KJA327692:KJB327692 KSW327692:KSX327692 LCS327692:LCT327692 LMO327692:LMP327692 LWK327692:LWL327692 MGG327692:MGH327692 MQC327692:MQD327692 MZY327692:MZZ327692 NJU327692:NJV327692 NTQ327692:NTR327692 ODM327692:ODN327692 ONI327692:ONJ327692 OXE327692:OXF327692 PHA327692:PHB327692 PQW327692:PQX327692 QAS327692:QAT327692 QKO327692:QKP327692 QUK327692:QUL327692 REG327692:REH327692 ROC327692:ROD327692 RXY327692:RXZ327692 SHU327692:SHV327692 SRQ327692:SRR327692 TBM327692:TBN327692 TLI327692:TLJ327692 TVE327692:TVF327692 UFA327692:UFB327692 UOW327692:UOX327692 UYS327692:UYT327692 VIO327692:VIP327692 VSK327692:VSL327692 WCG327692:WCH327692 WMC327692:WMD327692 WVY327692:WVZ327692 Q393228:R393228 JM393228:JN393228 TI393228:TJ393228 ADE393228:ADF393228 ANA393228:ANB393228 AWW393228:AWX393228 BGS393228:BGT393228 BQO393228:BQP393228 CAK393228:CAL393228 CKG393228:CKH393228 CUC393228:CUD393228 DDY393228:DDZ393228 DNU393228:DNV393228 DXQ393228:DXR393228 EHM393228:EHN393228 ERI393228:ERJ393228 FBE393228:FBF393228 FLA393228:FLB393228 FUW393228:FUX393228 GES393228:GET393228 GOO393228:GOP393228 GYK393228:GYL393228 HIG393228:HIH393228 HSC393228:HSD393228 IBY393228:IBZ393228 ILU393228:ILV393228 IVQ393228:IVR393228 JFM393228:JFN393228 JPI393228:JPJ393228 JZE393228:JZF393228 KJA393228:KJB393228 KSW393228:KSX393228 LCS393228:LCT393228 LMO393228:LMP393228 LWK393228:LWL393228 MGG393228:MGH393228 MQC393228:MQD393228 MZY393228:MZZ393228 NJU393228:NJV393228 NTQ393228:NTR393228 ODM393228:ODN393228 ONI393228:ONJ393228 OXE393228:OXF393228 PHA393228:PHB393228 PQW393228:PQX393228 QAS393228:QAT393228 QKO393228:QKP393228 QUK393228:QUL393228 REG393228:REH393228 ROC393228:ROD393228 RXY393228:RXZ393228 SHU393228:SHV393228 SRQ393228:SRR393228 TBM393228:TBN393228 TLI393228:TLJ393228 TVE393228:TVF393228 UFA393228:UFB393228 UOW393228:UOX393228 UYS393228:UYT393228 VIO393228:VIP393228 VSK393228:VSL393228 WCG393228:WCH393228 WMC393228:WMD393228 WVY393228:WVZ393228 Q458764:R458764 JM458764:JN458764 TI458764:TJ458764 ADE458764:ADF458764 ANA458764:ANB458764 AWW458764:AWX458764 BGS458764:BGT458764 BQO458764:BQP458764 CAK458764:CAL458764 CKG458764:CKH458764 CUC458764:CUD458764 DDY458764:DDZ458764 DNU458764:DNV458764 DXQ458764:DXR458764 EHM458764:EHN458764 ERI458764:ERJ458764 FBE458764:FBF458764 FLA458764:FLB458764 FUW458764:FUX458764 GES458764:GET458764 GOO458764:GOP458764 GYK458764:GYL458764 HIG458764:HIH458764 HSC458764:HSD458764 IBY458764:IBZ458764 ILU458764:ILV458764 IVQ458764:IVR458764 JFM458764:JFN458764 JPI458764:JPJ458764 JZE458764:JZF458764 KJA458764:KJB458764 KSW458764:KSX458764 LCS458764:LCT458764 LMO458764:LMP458764 LWK458764:LWL458764 MGG458764:MGH458764 MQC458764:MQD458764 MZY458764:MZZ458764 NJU458764:NJV458764 NTQ458764:NTR458764 ODM458764:ODN458764 ONI458764:ONJ458764 OXE458764:OXF458764 PHA458764:PHB458764 PQW458764:PQX458764 QAS458764:QAT458764 QKO458764:QKP458764 QUK458764:QUL458764 REG458764:REH458764 ROC458764:ROD458764 RXY458764:RXZ458764 SHU458764:SHV458764 SRQ458764:SRR458764 TBM458764:TBN458764 TLI458764:TLJ458764 TVE458764:TVF458764 UFA458764:UFB458764 UOW458764:UOX458764 UYS458764:UYT458764 VIO458764:VIP458764 VSK458764:VSL458764 WCG458764:WCH458764 WMC458764:WMD458764 WVY458764:WVZ458764 Q524300:R524300 JM524300:JN524300 TI524300:TJ524300 ADE524300:ADF524300 ANA524300:ANB524300 AWW524300:AWX524300 BGS524300:BGT524300 BQO524300:BQP524300 CAK524300:CAL524300 CKG524300:CKH524300 CUC524300:CUD524300 DDY524300:DDZ524300 DNU524300:DNV524300 DXQ524300:DXR524300 EHM524300:EHN524300 ERI524300:ERJ524300 FBE524300:FBF524300 FLA524300:FLB524300 FUW524300:FUX524300 GES524300:GET524300 GOO524300:GOP524300 GYK524300:GYL524300 HIG524300:HIH524300 HSC524300:HSD524300 IBY524300:IBZ524300 ILU524300:ILV524300 IVQ524300:IVR524300 JFM524300:JFN524300 JPI524300:JPJ524300 JZE524300:JZF524300 KJA524300:KJB524300 KSW524300:KSX524300 LCS524300:LCT524300 LMO524300:LMP524300 LWK524300:LWL524300 MGG524300:MGH524300 MQC524300:MQD524300 MZY524300:MZZ524300 NJU524300:NJV524300 NTQ524300:NTR524300 ODM524300:ODN524300 ONI524300:ONJ524300 OXE524300:OXF524300 PHA524300:PHB524300 PQW524300:PQX524300 QAS524300:QAT524300 QKO524300:QKP524300 QUK524300:QUL524300 REG524300:REH524300 ROC524300:ROD524300 RXY524300:RXZ524300 SHU524300:SHV524300 SRQ524300:SRR524300 TBM524300:TBN524300 TLI524300:TLJ524300 TVE524300:TVF524300 UFA524300:UFB524300 UOW524300:UOX524300 UYS524300:UYT524300 VIO524300:VIP524300 VSK524300:VSL524300 WCG524300:WCH524300 WMC524300:WMD524300 WVY524300:WVZ524300 Q589836:R589836 JM589836:JN589836 TI589836:TJ589836 ADE589836:ADF589836 ANA589836:ANB589836 AWW589836:AWX589836 BGS589836:BGT589836 BQO589836:BQP589836 CAK589836:CAL589836 CKG589836:CKH589836 CUC589836:CUD589836 DDY589836:DDZ589836 DNU589836:DNV589836 DXQ589836:DXR589836 EHM589836:EHN589836 ERI589836:ERJ589836 FBE589836:FBF589836 FLA589836:FLB589836 FUW589836:FUX589836 GES589836:GET589836 GOO589836:GOP589836 GYK589836:GYL589836 HIG589836:HIH589836 HSC589836:HSD589836 IBY589836:IBZ589836 ILU589836:ILV589836 IVQ589836:IVR589836 JFM589836:JFN589836 JPI589836:JPJ589836 JZE589836:JZF589836 KJA589836:KJB589836 KSW589836:KSX589836 LCS589836:LCT589836 LMO589836:LMP589836 LWK589836:LWL589836 MGG589836:MGH589836 MQC589836:MQD589836 MZY589836:MZZ589836 NJU589836:NJV589836 NTQ589836:NTR589836 ODM589836:ODN589836 ONI589836:ONJ589836 OXE589836:OXF589836 PHA589836:PHB589836 PQW589836:PQX589836 QAS589836:QAT589836 QKO589836:QKP589836 QUK589836:QUL589836 REG589836:REH589836 ROC589836:ROD589836 RXY589836:RXZ589836 SHU589836:SHV589836 SRQ589836:SRR589836 TBM589836:TBN589836 TLI589836:TLJ589836 TVE589836:TVF589836 UFA589836:UFB589836 UOW589836:UOX589836 UYS589836:UYT589836 VIO589836:VIP589836 VSK589836:VSL589836 WCG589836:WCH589836 WMC589836:WMD589836 WVY589836:WVZ589836 Q655372:R655372 JM655372:JN655372 TI655372:TJ655372 ADE655372:ADF655372 ANA655372:ANB655372 AWW655372:AWX655372 BGS655372:BGT655372 BQO655372:BQP655372 CAK655372:CAL655372 CKG655372:CKH655372 CUC655372:CUD655372 DDY655372:DDZ655372 DNU655372:DNV655372 DXQ655372:DXR655372 EHM655372:EHN655372 ERI655372:ERJ655372 FBE655372:FBF655372 FLA655372:FLB655372 FUW655372:FUX655372 GES655372:GET655372 GOO655372:GOP655372 GYK655372:GYL655372 HIG655372:HIH655372 HSC655372:HSD655372 IBY655372:IBZ655372 ILU655372:ILV655372 IVQ655372:IVR655372 JFM655372:JFN655372 JPI655372:JPJ655372 JZE655372:JZF655372 KJA655372:KJB655372 KSW655372:KSX655372 LCS655372:LCT655372 LMO655372:LMP655372 LWK655372:LWL655372 MGG655372:MGH655372 MQC655372:MQD655372 MZY655372:MZZ655372 NJU655372:NJV655372 NTQ655372:NTR655372 ODM655372:ODN655372 ONI655372:ONJ655372 OXE655372:OXF655372 PHA655372:PHB655372 PQW655372:PQX655372 QAS655372:QAT655372 QKO655372:QKP655372 QUK655372:QUL655372 REG655372:REH655372 ROC655372:ROD655372 RXY655372:RXZ655372 SHU655372:SHV655372 SRQ655372:SRR655372 TBM655372:TBN655372 TLI655372:TLJ655372 TVE655372:TVF655372 UFA655372:UFB655372 UOW655372:UOX655372 UYS655372:UYT655372 VIO655372:VIP655372 VSK655372:VSL655372 WCG655372:WCH655372 WMC655372:WMD655372 WVY655372:WVZ655372 Q720908:R720908 JM720908:JN720908 TI720908:TJ720908 ADE720908:ADF720908 ANA720908:ANB720908 AWW720908:AWX720908 BGS720908:BGT720908 BQO720908:BQP720908 CAK720908:CAL720908 CKG720908:CKH720908 CUC720908:CUD720908 DDY720908:DDZ720908 DNU720908:DNV720908 DXQ720908:DXR720908 EHM720908:EHN720908 ERI720908:ERJ720908 FBE720908:FBF720908 FLA720908:FLB720908 FUW720908:FUX720908 GES720908:GET720908 GOO720908:GOP720908 GYK720908:GYL720908 HIG720908:HIH720908 HSC720908:HSD720908 IBY720908:IBZ720908 ILU720908:ILV720908 IVQ720908:IVR720908 JFM720908:JFN720908 JPI720908:JPJ720908 JZE720908:JZF720908 KJA720908:KJB720908 KSW720908:KSX720908 LCS720908:LCT720908 LMO720908:LMP720908 LWK720908:LWL720908 MGG720908:MGH720908 MQC720908:MQD720908 MZY720908:MZZ720908 NJU720908:NJV720908 NTQ720908:NTR720908 ODM720908:ODN720908 ONI720908:ONJ720908 OXE720908:OXF720908 PHA720908:PHB720908 PQW720908:PQX720908 QAS720908:QAT720908 QKO720908:QKP720908 QUK720908:QUL720908 REG720908:REH720908 ROC720908:ROD720908 RXY720908:RXZ720908 SHU720908:SHV720908 SRQ720908:SRR720908 TBM720908:TBN720908 TLI720908:TLJ720908 TVE720908:TVF720908 UFA720908:UFB720908 UOW720908:UOX720908 UYS720908:UYT720908 VIO720908:VIP720908 VSK720908:VSL720908 WCG720908:WCH720908 WMC720908:WMD720908 WVY720908:WVZ720908 Q786444:R786444 JM786444:JN786444 TI786444:TJ786444 ADE786444:ADF786444 ANA786444:ANB786444 AWW786444:AWX786444 BGS786444:BGT786444 BQO786444:BQP786444 CAK786444:CAL786444 CKG786444:CKH786444 CUC786444:CUD786444 DDY786444:DDZ786444 DNU786444:DNV786444 DXQ786444:DXR786444 EHM786444:EHN786444 ERI786444:ERJ786444 FBE786444:FBF786444 FLA786444:FLB786444 FUW786444:FUX786444 GES786444:GET786444 GOO786444:GOP786444 GYK786444:GYL786444 HIG786444:HIH786444 HSC786444:HSD786444 IBY786444:IBZ786444 ILU786444:ILV786444 IVQ786444:IVR786444 JFM786444:JFN786444 JPI786444:JPJ786444 JZE786444:JZF786444 KJA786444:KJB786444 KSW786444:KSX786444 LCS786444:LCT786444 LMO786444:LMP786444 LWK786444:LWL786444 MGG786444:MGH786444 MQC786444:MQD786444 MZY786444:MZZ786444 NJU786444:NJV786444 NTQ786444:NTR786444 ODM786444:ODN786444 ONI786444:ONJ786444 OXE786444:OXF786444 PHA786444:PHB786444 PQW786444:PQX786444 QAS786444:QAT786444 QKO786444:QKP786444 QUK786444:QUL786444 REG786444:REH786444 ROC786444:ROD786444 RXY786444:RXZ786444 SHU786444:SHV786444 SRQ786444:SRR786444 TBM786444:TBN786444 TLI786444:TLJ786444 TVE786444:TVF786444 UFA786444:UFB786444 UOW786444:UOX786444 UYS786444:UYT786444 VIO786444:VIP786444 VSK786444:VSL786444 WCG786444:WCH786444 WMC786444:WMD786444 WVY786444:WVZ786444 Q851980:R851980 JM851980:JN851980 TI851980:TJ851980 ADE851980:ADF851980 ANA851980:ANB851980 AWW851980:AWX851980 BGS851980:BGT851980 BQO851980:BQP851980 CAK851980:CAL851980 CKG851980:CKH851980 CUC851980:CUD851980 DDY851980:DDZ851980 DNU851980:DNV851980 DXQ851980:DXR851980 EHM851980:EHN851980 ERI851980:ERJ851980 FBE851980:FBF851980 FLA851980:FLB851980 FUW851980:FUX851980 GES851980:GET851980 GOO851980:GOP851980 GYK851980:GYL851980 HIG851980:HIH851980 HSC851980:HSD851980 IBY851980:IBZ851980 ILU851980:ILV851980 IVQ851980:IVR851980 JFM851980:JFN851980 JPI851980:JPJ851980 JZE851980:JZF851980 KJA851980:KJB851980 KSW851980:KSX851980 LCS851980:LCT851980 LMO851980:LMP851980 LWK851980:LWL851980 MGG851980:MGH851980 MQC851980:MQD851980 MZY851980:MZZ851980 NJU851980:NJV851980 NTQ851980:NTR851980 ODM851980:ODN851980 ONI851980:ONJ851980 OXE851980:OXF851980 PHA851980:PHB851980 PQW851980:PQX851980 QAS851980:QAT851980 QKO851980:QKP851980 QUK851980:QUL851980 REG851980:REH851980 ROC851980:ROD851980 RXY851980:RXZ851980 SHU851980:SHV851980 SRQ851980:SRR851980 TBM851980:TBN851980 TLI851980:TLJ851980 TVE851980:TVF851980 UFA851980:UFB851980 UOW851980:UOX851980 UYS851980:UYT851980 VIO851980:VIP851980 VSK851980:VSL851980 WCG851980:WCH851980 WMC851980:WMD851980 WVY851980:WVZ851980 Q917516:R917516 JM917516:JN917516 TI917516:TJ917516 ADE917516:ADF917516 ANA917516:ANB917516 AWW917516:AWX917516 BGS917516:BGT917516 BQO917516:BQP917516 CAK917516:CAL917516 CKG917516:CKH917516 CUC917516:CUD917516 DDY917516:DDZ917516 DNU917516:DNV917516 DXQ917516:DXR917516 EHM917516:EHN917516 ERI917516:ERJ917516 FBE917516:FBF917516 FLA917516:FLB917516 FUW917516:FUX917516 GES917516:GET917516 GOO917516:GOP917516 GYK917516:GYL917516 HIG917516:HIH917516 HSC917516:HSD917516 IBY917516:IBZ917516 ILU917516:ILV917516 IVQ917516:IVR917516 JFM917516:JFN917516 JPI917516:JPJ917516 JZE917516:JZF917516 KJA917516:KJB917516 KSW917516:KSX917516 LCS917516:LCT917516 LMO917516:LMP917516 LWK917516:LWL917516 MGG917516:MGH917516 MQC917516:MQD917516 MZY917516:MZZ917516 NJU917516:NJV917516 NTQ917516:NTR917516 ODM917516:ODN917516 ONI917516:ONJ917516 OXE917516:OXF917516 PHA917516:PHB917516 PQW917516:PQX917516 QAS917516:QAT917516 QKO917516:QKP917516 QUK917516:QUL917516 REG917516:REH917516 ROC917516:ROD917516 RXY917516:RXZ917516 SHU917516:SHV917516 SRQ917516:SRR917516 TBM917516:TBN917516 TLI917516:TLJ917516 TVE917516:TVF917516 UFA917516:UFB917516 UOW917516:UOX917516 UYS917516:UYT917516 VIO917516:VIP917516 VSK917516:VSL917516 WCG917516:WCH917516 WMC917516:WMD917516 WVY917516:WVZ917516 Q983052:R983052 JM983052:JN983052 TI983052:TJ983052 ADE983052:ADF983052 ANA983052:ANB983052 AWW983052:AWX983052 BGS983052:BGT983052 BQO983052:BQP983052 CAK983052:CAL983052 CKG983052:CKH983052 CUC983052:CUD983052 DDY983052:DDZ983052 DNU983052:DNV983052 DXQ983052:DXR983052 EHM983052:EHN983052 ERI983052:ERJ983052 FBE983052:FBF983052 FLA983052:FLB983052 FUW983052:FUX983052 GES983052:GET983052 GOO983052:GOP983052 GYK983052:GYL983052 HIG983052:HIH983052 HSC983052:HSD983052 IBY983052:IBZ983052 ILU983052:ILV983052 IVQ983052:IVR983052 JFM983052:JFN983052 JPI983052:JPJ983052 JZE983052:JZF983052 KJA983052:KJB983052 KSW983052:KSX983052 LCS983052:LCT983052 LMO983052:LMP983052 LWK983052:LWL983052 MGG983052:MGH983052 MQC983052:MQD983052 MZY983052:MZZ983052 NJU983052:NJV983052 NTQ983052:NTR983052 ODM983052:ODN983052 ONI983052:ONJ983052 OXE983052:OXF983052 PHA983052:PHB983052 PQW983052:PQX983052 QAS983052:QAT983052 QKO983052:QKP983052 QUK983052:QUL983052 REG983052:REH983052 ROC983052:ROD983052 RXY983052:RXZ983052 SHU983052:SHV983052 SRQ983052:SRR983052 TBM983052:TBN983052 TLI983052:TLJ983052 TVE983052:TVF983052 UFA983052:UFB983052 UOW983052:UOX983052 UYS983052:UYT983052 VIO983052:VIP983052 VSK983052:VSL983052 WCG983052:WCH983052 WMC983052:WMD983052 WVY983052:WVZ983052" xr:uid="{00000000-0002-0000-0500-000002000000}">
      <formula1>0</formula1>
      <formula2>1</formula2>
    </dataValidation>
    <dataValidation type="decimal" allowBlank="1" showInputMessage="1" showErrorMessage="1" errorTitle="Erro de valores" error="Digite um valor maior do que 0." sqref="N23 JJ23 TF23 ADB23 AMX23 AWT23 BGP23 BQL23 CAH23 CKD23 CTZ23 DDV23 DNR23 DXN23 EHJ23 ERF23 FBB23 FKX23 FUT23 GEP23 GOL23 GYH23 HID23 HRZ23 IBV23 ILR23 IVN23 JFJ23 JPF23 JZB23 KIX23 KST23 LCP23 LML23 LWH23 MGD23 MPZ23 MZV23 NJR23 NTN23 ODJ23 ONF23 OXB23 PGX23 PQT23 QAP23 QKL23 QUH23 RED23 RNZ23 RXV23 SHR23 SRN23 TBJ23 TLF23 TVB23 UEX23 UOT23 UYP23 VIL23 VSH23 WCD23 WLZ23 WVV23 N65559 JJ65559 TF65559 ADB65559 AMX65559 AWT65559 BGP65559 BQL65559 CAH65559 CKD65559 CTZ65559 DDV65559 DNR65559 DXN65559 EHJ65559 ERF65559 FBB65559 FKX65559 FUT65559 GEP65559 GOL65559 GYH65559 HID65559 HRZ65559 IBV65559 ILR65559 IVN65559 JFJ65559 JPF65559 JZB65559 KIX65559 KST65559 LCP65559 LML65559 LWH65559 MGD65559 MPZ65559 MZV65559 NJR65559 NTN65559 ODJ65559 ONF65559 OXB65559 PGX65559 PQT65559 QAP65559 QKL65559 QUH65559 RED65559 RNZ65559 RXV65559 SHR65559 SRN65559 TBJ65559 TLF65559 TVB65559 UEX65559 UOT65559 UYP65559 VIL65559 VSH65559 WCD65559 WLZ65559 WVV65559 N131095 JJ131095 TF131095 ADB131095 AMX131095 AWT131095 BGP131095 BQL131095 CAH131095 CKD131095 CTZ131095 DDV131095 DNR131095 DXN131095 EHJ131095 ERF131095 FBB131095 FKX131095 FUT131095 GEP131095 GOL131095 GYH131095 HID131095 HRZ131095 IBV131095 ILR131095 IVN131095 JFJ131095 JPF131095 JZB131095 KIX131095 KST131095 LCP131095 LML131095 LWH131095 MGD131095 MPZ131095 MZV131095 NJR131095 NTN131095 ODJ131095 ONF131095 OXB131095 PGX131095 PQT131095 QAP131095 QKL131095 QUH131095 RED131095 RNZ131095 RXV131095 SHR131095 SRN131095 TBJ131095 TLF131095 TVB131095 UEX131095 UOT131095 UYP131095 VIL131095 VSH131095 WCD131095 WLZ131095 WVV131095 N196631 JJ196631 TF196631 ADB196631 AMX196631 AWT196631 BGP196631 BQL196631 CAH196631 CKD196631 CTZ196631 DDV196631 DNR196631 DXN196631 EHJ196631 ERF196631 FBB196631 FKX196631 FUT196631 GEP196631 GOL196631 GYH196631 HID196631 HRZ196631 IBV196631 ILR196631 IVN196631 JFJ196631 JPF196631 JZB196631 KIX196631 KST196631 LCP196631 LML196631 LWH196631 MGD196631 MPZ196631 MZV196631 NJR196631 NTN196631 ODJ196631 ONF196631 OXB196631 PGX196631 PQT196631 QAP196631 QKL196631 QUH196631 RED196631 RNZ196631 RXV196631 SHR196631 SRN196631 TBJ196631 TLF196631 TVB196631 UEX196631 UOT196631 UYP196631 VIL196631 VSH196631 WCD196631 WLZ196631 WVV196631 N262167 JJ262167 TF262167 ADB262167 AMX262167 AWT262167 BGP262167 BQL262167 CAH262167 CKD262167 CTZ262167 DDV262167 DNR262167 DXN262167 EHJ262167 ERF262167 FBB262167 FKX262167 FUT262167 GEP262167 GOL262167 GYH262167 HID262167 HRZ262167 IBV262167 ILR262167 IVN262167 JFJ262167 JPF262167 JZB262167 KIX262167 KST262167 LCP262167 LML262167 LWH262167 MGD262167 MPZ262167 MZV262167 NJR262167 NTN262167 ODJ262167 ONF262167 OXB262167 PGX262167 PQT262167 QAP262167 QKL262167 QUH262167 RED262167 RNZ262167 RXV262167 SHR262167 SRN262167 TBJ262167 TLF262167 TVB262167 UEX262167 UOT262167 UYP262167 VIL262167 VSH262167 WCD262167 WLZ262167 WVV262167 N327703 JJ327703 TF327703 ADB327703 AMX327703 AWT327703 BGP327703 BQL327703 CAH327703 CKD327703 CTZ327703 DDV327703 DNR327703 DXN327703 EHJ327703 ERF327703 FBB327703 FKX327703 FUT327703 GEP327703 GOL327703 GYH327703 HID327703 HRZ327703 IBV327703 ILR327703 IVN327703 JFJ327703 JPF327703 JZB327703 KIX327703 KST327703 LCP327703 LML327703 LWH327703 MGD327703 MPZ327703 MZV327703 NJR327703 NTN327703 ODJ327703 ONF327703 OXB327703 PGX327703 PQT327703 QAP327703 QKL327703 QUH327703 RED327703 RNZ327703 RXV327703 SHR327703 SRN327703 TBJ327703 TLF327703 TVB327703 UEX327703 UOT327703 UYP327703 VIL327703 VSH327703 WCD327703 WLZ327703 WVV327703 N393239 JJ393239 TF393239 ADB393239 AMX393239 AWT393239 BGP393239 BQL393239 CAH393239 CKD393239 CTZ393239 DDV393239 DNR393239 DXN393239 EHJ393239 ERF393239 FBB393239 FKX393239 FUT393239 GEP393239 GOL393239 GYH393239 HID393239 HRZ393239 IBV393239 ILR393239 IVN393239 JFJ393239 JPF393239 JZB393239 KIX393239 KST393239 LCP393239 LML393239 LWH393239 MGD393239 MPZ393239 MZV393239 NJR393239 NTN393239 ODJ393239 ONF393239 OXB393239 PGX393239 PQT393239 QAP393239 QKL393239 QUH393239 RED393239 RNZ393239 RXV393239 SHR393239 SRN393239 TBJ393239 TLF393239 TVB393239 UEX393239 UOT393239 UYP393239 VIL393239 VSH393239 WCD393239 WLZ393239 WVV393239 N458775 JJ458775 TF458775 ADB458775 AMX458775 AWT458775 BGP458775 BQL458775 CAH458775 CKD458775 CTZ458775 DDV458775 DNR458775 DXN458775 EHJ458775 ERF458775 FBB458775 FKX458775 FUT458775 GEP458775 GOL458775 GYH458775 HID458775 HRZ458775 IBV458775 ILR458775 IVN458775 JFJ458775 JPF458775 JZB458775 KIX458775 KST458775 LCP458775 LML458775 LWH458775 MGD458775 MPZ458775 MZV458775 NJR458775 NTN458775 ODJ458775 ONF458775 OXB458775 PGX458775 PQT458775 QAP458775 QKL458775 QUH458775 RED458775 RNZ458775 RXV458775 SHR458775 SRN458775 TBJ458775 TLF458775 TVB458775 UEX458775 UOT458775 UYP458775 VIL458775 VSH458775 WCD458775 WLZ458775 WVV458775 N524311 JJ524311 TF524311 ADB524311 AMX524311 AWT524311 BGP524311 BQL524311 CAH524311 CKD524311 CTZ524311 DDV524311 DNR524311 DXN524311 EHJ524311 ERF524311 FBB524311 FKX524311 FUT524311 GEP524311 GOL524311 GYH524311 HID524311 HRZ524311 IBV524311 ILR524311 IVN524311 JFJ524311 JPF524311 JZB524311 KIX524311 KST524311 LCP524311 LML524311 LWH524311 MGD524311 MPZ524311 MZV524311 NJR524311 NTN524311 ODJ524311 ONF524311 OXB524311 PGX524311 PQT524311 QAP524311 QKL524311 QUH524311 RED524311 RNZ524311 RXV524311 SHR524311 SRN524311 TBJ524311 TLF524311 TVB524311 UEX524311 UOT524311 UYP524311 VIL524311 VSH524311 WCD524311 WLZ524311 WVV524311 N589847 JJ589847 TF589847 ADB589847 AMX589847 AWT589847 BGP589847 BQL589847 CAH589847 CKD589847 CTZ589847 DDV589847 DNR589847 DXN589847 EHJ589847 ERF589847 FBB589847 FKX589847 FUT589847 GEP589847 GOL589847 GYH589847 HID589847 HRZ589847 IBV589847 ILR589847 IVN589847 JFJ589847 JPF589847 JZB589847 KIX589847 KST589847 LCP589847 LML589847 LWH589847 MGD589847 MPZ589847 MZV589847 NJR589847 NTN589847 ODJ589847 ONF589847 OXB589847 PGX589847 PQT589847 QAP589847 QKL589847 QUH589847 RED589847 RNZ589847 RXV589847 SHR589847 SRN589847 TBJ589847 TLF589847 TVB589847 UEX589847 UOT589847 UYP589847 VIL589847 VSH589847 WCD589847 WLZ589847 WVV589847 N655383 JJ655383 TF655383 ADB655383 AMX655383 AWT655383 BGP655383 BQL655383 CAH655383 CKD655383 CTZ655383 DDV655383 DNR655383 DXN655383 EHJ655383 ERF655383 FBB655383 FKX655383 FUT655383 GEP655383 GOL655383 GYH655383 HID655383 HRZ655383 IBV655383 ILR655383 IVN655383 JFJ655383 JPF655383 JZB655383 KIX655383 KST655383 LCP655383 LML655383 LWH655383 MGD655383 MPZ655383 MZV655383 NJR655383 NTN655383 ODJ655383 ONF655383 OXB655383 PGX655383 PQT655383 QAP655383 QKL655383 QUH655383 RED655383 RNZ655383 RXV655383 SHR655383 SRN655383 TBJ655383 TLF655383 TVB655383 UEX655383 UOT655383 UYP655383 VIL655383 VSH655383 WCD655383 WLZ655383 WVV655383 N720919 JJ720919 TF720919 ADB720919 AMX720919 AWT720919 BGP720919 BQL720919 CAH720919 CKD720919 CTZ720919 DDV720919 DNR720919 DXN720919 EHJ720919 ERF720919 FBB720919 FKX720919 FUT720919 GEP720919 GOL720919 GYH720919 HID720919 HRZ720919 IBV720919 ILR720919 IVN720919 JFJ720919 JPF720919 JZB720919 KIX720919 KST720919 LCP720919 LML720919 LWH720919 MGD720919 MPZ720919 MZV720919 NJR720919 NTN720919 ODJ720919 ONF720919 OXB720919 PGX720919 PQT720919 QAP720919 QKL720919 QUH720919 RED720919 RNZ720919 RXV720919 SHR720919 SRN720919 TBJ720919 TLF720919 TVB720919 UEX720919 UOT720919 UYP720919 VIL720919 VSH720919 WCD720919 WLZ720919 WVV720919 N786455 JJ786455 TF786455 ADB786455 AMX786455 AWT786455 BGP786455 BQL786455 CAH786455 CKD786455 CTZ786455 DDV786455 DNR786455 DXN786455 EHJ786455 ERF786455 FBB786455 FKX786455 FUT786455 GEP786455 GOL786455 GYH786455 HID786455 HRZ786455 IBV786455 ILR786455 IVN786455 JFJ786455 JPF786455 JZB786455 KIX786455 KST786455 LCP786455 LML786455 LWH786455 MGD786455 MPZ786455 MZV786455 NJR786455 NTN786455 ODJ786455 ONF786455 OXB786455 PGX786455 PQT786455 QAP786455 QKL786455 QUH786455 RED786455 RNZ786455 RXV786455 SHR786455 SRN786455 TBJ786455 TLF786455 TVB786455 UEX786455 UOT786455 UYP786455 VIL786455 VSH786455 WCD786455 WLZ786455 WVV786455 N851991 JJ851991 TF851991 ADB851991 AMX851991 AWT851991 BGP851991 BQL851991 CAH851991 CKD851991 CTZ851991 DDV851991 DNR851991 DXN851991 EHJ851991 ERF851991 FBB851991 FKX851991 FUT851991 GEP851991 GOL851991 GYH851991 HID851991 HRZ851991 IBV851991 ILR851991 IVN851991 JFJ851991 JPF851991 JZB851991 KIX851991 KST851991 LCP851991 LML851991 LWH851991 MGD851991 MPZ851991 MZV851991 NJR851991 NTN851991 ODJ851991 ONF851991 OXB851991 PGX851991 PQT851991 QAP851991 QKL851991 QUH851991 RED851991 RNZ851991 RXV851991 SHR851991 SRN851991 TBJ851991 TLF851991 TVB851991 UEX851991 UOT851991 UYP851991 VIL851991 VSH851991 WCD851991 WLZ851991 WVV851991 N917527 JJ917527 TF917527 ADB917527 AMX917527 AWT917527 BGP917527 BQL917527 CAH917527 CKD917527 CTZ917527 DDV917527 DNR917527 DXN917527 EHJ917527 ERF917527 FBB917527 FKX917527 FUT917527 GEP917527 GOL917527 GYH917527 HID917527 HRZ917527 IBV917527 ILR917527 IVN917527 JFJ917527 JPF917527 JZB917527 KIX917527 KST917527 LCP917527 LML917527 LWH917527 MGD917527 MPZ917527 MZV917527 NJR917527 NTN917527 ODJ917527 ONF917527 OXB917527 PGX917527 PQT917527 QAP917527 QKL917527 QUH917527 RED917527 RNZ917527 RXV917527 SHR917527 SRN917527 TBJ917527 TLF917527 TVB917527 UEX917527 UOT917527 UYP917527 VIL917527 VSH917527 WCD917527 WLZ917527 WVV917527 N983063 JJ983063 TF983063 ADB983063 AMX983063 AWT983063 BGP983063 BQL983063 CAH983063 CKD983063 CTZ983063 DDV983063 DNR983063 DXN983063 EHJ983063 ERF983063 FBB983063 FKX983063 FUT983063 GEP983063 GOL983063 GYH983063 HID983063 HRZ983063 IBV983063 ILR983063 IVN983063 JFJ983063 JPF983063 JZB983063 KIX983063 KST983063 LCP983063 LML983063 LWH983063 MGD983063 MPZ983063 MZV983063 NJR983063 NTN983063 ODJ983063 ONF983063 OXB983063 PGX983063 PQT983063 QAP983063 QKL983063 QUH983063 RED983063 RNZ983063 RXV983063 SHR983063 SRN983063 TBJ983063 TLF983063 TVB983063 UEX983063 UOT983063 UYP983063 VIL983063 VSH983063 WCD983063 WLZ983063 WVV983063" xr:uid="{00000000-0002-0000-0500-000003000000}">
      <formula1>0</formula1>
      <formula2>1</formula2>
    </dataValidation>
    <dataValidation operator="greaterThanOrEqual" allowBlank="1" showInputMessage="1" showErrorMessage="1" errorTitle="Erro de valores" error="Digite um valor igual a 0% ou 2%." sqref="N24 JJ24 TF24 ADB24 AMX24 AWT24 BGP24 BQL24 CAH24 CKD24 CTZ24 DDV24 DNR24 DXN24 EHJ24 ERF24 FBB24 FKX24 FUT24 GEP24 GOL24 GYH24 HID24 HRZ24 IBV24 ILR24 IVN24 JFJ24 JPF24 JZB24 KIX24 KST24 LCP24 LML24 LWH24 MGD24 MPZ24 MZV24 NJR24 NTN24 ODJ24 ONF24 OXB24 PGX24 PQT24 QAP24 QKL24 QUH24 RED24 RNZ24 RXV24 SHR24 SRN24 TBJ24 TLF24 TVB24 UEX24 UOT24 UYP24 VIL24 VSH24 WCD24 WLZ24 WVV24 N65560 JJ65560 TF65560 ADB65560 AMX65560 AWT65560 BGP65560 BQL65560 CAH65560 CKD65560 CTZ65560 DDV65560 DNR65560 DXN65560 EHJ65560 ERF65560 FBB65560 FKX65560 FUT65560 GEP65560 GOL65560 GYH65560 HID65560 HRZ65560 IBV65560 ILR65560 IVN65560 JFJ65560 JPF65560 JZB65560 KIX65560 KST65560 LCP65560 LML65560 LWH65560 MGD65560 MPZ65560 MZV65560 NJR65560 NTN65560 ODJ65560 ONF65560 OXB65560 PGX65560 PQT65560 QAP65560 QKL65560 QUH65560 RED65560 RNZ65560 RXV65560 SHR65560 SRN65560 TBJ65560 TLF65560 TVB65560 UEX65560 UOT65560 UYP65560 VIL65560 VSH65560 WCD65560 WLZ65560 WVV65560 N131096 JJ131096 TF131096 ADB131096 AMX131096 AWT131096 BGP131096 BQL131096 CAH131096 CKD131096 CTZ131096 DDV131096 DNR131096 DXN131096 EHJ131096 ERF131096 FBB131096 FKX131096 FUT131096 GEP131096 GOL131096 GYH131096 HID131096 HRZ131096 IBV131096 ILR131096 IVN131096 JFJ131096 JPF131096 JZB131096 KIX131096 KST131096 LCP131096 LML131096 LWH131096 MGD131096 MPZ131096 MZV131096 NJR131096 NTN131096 ODJ131096 ONF131096 OXB131096 PGX131096 PQT131096 QAP131096 QKL131096 QUH131096 RED131096 RNZ131096 RXV131096 SHR131096 SRN131096 TBJ131096 TLF131096 TVB131096 UEX131096 UOT131096 UYP131096 VIL131096 VSH131096 WCD131096 WLZ131096 WVV131096 N196632 JJ196632 TF196632 ADB196632 AMX196632 AWT196632 BGP196632 BQL196632 CAH196632 CKD196632 CTZ196632 DDV196632 DNR196632 DXN196632 EHJ196632 ERF196632 FBB196632 FKX196632 FUT196632 GEP196632 GOL196632 GYH196632 HID196632 HRZ196632 IBV196632 ILR196632 IVN196632 JFJ196632 JPF196632 JZB196632 KIX196632 KST196632 LCP196632 LML196632 LWH196632 MGD196632 MPZ196632 MZV196632 NJR196632 NTN196632 ODJ196632 ONF196632 OXB196632 PGX196632 PQT196632 QAP196632 QKL196632 QUH196632 RED196632 RNZ196632 RXV196632 SHR196632 SRN196632 TBJ196632 TLF196632 TVB196632 UEX196632 UOT196632 UYP196632 VIL196632 VSH196632 WCD196632 WLZ196632 WVV196632 N262168 JJ262168 TF262168 ADB262168 AMX262168 AWT262168 BGP262168 BQL262168 CAH262168 CKD262168 CTZ262168 DDV262168 DNR262168 DXN262168 EHJ262168 ERF262168 FBB262168 FKX262168 FUT262168 GEP262168 GOL262168 GYH262168 HID262168 HRZ262168 IBV262168 ILR262168 IVN262168 JFJ262168 JPF262168 JZB262168 KIX262168 KST262168 LCP262168 LML262168 LWH262168 MGD262168 MPZ262168 MZV262168 NJR262168 NTN262168 ODJ262168 ONF262168 OXB262168 PGX262168 PQT262168 QAP262168 QKL262168 QUH262168 RED262168 RNZ262168 RXV262168 SHR262168 SRN262168 TBJ262168 TLF262168 TVB262168 UEX262168 UOT262168 UYP262168 VIL262168 VSH262168 WCD262168 WLZ262168 WVV262168 N327704 JJ327704 TF327704 ADB327704 AMX327704 AWT327704 BGP327704 BQL327704 CAH327704 CKD327704 CTZ327704 DDV327704 DNR327704 DXN327704 EHJ327704 ERF327704 FBB327704 FKX327704 FUT327704 GEP327704 GOL327704 GYH327704 HID327704 HRZ327704 IBV327704 ILR327704 IVN327704 JFJ327704 JPF327704 JZB327704 KIX327704 KST327704 LCP327704 LML327704 LWH327704 MGD327704 MPZ327704 MZV327704 NJR327704 NTN327704 ODJ327704 ONF327704 OXB327704 PGX327704 PQT327704 QAP327704 QKL327704 QUH327704 RED327704 RNZ327704 RXV327704 SHR327704 SRN327704 TBJ327704 TLF327704 TVB327704 UEX327704 UOT327704 UYP327704 VIL327704 VSH327704 WCD327704 WLZ327704 WVV327704 N393240 JJ393240 TF393240 ADB393240 AMX393240 AWT393240 BGP393240 BQL393240 CAH393240 CKD393240 CTZ393240 DDV393240 DNR393240 DXN393240 EHJ393240 ERF393240 FBB393240 FKX393240 FUT393240 GEP393240 GOL393240 GYH393240 HID393240 HRZ393240 IBV393240 ILR393240 IVN393240 JFJ393240 JPF393240 JZB393240 KIX393240 KST393240 LCP393240 LML393240 LWH393240 MGD393240 MPZ393240 MZV393240 NJR393240 NTN393240 ODJ393240 ONF393240 OXB393240 PGX393240 PQT393240 QAP393240 QKL393240 QUH393240 RED393240 RNZ393240 RXV393240 SHR393240 SRN393240 TBJ393240 TLF393240 TVB393240 UEX393240 UOT393240 UYP393240 VIL393240 VSH393240 WCD393240 WLZ393240 WVV393240 N458776 JJ458776 TF458776 ADB458776 AMX458776 AWT458776 BGP458776 BQL458776 CAH458776 CKD458776 CTZ458776 DDV458776 DNR458776 DXN458776 EHJ458776 ERF458776 FBB458776 FKX458776 FUT458776 GEP458776 GOL458776 GYH458776 HID458776 HRZ458776 IBV458776 ILR458776 IVN458776 JFJ458776 JPF458776 JZB458776 KIX458776 KST458776 LCP458776 LML458776 LWH458776 MGD458776 MPZ458776 MZV458776 NJR458776 NTN458776 ODJ458776 ONF458776 OXB458776 PGX458776 PQT458776 QAP458776 QKL458776 QUH458776 RED458776 RNZ458776 RXV458776 SHR458776 SRN458776 TBJ458776 TLF458776 TVB458776 UEX458776 UOT458776 UYP458776 VIL458776 VSH458776 WCD458776 WLZ458776 WVV458776 N524312 JJ524312 TF524312 ADB524312 AMX524312 AWT524312 BGP524312 BQL524312 CAH524312 CKD524312 CTZ524312 DDV524312 DNR524312 DXN524312 EHJ524312 ERF524312 FBB524312 FKX524312 FUT524312 GEP524312 GOL524312 GYH524312 HID524312 HRZ524312 IBV524312 ILR524312 IVN524312 JFJ524312 JPF524312 JZB524312 KIX524312 KST524312 LCP524312 LML524312 LWH524312 MGD524312 MPZ524312 MZV524312 NJR524312 NTN524312 ODJ524312 ONF524312 OXB524312 PGX524312 PQT524312 QAP524312 QKL524312 QUH524312 RED524312 RNZ524312 RXV524312 SHR524312 SRN524312 TBJ524312 TLF524312 TVB524312 UEX524312 UOT524312 UYP524312 VIL524312 VSH524312 WCD524312 WLZ524312 WVV524312 N589848 JJ589848 TF589848 ADB589848 AMX589848 AWT589848 BGP589848 BQL589848 CAH589848 CKD589848 CTZ589848 DDV589848 DNR589848 DXN589848 EHJ589848 ERF589848 FBB589848 FKX589848 FUT589848 GEP589848 GOL589848 GYH589848 HID589848 HRZ589848 IBV589848 ILR589848 IVN589848 JFJ589848 JPF589848 JZB589848 KIX589848 KST589848 LCP589848 LML589848 LWH589848 MGD589848 MPZ589848 MZV589848 NJR589848 NTN589848 ODJ589848 ONF589848 OXB589848 PGX589848 PQT589848 QAP589848 QKL589848 QUH589848 RED589848 RNZ589848 RXV589848 SHR589848 SRN589848 TBJ589848 TLF589848 TVB589848 UEX589848 UOT589848 UYP589848 VIL589848 VSH589848 WCD589848 WLZ589848 WVV589848 N655384 JJ655384 TF655384 ADB655384 AMX655384 AWT655384 BGP655384 BQL655384 CAH655384 CKD655384 CTZ655384 DDV655384 DNR655384 DXN655384 EHJ655384 ERF655384 FBB655384 FKX655384 FUT655384 GEP655384 GOL655384 GYH655384 HID655384 HRZ655384 IBV655384 ILR655384 IVN655384 JFJ655384 JPF655384 JZB655384 KIX655384 KST655384 LCP655384 LML655384 LWH655384 MGD655384 MPZ655384 MZV655384 NJR655384 NTN655384 ODJ655384 ONF655384 OXB655384 PGX655384 PQT655384 QAP655384 QKL655384 QUH655384 RED655384 RNZ655384 RXV655384 SHR655384 SRN655384 TBJ655384 TLF655384 TVB655384 UEX655384 UOT655384 UYP655384 VIL655384 VSH655384 WCD655384 WLZ655384 WVV655384 N720920 JJ720920 TF720920 ADB720920 AMX720920 AWT720920 BGP720920 BQL720920 CAH720920 CKD720920 CTZ720920 DDV720920 DNR720920 DXN720920 EHJ720920 ERF720920 FBB720920 FKX720920 FUT720920 GEP720920 GOL720920 GYH720920 HID720920 HRZ720920 IBV720920 ILR720920 IVN720920 JFJ720920 JPF720920 JZB720920 KIX720920 KST720920 LCP720920 LML720920 LWH720920 MGD720920 MPZ720920 MZV720920 NJR720920 NTN720920 ODJ720920 ONF720920 OXB720920 PGX720920 PQT720920 QAP720920 QKL720920 QUH720920 RED720920 RNZ720920 RXV720920 SHR720920 SRN720920 TBJ720920 TLF720920 TVB720920 UEX720920 UOT720920 UYP720920 VIL720920 VSH720920 WCD720920 WLZ720920 WVV720920 N786456 JJ786456 TF786456 ADB786456 AMX786456 AWT786456 BGP786456 BQL786456 CAH786456 CKD786456 CTZ786456 DDV786456 DNR786456 DXN786456 EHJ786456 ERF786456 FBB786456 FKX786456 FUT786456 GEP786456 GOL786456 GYH786456 HID786456 HRZ786456 IBV786456 ILR786456 IVN786456 JFJ786456 JPF786456 JZB786456 KIX786456 KST786456 LCP786456 LML786456 LWH786456 MGD786456 MPZ786456 MZV786456 NJR786456 NTN786456 ODJ786456 ONF786456 OXB786456 PGX786456 PQT786456 QAP786456 QKL786456 QUH786456 RED786456 RNZ786456 RXV786456 SHR786456 SRN786456 TBJ786456 TLF786456 TVB786456 UEX786456 UOT786456 UYP786456 VIL786456 VSH786456 WCD786456 WLZ786456 WVV786456 N851992 JJ851992 TF851992 ADB851992 AMX851992 AWT851992 BGP851992 BQL851992 CAH851992 CKD851992 CTZ851992 DDV851992 DNR851992 DXN851992 EHJ851992 ERF851992 FBB851992 FKX851992 FUT851992 GEP851992 GOL851992 GYH851992 HID851992 HRZ851992 IBV851992 ILR851992 IVN851992 JFJ851992 JPF851992 JZB851992 KIX851992 KST851992 LCP851992 LML851992 LWH851992 MGD851992 MPZ851992 MZV851992 NJR851992 NTN851992 ODJ851992 ONF851992 OXB851992 PGX851992 PQT851992 QAP851992 QKL851992 QUH851992 RED851992 RNZ851992 RXV851992 SHR851992 SRN851992 TBJ851992 TLF851992 TVB851992 UEX851992 UOT851992 UYP851992 VIL851992 VSH851992 WCD851992 WLZ851992 WVV851992 N917528 JJ917528 TF917528 ADB917528 AMX917528 AWT917528 BGP917528 BQL917528 CAH917528 CKD917528 CTZ917528 DDV917528 DNR917528 DXN917528 EHJ917528 ERF917528 FBB917528 FKX917528 FUT917528 GEP917528 GOL917528 GYH917528 HID917528 HRZ917528 IBV917528 ILR917528 IVN917528 JFJ917528 JPF917528 JZB917528 KIX917528 KST917528 LCP917528 LML917528 LWH917528 MGD917528 MPZ917528 MZV917528 NJR917528 NTN917528 ODJ917528 ONF917528 OXB917528 PGX917528 PQT917528 QAP917528 QKL917528 QUH917528 RED917528 RNZ917528 RXV917528 SHR917528 SRN917528 TBJ917528 TLF917528 TVB917528 UEX917528 UOT917528 UYP917528 VIL917528 VSH917528 WCD917528 WLZ917528 WVV917528 N983064 JJ983064 TF983064 ADB983064 AMX983064 AWT983064 BGP983064 BQL983064 CAH983064 CKD983064 CTZ983064 DDV983064 DNR983064 DXN983064 EHJ983064 ERF983064 FBB983064 FKX983064 FUT983064 GEP983064 GOL983064 GYH983064 HID983064 HRZ983064 IBV983064 ILR983064 IVN983064 JFJ983064 JPF983064 JZB983064 KIX983064 KST983064 LCP983064 LML983064 LWH983064 MGD983064 MPZ983064 MZV983064 NJR983064 NTN983064 ODJ983064 ONF983064 OXB983064 PGX983064 PQT983064 QAP983064 QKL983064 QUH983064 RED983064 RNZ983064 RXV983064 SHR983064 SRN983064 TBJ983064 TLF983064 TVB983064 UEX983064 UOT983064 UYP983064 VIL983064 VSH983064 WCD983064 WLZ983064 WVV983064" xr:uid="{00000000-0002-0000-0500-000004000000}"/>
    <dataValidation type="list" allowBlank="1" showInputMessage="1" showErrorMessage="1" sqref="I10:P10 WVQ983050:WVX983050 WLU983050:WMB983050 WBY983050:WCF983050 VSC983050:VSJ983050 VIG983050:VIN983050 UYK983050:UYR983050 UOO983050:UOV983050 UES983050:UEZ983050 TUW983050:TVD983050 TLA983050:TLH983050 TBE983050:TBL983050 SRI983050:SRP983050 SHM983050:SHT983050 RXQ983050:RXX983050 RNU983050:ROB983050 RDY983050:REF983050 QUC983050:QUJ983050 QKG983050:QKN983050 QAK983050:QAR983050 PQO983050:PQV983050 PGS983050:PGZ983050 OWW983050:OXD983050 ONA983050:ONH983050 ODE983050:ODL983050 NTI983050:NTP983050 NJM983050:NJT983050 MZQ983050:MZX983050 MPU983050:MQB983050 MFY983050:MGF983050 LWC983050:LWJ983050 LMG983050:LMN983050 LCK983050:LCR983050 KSO983050:KSV983050 KIS983050:KIZ983050 JYW983050:JZD983050 JPA983050:JPH983050 JFE983050:JFL983050 IVI983050:IVP983050 ILM983050:ILT983050 IBQ983050:IBX983050 HRU983050:HSB983050 HHY983050:HIF983050 GYC983050:GYJ983050 GOG983050:GON983050 GEK983050:GER983050 FUO983050:FUV983050 FKS983050:FKZ983050 FAW983050:FBD983050 ERA983050:ERH983050 EHE983050:EHL983050 DXI983050:DXP983050 DNM983050:DNT983050 DDQ983050:DDX983050 CTU983050:CUB983050 CJY983050:CKF983050 CAC983050:CAJ983050 BQG983050:BQN983050 BGK983050:BGR983050 AWO983050:AWV983050 AMS983050:AMZ983050 ACW983050:ADD983050 TA983050:TH983050 JE983050:JL983050 I983050:P983050 WVQ917514:WVX917514 WLU917514:WMB917514 WBY917514:WCF917514 VSC917514:VSJ917514 VIG917514:VIN917514 UYK917514:UYR917514 UOO917514:UOV917514 UES917514:UEZ917514 TUW917514:TVD917514 TLA917514:TLH917514 TBE917514:TBL917514 SRI917514:SRP917514 SHM917514:SHT917514 RXQ917514:RXX917514 RNU917514:ROB917514 RDY917514:REF917514 QUC917514:QUJ917514 QKG917514:QKN917514 QAK917514:QAR917514 PQO917514:PQV917514 PGS917514:PGZ917514 OWW917514:OXD917514 ONA917514:ONH917514 ODE917514:ODL917514 NTI917514:NTP917514 NJM917514:NJT917514 MZQ917514:MZX917514 MPU917514:MQB917514 MFY917514:MGF917514 LWC917514:LWJ917514 LMG917514:LMN917514 LCK917514:LCR917514 KSO917514:KSV917514 KIS917514:KIZ917514 JYW917514:JZD917514 JPA917514:JPH917514 JFE917514:JFL917514 IVI917514:IVP917514 ILM917514:ILT917514 IBQ917514:IBX917514 HRU917514:HSB917514 HHY917514:HIF917514 GYC917514:GYJ917514 GOG917514:GON917514 GEK917514:GER917514 FUO917514:FUV917514 FKS917514:FKZ917514 FAW917514:FBD917514 ERA917514:ERH917514 EHE917514:EHL917514 DXI917514:DXP917514 DNM917514:DNT917514 DDQ917514:DDX917514 CTU917514:CUB917514 CJY917514:CKF917514 CAC917514:CAJ917514 BQG917514:BQN917514 BGK917514:BGR917514 AWO917514:AWV917514 AMS917514:AMZ917514 ACW917514:ADD917514 TA917514:TH917514 JE917514:JL917514 I917514:P917514 WVQ851978:WVX851978 WLU851978:WMB851978 WBY851978:WCF851978 VSC851978:VSJ851978 VIG851978:VIN851978 UYK851978:UYR851978 UOO851978:UOV851978 UES851978:UEZ851978 TUW851978:TVD851978 TLA851978:TLH851978 TBE851978:TBL851978 SRI851978:SRP851978 SHM851978:SHT851978 RXQ851978:RXX851978 RNU851978:ROB851978 RDY851978:REF851978 QUC851978:QUJ851978 QKG851978:QKN851978 QAK851978:QAR851978 PQO851978:PQV851978 PGS851978:PGZ851978 OWW851978:OXD851978 ONA851978:ONH851978 ODE851978:ODL851978 NTI851978:NTP851978 NJM851978:NJT851978 MZQ851978:MZX851978 MPU851978:MQB851978 MFY851978:MGF851978 LWC851978:LWJ851978 LMG851978:LMN851978 LCK851978:LCR851978 KSO851978:KSV851978 KIS851978:KIZ851978 JYW851978:JZD851978 JPA851978:JPH851978 JFE851978:JFL851978 IVI851978:IVP851978 ILM851978:ILT851978 IBQ851978:IBX851978 HRU851978:HSB851978 HHY851978:HIF851978 GYC851978:GYJ851978 GOG851978:GON851978 GEK851978:GER851978 FUO851978:FUV851978 FKS851978:FKZ851978 FAW851978:FBD851978 ERA851978:ERH851978 EHE851978:EHL851978 DXI851978:DXP851978 DNM851978:DNT851978 DDQ851978:DDX851978 CTU851978:CUB851978 CJY851978:CKF851978 CAC851978:CAJ851978 BQG851978:BQN851978 BGK851978:BGR851978 AWO851978:AWV851978 AMS851978:AMZ851978 ACW851978:ADD851978 TA851978:TH851978 JE851978:JL851978 I851978:P851978 WVQ786442:WVX786442 WLU786442:WMB786442 WBY786442:WCF786442 VSC786442:VSJ786442 VIG786442:VIN786442 UYK786442:UYR786442 UOO786442:UOV786442 UES786442:UEZ786442 TUW786442:TVD786442 TLA786442:TLH786442 TBE786442:TBL786442 SRI786442:SRP786442 SHM786442:SHT786442 RXQ786442:RXX786442 RNU786442:ROB786442 RDY786442:REF786442 QUC786442:QUJ786442 QKG786442:QKN786442 QAK786442:QAR786442 PQO786442:PQV786442 PGS786442:PGZ786442 OWW786442:OXD786442 ONA786442:ONH786442 ODE786442:ODL786442 NTI786442:NTP786442 NJM786442:NJT786442 MZQ786442:MZX786442 MPU786442:MQB786442 MFY786442:MGF786442 LWC786442:LWJ786442 LMG786442:LMN786442 LCK786442:LCR786442 KSO786442:KSV786442 KIS786442:KIZ786442 JYW786442:JZD786442 JPA786442:JPH786442 JFE786442:JFL786442 IVI786442:IVP786442 ILM786442:ILT786442 IBQ786442:IBX786442 HRU786442:HSB786442 HHY786442:HIF786442 GYC786442:GYJ786442 GOG786442:GON786442 GEK786442:GER786442 FUO786442:FUV786442 FKS786442:FKZ786442 FAW786442:FBD786442 ERA786442:ERH786442 EHE786442:EHL786442 DXI786442:DXP786442 DNM786442:DNT786442 DDQ786442:DDX786442 CTU786442:CUB786442 CJY786442:CKF786442 CAC786442:CAJ786442 BQG786442:BQN786442 BGK786442:BGR786442 AWO786442:AWV786442 AMS786442:AMZ786442 ACW786442:ADD786442 TA786442:TH786442 JE786442:JL786442 I786442:P786442 WVQ720906:WVX720906 WLU720906:WMB720906 WBY720906:WCF720906 VSC720906:VSJ720906 VIG720906:VIN720906 UYK720906:UYR720906 UOO720906:UOV720906 UES720906:UEZ720906 TUW720906:TVD720906 TLA720906:TLH720906 TBE720906:TBL720906 SRI720906:SRP720906 SHM720906:SHT720906 RXQ720906:RXX720906 RNU720906:ROB720906 RDY720906:REF720906 QUC720906:QUJ720906 QKG720906:QKN720906 QAK720906:QAR720906 PQO720906:PQV720906 PGS720906:PGZ720906 OWW720906:OXD720906 ONA720906:ONH720906 ODE720906:ODL720906 NTI720906:NTP720906 NJM720906:NJT720906 MZQ720906:MZX720906 MPU720906:MQB720906 MFY720906:MGF720906 LWC720906:LWJ720906 LMG720906:LMN720906 LCK720906:LCR720906 KSO720906:KSV720906 KIS720906:KIZ720906 JYW720906:JZD720906 JPA720906:JPH720906 JFE720906:JFL720906 IVI720906:IVP720906 ILM720906:ILT720906 IBQ720906:IBX720906 HRU720906:HSB720906 HHY720906:HIF720906 GYC720906:GYJ720906 GOG720906:GON720906 GEK720906:GER720906 FUO720906:FUV720906 FKS720906:FKZ720906 FAW720906:FBD720906 ERA720906:ERH720906 EHE720906:EHL720906 DXI720906:DXP720906 DNM720906:DNT720906 DDQ720906:DDX720906 CTU720906:CUB720906 CJY720906:CKF720906 CAC720906:CAJ720906 BQG720906:BQN720906 BGK720906:BGR720906 AWO720906:AWV720906 AMS720906:AMZ720906 ACW720906:ADD720906 TA720906:TH720906 JE720906:JL720906 I720906:P720906 WVQ655370:WVX655370 WLU655370:WMB655370 WBY655370:WCF655370 VSC655370:VSJ655370 VIG655370:VIN655370 UYK655370:UYR655370 UOO655370:UOV655370 UES655370:UEZ655370 TUW655370:TVD655370 TLA655370:TLH655370 TBE655370:TBL655370 SRI655370:SRP655370 SHM655370:SHT655370 RXQ655370:RXX655370 RNU655370:ROB655370 RDY655370:REF655370 QUC655370:QUJ655370 QKG655370:QKN655370 QAK655370:QAR655370 PQO655370:PQV655370 PGS655370:PGZ655370 OWW655370:OXD655370 ONA655370:ONH655370 ODE655370:ODL655370 NTI655370:NTP655370 NJM655370:NJT655370 MZQ655370:MZX655370 MPU655370:MQB655370 MFY655370:MGF655370 LWC655370:LWJ655370 LMG655370:LMN655370 LCK655370:LCR655370 KSO655370:KSV655370 KIS655370:KIZ655370 JYW655370:JZD655370 JPA655370:JPH655370 JFE655370:JFL655370 IVI655370:IVP655370 ILM655370:ILT655370 IBQ655370:IBX655370 HRU655370:HSB655370 HHY655370:HIF655370 GYC655370:GYJ655370 GOG655370:GON655370 GEK655370:GER655370 FUO655370:FUV655370 FKS655370:FKZ655370 FAW655370:FBD655370 ERA655370:ERH655370 EHE655370:EHL655370 DXI655370:DXP655370 DNM655370:DNT655370 DDQ655370:DDX655370 CTU655370:CUB655370 CJY655370:CKF655370 CAC655370:CAJ655370 BQG655370:BQN655370 BGK655370:BGR655370 AWO655370:AWV655370 AMS655370:AMZ655370 ACW655370:ADD655370 TA655370:TH655370 JE655370:JL655370 I655370:P655370 WVQ589834:WVX589834 WLU589834:WMB589834 WBY589834:WCF589834 VSC589834:VSJ589834 VIG589834:VIN589834 UYK589834:UYR589834 UOO589834:UOV589834 UES589834:UEZ589834 TUW589834:TVD589834 TLA589834:TLH589834 TBE589834:TBL589834 SRI589834:SRP589834 SHM589834:SHT589834 RXQ589834:RXX589834 RNU589834:ROB589834 RDY589834:REF589834 QUC589834:QUJ589834 QKG589834:QKN589834 QAK589834:QAR589834 PQO589834:PQV589834 PGS589834:PGZ589834 OWW589834:OXD589834 ONA589834:ONH589834 ODE589834:ODL589834 NTI589834:NTP589834 NJM589834:NJT589834 MZQ589834:MZX589834 MPU589834:MQB589834 MFY589834:MGF589834 LWC589834:LWJ589834 LMG589834:LMN589834 LCK589834:LCR589834 KSO589834:KSV589834 KIS589834:KIZ589834 JYW589834:JZD589834 JPA589834:JPH589834 JFE589834:JFL589834 IVI589834:IVP589834 ILM589834:ILT589834 IBQ589834:IBX589834 HRU589834:HSB589834 HHY589834:HIF589834 GYC589834:GYJ589834 GOG589834:GON589834 GEK589834:GER589834 FUO589834:FUV589834 FKS589834:FKZ589834 FAW589834:FBD589834 ERA589834:ERH589834 EHE589834:EHL589834 DXI589834:DXP589834 DNM589834:DNT589834 DDQ589834:DDX589834 CTU589834:CUB589834 CJY589834:CKF589834 CAC589834:CAJ589834 BQG589834:BQN589834 BGK589834:BGR589834 AWO589834:AWV589834 AMS589834:AMZ589834 ACW589834:ADD589834 TA589834:TH589834 JE589834:JL589834 I589834:P589834 WVQ524298:WVX524298 WLU524298:WMB524298 WBY524298:WCF524298 VSC524298:VSJ524298 VIG524298:VIN524298 UYK524298:UYR524298 UOO524298:UOV524298 UES524298:UEZ524298 TUW524298:TVD524298 TLA524298:TLH524298 TBE524298:TBL524298 SRI524298:SRP524298 SHM524298:SHT524298 RXQ524298:RXX524298 RNU524298:ROB524298 RDY524298:REF524298 QUC524298:QUJ524298 QKG524298:QKN524298 QAK524298:QAR524298 PQO524298:PQV524298 PGS524298:PGZ524298 OWW524298:OXD524298 ONA524298:ONH524298 ODE524298:ODL524298 NTI524298:NTP524298 NJM524298:NJT524298 MZQ524298:MZX524298 MPU524298:MQB524298 MFY524298:MGF524298 LWC524298:LWJ524298 LMG524298:LMN524298 LCK524298:LCR524298 KSO524298:KSV524298 KIS524298:KIZ524298 JYW524298:JZD524298 JPA524298:JPH524298 JFE524298:JFL524298 IVI524298:IVP524298 ILM524298:ILT524298 IBQ524298:IBX524298 HRU524298:HSB524298 HHY524298:HIF524298 GYC524298:GYJ524298 GOG524298:GON524298 GEK524298:GER524298 FUO524298:FUV524298 FKS524298:FKZ524298 FAW524298:FBD524298 ERA524298:ERH524298 EHE524298:EHL524298 DXI524298:DXP524298 DNM524298:DNT524298 DDQ524298:DDX524298 CTU524298:CUB524298 CJY524298:CKF524298 CAC524298:CAJ524298 BQG524298:BQN524298 BGK524298:BGR524298 AWO524298:AWV524298 AMS524298:AMZ524298 ACW524298:ADD524298 TA524298:TH524298 JE524298:JL524298 I524298:P524298 WVQ458762:WVX458762 WLU458762:WMB458762 WBY458762:WCF458762 VSC458762:VSJ458762 VIG458762:VIN458762 UYK458762:UYR458762 UOO458762:UOV458762 UES458762:UEZ458762 TUW458762:TVD458762 TLA458762:TLH458762 TBE458762:TBL458762 SRI458762:SRP458762 SHM458762:SHT458762 RXQ458762:RXX458762 RNU458762:ROB458762 RDY458762:REF458762 QUC458762:QUJ458762 QKG458762:QKN458762 QAK458762:QAR458762 PQO458762:PQV458762 PGS458762:PGZ458762 OWW458762:OXD458762 ONA458762:ONH458762 ODE458762:ODL458762 NTI458762:NTP458762 NJM458762:NJT458762 MZQ458762:MZX458762 MPU458762:MQB458762 MFY458762:MGF458762 LWC458762:LWJ458762 LMG458762:LMN458762 LCK458762:LCR458762 KSO458762:KSV458762 KIS458762:KIZ458762 JYW458762:JZD458762 JPA458762:JPH458762 JFE458762:JFL458762 IVI458762:IVP458762 ILM458762:ILT458762 IBQ458762:IBX458762 HRU458762:HSB458762 HHY458762:HIF458762 GYC458762:GYJ458762 GOG458762:GON458762 GEK458762:GER458762 FUO458762:FUV458762 FKS458762:FKZ458762 FAW458762:FBD458762 ERA458762:ERH458762 EHE458762:EHL458762 DXI458762:DXP458762 DNM458762:DNT458762 DDQ458762:DDX458762 CTU458762:CUB458762 CJY458762:CKF458762 CAC458762:CAJ458762 BQG458762:BQN458762 BGK458762:BGR458762 AWO458762:AWV458762 AMS458762:AMZ458762 ACW458762:ADD458762 TA458762:TH458762 JE458762:JL458762 I458762:P458762 WVQ393226:WVX393226 WLU393226:WMB393226 WBY393226:WCF393226 VSC393226:VSJ393226 VIG393226:VIN393226 UYK393226:UYR393226 UOO393226:UOV393226 UES393226:UEZ393226 TUW393226:TVD393226 TLA393226:TLH393226 TBE393226:TBL393226 SRI393226:SRP393226 SHM393226:SHT393226 RXQ393226:RXX393226 RNU393226:ROB393226 RDY393226:REF393226 QUC393226:QUJ393226 QKG393226:QKN393226 QAK393226:QAR393226 PQO393226:PQV393226 PGS393226:PGZ393226 OWW393226:OXD393226 ONA393226:ONH393226 ODE393226:ODL393226 NTI393226:NTP393226 NJM393226:NJT393226 MZQ393226:MZX393226 MPU393226:MQB393226 MFY393226:MGF393226 LWC393226:LWJ393226 LMG393226:LMN393226 LCK393226:LCR393226 KSO393226:KSV393226 KIS393226:KIZ393226 JYW393226:JZD393226 JPA393226:JPH393226 JFE393226:JFL393226 IVI393226:IVP393226 ILM393226:ILT393226 IBQ393226:IBX393226 HRU393226:HSB393226 HHY393226:HIF393226 GYC393226:GYJ393226 GOG393226:GON393226 GEK393226:GER393226 FUO393226:FUV393226 FKS393226:FKZ393226 FAW393226:FBD393226 ERA393226:ERH393226 EHE393226:EHL393226 DXI393226:DXP393226 DNM393226:DNT393226 DDQ393226:DDX393226 CTU393226:CUB393226 CJY393226:CKF393226 CAC393226:CAJ393226 BQG393226:BQN393226 BGK393226:BGR393226 AWO393226:AWV393226 AMS393226:AMZ393226 ACW393226:ADD393226 TA393226:TH393226 JE393226:JL393226 I393226:P393226 WVQ327690:WVX327690 WLU327690:WMB327690 WBY327690:WCF327690 VSC327690:VSJ327690 VIG327690:VIN327690 UYK327690:UYR327690 UOO327690:UOV327690 UES327690:UEZ327690 TUW327690:TVD327690 TLA327690:TLH327690 TBE327690:TBL327690 SRI327690:SRP327690 SHM327690:SHT327690 RXQ327690:RXX327690 RNU327690:ROB327690 RDY327690:REF327690 QUC327690:QUJ327690 QKG327690:QKN327690 QAK327690:QAR327690 PQO327690:PQV327690 PGS327690:PGZ327690 OWW327690:OXD327690 ONA327690:ONH327690 ODE327690:ODL327690 NTI327690:NTP327690 NJM327690:NJT327690 MZQ327690:MZX327690 MPU327690:MQB327690 MFY327690:MGF327690 LWC327690:LWJ327690 LMG327690:LMN327690 LCK327690:LCR327690 KSO327690:KSV327690 KIS327690:KIZ327690 JYW327690:JZD327690 JPA327690:JPH327690 JFE327690:JFL327690 IVI327690:IVP327690 ILM327690:ILT327690 IBQ327690:IBX327690 HRU327690:HSB327690 HHY327690:HIF327690 GYC327690:GYJ327690 GOG327690:GON327690 GEK327690:GER327690 FUO327690:FUV327690 FKS327690:FKZ327690 FAW327690:FBD327690 ERA327690:ERH327690 EHE327690:EHL327690 DXI327690:DXP327690 DNM327690:DNT327690 DDQ327690:DDX327690 CTU327690:CUB327690 CJY327690:CKF327690 CAC327690:CAJ327690 BQG327690:BQN327690 BGK327690:BGR327690 AWO327690:AWV327690 AMS327690:AMZ327690 ACW327690:ADD327690 TA327690:TH327690 JE327690:JL327690 I327690:P327690 WVQ262154:WVX262154 WLU262154:WMB262154 WBY262154:WCF262154 VSC262154:VSJ262154 VIG262154:VIN262154 UYK262154:UYR262154 UOO262154:UOV262154 UES262154:UEZ262154 TUW262154:TVD262154 TLA262154:TLH262154 TBE262154:TBL262154 SRI262154:SRP262154 SHM262154:SHT262154 RXQ262154:RXX262154 RNU262154:ROB262154 RDY262154:REF262154 QUC262154:QUJ262154 QKG262154:QKN262154 QAK262154:QAR262154 PQO262154:PQV262154 PGS262154:PGZ262154 OWW262154:OXD262154 ONA262154:ONH262154 ODE262154:ODL262154 NTI262154:NTP262154 NJM262154:NJT262154 MZQ262154:MZX262154 MPU262154:MQB262154 MFY262154:MGF262154 LWC262154:LWJ262154 LMG262154:LMN262154 LCK262154:LCR262154 KSO262154:KSV262154 KIS262154:KIZ262154 JYW262154:JZD262154 JPA262154:JPH262154 JFE262154:JFL262154 IVI262154:IVP262154 ILM262154:ILT262154 IBQ262154:IBX262154 HRU262154:HSB262154 HHY262154:HIF262154 GYC262154:GYJ262154 GOG262154:GON262154 GEK262154:GER262154 FUO262154:FUV262154 FKS262154:FKZ262154 FAW262154:FBD262154 ERA262154:ERH262154 EHE262154:EHL262154 DXI262154:DXP262154 DNM262154:DNT262154 DDQ262154:DDX262154 CTU262154:CUB262154 CJY262154:CKF262154 CAC262154:CAJ262154 BQG262154:BQN262154 BGK262154:BGR262154 AWO262154:AWV262154 AMS262154:AMZ262154 ACW262154:ADD262154 TA262154:TH262154 JE262154:JL262154 I262154:P262154 WVQ196618:WVX196618 WLU196618:WMB196618 WBY196618:WCF196618 VSC196618:VSJ196618 VIG196618:VIN196618 UYK196618:UYR196618 UOO196618:UOV196618 UES196618:UEZ196618 TUW196618:TVD196618 TLA196618:TLH196618 TBE196618:TBL196618 SRI196618:SRP196618 SHM196618:SHT196618 RXQ196618:RXX196618 RNU196618:ROB196618 RDY196618:REF196618 QUC196618:QUJ196618 QKG196618:QKN196618 QAK196618:QAR196618 PQO196618:PQV196618 PGS196618:PGZ196618 OWW196618:OXD196618 ONA196618:ONH196618 ODE196618:ODL196618 NTI196618:NTP196618 NJM196618:NJT196618 MZQ196618:MZX196618 MPU196618:MQB196618 MFY196618:MGF196618 LWC196618:LWJ196618 LMG196618:LMN196618 LCK196618:LCR196618 KSO196618:KSV196618 KIS196618:KIZ196618 JYW196618:JZD196618 JPA196618:JPH196618 JFE196618:JFL196618 IVI196618:IVP196618 ILM196618:ILT196618 IBQ196618:IBX196618 HRU196618:HSB196618 HHY196618:HIF196618 GYC196618:GYJ196618 GOG196618:GON196618 GEK196618:GER196618 FUO196618:FUV196618 FKS196618:FKZ196618 FAW196618:FBD196618 ERA196618:ERH196618 EHE196618:EHL196618 DXI196618:DXP196618 DNM196618:DNT196618 DDQ196618:DDX196618 CTU196618:CUB196618 CJY196618:CKF196618 CAC196618:CAJ196618 BQG196618:BQN196618 BGK196618:BGR196618 AWO196618:AWV196618 AMS196618:AMZ196618 ACW196618:ADD196618 TA196618:TH196618 JE196618:JL196618 I196618:P196618 WVQ131082:WVX131082 WLU131082:WMB131082 WBY131082:WCF131082 VSC131082:VSJ131082 VIG131082:VIN131082 UYK131082:UYR131082 UOO131082:UOV131082 UES131082:UEZ131082 TUW131082:TVD131082 TLA131082:TLH131082 TBE131082:TBL131082 SRI131082:SRP131082 SHM131082:SHT131082 RXQ131082:RXX131082 RNU131082:ROB131082 RDY131082:REF131082 QUC131082:QUJ131082 QKG131082:QKN131082 QAK131082:QAR131082 PQO131082:PQV131082 PGS131082:PGZ131082 OWW131082:OXD131082 ONA131082:ONH131082 ODE131082:ODL131082 NTI131082:NTP131082 NJM131082:NJT131082 MZQ131082:MZX131082 MPU131082:MQB131082 MFY131082:MGF131082 LWC131082:LWJ131082 LMG131082:LMN131082 LCK131082:LCR131082 KSO131082:KSV131082 KIS131082:KIZ131082 JYW131082:JZD131082 JPA131082:JPH131082 JFE131082:JFL131082 IVI131082:IVP131082 ILM131082:ILT131082 IBQ131082:IBX131082 HRU131082:HSB131082 HHY131082:HIF131082 GYC131082:GYJ131082 GOG131082:GON131082 GEK131082:GER131082 FUO131082:FUV131082 FKS131082:FKZ131082 FAW131082:FBD131082 ERA131082:ERH131082 EHE131082:EHL131082 DXI131082:DXP131082 DNM131082:DNT131082 DDQ131082:DDX131082 CTU131082:CUB131082 CJY131082:CKF131082 CAC131082:CAJ131082 BQG131082:BQN131082 BGK131082:BGR131082 AWO131082:AWV131082 AMS131082:AMZ131082 ACW131082:ADD131082 TA131082:TH131082 JE131082:JL131082 I131082:P131082 WVQ65546:WVX65546 WLU65546:WMB65546 WBY65546:WCF65546 VSC65546:VSJ65546 VIG65546:VIN65546 UYK65546:UYR65546 UOO65546:UOV65546 UES65546:UEZ65546 TUW65546:TVD65546 TLA65546:TLH65546 TBE65546:TBL65546 SRI65546:SRP65546 SHM65546:SHT65546 RXQ65546:RXX65546 RNU65546:ROB65546 RDY65546:REF65546 QUC65546:QUJ65546 QKG65546:QKN65546 QAK65546:QAR65546 PQO65546:PQV65546 PGS65546:PGZ65546 OWW65546:OXD65546 ONA65546:ONH65546 ODE65546:ODL65546 NTI65546:NTP65546 NJM65546:NJT65546 MZQ65546:MZX65546 MPU65546:MQB65546 MFY65546:MGF65546 LWC65546:LWJ65546 LMG65546:LMN65546 LCK65546:LCR65546 KSO65546:KSV65546 KIS65546:KIZ65546 JYW65546:JZD65546 JPA65546:JPH65546 JFE65546:JFL65546 IVI65546:IVP65546 ILM65546:ILT65546 IBQ65546:IBX65546 HRU65546:HSB65546 HHY65546:HIF65546 GYC65546:GYJ65546 GOG65546:GON65546 GEK65546:GER65546 FUO65546:FUV65546 FKS65546:FKZ65546 FAW65546:FBD65546 ERA65546:ERH65546 EHE65546:EHL65546 DXI65546:DXP65546 DNM65546:DNT65546 DDQ65546:DDX65546 CTU65546:CUB65546 CJY65546:CKF65546 CAC65546:CAJ65546 BQG65546:BQN65546 BGK65546:BGR65546 AWO65546:AWV65546 AMS65546:AMZ65546 ACW65546:ADD65546 TA65546:TH65546 JE65546:JL65546 I65546:P65546 WVQ10:WVX10 WLU10:WMB10 WBY10:WCF10 VSC10:VSJ10 VIG10:VIN10 UYK10:UYR10 UOO10:UOV10 UES10:UEZ10 TUW10:TVD10 TLA10:TLH10 TBE10:TBL10 SRI10:SRP10 SHM10:SHT10 RXQ10:RXX10 RNU10:ROB10 RDY10:REF10 QUC10:QUJ10 QKG10:QKN10 QAK10:QAR10 PQO10:PQV10 PGS10:PGZ10 OWW10:OXD10 ONA10:ONH10 ODE10:ODL10 NTI10:NTP10 NJM10:NJT10 MZQ10:MZX10 MPU10:MQB10 MFY10:MGF10 LWC10:LWJ10 LMG10:LMN10 LCK10:LCR10 KSO10:KSV10 KIS10:KIZ10 JYW10:JZD10 JPA10:JPH10 JFE10:JFL10 IVI10:IVP10 ILM10:ILT10 IBQ10:IBX10 HRU10:HSB10 HHY10:HIF10 GYC10:GYJ10 GOG10:GON10 GEK10:GER10 FUO10:FUV10 FKS10:FKZ10 FAW10:FBD10 ERA10:ERH10 EHE10:EHL10 DXI10:DXP10 DNM10:DNT10 DDQ10:DDX10 CTU10:CUB10 CJY10:CKF10 CAC10:CAJ10 BQG10:BQN10 BGK10:BGR10 AWO10:AWV10 AMS10:AMZ10 ACW10:ADD10 TA10:TH10 JE10:JL10" xr:uid="{00000000-0002-0000-0500-000005000000}">
      <formula1>$A$51:$A$58</formula1>
    </dataValidation>
  </dataValidations>
  <pageMargins left="0.511811024" right="0.511811024" top="0.78740157499999996" bottom="0.78740157499999996" header="0.31496062000000002" footer="0.31496062000000002"/>
  <pageSetup paperSize="9" scale="82"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5"/>
  <sheetViews>
    <sheetView workbookViewId="0">
      <selection activeCell="J11" sqref="J11"/>
    </sheetView>
  </sheetViews>
  <sheetFormatPr defaultColWidth="9" defaultRowHeight="13.8" x14ac:dyDescent="0.25"/>
  <cols>
    <col min="1" max="2" width="10" bestFit="1" customWidth="1"/>
    <col min="3" max="3" width="60" bestFit="1" customWidth="1"/>
    <col min="4" max="4" width="11.296875" customWidth="1"/>
    <col min="5" max="5" width="7.5" customWidth="1"/>
    <col min="6" max="6" width="13" bestFit="1" customWidth="1"/>
    <col min="7" max="7" width="2.19921875" customWidth="1"/>
    <col min="8" max="8" width="13" bestFit="1" customWidth="1"/>
    <col min="9" max="9" width="1.69921875" customWidth="1"/>
    <col min="10" max="10" width="13" customWidth="1"/>
    <col min="11" max="11" width="1.69921875" customWidth="1"/>
    <col min="12" max="12" width="13" bestFit="1" customWidth="1"/>
    <col min="13" max="13" width="10.5" customWidth="1"/>
    <col min="14" max="14" width="11" customWidth="1"/>
    <col min="15" max="15" width="12.296875" customWidth="1"/>
    <col min="16" max="16" width="13" bestFit="1" customWidth="1"/>
    <col min="17" max="17" width="15" bestFit="1" customWidth="1"/>
  </cols>
  <sheetData>
    <row r="1" spans="1:17" x14ac:dyDescent="0.25">
      <c r="A1" s="2"/>
      <c r="B1" s="2"/>
      <c r="C1" s="2"/>
      <c r="D1" s="2"/>
      <c r="E1" s="193" t="s">
        <v>11</v>
      </c>
      <c r="F1" s="193"/>
      <c r="G1" s="193"/>
      <c r="H1" s="193" t="s">
        <v>12</v>
      </c>
      <c r="I1" s="193"/>
      <c r="J1" s="193"/>
      <c r="K1" s="193"/>
      <c r="L1" s="148"/>
      <c r="M1" s="148"/>
      <c r="N1" s="148"/>
      <c r="O1" s="148"/>
    </row>
    <row r="2" spans="1:17" ht="80.099999999999994" customHeight="1" x14ac:dyDescent="0.25">
      <c r="A2" s="3"/>
      <c r="B2" s="3"/>
      <c r="C2" s="3" t="str">
        <f>'Orçamento Sintético'!A2</f>
        <v>Obra: AMPLIAÇÃO 7 SALAS EMEIF PREF ANTONIO FILIER</v>
      </c>
      <c r="D2" s="3"/>
      <c r="E2" s="194">
        <f>[9]BDI!N27</f>
        <v>0.28820000000000001</v>
      </c>
      <c r="F2" s="136"/>
      <c r="G2" s="136"/>
      <c r="H2" s="136" t="s">
        <v>13</v>
      </c>
      <c r="I2" s="136"/>
      <c r="J2" s="136"/>
      <c r="K2" s="136"/>
      <c r="L2" s="148"/>
      <c r="M2" s="148"/>
      <c r="N2" s="148"/>
      <c r="O2" s="148"/>
    </row>
    <row r="3" spans="1:17" x14ac:dyDescent="0.25">
      <c r="A3" s="147" t="s">
        <v>99</v>
      </c>
      <c r="B3" s="148"/>
      <c r="C3" s="148"/>
      <c r="D3" s="148"/>
      <c r="E3" s="148"/>
      <c r="F3" s="148"/>
      <c r="G3" s="148"/>
      <c r="H3" s="148"/>
      <c r="I3" s="148"/>
      <c r="J3" s="148"/>
      <c r="K3" s="148"/>
      <c r="L3" s="148"/>
      <c r="M3" s="148"/>
      <c r="N3" s="148"/>
      <c r="O3" s="148"/>
      <c r="P3" s="148"/>
      <c r="Q3" s="148"/>
    </row>
    <row r="4" spans="1:17" ht="70.05" customHeight="1" x14ac:dyDescent="0.25">
      <c r="A4" s="9"/>
      <c r="B4" s="9"/>
      <c r="C4" s="9"/>
      <c r="D4" s="9"/>
      <c r="E4" s="9"/>
      <c r="F4" s="9"/>
      <c r="G4" s="9"/>
      <c r="H4" s="9"/>
      <c r="I4" s="9"/>
      <c r="J4" s="9"/>
      <c r="K4" s="9"/>
      <c r="L4" s="9"/>
      <c r="M4" s="9"/>
      <c r="N4" s="9"/>
      <c r="O4" s="9"/>
    </row>
    <row r="5" spans="1:17" x14ac:dyDescent="0.25">
      <c r="A5" s="192" t="s">
        <v>122</v>
      </c>
      <c r="B5" s="148"/>
      <c r="C5" s="148"/>
      <c r="D5" s="148"/>
      <c r="E5" s="148"/>
      <c r="F5" s="148"/>
      <c r="G5" s="148"/>
      <c r="H5" s="148"/>
      <c r="I5" s="148"/>
      <c r="J5" s="148"/>
      <c r="K5" s="148"/>
      <c r="L5" s="148"/>
      <c r="M5" s="148"/>
      <c r="N5" s="148"/>
      <c r="O5" s="148"/>
    </row>
  </sheetData>
  <mergeCells count="6">
    <mergeCell ref="A5:O5"/>
    <mergeCell ref="E1:G1"/>
    <mergeCell ref="H1:O1"/>
    <mergeCell ref="E2:G2"/>
    <mergeCell ref="H2:O2"/>
    <mergeCell ref="A3:Q3"/>
  </mergeCells>
  <pageMargins left="0.51181102362204722" right="0.51181102362204722" top="0.98425196850393704" bottom="0.98425196850393704" header="0.51181102362204722" footer="0.51181102362204722"/>
  <pageSetup paperSize="9" scale="48" fitToHeight="0" orientation="landscape" r:id="rId1"/>
  <headerFooter>
    <oddHeader xml:space="preserve">&amp;L &amp;C </oddHeader>
    <oddFooter>&amp;L &amp;C&amp;A &amp;R&amp;P de&amp;N</oddFooter>
  </headerFooter>
  <drawing r:id="rId2"/>
  <legacyDrawing r:id="rId3"/>
  <oleObjects>
    <mc:AlternateContent xmlns:mc="http://schemas.openxmlformats.org/markup-compatibility/2006">
      <mc:Choice Requires="x14">
        <oleObject progId="Paint.Picture" shapeId="17409" r:id="rId4">
          <objectPr defaultSize="0" autoPict="0" r:id="rId5">
            <anchor moveWithCells="1">
              <from>
                <xdr:col>8</xdr:col>
                <xdr:colOff>0</xdr:colOff>
                <xdr:row>1</xdr:row>
                <xdr:rowOff>457200</xdr:rowOff>
              </from>
              <to>
                <xdr:col>12</xdr:col>
                <xdr:colOff>495300</xdr:colOff>
                <xdr:row>2</xdr:row>
                <xdr:rowOff>175260</xdr:rowOff>
              </to>
            </anchor>
          </objectPr>
        </oleObject>
      </mc:Choice>
      <mc:Fallback>
        <oleObject progId="Paint.Picture" shapeId="17409"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8</vt:i4>
      </vt:variant>
    </vt:vector>
  </HeadingPairs>
  <TitlesOfParts>
    <vt:vector size="15" baseType="lpstr">
      <vt:lpstr>Orçamento Sintético</vt:lpstr>
      <vt:lpstr>Itens de relevância</vt:lpstr>
      <vt:lpstr>Memorial de Cálculo</vt:lpstr>
      <vt:lpstr>CROQUI BOTA-FORA</vt:lpstr>
      <vt:lpstr>CRONOG</vt:lpstr>
      <vt:lpstr>BDI</vt:lpstr>
      <vt:lpstr>Curva ABC de Insumos</vt:lpstr>
      <vt:lpstr>BDI!Area_de_impressao</vt:lpstr>
      <vt:lpstr>CRONOG!Area_de_impressao</vt:lpstr>
      <vt:lpstr>'CROQUI BOTA-FORA'!Area_de_impressao</vt:lpstr>
      <vt:lpstr>'Curva ABC de Insumos'!Area_de_impressao</vt:lpstr>
      <vt:lpstr>'Memorial de Cálculo'!Area_de_impressao</vt:lpstr>
      <vt:lpstr>'Orçamento Sintético'!Area_de_impressao</vt:lpstr>
      <vt:lpstr>'Memorial de Cálculo'!Titulos_de_impressao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Fernando Z. Topa</cp:lastModifiedBy>
  <cp:revision>0</cp:revision>
  <cp:lastPrinted>2025-05-14T11:29:03Z</cp:lastPrinted>
  <dcterms:created xsi:type="dcterms:W3CDTF">2020-04-13T11:45:09Z</dcterms:created>
  <dcterms:modified xsi:type="dcterms:W3CDTF">2025-05-14T11:29:10Z</dcterms:modified>
</cp:coreProperties>
</file>