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Default Extension="bin" ContentType="application/vnd.openxmlformats-officedocument.spreadsheetml.printerSettings"/>
  <Default Extension="png" ContentType="image/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EstaPasta_de_trabalho" defaultThemeVersion="124226"/>
  <bookViews>
    <workbookView xWindow="480" yWindow="135" windowWidth="20730" windowHeight="11760" tabRatio="933"/>
  </bookViews>
  <sheets>
    <sheet name="Resumo" sheetId="63" r:id="rId1"/>
    <sheet name="OS-Reservatório" sheetId="102" r:id="rId2"/>
    <sheet name="ME-Reservatório" sheetId="103" r:id="rId3"/>
    <sheet name="OS-Entrada" sheetId="92" r:id="rId4"/>
    <sheet name="ME-Entrada" sheetId="95" r:id="rId5"/>
    <sheet name="OS-Extravasor" sheetId="96" r:id="rId6"/>
    <sheet name="ME-Extravasor" sheetId="98" r:id="rId7"/>
    <sheet name="OS-Saída" sheetId="99" r:id="rId8"/>
    <sheet name="ME-Saída" sheetId="101" r:id="rId9"/>
    <sheet name="OS-Respiro" sheetId="87" r:id="rId10"/>
    <sheet name="ME-Respiro" sheetId="77" r:id="rId11"/>
    <sheet name="OS-Canteiro" sheetId="104" r:id="rId12"/>
    <sheet name="Cronograma " sheetId="64" r:id="rId13"/>
    <sheet name="Q-Entrada" sheetId="91" r:id="rId14"/>
    <sheet name="Q-CX-Entrada" sheetId="85" r:id="rId15"/>
    <sheet name="Q-Bloco Apoio" sheetId="93" r:id="rId16"/>
    <sheet name="Q-Extravasor" sheetId="97" r:id="rId17"/>
    <sheet name="Q-CX-Extravasor" sheetId="83" r:id="rId18"/>
    <sheet name="Q-Saída" sheetId="100" r:id="rId19"/>
    <sheet name="Q-Canteiro" sheetId="105" r:id="rId20"/>
    <sheet name="CX-Entrada" sheetId="86" r:id="rId21"/>
    <sheet name="BL-Apoio" sheetId="94" r:id="rId22"/>
    <sheet name="PROT-FL" sheetId="89" r:id="rId23"/>
    <sheet name="MNT-01" sheetId="75" r:id="rId24"/>
    <sheet name="CX-Extravasor" sheetId="84" r:id="rId25"/>
    <sheet name="SUP-01" sheetId="79" r:id="rId26"/>
    <sheet name="SUP-02" sheetId="80" r:id="rId27"/>
    <sheet name="OPER-01" sheetId="106" r:id="rId28"/>
    <sheet name="E-001" sheetId="110" r:id="rId29"/>
    <sheet name="E-002" sheetId="107" r:id="rId30"/>
    <sheet name="E-003" sheetId="108" r:id="rId31"/>
    <sheet name="E-004" sheetId="109" r:id="rId32"/>
    <sheet name="Resumo Preços" sheetId="76" r:id="rId33"/>
  </sheets>
  <externalReferences>
    <externalReference r:id="rId34"/>
    <externalReference r:id="rId35"/>
    <externalReference r:id="rId36"/>
    <externalReference r:id="rId37"/>
  </externalReferences>
  <definedNames>
    <definedName name="A" localSheetId="32" hidden="1">'[1]BDI Com'!$C$44</definedName>
    <definedName name="A" hidden="1">'[1]BDI Com'!$C$44</definedName>
    <definedName name="_xlnm.Print_Area" localSheetId="21">'BL-Apoio'!$B$3:$H$20</definedName>
    <definedName name="_xlnm.Print_Area" localSheetId="12">'Cronograma '!$B$2:$W$27</definedName>
    <definedName name="_xlnm.Print_Area" localSheetId="20">'CX-Entrada'!$B$3:$H$35</definedName>
    <definedName name="_xlnm.Print_Area" localSheetId="24">'CX-Extravasor'!$B$3:$H$37</definedName>
    <definedName name="_xlnm.Print_Area" localSheetId="28">'E-001'!$B$3:$H$30</definedName>
    <definedName name="_xlnm.Print_Area" localSheetId="29">'E-002'!$B$3:$H$30</definedName>
    <definedName name="_xlnm.Print_Area" localSheetId="30">'E-003'!$B$3:$H$25</definedName>
    <definedName name="_xlnm.Print_Area" localSheetId="31">'E-004'!$B$3:$H$28</definedName>
    <definedName name="_xlnm.Print_Area" localSheetId="4">'ME-Entrada'!$B$2:$K$48</definedName>
    <definedName name="_xlnm.Print_Area" localSheetId="6">'ME-Extravasor'!$B$2:$K$37</definedName>
    <definedName name="_xlnm.Print_Area" localSheetId="2">'ME-Reservatório'!$B$2:$K$72</definedName>
    <definedName name="_xlnm.Print_Area" localSheetId="10">'ME-Respiro'!$B$2:$K$24</definedName>
    <definedName name="_xlnm.Print_Area" localSheetId="8">'ME-Saída'!$B$2:$K$32</definedName>
    <definedName name="_xlnm.Print_Area" localSheetId="23">'MNT-01'!$B$3:$H$26</definedName>
    <definedName name="_xlnm.Print_Area" localSheetId="27">'OPER-01'!$B$3:$H$60</definedName>
    <definedName name="_xlnm.Print_Area" localSheetId="11">'OS-Canteiro'!$B$2:$K$34</definedName>
    <definedName name="_xlnm.Print_Area" localSheetId="3">'OS-Entrada'!$B$2:$K$86</definedName>
    <definedName name="_xlnm.Print_Area" localSheetId="5">'OS-Extravasor'!$B$2:$K$91</definedName>
    <definedName name="_xlnm.Print_Area" localSheetId="1">'OS-Reservatório'!$B$2:$K$31</definedName>
    <definedName name="_xlnm.Print_Area" localSheetId="9">'OS-Respiro'!$B$2:$K$25</definedName>
    <definedName name="_xlnm.Print_Area" localSheetId="7">'OS-Saída'!$B$2:$K$86</definedName>
    <definedName name="_xlnm.Print_Area" localSheetId="22">'PROT-FL'!$B$3:$H$28</definedName>
    <definedName name="_xlnm.Print_Area" localSheetId="15">'Q-Bloco Apoio'!$B$2:$D$45</definedName>
    <definedName name="_xlnm.Print_Area" localSheetId="19">'Q-Canteiro'!$B$2:$D$72</definedName>
    <definedName name="_xlnm.Print_Area" localSheetId="14">'Q-CX-Entrada'!$B$2:$D$240</definedName>
    <definedName name="_xlnm.Print_Area" localSheetId="17">'Q-CX-Extravasor'!$B$2:$D$256</definedName>
    <definedName name="_xlnm.Print_Area" localSheetId="13">'Q-Entrada'!$A$4:$BL$23</definedName>
    <definedName name="_xlnm.Print_Area" localSheetId="16">'Q-Extravasor'!$A$4:$BL$40</definedName>
    <definedName name="_xlnm.Print_Area" localSheetId="18">'Q-Saída'!$A$4:$BL$23</definedName>
    <definedName name="_xlnm.Print_Area" localSheetId="0">Resumo!$B$2:$K$44</definedName>
    <definedName name="_xlnm.Print_Area" localSheetId="32">'Resumo Preços'!$C$3:$L$66</definedName>
    <definedName name="_xlnm.Print_Area" localSheetId="25">'SUP-01'!$B$3:$H$34</definedName>
    <definedName name="_xlnm.Print_Area" localSheetId="26">'SUP-02'!$B$3:$H$34</definedName>
    <definedName name="BDI_1" localSheetId="21" hidden="1">'[2]BDI Com'!$C$44</definedName>
    <definedName name="BDI_1" localSheetId="12" hidden="1">'[1]BDI Com'!$C$44</definedName>
    <definedName name="BDI_1" localSheetId="20" hidden="1">'[2]BDI Com'!$C$44</definedName>
    <definedName name="BDI_1" localSheetId="24" hidden="1">'[2]BDI Com'!$C$44</definedName>
    <definedName name="BDI_1" localSheetId="28" hidden="1">'[2]BDI Com'!$C$44</definedName>
    <definedName name="BDI_1" localSheetId="29" hidden="1">'[2]BDI Com'!$C$44</definedName>
    <definedName name="BDI_1" localSheetId="30" hidden="1">'[2]BDI Com'!$C$44</definedName>
    <definedName name="BDI_1" localSheetId="31" hidden="1">'[2]BDI Com'!$C$44</definedName>
    <definedName name="BDI_1" localSheetId="23" hidden="1">'[2]BDI Com'!$C$44</definedName>
    <definedName name="BDI_1" localSheetId="27" hidden="1">'[2]BDI Com'!$C$44</definedName>
    <definedName name="BDI_1" localSheetId="22" hidden="1">'[2]BDI Com'!$C$44</definedName>
    <definedName name="BDI_1" localSheetId="13" hidden="1">'[3]BDI Com'!$C$44</definedName>
    <definedName name="BDI_1" localSheetId="16" hidden="1">'[3]BDI Com'!$C$44</definedName>
    <definedName name="BDI_1" localSheetId="18" hidden="1">'[3]BDI Com'!$C$44</definedName>
    <definedName name="BDI_1" localSheetId="32" hidden="1">'[1]BDI Com'!$C$44</definedName>
    <definedName name="BDI_1" localSheetId="25" hidden="1">'[2]BDI Com'!$C$44</definedName>
    <definedName name="BDI_1" localSheetId="26" hidden="1">'[2]BDI Com'!$C$44</definedName>
    <definedName name="BDI_1" hidden="1">'[1]BDI Com'!$C$44</definedName>
    <definedName name="BDI_SERV_DES" localSheetId="21" hidden="1">'[1]BDI Com'!$C$44</definedName>
    <definedName name="BDI_SERV_DES" localSheetId="12" hidden="1">'[4]BDI Com'!$C$44</definedName>
    <definedName name="BDI_SERV_DES" localSheetId="20" hidden="1">'[1]BDI Com'!$C$44</definedName>
    <definedName name="BDI_SERV_DES" localSheetId="24" hidden="1">'[1]BDI Com'!$C$44</definedName>
    <definedName name="BDI_SERV_DES" localSheetId="28" hidden="1">'[1]BDI Com'!$C$44</definedName>
    <definedName name="BDI_SERV_DES" localSheetId="29" hidden="1">'[1]BDI Com'!$C$44</definedName>
    <definedName name="BDI_SERV_DES" localSheetId="30" hidden="1">'[1]BDI Com'!$C$44</definedName>
    <definedName name="BDI_SERV_DES" localSheetId="31" hidden="1">'[1]BDI Com'!$C$44</definedName>
    <definedName name="BDI_SERV_DES" localSheetId="23" hidden="1">'[1]BDI Com'!$C$44</definedName>
    <definedName name="BDI_SERV_DES" localSheetId="27" hidden="1">'[1]BDI Com'!$C$44</definedName>
    <definedName name="BDI_SERV_DES" localSheetId="22" hidden="1">'[1]BDI Com'!$C$44</definedName>
    <definedName name="BDI_SERV_DES" localSheetId="15" hidden="1">'[1]BDI Com'!$C$44</definedName>
    <definedName name="BDI_SERV_DES" localSheetId="19" hidden="1">'[1]BDI Com'!$C$44</definedName>
    <definedName name="BDI_SERV_DES" localSheetId="14" hidden="1">'[1]BDI Com'!$C$44</definedName>
    <definedName name="BDI_SERV_DES" localSheetId="17" hidden="1">'[1]BDI Com'!$C$44</definedName>
    <definedName name="BDI_SERV_DES" localSheetId="32" hidden="1">'[1]BDI Com'!$C$44</definedName>
    <definedName name="BDI_SERV_DES" localSheetId="25" hidden="1">'[1]BDI Com'!$C$44</definedName>
    <definedName name="BDI_SERV_DES" localSheetId="26" hidden="1">'[1]BDI Com'!$C$44</definedName>
    <definedName name="BDI_SERV_DES" hidden="1">'[1]BDI Com'!$C$44</definedName>
    <definedName name="Print_Area" localSheetId="13">'Q-Entrada'!$A$3:$BK$23</definedName>
    <definedName name="Print_Area" localSheetId="16">'Q-Extravasor'!$A$3:$BK$40</definedName>
    <definedName name="Print_Area" localSheetId="18">'Q-Saída'!$A$3:$BK$23</definedName>
    <definedName name="Print_Titles" localSheetId="13">'Q-Entrada'!$3:$8</definedName>
    <definedName name="Print_Titles" localSheetId="16">'Q-Extravasor'!$3:$8</definedName>
    <definedName name="Print_Titles" localSheetId="18">'Q-Saída'!$3:$8</definedName>
    <definedName name="solver_adj" localSheetId="21" hidden="1">'BL-Apoio'!#REF!</definedName>
    <definedName name="solver_adj" localSheetId="20" hidden="1">'CX-Entrada'!#REF!</definedName>
    <definedName name="solver_adj" localSheetId="24" hidden="1">'CX-Extravasor'!#REF!</definedName>
    <definedName name="solver_adj" localSheetId="28" hidden="1">'E-001'!#REF!</definedName>
    <definedName name="solver_adj" localSheetId="29" hidden="1">'E-002'!#REF!</definedName>
    <definedName name="solver_adj" localSheetId="30" hidden="1">'E-003'!#REF!</definedName>
    <definedName name="solver_adj" localSheetId="31" hidden="1">'E-004'!#REF!</definedName>
    <definedName name="solver_adj" localSheetId="23" hidden="1">'MNT-01'!#REF!</definedName>
    <definedName name="solver_adj" localSheetId="27" hidden="1">'OPER-01'!#REF!</definedName>
    <definedName name="solver_adj" localSheetId="22" hidden="1">'PROT-FL'!#REF!</definedName>
    <definedName name="solver_adj" localSheetId="25" hidden="1">'SUP-01'!#REF!</definedName>
    <definedName name="solver_adj" localSheetId="26" hidden="1">'SUP-02'!#REF!</definedName>
    <definedName name="solver_cvg" localSheetId="21" hidden="1">0.0001</definedName>
    <definedName name="solver_cvg" localSheetId="20" hidden="1">0.0001</definedName>
    <definedName name="solver_cvg" localSheetId="24" hidden="1">0.0001</definedName>
    <definedName name="solver_cvg" localSheetId="28" hidden="1">0.0001</definedName>
    <definedName name="solver_cvg" localSheetId="29" hidden="1">0.0001</definedName>
    <definedName name="solver_cvg" localSheetId="30" hidden="1">0.0001</definedName>
    <definedName name="solver_cvg" localSheetId="31" hidden="1">0.0001</definedName>
    <definedName name="solver_cvg" localSheetId="23" hidden="1">0.0001</definedName>
    <definedName name="solver_cvg" localSheetId="27" hidden="1">0.0001</definedName>
    <definedName name="solver_cvg" localSheetId="22" hidden="1">0.0001</definedName>
    <definedName name="solver_cvg" localSheetId="25" hidden="1">0.0001</definedName>
    <definedName name="solver_cvg" localSheetId="26" hidden="1">0.0001</definedName>
    <definedName name="solver_drv" localSheetId="21" hidden="1">1</definedName>
    <definedName name="solver_drv" localSheetId="20" hidden="1">1</definedName>
    <definedName name="solver_drv" localSheetId="24" hidden="1">1</definedName>
    <definedName name="solver_drv" localSheetId="28" hidden="1">1</definedName>
    <definedName name="solver_drv" localSheetId="29" hidden="1">1</definedName>
    <definedName name="solver_drv" localSheetId="30" hidden="1">1</definedName>
    <definedName name="solver_drv" localSheetId="31" hidden="1">1</definedName>
    <definedName name="solver_drv" localSheetId="23" hidden="1">1</definedName>
    <definedName name="solver_drv" localSheetId="27" hidden="1">1</definedName>
    <definedName name="solver_drv" localSheetId="22" hidden="1">1</definedName>
    <definedName name="solver_drv" localSheetId="25" hidden="1">1</definedName>
    <definedName name="solver_drv" localSheetId="26" hidden="1">1</definedName>
    <definedName name="solver_est" localSheetId="21" hidden="1">1</definedName>
    <definedName name="solver_est" localSheetId="20" hidden="1">1</definedName>
    <definedName name="solver_est" localSheetId="24" hidden="1">1</definedName>
    <definedName name="solver_est" localSheetId="28" hidden="1">1</definedName>
    <definedName name="solver_est" localSheetId="29" hidden="1">1</definedName>
    <definedName name="solver_est" localSheetId="30" hidden="1">1</definedName>
    <definedName name="solver_est" localSheetId="31" hidden="1">1</definedName>
    <definedName name="solver_est" localSheetId="23" hidden="1">1</definedName>
    <definedName name="solver_est" localSheetId="27" hidden="1">1</definedName>
    <definedName name="solver_est" localSheetId="22" hidden="1">1</definedName>
    <definedName name="solver_est" localSheetId="25" hidden="1">1</definedName>
    <definedName name="solver_est" localSheetId="26" hidden="1">1</definedName>
    <definedName name="solver_itr" localSheetId="21" hidden="1">100</definedName>
    <definedName name="solver_itr" localSheetId="20" hidden="1">100</definedName>
    <definedName name="solver_itr" localSheetId="24" hidden="1">100</definedName>
    <definedName name="solver_itr" localSheetId="28" hidden="1">100</definedName>
    <definedName name="solver_itr" localSheetId="29" hidden="1">100</definedName>
    <definedName name="solver_itr" localSheetId="30" hidden="1">100</definedName>
    <definedName name="solver_itr" localSheetId="31" hidden="1">100</definedName>
    <definedName name="solver_itr" localSheetId="23" hidden="1">100</definedName>
    <definedName name="solver_itr" localSheetId="27" hidden="1">100</definedName>
    <definedName name="solver_itr" localSheetId="22" hidden="1">100</definedName>
    <definedName name="solver_itr" localSheetId="25" hidden="1">100</definedName>
    <definedName name="solver_itr" localSheetId="26" hidden="1">100</definedName>
    <definedName name="solver_lin" localSheetId="21" hidden="1">2</definedName>
    <definedName name="solver_lin" localSheetId="20" hidden="1">2</definedName>
    <definedName name="solver_lin" localSheetId="24" hidden="1">2</definedName>
    <definedName name="solver_lin" localSheetId="28" hidden="1">2</definedName>
    <definedName name="solver_lin" localSheetId="29" hidden="1">2</definedName>
    <definedName name="solver_lin" localSheetId="30" hidden="1">2</definedName>
    <definedName name="solver_lin" localSheetId="31" hidden="1">2</definedName>
    <definedName name="solver_lin" localSheetId="23" hidden="1">2</definedName>
    <definedName name="solver_lin" localSheetId="27" hidden="1">2</definedName>
    <definedName name="solver_lin" localSheetId="22" hidden="1">2</definedName>
    <definedName name="solver_lin" localSheetId="25" hidden="1">2</definedName>
    <definedName name="solver_lin" localSheetId="26" hidden="1">2</definedName>
    <definedName name="solver_neg" localSheetId="21" hidden="1">2</definedName>
    <definedName name="solver_neg" localSheetId="20" hidden="1">2</definedName>
    <definedName name="solver_neg" localSheetId="24" hidden="1">2</definedName>
    <definedName name="solver_neg" localSheetId="28" hidden="1">2</definedName>
    <definedName name="solver_neg" localSheetId="29" hidden="1">2</definedName>
    <definedName name="solver_neg" localSheetId="30" hidden="1">2</definedName>
    <definedName name="solver_neg" localSheetId="31" hidden="1">2</definedName>
    <definedName name="solver_neg" localSheetId="23" hidden="1">2</definedName>
    <definedName name="solver_neg" localSheetId="27" hidden="1">2</definedName>
    <definedName name="solver_neg" localSheetId="22" hidden="1">2</definedName>
    <definedName name="solver_neg" localSheetId="25" hidden="1">2</definedName>
    <definedName name="solver_neg" localSheetId="26" hidden="1">2</definedName>
    <definedName name="solver_num" localSheetId="21" hidden="1">0</definedName>
    <definedName name="solver_num" localSheetId="20" hidden="1">0</definedName>
    <definedName name="solver_num" localSheetId="24" hidden="1">0</definedName>
    <definedName name="solver_num" localSheetId="28" hidden="1">0</definedName>
    <definedName name="solver_num" localSheetId="29" hidden="1">0</definedName>
    <definedName name="solver_num" localSheetId="30" hidden="1">0</definedName>
    <definedName name="solver_num" localSheetId="31" hidden="1">0</definedName>
    <definedName name="solver_num" localSheetId="23" hidden="1">0</definedName>
    <definedName name="solver_num" localSheetId="27" hidden="1">0</definedName>
    <definedName name="solver_num" localSheetId="22" hidden="1">0</definedName>
    <definedName name="solver_num" localSheetId="25" hidden="1">0</definedName>
    <definedName name="solver_num" localSheetId="26" hidden="1">0</definedName>
    <definedName name="solver_nwt" localSheetId="21" hidden="1">1</definedName>
    <definedName name="solver_nwt" localSheetId="20" hidden="1">1</definedName>
    <definedName name="solver_nwt" localSheetId="24" hidden="1">1</definedName>
    <definedName name="solver_nwt" localSheetId="28" hidden="1">1</definedName>
    <definedName name="solver_nwt" localSheetId="29" hidden="1">1</definedName>
    <definedName name="solver_nwt" localSheetId="30" hidden="1">1</definedName>
    <definedName name="solver_nwt" localSheetId="31" hidden="1">1</definedName>
    <definedName name="solver_nwt" localSheetId="23" hidden="1">1</definedName>
    <definedName name="solver_nwt" localSheetId="27" hidden="1">1</definedName>
    <definedName name="solver_nwt" localSheetId="22" hidden="1">1</definedName>
    <definedName name="solver_nwt" localSheetId="25" hidden="1">1</definedName>
    <definedName name="solver_nwt" localSheetId="26" hidden="1">1</definedName>
    <definedName name="solver_opt" localSheetId="21" hidden="1">'BL-Apoio'!#REF!</definedName>
    <definedName name="solver_opt" localSheetId="20" hidden="1">'CX-Entrada'!#REF!</definedName>
    <definedName name="solver_opt" localSheetId="24" hidden="1">'CX-Extravasor'!#REF!</definedName>
    <definedName name="solver_opt" localSheetId="28" hidden="1">'E-001'!#REF!</definedName>
    <definedName name="solver_opt" localSheetId="29" hidden="1">'E-002'!#REF!</definedName>
    <definedName name="solver_opt" localSheetId="30" hidden="1">'E-003'!#REF!</definedName>
    <definedName name="solver_opt" localSheetId="31" hidden="1">'E-004'!#REF!</definedName>
    <definedName name="solver_opt" localSheetId="23" hidden="1">'MNT-01'!#REF!</definedName>
    <definedName name="solver_opt" localSheetId="27" hidden="1">'OPER-01'!#REF!</definedName>
    <definedName name="solver_opt" localSheetId="22" hidden="1">'PROT-FL'!#REF!</definedName>
    <definedName name="solver_opt" localSheetId="25" hidden="1">'SUP-01'!#REF!</definedName>
    <definedName name="solver_opt" localSheetId="26" hidden="1">'SUP-02'!#REF!</definedName>
    <definedName name="solver_pre" localSheetId="21" hidden="1">0.000001</definedName>
    <definedName name="solver_pre" localSheetId="20" hidden="1">0.000001</definedName>
    <definedName name="solver_pre" localSheetId="24" hidden="1">0.000001</definedName>
    <definedName name="solver_pre" localSheetId="28" hidden="1">0.000001</definedName>
    <definedName name="solver_pre" localSheetId="29" hidden="1">0.000001</definedName>
    <definedName name="solver_pre" localSheetId="30" hidden="1">0.000001</definedName>
    <definedName name="solver_pre" localSheetId="31" hidden="1">0.000001</definedName>
    <definedName name="solver_pre" localSheetId="23" hidden="1">0.000001</definedName>
    <definedName name="solver_pre" localSheetId="27" hidden="1">0.000001</definedName>
    <definedName name="solver_pre" localSheetId="22" hidden="1">0.000001</definedName>
    <definedName name="solver_pre" localSheetId="25" hidden="1">0.000001</definedName>
    <definedName name="solver_pre" localSheetId="26" hidden="1">0.000001</definedName>
    <definedName name="solver_scl" localSheetId="21" hidden="1">2</definedName>
    <definedName name="solver_scl" localSheetId="20" hidden="1">2</definedName>
    <definedName name="solver_scl" localSheetId="24" hidden="1">2</definedName>
    <definedName name="solver_scl" localSheetId="28" hidden="1">2</definedName>
    <definedName name="solver_scl" localSheetId="29" hidden="1">2</definedName>
    <definedName name="solver_scl" localSheetId="30" hidden="1">2</definedName>
    <definedName name="solver_scl" localSheetId="31" hidden="1">2</definedName>
    <definedName name="solver_scl" localSheetId="23" hidden="1">2</definedName>
    <definedName name="solver_scl" localSheetId="27" hidden="1">2</definedName>
    <definedName name="solver_scl" localSheetId="22" hidden="1">2</definedName>
    <definedName name="solver_scl" localSheetId="25" hidden="1">2</definedName>
    <definedName name="solver_scl" localSheetId="26" hidden="1">2</definedName>
    <definedName name="solver_sho" localSheetId="21" hidden="1">2</definedName>
    <definedName name="solver_sho" localSheetId="20" hidden="1">2</definedName>
    <definedName name="solver_sho" localSheetId="24" hidden="1">2</definedName>
    <definedName name="solver_sho" localSheetId="28" hidden="1">2</definedName>
    <definedName name="solver_sho" localSheetId="29" hidden="1">2</definedName>
    <definedName name="solver_sho" localSheetId="30" hidden="1">2</definedName>
    <definedName name="solver_sho" localSheetId="31" hidden="1">2</definedName>
    <definedName name="solver_sho" localSheetId="23" hidden="1">2</definedName>
    <definedName name="solver_sho" localSheetId="27" hidden="1">2</definedName>
    <definedName name="solver_sho" localSheetId="22" hidden="1">2</definedName>
    <definedName name="solver_sho" localSheetId="25" hidden="1">2</definedName>
    <definedName name="solver_sho" localSheetId="26" hidden="1">2</definedName>
    <definedName name="solver_tim" localSheetId="21" hidden="1">100</definedName>
    <definedName name="solver_tim" localSheetId="20" hidden="1">100</definedName>
    <definedName name="solver_tim" localSheetId="24" hidden="1">100</definedName>
    <definedName name="solver_tim" localSheetId="28" hidden="1">100</definedName>
    <definedName name="solver_tim" localSheetId="29" hidden="1">100</definedName>
    <definedName name="solver_tim" localSheetId="30" hidden="1">100</definedName>
    <definedName name="solver_tim" localSheetId="31" hidden="1">100</definedName>
    <definedName name="solver_tim" localSheetId="23" hidden="1">100</definedName>
    <definedName name="solver_tim" localSheetId="27" hidden="1">100</definedName>
    <definedName name="solver_tim" localSheetId="22" hidden="1">100</definedName>
    <definedName name="solver_tim" localSheetId="25" hidden="1">100</definedName>
    <definedName name="solver_tim" localSheetId="26" hidden="1">100</definedName>
    <definedName name="solver_tol" localSheetId="21" hidden="1">0.05</definedName>
    <definedName name="solver_tol" localSheetId="20" hidden="1">0.05</definedName>
    <definedName name="solver_tol" localSheetId="24" hidden="1">0.05</definedName>
    <definedName name="solver_tol" localSheetId="28" hidden="1">0.05</definedName>
    <definedName name="solver_tol" localSheetId="29" hidden="1">0.05</definedName>
    <definedName name="solver_tol" localSheetId="30" hidden="1">0.05</definedName>
    <definedName name="solver_tol" localSheetId="31" hidden="1">0.05</definedName>
    <definedName name="solver_tol" localSheetId="23" hidden="1">0.05</definedName>
    <definedName name="solver_tol" localSheetId="27" hidden="1">0.05</definedName>
    <definedName name="solver_tol" localSheetId="22" hidden="1">0.05</definedName>
    <definedName name="solver_tol" localSheetId="25" hidden="1">0.05</definedName>
    <definedName name="solver_tol" localSheetId="26" hidden="1">0.05</definedName>
    <definedName name="solver_typ" localSheetId="21" hidden="1">3</definedName>
    <definedName name="solver_typ" localSheetId="20" hidden="1">3</definedName>
    <definedName name="solver_typ" localSheetId="24" hidden="1">3</definedName>
    <definedName name="solver_typ" localSheetId="28" hidden="1">3</definedName>
    <definedName name="solver_typ" localSheetId="29" hidden="1">3</definedName>
    <definedName name="solver_typ" localSheetId="30" hidden="1">3</definedName>
    <definedName name="solver_typ" localSheetId="31" hidden="1">3</definedName>
    <definedName name="solver_typ" localSheetId="23" hidden="1">3</definedName>
    <definedName name="solver_typ" localSheetId="27" hidden="1">3</definedName>
    <definedName name="solver_typ" localSheetId="22" hidden="1">3</definedName>
    <definedName name="solver_typ" localSheetId="25" hidden="1">3</definedName>
    <definedName name="solver_typ" localSheetId="26" hidden="1">3</definedName>
    <definedName name="solver_val" localSheetId="21" hidden="1">30</definedName>
    <definedName name="solver_val" localSheetId="20" hidden="1">30</definedName>
    <definedName name="solver_val" localSheetId="24" hidden="1">30</definedName>
    <definedName name="solver_val" localSheetId="28" hidden="1">30</definedName>
    <definedName name="solver_val" localSheetId="29" hidden="1">30</definedName>
    <definedName name="solver_val" localSheetId="30" hidden="1">30</definedName>
    <definedName name="solver_val" localSheetId="31" hidden="1">30</definedName>
    <definedName name="solver_val" localSheetId="23" hidden="1">30</definedName>
    <definedName name="solver_val" localSheetId="27" hidden="1">30</definedName>
    <definedName name="solver_val" localSheetId="22" hidden="1">30</definedName>
    <definedName name="solver_val" localSheetId="25" hidden="1">30</definedName>
    <definedName name="solver_val" localSheetId="26" hidden="1">30</definedName>
    <definedName name="_xlnm.Print_Titles" localSheetId="12">'Cronograma '!$2:$8</definedName>
    <definedName name="_xlnm.Print_Titles" localSheetId="4">'ME-Entrada'!$2:$9</definedName>
    <definedName name="_xlnm.Print_Titles" localSheetId="6">'ME-Extravasor'!$2:$9</definedName>
    <definedName name="_xlnm.Print_Titles" localSheetId="2">'ME-Reservatório'!$2:$9</definedName>
    <definedName name="_xlnm.Print_Titles" localSheetId="10">'ME-Respiro'!$2:$9</definedName>
    <definedName name="_xlnm.Print_Titles" localSheetId="8">'ME-Saída'!$2:$9</definedName>
    <definedName name="_xlnm.Print_Titles" localSheetId="27">'OPER-01'!$3:$9</definedName>
    <definedName name="_xlnm.Print_Titles" localSheetId="11">'OS-Canteiro'!$2:$9</definedName>
    <definedName name="_xlnm.Print_Titles" localSheetId="3">'OS-Entrada'!$2:$9</definedName>
    <definedName name="_xlnm.Print_Titles" localSheetId="5">'OS-Extravasor'!$2:$9</definedName>
    <definedName name="_xlnm.Print_Titles" localSheetId="1">'OS-Reservatório'!$2:$9</definedName>
    <definedName name="_xlnm.Print_Titles" localSheetId="9">'OS-Respiro'!$2:$9</definedName>
    <definedName name="_xlnm.Print_Titles" localSheetId="7">'OS-Saída'!$2:$9</definedName>
    <definedName name="_xlnm.Print_Titles" localSheetId="15">'Q-Bloco Apoio'!$2:$4</definedName>
    <definedName name="_xlnm.Print_Titles" localSheetId="19">'Q-Canteiro'!$2:$4</definedName>
    <definedName name="_xlnm.Print_Titles" localSheetId="14">'Q-CX-Entrada'!$2:$4</definedName>
    <definedName name="_xlnm.Print_Titles" localSheetId="17">'Q-CX-Extravasor'!$2:$4</definedName>
    <definedName name="_xlnm.Print_Titles" localSheetId="13">'Q-Entrada'!$A:$D,'Q-Entrada'!$4:$8</definedName>
    <definedName name="_xlnm.Print_Titles" localSheetId="16">'Q-Extravasor'!$A:$D,'Q-Extravasor'!$4:$8</definedName>
    <definedName name="_xlnm.Print_Titles" localSheetId="18">'Q-Saída'!$A:$D,'Q-Saída'!$4:$8</definedName>
    <definedName name="_xlnm.Print_Titles" localSheetId="0">Resumo!$2:$9</definedName>
    <definedName name="_xlnm.Print_Titles" localSheetId="32">'Resumo Preços'!$3:$4</definedName>
  </definedNames>
  <calcPr calcId="125725" iterate="1"/>
</workbook>
</file>

<file path=xl/calcChain.xml><?xml version="1.0" encoding="utf-8"?>
<calcChain xmlns="http://schemas.openxmlformats.org/spreadsheetml/2006/main">
  <c r="G14" i="80"/>
  <c r="G31" i="84"/>
  <c r="G30"/>
  <c r="G29"/>
  <c r="G28"/>
  <c r="G24"/>
  <c r="G23"/>
  <c r="G22"/>
  <c r="G21"/>
  <c r="G20"/>
  <c r="G14"/>
  <c r="G15"/>
  <c r="G13"/>
  <c r="G15" i="94"/>
  <c r="G14"/>
  <c r="G13"/>
  <c r="G29" i="86"/>
  <c r="G28"/>
  <c r="G27"/>
  <c r="G26"/>
  <c r="G24"/>
  <c r="G23"/>
  <c r="G22"/>
  <c r="G21"/>
  <c r="G20"/>
  <c r="G15"/>
  <c r="G14"/>
  <c r="G13"/>
  <c r="I50" i="76" l="1"/>
  <c r="I49"/>
  <c r="I36"/>
  <c r="I20"/>
  <c r="I7"/>
  <c r="I6"/>
  <c r="I23" i="104" l="1"/>
  <c r="H23"/>
  <c r="I19" i="87"/>
  <c r="H19"/>
  <c r="I17"/>
  <c r="H17"/>
  <c r="I16"/>
  <c r="H16"/>
  <c r="I80" i="99"/>
  <c r="H80"/>
  <c r="I75"/>
  <c r="H75"/>
  <c r="I74"/>
  <c r="H74"/>
  <c r="I73"/>
  <c r="H73"/>
  <c r="I71"/>
  <c r="H71"/>
  <c r="I70"/>
  <c r="H70"/>
  <c r="I68"/>
  <c r="H68"/>
  <c r="I60"/>
  <c r="H60"/>
  <c r="I59"/>
  <c r="H59"/>
  <c r="I53"/>
  <c r="H53"/>
  <c r="I48"/>
  <c r="I47"/>
  <c r="I46"/>
  <c r="I45"/>
  <c r="I44"/>
  <c r="H44"/>
  <c r="I43"/>
  <c r="H43"/>
  <c r="I42"/>
  <c r="I41"/>
  <c r="I40"/>
  <c r="H40"/>
  <c r="I39"/>
  <c r="H39"/>
  <c r="I34"/>
  <c r="H34"/>
  <c r="I33"/>
  <c r="H33"/>
  <c r="H33" i="96"/>
  <c r="I33"/>
  <c r="H34"/>
  <c r="I34"/>
  <c r="I28" i="99"/>
  <c r="H28"/>
  <c r="I27"/>
  <c r="H27"/>
  <c r="I46" i="96"/>
  <c r="H46"/>
  <c r="I45"/>
  <c r="H45"/>
  <c r="I41"/>
  <c r="H41"/>
  <c r="I40"/>
  <c r="H40"/>
  <c r="I39"/>
  <c r="H39"/>
  <c r="I85"/>
  <c r="H85"/>
  <c r="I80"/>
  <c r="H80"/>
  <c r="I79"/>
  <c r="H79"/>
  <c r="I78"/>
  <c r="H78"/>
  <c r="I76"/>
  <c r="H76"/>
  <c r="I75"/>
  <c r="H75"/>
  <c r="I73"/>
  <c r="H73"/>
  <c r="I72"/>
  <c r="H72"/>
  <c r="I64"/>
  <c r="H64"/>
  <c r="I56"/>
  <c r="H56"/>
  <c r="I55"/>
  <c r="H55"/>
  <c r="I28"/>
  <c r="H28"/>
  <c r="I27"/>
  <c r="H27"/>
  <c r="I80" i="92"/>
  <c r="H80"/>
  <c r="I74"/>
  <c r="H74"/>
  <c r="I73"/>
  <c r="H73"/>
  <c r="I72"/>
  <c r="H72"/>
  <c r="I71"/>
  <c r="H71"/>
  <c r="I69"/>
  <c r="H69"/>
  <c r="I68"/>
  <c r="H68"/>
  <c r="I66"/>
  <c r="H66"/>
  <c r="I56"/>
  <c r="H56"/>
  <c r="I55"/>
  <c r="H55"/>
  <c r="H25"/>
  <c r="I54"/>
  <c r="H54"/>
  <c r="I42"/>
  <c r="H42"/>
  <c r="I41"/>
  <c r="H41"/>
  <c r="I38"/>
  <c r="H38"/>
  <c r="I37"/>
  <c r="H37"/>
  <c r="I32"/>
  <c r="H32"/>
  <c r="I31"/>
  <c r="H31"/>
  <c r="I26"/>
  <c r="H26"/>
  <c r="I25"/>
  <c r="H32" i="103"/>
  <c r="H27"/>
  <c r="I25" i="102"/>
  <c r="H25"/>
  <c r="I62" i="76"/>
  <c r="H53" i="103" l="1"/>
  <c r="J25" i="102" l="1"/>
  <c r="K25" s="1"/>
  <c r="K27" s="1"/>
  <c r="K12" s="1"/>
  <c r="J18" i="104"/>
  <c r="K18" s="1"/>
  <c r="J19"/>
  <c r="K19" s="1"/>
  <c r="J20"/>
  <c r="J21"/>
  <c r="J22"/>
  <c r="K22" s="1"/>
  <c r="J23"/>
  <c r="K23" s="1"/>
  <c r="J17"/>
  <c r="K17" s="1"/>
  <c r="C24" i="98"/>
  <c r="G80" i="92"/>
  <c r="J80"/>
  <c r="K80" s="1"/>
  <c r="K82" s="1"/>
  <c r="J72"/>
  <c r="K72" s="1"/>
  <c r="J73"/>
  <c r="K73" s="1"/>
  <c r="J74"/>
  <c r="K74" s="1"/>
  <c r="J71"/>
  <c r="K71" s="1"/>
  <c r="J69"/>
  <c r="K69" s="1"/>
  <c r="J68"/>
  <c r="K68" s="1"/>
  <c r="J66"/>
  <c r="K66" s="1"/>
  <c r="G75"/>
  <c r="G74"/>
  <c r="G73"/>
  <c r="G72"/>
  <c r="G71"/>
  <c r="G69"/>
  <c r="G68"/>
  <c r="G66"/>
  <c r="F75"/>
  <c r="E75"/>
  <c r="D75"/>
  <c r="C75"/>
  <c r="I75"/>
  <c r="N70"/>
  <c r="J24" l="1"/>
  <c r="J77"/>
  <c r="I66" i="103" l="1"/>
  <c r="J66" s="1"/>
  <c r="K66" s="1"/>
  <c r="I61"/>
  <c r="J61" s="1"/>
  <c r="K61" s="1"/>
  <c r="I60"/>
  <c r="J60" s="1"/>
  <c r="K60" s="1"/>
  <c r="L66" i="76" l="1"/>
  <c r="H58" i="103" s="1"/>
  <c r="E58"/>
  <c r="F58"/>
  <c r="D58"/>
  <c r="C58"/>
  <c r="I58"/>
  <c r="I63"/>
  <c r="J63" s="1"/>
  <c r="K63" s="1"/>
  <c r="I65"/>
  <c r="J65" s="1"/>
  <c r="K65" s="1"/>
  <c r="I64"/>
  <c r="J64" s="1"/>
  <c r="K64" s="1"/>
  <c r="I56"/>
  <c r="J56" s="1"/>
  <c r="K56" s="1"/>
  <c r="I55"/>
  <c r="J55" s="1"/>
  <c r="K55" s="1"/>
  <c r="I54"/>
  <c r="J54" s="1"/>
  <c r="K54" s="1"/>
  <c r="I53"/>
  <c r="I52"/>
  <c r="J52" s="1"/>
  <c r="K52" s="1"/>
  <c r="I50"/>
  <c r="J50" s="1"/>
  <c r="K50" s="1"/>
  <c r="I49"/>
  <c r="J49" s="1"/>
  <c r="K49" s="1"/>
  <c r="I48"/>
  <c r="J48" s="1"/>
  <c r="K48" s="1"/>
  <c r="I46"/>
  <c r="J46" s="1"/>
  <c r="K46" s="1"/>
  <c r="I44"/>
  <c r="J44" s="1"/>
  <c r="K44" s="1"/>
  <c r="I45"/>
  <c r="J45" s="1"/>
  <c r="K45" s="1"/>
  <c r="I43"/>
  <c r="J43" s="1"/>
  <c r="K43" s="1"/>
  <c r="I42"/>
  <c r="J42" s="1"/>
  <c r="K42" s="1"/>
  <c r="I41"/>
  <c r="J41" s="1"/>
  <c r="K41" s="1"/>
  <c r="I40"/>
  <c r="J40" s="1"/>
  <c r="K40" s="1"/>
  <c r="I39"/>
  <c r="J39" s="1"/>
  <c r="K39" s="1"/>
  <c r="I38"/>
  <c r="J38" s="1"/>
  <c r="K38" s="1"/>
  <c r="I37"/>
  <c r="J37" s="1"/>
  <c r="K37" s="1"/>
  <c r="I36"/>
  <c r="J36" s="1"/>
  <c r="K36" s="1"/>
  <c r="I35"/>
  <c r="J35" s="1"/>
  <c r="K35" s="1"/>
  <c r="I34"/>
  <c r="J34" s="1"/>
  <c r="K34" s="1"/>
  <c r="I33"/>
  <c r="J33" s="1"/>
  <c r="K33" s="1"/>
  <c r="I32"/>
  <c r="I31"/>
  <c r="J31" s="1"/>
  <c r="K31" s="1"/>
  <c r="I30"/>
  <c r="J30" s="1"/>
  <c r="K30" s="1"/>
  <c r="I29"/>
  <c r="J29" s="1"/>
  <c r="K29" s="1"/>
  <c r="I28"/>
  <c r="J28" s="1"/>
  <c r="K28" s="1"/>
  <c r="I27"/>
  <c r="I26"/>
  <c r="J26" s="1"/>
  <c r="K26" s="1"/>
  <c r="I25"/>
  <c r="J25" s="1"/>
  <c r="K25" s="1"/>
  <c r="I24"/>
  <c r="J24" s="1"/>
  <c r="K24" s="1"/>
  <c r="I23"/>
  <c r="J23" s="1"/>
  <c r="K23" s="1"/>
  <c r="I18" i="102"/>
  <c r="I19"/>
  <c r="I20"/>
  <c r="I17"/>
  <c r="F20"/>
  <c r="F19"/>
  <c r="F18"/>
  <c r="F17"/>
  <c r="E20"/>
  <c r="E19"/>
  <c r="E18"/>
  <c r="E17"/>
  <c r="D20"/>
  <c r="D19"/>
  <c r="D18"/>
  <c r="D17"/>
  <c r="C20"/>
  <c r="C19"/>
  <c r="C18"/>
  <c r="C17"/>
  <c r="H16" i="110"/>
  <c r="H15"/>
  <c r="H14"/>
  <c r="H13"/>
  <c r="F16"/>
  <c r="F15"/>
  <c r="F14"/>
  <c r="F13"/>
  <c r="B14"/>
  <c r="B15" s="1"/>
  <c r="B16" s="1"/>
  <c r="H19" l="1"/>
  <c r="H17" i="102" s="1"/>
  <c r="J17" s="1"/>
  <c r="K17" s="1"/>
  <c r="J27" i="103"/>
  <c r="K27" s="1"/>
  <c r="J58"/>
  <c r="K58" s="1"/>
  <c r="J32"/>
  <c r="K32" s="1"/>
  <c r="J53"/>
  <c r="K53" s="1"/>
  <c r="H15" i="109"/>
  <c r="H14"/>
  <c r="H13"/>
  <c r="F15"/>
  <c r="F14"/>
  <c r="F13"/>
  <c r="B14"/>
  <c r="B15" s="1"/>
  <c r="F13" i="108"/>
  <c r="H13" s="1"/>
  <c r="H14"/>
  <c r="F14"/>
  <c r="B14"/>
  <c r="H14" i="107"/>
  <c r="H15"/>
  <c r="H16"/>
  <c r="H13"/>
  <c r="F16"/>
  <c r="F15"/>
  <c r="F14"/>
  <c r="F13"/>
  <c r="B14"/>
  <c r="B15" s="1"/>
  <c r="B16" s="1"/>
  <c r="H19" l="1"/>
  <c r="H18" i="102" s="1"/>
  <c r="J18" s="1"/>
  <c r="K18" s="1"/>
  <c r="K68" i="103"/>
  <c r="N68" s="1"/>
  <c r="H18" i="109"/>
  <c r="H20" i="102" s="1"/>
  <c r="J20" s="1"/>
  <c r="K20" s="1"/>
  <c r="H17" i="108"/>
  <c r="H19" i="102" s="1"/>
  <c r="J19" s="1"/>
  <c r="K19" s="1"/>
  <c r="L65" i="76"/>
  <c r="K22" i="102" l="1"/>
  <c r="N22" s="1"/>
  <c r="C22" i="64"/>
  <c r="C21"/>
  <c r="C20"/>
  <c r="C19"/>
  <c r="C18"/>
  <c r="C17"/>
  <c r="C16"/>
  <c r="C15"/>
  <c r="B22"/>
  <c r="B21"/>
  <c r="B20"/>
  <c r="B19"/>
  <c r="B18"/>
  <c r="B17"/>
  <c r="B16"/>
  <c r="B15"/>
  <c r="B14"/>
  <c r="B13"/>
  <c r="B12"/>
  <c r="C41" i="63"/>
  <c r="C40"/>
  <c r="I28" i="104"/>
  <c r="I22"/>
  <c r="I21"/>
  <c r="I20"/>
  <c r="I19"/>
  <c r="B40" i="63"/>
  <c r="B37"/>
  <c r="B34"/>
  <c r="B31"/>
  <c r="B28"/>
  <c r="B25"/>
  <c r="B22"/>
  <c r="B19"/>
  <c r="B16"/>
  <c r="B13"/>
  <c r="C14"/>
  <c r="C13"/>
  <c r="C11"/>
  <c r="C10"/>
  <c r="C12" i="64" s="1"/>
  <c r="D58" i="106"/>
  <c r="D51"/>
  <c r="F16" s="1"/>
  <c r="H16" s="1"/>
  <c r="E42"/>
  <c r="D42"/>
  <c r="D44" s="1"/>
  <c r="F15" s="1"/>
  <c r="H15" s="1"/>
  <c r="C42"/>
  <c r="E41"/>
  <c r="D41"/>
  <c r="C41"/>
  <c r="D37"/>
  <c r="F14" s="1"/>
  <c r="H14" s="1"/>
  <c r="D30"/>
  <c r="F13" s="1"/>
  <c r="H13" s="1"/>
  <c r="H17"/>
  <c r="F17"/>
  <c r="E17"/>
  <c r="D17"/>
  <c r="C17"/>
  <c r="E16"/>
  <c r="D16"/>
  <c r="C16"/>
  <c r="E15"/>
  <c r="D15"/>
  <c r="C15"/>
  <c r="B15"/>
  <c r="B16" s="1"/>
  <c r="B17" s="1"/>
  <c r="E14"/>
  <c r="D14"/>
  <c r="C14"/>
  <c r="B14"/>
  <c r="E13"/>
  <c r="D13"/>
  <c r="C13"/>
  <c r="C70" i="105"/>
  <c r="C68"/>
  <c r="C60"/>
  <c r="G22" i="104" s="1"/>
  <c r="C58" i="105"/>
  <c r="C49"/>
  <c r="C51" s="1"/>
  <c r="G21" i="104" s="1"/>
  <c r="K21" s="1"/>
  <c r="C40" i="105"/>
  <c r="C42" s="1"/>
  <c r="G20" i="104" s="1"/>
  <c r="K20" s="1"/>
  <c r="C31" i="105"/>
  <c r="C33" s="1"/>
  <c r="G19" i="104" s="1"/>
  <c r="D24" i="105"/>
  <c r="D21"/>
  <c r="C21"/>
  <c r="C22" s="1"/>
  <c r="C24" s="1"/>
  <c r="G18" i="104" s="1"/>
  <c r="B21" i="105"/>
  <c r="D15"/>
  <c r="C13"/>
  <c r="C15" s="1"/>
  <c r="G17" i="104" s="1"/>
  <c r="C12" i="105"/>
  <c r="J30" i="104"/>
  <c r="G28"/>
  <c r="F28"/>
  <c r="E28"/>
  <c r="D28"/>
  <c r="C28"/>
  <c r="J25"/>
  <c r="J24"/>
  <c r="G23"/>
  <c r="F23"/>
  <c r="E23"/>
  <c r="D23"/>
  <c r="C23"/>
  <c r="F22"/>
  <c r="E22"/>
  <c r="D22"/>
  <c r="C22"/>
  <c r="F21"/>
  <c r="E21"/>
  <c r="D21"/>
  <c r="C21"/>
  <c r="F20"/>
  <c r="E20"/>
  <c r="D20"/>
  <c r="C20"/>
  <c r="F19"/>
  <c r="E19"/>
  <c r="D19"/>
  <c r="C19"/>
  <c r="F18"/>
  <c r="E18"/>
  <c r="D18"/>
  <c r="C18"/>
  <c r="F17"/>
  <c r="E17"/>
  <c r="D17"/>
  <c r="C17"/>
  <c r="J16"/>
  <c r="C12"/>
  <c r="B12"/>
  <c r="C10"/>
  <c r="B10"/>
  <c r="K30" i="102" l="1"/>
  <c r="K10"/>
  <c r="K14" s="1"/>
  <c r="K25" i="104"/>
  <c r="K10" s="1"/>
  <c r="H20" i="106"/>
  <c r="H28" i="104" s="1"/>
  <c r="J28" s="1"/>
  <c r="K28" s="1"/>
  <c r="K30" s="1"/>
  <c r="K12" s="1"/>
  <c r="C13" i="64"/>
  <c r="K14" i="104" l="1"/>
  <c r="H41" i="63" s="1"/>
  <c r="K33" i="104"/>
  <c r="D22" i="64" l="1"/>
  <c r="L22" s="1"/>
  <c r="C12" i="102"/>
  <c r="B12"/>
  <c r="J27"/>
  <c r="M22" i="64" l="1"/>
  <c r="P22"/>
  <c r="U22"/>
  <c r="N22"/>
  <c r="K22"/>
  <c r="H22"/>
  <c r="J22"/>
  <c r="G22"/>
  <c r="T22"/>
  <c r="F22"/>
  <c r="I22"/>
  <c r="S22"/>
  <c r="Q22"/>
  <c r="R22"/>
  <c r="O22"/>
  <c r="C12" i="103"/>
  <c r="B12"/>
  <c r="K12"/>
  <c r="I17"/>
  <c r="F17"/>
  <c r="D17"/>
  <c r="C17"/>
  <c r="J68"/>
  <c r="J19"/>
  <c r="C10"/>
  <c r="B10"/>
  <c r="J22" i="102"/>
  <c r="C10"/>
  <c r="B10"/>
  <c r="H17" i="103"/>
  <c r="V22" i="64" l="1"/>
  <c r="X22" s="1"/>
  <c r="J17" i="103"/>
  <c r="K17" s="1"/>
  <c r="H11" i="63"/>
  <c r="J64" i="96"/>
  <c r="K64" s="1"/>
  <c r="G64"/>
  <c r="D37" i="97"/>
  <c r="D36"/>
  <c r="D35"/>
  <c r="D34"/>
  <c r="K19" i="103" l="1"/>
  <c r="K10" s="1"/>
  <c r="K14" s="1"/>
  <c r="D12" i="64"/>
  <c r="C38" i="63"/>
  <c r="C37"/>
  <c r="C35"/>
  <c r="C34"/>
  <c r="C32"/>
  <c r="C31"/>
  <c r="C29"/>
  <c r="C28"/>
  <c r="C26"/>
  <c r="C25"/>
  <c r="C23"/>
  <c r="C22"/>
  <c r="C20"/>
  <c r="C19"/>
  <c r="C17"/>
  <c r="C16"/>
  <c r="G19" i="87"/>
  <c r="J19"/>
  <c r="K19" s="1"/>
  <c r="G17"/>
  <c r="G16"/>
  <c r="J17"/>
  <c r="K17" s="1"/>
  <c r="J16"/>
  <c r="K16" s="1"/>
  <c r="C10"/>
  <c r="B10"/>
  <c r="J21"/>
  <c r="N18"/>
  <c r="O20" i="77"/>
  <c r="O16"/>
  <c r="N18"/>
  <c r="O18" s="1"/>
  <c r="O15"/>
  <c r="O28" i="101"/>
  <c r="G73" i="99" s="1"/>
  <c r="O26" i="101"/>
  <c r="O19"/>
  <c r="O20"/>
  <c r="O21"/>
  <c r="O22"/>
  <c r="O23"/>
  <c r="N23"/>
  <c r="N21"/>
  <c r="N19"/>
  <c r="N26"/>
  <c r="BL13" i="100"/>
  <c r="G75" i="99"/>
  <c r="G74"/>
  <c r="J74"/>
  <c r="J75"/>
  <c r="BK13" i="100"/>
  <c r="BJ13"/>
  <c r="AP13"/>
  <c r="AN13"/>
  <c r="AO13"/>
  <c r="J28" i="101"/>
  <c r="J27"/>
  <c r="I26"/>
  <c r="F26"/>
  <c r="E26"/>
  <c r="D26"/>
  <c r="C26"/>
  <c r="I25"/>
  <c r="F25"/>
  <c r="E25"/>
  <c r="D25"/>
  <c r="C25"/>
  <c r="I24"/>
  <c r="F24"/>
  <c r="E24"/>
  <c r="D24"/>
  <c r="C24"/>
  <c r="I23"/>
  <c r="F23"/>
  <c r="E23"/>
  <c r="D23"/>
  <c r="C23"/>
  <c r="I22"/>
  <c r="F22"/>
  <c r="E22"/>
  <c r="D22"/>
  <c r="C22"/>
  <c r="I21"/>
  <c r="F21"/>
  <c r="E21"/>
  <c r="D21"/>
  <c r="C21"/>
  <c r="I20"/>
  <c r="F20"/>
  <c r="E20"/>
  <c r="D20"/>
  <c r="C20"/>
  <c r="I19"/>
  <c r="F19"/>
  <c r="E19"/>
  <c r="D19"/>
  <c r="C19"/>
  <c r="I18"/>
  <c r="F18"/>
  <c r="E18"/>
  <c r="D18"/>
  <c r="C18"/>
  <c r="I17"/>
  <c r="F17"/>
  <c r="E17"/>
  <c r="D17"/>
  <c r="C17"/>
  <c r="I16"/>
  <c r="F16"/>
  <c r="E16"/>
  <c r="D16"/>
  <c r="C16"/>
  <c r="I15"/>
  <c r="F15"/>
  <c r="E15"/>
  <c r="D15"/>
  <c r="C15"/>
  <c r="J14"/>
  <c r="C10"/>
  <c r="B10"/>
  <c r="J60" i="99"/>
  <c r="K60" s="1"/>
  <c r="J59"/>
  <c r="K59" s="1"/>
  <c r="I62"/>
  <c r="C16"/>
  <c r="B16"/>
  <c r="G53"/>
  <c r="J55"/>
  <c r="J53"/>
  <c r="BD13" i="100"/>
  <c r="BC13"/>
  <c r="BB13"/>
  <c r="AM15"/>
  <c r="AM13"/>
  <c r="AS15"/>
  <c r="AS13"/>
  <c r="Z13"/>
  <c r="AL13"/>
  <c r="AK13"/>
  <c r="AQ13"/>
  <c r="AR13"/>
  <c r="AT13"/>
  <c r="AU13"/>
  <c r="AV13"/>
  <c r="AW13"/>
  <c r="AX13"/>
  <c r="AY13"/>
  <c r="AZ13"/>
  <c r="BA13"/>
  <c r="AG13"/>
  <c r="Q13"/>
  <c r="P13"/>
  <c r="P10"/>
  <c r="N10"/>
  <c r="E13"/>
  <c r="M10"/>
  <c r="BO177"/>
  <c r="CO151"/>
  <c r="CN151"/>
  <c r="CO150"/>
  <c r="CN150"/>
  <c r="CO149"/>
  <c r="CN149"/>
  <c r="CO148"/>
  <c r="CN148"/>
  <c r="CO147"/>
  <c r="CN147"/>
  <c r="CO146"/>
  <c r="CN146"/>
  <c r="CO145"/>
  <c r="CN145"/>
  <c r="CO144"/>
  <c r="CN144"/>
  <c r="BU144"/>
  <c r="CN143"/>
  <c r="CO143" s="1"/>
  <c r="CN142"/>
  <c r="CO142" s="1"/>
  <c r="CN141"/>
  <c r="CO141" s="1"/>
  <c r="CN140"/>
  <c r="CO140" s="1"/>
  <c r="CN139"/>
  <c r="CO139" s="1"/>
  <c r="CN138"/>
  <c r="CO138" s="1"/>
  <c r="CN137"/>
  <c r="CO137" s="1"/>
  <c r="CN136"/>
  <c r="CO136" s="1"/>
  <c r="CN135"/>
  <c r="CO135" s="1"/>
  <c r="CQ134"/>
  <c r="CO134"/>
  <c r="CN134"/>
  <c r="CQ133"/>
  <c r="CN133"/>
  <c r="CO133" s="1"/>
  <c r="CQ132"/>
  <c r="CO132"/>
  <c r="CN132"/>
  <c r="CQ131"/>
  <c r="CN131"/>
  <c r="CO131" s="1"/>
  <c r="CQ130"/>
  <c r="CO130"/>
  <c r="CN130"/>
  <c r="CQ129"/>
  <c r="CN129"/>
  <c r="CO129" s="1"/>
  <c r="CQ128"/>
  <c r="CO128"/>
  <c r="CN128"/>
  <c r="CQ127"/>
  <c r="CN127"/>
  <c r="CO127" s="1"/>
  <c r="DI126"/>
  <c r="DG126"/>
  <c r="CQ126"/>
  <c r="CO126"/>
  <c r="CN126"/>
  <c r="DL125"/>
  <c r="DI125"/>
  <c r="DG125"/>
  <c r="CQ125"/>
  <c r="CO125"/>
  <c r="CN125"/>
  <c r="DL124"/>
  <c r="DI124"/>
  <c r="DG124"/>
  <c r="CQ124"/>
  <c r="CO124"/>
  <c r="CN124"/>
  <c r="CA124"/>
  <c r="DL123"/>
  <c r="DI123"/>
  <c r="DG123"/>
  <c r="CQ123"/>
  <c r="CN123"/>
  <c r="CO123" s="1"/>
  <c r="DL122"/>
  <c r="DI122"/>
  <c r="DG122"/>
  <c r="CQ122"/>
  <c r="CN122"/>
  <c r="CO122" s="1"/>
  <c r="CA122"/>
  <c r="DL121"/>
  <c r="DI121"/>
  <c r="DG121"/>
  <c r="DD121"/>
  <c r="DB121"/>
  <c r="CQ121"/>
  <c r="CO121"/>
  <c r="CN121"/>
  <c r="CL121"/>
  <c r="CK121"/>
  <c r="CI121"/>
  <c r="CA121"/>
  <c r="DL120"/>
  <c r="DI120"/>
  <c r="DG120"/>
  <c r="DD120"/>
  <c r="DB120"/>
  <c r="CQ120"/>
  <c r="CO120"/>
  <c r="CN120"/>
  <c r="CL120"/>
  <c r="CK120"/>
  <c r="CI120"/>
  <c r="CA120"/>
  <c r="DL119"/>
  <c r="DI119"/>
  <c r="DG119"/>
  <c r="DD119"/>
  <c r="DB119"/>
  <c r="CQ119"/>
  <c r="CO119"/>
  <c r="CN119"/>
  <c r="CL119"/>
  <c r="CK119"/>
  <c r="CI119"/>
  <c r="CA119"/>
  <c r="DL118"/>
  <c r="DI118"/>
  <c r="DG118"/>
  <c r="CQ118"/>
  <c r="CO118"/>
  <c r="CN118"/>
  <c r="CL118"/>
  <c r="CK118"/>
  <c r="CI118"/>
  <c r="CG118"/>
  <c r="CF118"/>
  <c r="CE118"/>
  <c r="CA118"/>
  <c r="DL117"/>
  <c r="DI117"/>
  <c r="DG117"/>
  <c r="DD117"/>
  <c r="DB117"/>
  <c r="CQ117"/>
  <c r="CN117"/>
  <c r="CO117" s="1"/>
  <c r="CL117"/>
  <c r="CK117"/>
  <c r="CI117"/>
  <c r="CG117"/>
  <c r="CF117"/>
  <c r="CE117"/>
  <c r="CA117"/>
  <c r="DL116"/>
  <c r="DI116"/>
  <c r="DG116"/>
  <c r="DD116"/>
  <c r="DB116"/>
  <c r="CQ116"/>
  <c r="CO116"/>
  <c r="CN116"/>
  <c r="CL116"/>
  <c r="CK116"/>
  <c r="CI116"/>
  <c r="CG116"/>
  <c r="CF116"/>
  <c r="CE116"/>
  <c r="CA116"/>
  <c r="DL115"/>
  <c r="DI115"/>
  <c r="DG115"/>
  <c r="DD115"/>
  <c r="DB115"/>
  <c r="CQ115"/>
  <c r="CN115"/>
  <c r="CO115" s="1"/>
  <c r="CK115"/>
  <c r="CI115"/>
  <c r="CG115"/>
  <c r="CF115"/>
  <c r="CE115"/>
  <c r="CG109"/>
  <c r="CF109"/>
  <c r="CE109"/>
  <c r="CD109"/>
  <c r="CG108"/>
  <c r="CF108"/>
  <c r="CE108"/>
  <c r="CD108"/>
  <c r="CG107"/>
  <c r="CF107"/>
  <c r="CE107"/>
  <c r="CD107"/>
  <c r="CG106"/>
  <c r="CF106"/>
  <c r="CE106"/>
  <c r="CD106"/>
  <c r="CG105"/>
  <c r="CF105"/>
  <c r="CE105"/>
  <c r="CD105"/>
  <c r="CG104"/>
  <c r="CF104"/>
  <c r="CE104"/>
  <c r="CD104"/>
  <c r="CG103"/>
  <c r="CF103"/>
  <c r="CE103"/>
  <c r="CD103"/>
  <c r="CG102"/>
  <c r="CF102"/>
  <c r="CE102"/>
  <c r="CD102"/>
  <c r="CG101"/>
  <c r="CF101"/>
  <c r="CE101"/>
  <c r="CD101"/>
  <c r="CG100"/>
  <c r="CF100"/>
  <c r="CE100"/>
  <c r="CD100"/>
  <c r="CG99"/>
  <c r="CF99"/>
  <c r="CE99"/>
  <c r="CD99"/>
  <c r="CG98"/>
  <c r="CF98"/>
  <c r="CE98"/>
  <c r="CD98"/>
  <c r="CG97"/>
  <c r="CF97"/>
  <c r="CE97"/>
  <c r="CD97"/>
  <c r="CG96"/>
  <c r="CF96"/>
  <c r="CE96"/>
  <c r="CD96"/>
  <c r="Y22"/>
  <c r="X22"/>
  <c r="W22"/>
  <c r="V22"/>
  <c r="U22"/>
  <c r="T22"/>
  <c r="N22"/>
  <c r="Y21"/>
  <c r="X21"/>
  <c r="W21"/>
  <c r="V21"/>
  <c r="U21"/>
  <c r="T21"/>
  <c r="N21"/>
  <c r="Y20"/>
  <c r="X20"/>
  <c r="W20"/>
  <c r="V20"/>
  <c r="U20"/>
  <c r="T20"/>
  <c r="N20"/>
  <c r="Y19"/>
  <c r="X19"/>
  <c r="W19"/>
  <c r="V19"/>
  <c r="U19"/>
  <c r="T19"/>
  <c r="N19"/>
  <c r="N18"/>
  <c r="J18"/>
  <c r="N17"/>
  <c r="N16"/>
  <c r="N15"/>
  <c r="L11"/>
  <c r="I11"/>
  <c r="BJ10"/>
  <c r="G70" i="99" s="1"/>
  <c r="AZ10" i="100"/>
  <c r="AY10"/>
  <c r="AX10"/>
  <c r="AW10"/>
  <c r="AV10"/>
  <c r="AU10"/>
  <c r="AT10"/>
  <c r="AP10"/>
  <c r="G68" i="99" s="1"/>
  <c r="AO10" i="100"/>
  <c r="AN10"/>
  <c r="AK10"/>
  <c r="G33" i="99" s="1"/>
  <c r="AJ10" i="100"/>
  <c r="AJ13" s="1"/>
  <c r="AI10"/>
  <c r="AI13" s="1"/>
  <c r="Y10"/>
  <c r="Y13" s="1"/>
  <c r="X10"/>
  <c r="X13" s="1"/>
  <c r="W10"/>
  <c r="W13" s="1"/>
  <c r="V10"/>
  <c r="V13" s="1"/>
  <c r="U10"/>
  <c r="U13" s="1"/>
  <c r="T10"/>
  <c r="T13" s="1"/>
  <c r="O10"/>
  <c r="L9"/>
  <c r="I9"/>
  <c r="BK7"/>
  <c r="BI7"/>
  <c r="BH7"/>
  <c r="BF7"/>
  <c r="BD7"/>
  <c r="BB7"/>
  <c r="AE6"/>
  <c r="AD6"/>
  <c r="AC6"/>
  <c r="AB6"/>
  <c r="AA6"/>
  <c r="Z6"/>
  <c r="Y6"/>
  <c r="X6"/>
  <c r="W6"/>
  <c r="V6"/>
  <c r="U6"/>
  <c r="T6"/>
  <c r="AU3"/>
  <c r="J83" i="99"/>
  <c r="J82"/>
  <c r="J80"/>
  <c r="K80" s="1"/>
  <c r="K82" s="1"/>
  <c r="J77"/>
  <c r="J73"/>
  <c r="K73" s="1"/>
  <c r="N72"/>
  <c r="J71"/>
  <c r="J70"/>
  <c r="J68"/>
  <c r="J64"/>
  <c r="F62"/>
  <c r="E62"/>
  <c r="D62"/>
  <c r="C62"/>
  <c r="J50"/>
  <c r="J48"/>
  <c r="J47"/>
  <c r="J46"/>
  <c r="J45"/>
  <c r="J44"/>
  <c r="J43"/>
  <c r="J42"/>
  <c r="J41"/>
  <c r="J40"/>
  <c r="J39"/>
  <c r="J37"/>
  <c r="J36"/>
  <c r="J34"/>
  <c r="J33"/>
  <c r="J31"/>
  <c r="J30"/>
  <c r="J29"/>
  <c r="K29" s="1"/>
  <c r="J28"/>
  <c r="J27"/>
  <c r="J26"/>
  <c r="C22"/>
  <c r="B22"/>
  <c r="C20"/>
  <c r="B20"/>
  <c r="C18"/>
  <c r="B18"/>
  <c r="C14"/>
  <c r="B14"/>
  <c r="C12"/>
  <c r="B12"/>
  <c r="C10"/>
  <c r="B10"/>
  <c r="O33" i="98"/>
  <c r="G78" i="96" s="1"/>
  <c r="O29" i="98"/>
  <c r="O28"/>
  <c r="O27"/>
  <c r="O16"/>
  <c r="O17"/>
  <c r="O18"/>
  <c r="O20"/>
  <c r="O21"/>
  <c r="O22"/>
  <c r="O15"/>
  <c r="N22"/>
  <c r="N29"/>
  <c r="N28"/>
  <c r="N27"/>
  <c r="N18"/>
  <c r="N17"/>
  <c r="G80" i="96"/>
  <c r="G79"/>
  <c r="J33" i="98"/>
  <c r="J32"/>
  <c r="I31"/>
  <c r="G31"/>
  <c r="F31"/>
  <c r="E31"/>
  <c r="D31"/>
  <c r="C31"/>
  <c r="I30"/>
  <c r="F30"/>
  <c r="E30"/>
  <c r="D30"/>
  <c r="C30"/>
  <c r="I29"/>
  <c r="F29"/>
  <c r="E29"/>
  <c r="D29"/>
  <c r="C29"/>
  <c r="I28"/>
  <c r="F28"/>
  <c r="E28"/>
  <c r="D28"/>
  <c r="C28"/>
  <c r="I27"/>
  <c r="F27"/>
  <c r="E27"/>
  <c r="D27"/>
  <c r="C27"/>
  <c r="I26"/>
  <c r="F26"/>
  <c r="D26"/>
  <c r="C26"/>
  <c r="I25"/>
  <c r="F25"/>
  <c r="D25"/>
  <c r="C25"/>
  <c r="I24"/>
  <c r="F24"/>
  <c r="E24"/>
  <c r="D24"/>
  <c r="I23"/>
  <c r="F23"/>
  <c r="E23"/>
  <c r="D23"/>
  <c r="C23"/>
  <c r="I22"/>
  <c r="F22"/>
  <c r="E22"/>
  <c r="D22"/>
  <c r="C22"/>
  <c r="I21"/>
  <c r="F21"/>
  <c r="E21"/>
  <c r="D21"/>
  <c r="C21"/>
  <c r="I20"/>
  <c r="F20"/>
  <c r="E20"/>
  <c r="D20"/>
  <c r="C20"/>
  <c r="I19"/>
  <c r="F19"/>
  <c r="E19"/>
  <c r="D19"/>
  <c r="C19"/>
  <c r="I18"/>
  <c r="F18"/>
  <c r="E18"/>
  <c r="D18"/>
  <c r="C18"/>
  <c r="I17"/>
  <c r="F17"/>
  <c r="E17"/>
  <c r="D17"/>
  <c r="C17"/>
  <c r="I16"/>
  <c r="F16"/>
  <c r="E16"/>
  <c r="D16"/>
  <c r="C16"/>
  <c r="I15"/>
  <c r="F15"/>
  <c r="E15"/>
  <c r="D15"/>
  <c r="C15"/>
  <c r="J14"/>
  <c r="C10"/>
  <c r="B10"/>
  <c r="BL30" i="97"/>
  <c r="J80" i="96"/>
  <c r="K80" s="1"/>
  <c r="J79"/>
  <c r="K79" s="1"/>
  <c r="AS32" i="97"/>
  <c r="AO32"/>
  <c r="AM32"/>
  <c r="AL30"/>
  <c r="AM30"/>
  <c r="AN30"/>
  <c r="AO30"/>
  <c r="AP30"/>
  <c r="AQ30"/>
  <c r="AR30"/>
  <c r="AS30"/>
  <c r="AT30"/>
  <c r="AU30"/>
  <c r="AV30"/>
  <c r="AW30"/>
  <c r="AX30"/>
  <c r="AY30"/>
  <c r="AZ30"/>
  <c r="BA30"/>
  <c r="BB30"/>
  <c r="BC30"/>
  <c r="G49" i="96" s="1"/>
  <c r="BD30" i="97"/>
  <c r="BE30"/>
  <c r="BF30"/>
  <c r="BG30"/>
  <c r="BH30"/>
  <c r="BI30"/>
  <c r="BJ30"/>
  <c r="BK30"/>
  <c r="AK30"/>
  <c r="AG31"/>
  <c r="AG30"/>
  <c r="AC30"/>
  <c r="AD30"/>
  <c r="AE30"/>
  <c r="AB30"/>
  <c r="AA30"/>
  <c r="G41" i="96" s="1"/>
  <c r="Z30" i="97"/>
  <c r="Q30"/>
  <c r="P30"/>
  <c r="E32"/>
  <c r="E31"/>
  <c r="E30"/>
  <c r="BJ13" i="91"/>
  <c r="G73" i="96"/>
  <c r="G72"/>
  <c r="J73"/>
  <c r="K73" s="1"/>
  <c r="J72"/>
  <c r="K72" s="1"/>
  <c r="G55"/>
  <c r="J56"/>
  <c r="K56" s="1"/>
  <c r="J55"/>
  <c r="K55" s="1"/>
  <c r="C16"/>
  <c r="B16"/>
  <c r="J58"/>
  <c r="I66"/>
  <c r="A27" i="97"/>
  <c r="A36" s="1"/>
  <c r="A24"/>
  <c r="A35" s="1"/>
  <c r="A21"/>
  <c r="A34" s="1"/>
  <c r="I62" i="96"/>
  <c r="I42"/>
  <c r="J42" s="1"/>
  <c r="K42" s="1"/>
  <c r="C62"/>
  <c r="D62"/>
  <c r="E62"/>
  <c r="F62"/>
  <c r="G50"/>
  <c r="I43"/>
  <c r="J43" s="1"/>
  <c r="K43" s="1"/>
  <c r="J41"/>
  <c r="K41" s="1"/>
  <c r="G40"/>
  <c r="G56"/>
  <c r="AO33" i="97"/>
  <c r="G43" i="96"/>
  <c r="AJ30" i="97"/>
  <c r="AI30"/>
  <c r="AG34"/>
  <c r="AG33"/>
  <c r="AG32"/>
  <c r="T15" i="91"/>
  <c r="U30" i="97"/>
  <c r="V30"/>
  <c r="W30"/>
  <c r="X30"/>
  <c r="Y30"/>
  <c r="T30"/>
  <c r="Z27"/>
  <c r="Z24"/>
  <c r="Z21"/>
  <c r="Z18"/>
  <c r="Z14"/>
  <c r="Z10"/>
  <c r="P27"/>
  <c r="P24"/>
  <c r="P21"/>
  <c r="P18"/>
  <c r="P14"/>
  <c r="P10"/>
  <c r="O27"/>
  <c r="O24"/>
  <c r="O21"/>
  <c r="O18"/>
  <c r="N27"/>
  <c r="N24"/>
  <c r="N21"/>
  <c r="N18"/>
  <c r="N14"/>
  <c r="N10"/>
  <c r="M27"/>
  <c r="M24"/>
  <c r="M21"/>
  <c r="M18"/>
  <c r="M14"/>
  <c r="M10"/>
  <c r="K26"/>
  <c r="J26"/>
  <c r="L23"/>
  <c r="L22"/>
  <c r="L20"/>
  <c r="L19"/>
  <c r="K23"/>
  <c r="J23"/>
  <c r="L28"/>
  <c r="I28"/>
  <c r="BJ27"/>
  <c r="BK27" s="1"/>
  <c r="AZ27"/>
  <c r="AY27"/>
  <c r="BI27" s="1"/>
  <c r="AX27"/>
  <c r="AW27"/>
  <c r="AV27"/>
  <c r="AU27"/>
  <c r="AT27"/>
  <c r="AP27"/>
  <c r="AN27"/>
  <c r="AM27"/>
  <c r="BC27" s="1"/>
  <c r="BD27" s="1"/>
  <c r="AK27"/>
  <c r="AJ27"/>
  <c r="AI27"/>
  <c r="Y27"/>
  <c r="X27"/>
  <c r="W27"/>
  <c r="V27"/>
  <c r="U27"/>
  <c r="T27"/>
  <c r="L26"/>
  <c r="AF27" s="1"/>
  <c r="AG27" s="1"/>
  <c r="I26"/>
  <c r="K20"/>
  <c r="J20"/>
  <c r="L11"/>
  <c r="L9"/>
  <c r="L25"/>
  <c r="I25"/>
  <c r="BJ24"/>
  <c r="BK24" s="1"/>
  <c r="AZ24"/>
  <c r="AY24"/>
  <c r="BI24" s="1"/>
  <c r="AX24"/>
  <c r="AW24"/>
  <c r="AV24"/>
  <c r="AU24"/>
  <c r="AT24"/>
  <c r="AP24"/>
  <c r="AN24"/>
  <c r="AK24"/>
  <c r="AJ24"/>
  <c r="AI24"/>
  <c r="Y24"/>
  <c r="X24"/>
  <c r="W24"/>
  <c r="V24"/>
  <c r="U24"/>
  <c r="T24"/>
  <c r="AF24"/>
  <c r="AG24" s="1"/>
  <c r="I23"/>
  <c r="I22"/>
  <c r="BJ21"/>
  <c r="BK21" s="1"/>
  <c r="AZ21"/>
  <c r="AY21"/>
  <c r="BI21" s="1"/>
  <c r="AX21"/>
  <c r="AW21"/>
  <c r="AV21"/>
  <c r="AU21"/>
  <c r="AT21"/>
  <c r="AP21"/>
  <c r="AN21"/>
  <c r="AK21"/>
  <c r="AJ21"/>
  <c r="AI21"/>
  <c r="Y21"/>
  <c r="X21"/>
  <c r="W21"/>
  <c r="V21"/>
  <c r="U21"/>
  <c r="T21"/>
  <c r="I20"/>
  <c r="I19"/>
  <c r="BJ18"/>
  <c r="BK18" s="1"/>
  <c r="AZ18"/>
  <c r="AY18"/>
  <c r="BI18" s="1"/>
  <c r="AX18"/>
  <c r="AW18"/>
  <c r="AV18"/>
  <c r="AU18"/>
  <c r="AT18"/>
  <c r="AP18"/>
  <c r="AN18"/>
  <c r="AK18"/>
  <c r="AJ18"/>
  <c r="AI18"/>
  <c r="Y18"/>
  <c r="X18"/>
  <c r="W18"/>
  <c r="V18"/>
  <c r="U18"/>
  <c r="T18"/>
  <c r="L17"/>
  <c r="I17"/>
  <c r="L15"/>
  <c r="I15"/>
  <c r="BJ14"/>
  <c r="BK14" s="1"/>
  <c r="AZ14"/>
  <c r="AY14"/>
  <c r="BI14" s="1"/>
  <c r="AX14"/>
  <c r="AW14"/>
  <c r="AV14"/>
  <c r="AU14"/>
  <c r="AT14"/>
  <c r="AP14"/>
  <c r="AO14"/>
  <c r="BE14" s="1"/>
  <c r="BF14" s="1"/>
  <c r="AN14"/>
  <c r="AK14"/>
  <c r="AJ14"/>
  <c r="AI14"/>
  <c r="Y14"/>
  <c r="X14"/>
  <c r="W14"/>
  <c r="V14"/>
  <c r="U14"/>
  <c r="T14"/>
  <c r="O14"/>
  <c r="L13"/>
  <c r="I13"/>
  <c r="BO194"/>
  <c r="CN168"/>
  <c r="CO168" s="1"/>
  <c r="CN167"/>
  <c r="CO167" s="1"/>
  <c r="CN166"/>
  <c r="CO166" s="1"/>
  <c r="CN165"/>
  <c r="CO165" s="1"/>
  <c r="CN164"/>
  <c r="CO164" s="1"/>
  <c r="CN163"/>
  <c r="CO163" s="1"/>
  <c r="CN162"/>
  <c r="CO162" s="1"/>
  <c r="CN161"/>
  <c r="CO161" s="1"/>
  <c r="BU161"/>
  <c r="CO160"/>
  <c r="CN160"/>
  <c r="CO159"/>
  <c r="CN159"/>
  <c r="CO158"/>
  <c r="CN158"/>
  <c r="CO157"/>
  <c r="CN157"/>
  <c r="CO156"/>
  <c r="CN156"/>
  <c r="CO155"/>
  <c r="CN155"/>
  <c r="CO154"/>
  <c r="CN154"/>
  <c r="CO153"/>
  <c r="CN153"/>
  <c r="CO152"/>
  <c r="CN152"/>
  <c r="CQ151"/>
  <c r="CO151"/>
  <c r="CN151"/>
  <c r="CQ150"/>
  <c r="CO150"/>
  <c r="CN150"/>
  <c r="CQ149"/>
  <c r="CN149"/>
  <c r="CO149" s="1"/>
  <c r="CQ148"/>
  <c r="CO148"/>
  <c r="CN148"/>
  <c r="CQ147"/>
  <c r="CO147"/>
  <c r="CN147"/>
  <c r="CQ146"/>
  <c r="CO146"/>
  <c r="CN146"/>
  <c r="CQ145"/>
  <c r="CN145"/>
  <c r="CO145" s="1"/>
  <c r="CQ144"/>
  <c r="CO144"/>
  <c r="CN144"/>
  <c r="DI143"/>
  <c r="DG143"/>
  <c r="CQ143"/>
  <c r="CN143"/>
  <c r="CO143" s="1"/>
  <c r="DL142"/>
  <c r="DI142"/>
  <c r="DG142"/>
  <c r="CQ142"/>
  <c r="CO142"/>
  <c r="CN142"/>
  <c r="DL141"/>
  <c r="DI141"/>
  <c r="DG141"/>
  <c r="CQ141"/>
  <c r="CN141"/>
  <c r="CO141" s="1"/>
  <c r="CA141"/>
  <c r="DL140"/>
  <c r="DI140"/>
  <c r="DG140"/>
  <c r="CQ140"/>
  <c r="CO140"/>
  <c r="CN140"/>
  <c r="DL139"/>
  <c r="DI139"/>
  <c r="DG139"/>
  <c r="CQ139"/>
  <c r="CO139"/>
  <c r="CN139"/>
  <c r="CA139"/>
  <c r="DL138"/>
  <c r="DI138"/>
  <c r="DG138"/>
  <c r="DD138"/>
  <c r="DB138"/>
  <c r="CQ138"/>
  <c r="CN138"/>
  <c r="CO138" s="1"/>
  <c r="CL138"/>
  <c r="CK138"/>
  <c r="CI138"/>
  <c r="CA138"/>
  <c r="DL137"/>
  <c r="DI137"/>
  <c r="DG137"/>
  <c r="DD137"/>
  <c r="DB137"/>
  <c r="CQ137"/>
  <c r="CN137"/>
  <c r="CO137" s="1"/>
  <c r="CL137"/>
  <c r="CK137"/>
  <c r="CI137"/>
  <c r="CA137"/>
  <c r="DL136"/>
  <c r="DI136"/>
  <c r="DG136"/>
  <c r="DD136"/>
  <c r="DB136"/>
  <c r="CQ136"/>
  <c r="CN136"/>
  <c r="CO136" s="1"/>
  <c r="CL136"/>
  <c r="CK136"/>
  <c r="CI136"/>
  <c r="CA136"/>
  <c r="DL135"/>
  <c r="DI135"/>
  <c r="DG135"/>
  <c r="CQ135"/>
  <c r="CN135"/>
  <c r="CO135" s="1"/>
  <c r="CL135"/>
  <c r="CK135"/>
  <c r="CI135"/>
  <c r="CG135"/>
  <c r="CF135"/>
  <c r="CE135"/>
  <c r="CA135"/>
  <c r="DL134"/>
  <c r="DI134"/>
  <c r="DG134"/>
  <c r="DD134"/>
  <c r="DB134"/>
  <c r="CQ134"/>
  <c r="CO134"/>
  <c r="CN134"/>
  <c r="CL134"/>
  <c r="CK134"/>
  <c r="CI134"/>
  <c r="CG134"/>
  <c r="CF134"/>
  <c r="CE134"/>
  <c r="CA134"/>
  <c r="DL133"/>
  <c r="DI133"/>
  <c r="DG133"/>
  <c r="DD133"/>
  <c r="DB133"/>
  <c r="CQ133"/>
  <c r="CN133"/>
  <c r="CO133" s="1"/>
  <c r="CL133"/>
  <c r="CK133"/>
  <c r="CI133"/>
  <c r="CG133"/>
  <c r="CF133"/>
  <c r="CE133"/>
  <c r="CA133"/>
  <c r="DL132"/>
  <c r="DI132"/>
  <c r="DG132"/>
  <c r="DD132"/>
  <c r="DB132"/>
  <c r="CQ132"/>
  <c r="CO132"/>
  <c r="CN132"/>
  <c r="CK132"/>
  <c r="CI132"/>
  <c r="CG132"/>
  <c r="CF132"/>
  <c r="CE132"/>
  <c r="CG126"/>
  <c r="CF126"/>
  <c r="CE126"/>
  <c r="CD126"/>
  <c r="CG125"/>
  <c r="CF125"/>
  <c r="CE125"/>
  <c r="CD125"/>
  <c r="CG124"/>
  <c r="CF124"/>
  <c r="CE124"/>
  <c r="CD124"/>
  <c r="CG123"/>
  <c r="CF123"/>
  <c r="CE123"/>
  <c r="CD123"/>
  <c r="CG122"/>
  <c r="CF122"/>
  <c r="CE122"/>
  <c r="CD122"/>
  <c r="CG121"/>
  <c r="CF121"/>
  <c r="CE121"/>
  <c r="CD121"/>
  <c r="CG120"/>
  <c r="CF120"/>
  <c r="CE120"/>
  <c r="CD120"/>
  <c r="CG119"/>
  <c r="CF119"/>
  <c r="CE119"/>
  <c r="CD119"/>
  <c r="CG118"/>
  <c r="CF118"/>
  <c r="CE118"/>
  <c r="CD118"/>
  <c r="CG117"/>
  <c r="CF117"/>
  <c r="CE117"/>
  <c r="CD117"/>
  <c r="CG116"/>
  <c r="CF116"/>
  <c r="CE116"/>
  <c r="CD116"/>
  <c r="CG115"/>
  <c r="CF115"/>
  <c r="CE115"/>
  <c r="CD115"/>
  <c r="CG114"/>
  <c r="CF114"/>
  <c r="CE114"/>
  <c r="CD114"/>
  <c r="CG113"/>
  <c r="CF113"/>
  <c r="CE113"/>
  <c r="CD113"/>
  <c r="Y39"/>
  <c r="X39"/>
  <c r="W39"/>
  <c r="V39"/>
  <c r="N39"/>
  <c r="Y38"/>
  <c r="X38"/>
  <c r="W38"/>
  <c r="V38"/>
  <c r="N38"/>
  <c r="Y37"/>
  <c r="X37"/>
  <c r="W37"/>
  <c r="V37"/>
  <c r="N37"/>
  <c r="Y36"/>
  <c r="X36"/>
  <c r="W36"/>
  <c r="V36"/>
  <c r="N36"/>
  <c r="N35"/>
  <c r="J35"/>
  <c r="N34"/>
  <c r="N33"/>
  <c r="N32"/>
  <c r="I11"/>
  <c r="BJ10"/>
  <c r="G75" i="96" s="1"/>
  <c r="AZ10" i="97"/>
  <c r="AY10"/>
  <c r="AX10"/>
  <c r="AW10"/>
  <c r="AV10"/>
  <c r="AU10"/>
  <c r="AT10"/>
  <c r="AP10"/>
  <c r="AO10"/>
  <c r="AN10"/>
  <c r="AK10"/>
  <c r="G33" i="96" s="1"/>
  <c r="AJ10" i="97"/>
  <c r="AI10"/>
  <c r="Y10"/>
  <c r="X10"/>
  <c r="W10"/>
  <c r="V10"/>
  <c r="U10"/>
  <c r="T10"/>
  <c r="O10"/>
  <c r="I9"/>
  <c r="BK7"/>
  <c r="BI7"/>
  <c r="BH7"/>
  <c r="BF7"/>
  <c r="BD7"/>
  <c r="BB7"/>
  <c r="AE6"/>
  <c r="AD6"/>
  <c r="AC6"/>
  <c r="AB6"/>
  <c r="AA6"/>
  <c r="Z6"/>
  <c r="Y6"/>
  <c r="X6"/>
  <c r="W6"/>
  <c r="V6"/>
  <c r="U6"/>
  <c r="T6"/>
  <c r="AU3"/>
  <c r="J88" i="96"/>
  <c r="J87"/>
  <c r="J85"/>
  <c r="K85" s="1"/>
  <c r="K87" s="1"/>
  <c r="J82"/>
  <c r="J78"/>
  <c r="K78" s="1"/>
  <c r="N77"/>
  <c r="J76"/>
  <c r="K76" s="1"/>
  <c r="J75"/>
  <c r="K75" s="1"/>
  <c r="J68"/>
  <c r="F66"/>
  <c r="E66"/>
  <c r="D66"/>
  <c r="C66"/>
  <c r="N61"/>
  <c r="J61"/>
  <c r="K61" s="1"/>
  <c r="J52"/>
  <c r="I50"/>
  <c r="J50" s="1"/>
  <c r="K50" s="1"/>
  <c r="I49"/>
  <c r="J49" s="1"/>
  <c r="K49" s="1"/>
  <c r="I48"/>
  <c r="J48" s="1"/>
  <c r="K48" s="1"/>
  <c r="I47"/>
  <c r="J47" s="1"/>
  <c r="K47" s="1"/>
  <c r="J46"/>
  <c r="K46" s="1"/>
  <c r="J45"/>
  <c r="K45" s="1"/>
  <c r="I44"/>
  <c r="J44" s="1"/>
  <c r="K44" s="1"/>
  <c r="J40"/>
  <c r="K40" s="1"/>
  <c r="J39"/>
  <c r="K39" s="1"/>
  <c r="J37"/>
  <c r="J36"/>
  <c r="J34"/>
  <c r="K34" s="1"/>
  <c r="J33"/>
  <c r="K33" s="1"/>
  <c r="K36" s="1"/>
  <c r="J31"/>
  <c r="J30"/>
  <c r="J29"/>
  <c r="K29" s="1"/>
  <c r="J28"/>
  <c r="K28" s="1"/>
  <c r="J27"/>
  <c r="K27" s="1"/>
  <c r="J26"/>
  <c r="C22"/>
  <c r="B22"/>
  <c r="C20"/>
  <c r="B20"/>
  <c r="C18"/>
  <c r="B18"/>
  <c r="C14"/>
  <c r="B14"/>
  <c r="C12"/>
  <c r="B12"/>
  <c r="C10"/>
  <c r="B10"/>
  <c r="F15" i="75"/>
  <c r="H15" s="1"/>
  <c r="F14"/>
  <c r="H14" s="1"/>
  <c r="F13"/>
  <c r="H13" s="1"/>
  <c r="B15"/>
  <c r="B14"/>
  <c r="J44" i="95"/>
  <c r="J43"/>
  <c r="I42"/>
  <c r="F42"/>
  <c r="E42"/>
  <c r="D42"/>
  <c r="C42"/>
  <c r="N41"/>
  <c r="O41" s="1"/>
  <c r="I41"/>
  <c r="F41"/>
  <c r="E41"/>
  <c r="D41"/>
  <c r="C41"/>
  <c r="N40"/>
  <c r="O40" s="1"/>
  <c r="I40"/>
  <c r="F40"/>
  <c r="E40"/>
  <c r="D40"/>
  <c r="C40"/>
  <c r="I39"/>
  <c r="F39"/>
  <c r="E39"/>
  <c r="D39"/>
  <c r="C39"/>
  <c r="I38"/>
  <c r="F38"/>
  <c r="E38"/>
  <c r="D38"/>
  <c r="C38"/>
  <c r="N37"/>
  <c r="O37" s="1"/>
  <c r="I37"/>
  <c r="F37"/>
  <c r="E37"/>
  <c r="D37"/>
  <c r="C37"/>
  <c r="O36"/>
  <c r="N36"/>
  <c r="I36"/>
  <c r="F36"/>
  <c r="E36"/>
  <c r="D36"/>
  <c r="C36"/>
  <c r="O35"/>
  <c r="I35"/>
  <c r="F35"/>
  <c r="E35"/>
  <c r="D35"/>
  <c r="C35"/>
  <c r="N34"/>
  <c r="O34" s="1"/>
  <c r="I34"/>
  <c r="F34"/>
  <c r="E34"/>
  <c r="D34"/>
  <c r="C34"/>
  <c r="O33"/>
  <c r="I33"/>
  <c r="F33"/>
  <c r="E33"/>
  <c r="D33"/>
  <c r="C33"/>
  <c r="N32"/>
  <c r="O32" s="1"/>
  <c r="I32"/>
  <c r="F32"/>
  <c r="E32"/>
  <c r="D32"/>
  <c r="C32"/>
  <c r="I31"/>
  <c r="F31"/>
  <c r="E31"/>
  <c r="D31"/>
  <c r="C31"/>
  <c r="I30"/>
  <c r="F30"/>
  <c r="E30"/>
  <c r="D30"/>
  <c r="C30"/>
  <c r="I29"/>
  <c r="F29"/>
  <c r="E29"/>
  <c r="D29"/>
  <c r="C29"/>
  <c r="N28"/>
  <c r="O28" s="1"/>
  <c r="I28"/>
  <c r="F28"/>
  <c r="E28"/>
  <c r="D28"/>
  <c r="C28"/>
  <c r="I27"/>
  <c r="F27"/>
  <c r="D27"/>
  <c r="C27"/>
  <c r="O26"/>
  <c r="I26"/>
  <c r="F26"/>
  <c r="E26"/>
  <c r="D26"/>
  <c r="C26"/>
  <c r="O25"/>
  <c r="I25"/>
  <c r="F25"/>
  <c r="E25"/>
  <c r="D25"/>
  <c r="C25"/>
  <c r="I24"/>
  <c r="F24"/>
  <c r="E24"/>
  <c r="D24"/>
  <c r="C24"/>
  <c r="N23"/>
  <c r="O23" s="1"/>
  <c r="I23"/>
  <c r="F23"/>
  <c r="E23"/>
  <c r="D23"/>
  <c r="C23"/>
  <c r="I22"/>
  <c r="F22"/>
  <c r="E22"/>
  <c r="D22"/>
  <c r="C22"/>
  <c r="I21"/>
  <c r="F21"/>
  <c r="E21"/>
  <c r="D21"/>
  <c r="C21"/>
  <c r="O20"/>
  <c r="I20"/>
  <c r="F20"/>
  <c r="E20"/>
  <c r="D20"/>
  <c r="C20"/>
  <c r="O19"/>
  <c r="I19"/>
  <c r="F19"/>
  <c r="E19"/>
  <c r="D19"/>
  <c r="C19"/>
  <c r="N18"/>
  <c r="O18" s="1"/>
  <c r="I18"/>
  <c r="F18"/>
  <c r="E18"/>
  <c r="D18"/>
  <c r="C18"/>
  <c r="I17"/>
  <c r="F17"/>
  <c r="E17"/>
  <c r="D17"/>
  <c r="C17"/>
  <c r="I16"/>
  <c r="F16"/>
  <c r="E16"/>
  <c r="D16"/>
  <c r="C16"/>
  <c r="I15"/>
  <c r="F15"/>
  <c r="E15"/>
  <c r="D15"/>
  <c r="C15"/>
  <c r="J14"/>
  <c r="C10"/>
  <c r="B10"/>
  <c r="I60" i="92"/>
  <c r="I58"/>
  <c r="I52"/>
  <c r="I46"/>
  <c r="I45"/>
  <c r="J45" s="1"/>
  <c r="K45" s="1"/>
  <c r="I44"/>
  <c r="J44" s="1"/>
  <c r="K44" s="1"/>
  <c r="I43"/>
  <c r="I40"/>
  <c r="J40" s="1"/>
  <c r="K40" s="1"/>
  <c r="I39"/>
  <c r="J39" s="1"/>
  <c r="K39" s="1"/>
  <c r="F58"/>
  <c r="E58"/>
  <c r="D58"/>
  <c r="C58"/>
  <c r="H15" i="94"/>
  <c r="H14"/>
  <c r="H13"/>
  <c r="B14"/>
  <c r="B15" s="1"/>
  <c r="C43" i="93"/>
  <c r="C31"/>
  <c r="C21"/>
  <c r="C40"/>
  <c r="D40"/>
  <c r="C39"/>
  <c r="D39"/>
  <c r="C38"/>
  <c r="D38"/>
  <c r="B39"/>
  <c r="B40"/>
  <c r="B38"/>
  <c r="E15" i="94"/>
  <c r="D15"/>
  <c r="C15"/>
  <c r="E14"/>
  <c r="D14"/>
  <c r="C14"/>
  <c r="E13"/>
  <c r="D13"/>
  <c r="C13"/>
  <c r="C8"/>
  <c r="D28" i="93"/>
  <c r="C28"/>
  <c r="B28"/>
  <c r="D27"/>
  <c r="C27"/>
  <c r="B27"/>
  <c r="D26"/>
  <c r="C26"/>
  <c r="B26"/>
  <c r="D18"/>
  <c r="C18"/>
  <c r="B18"/>
  <c r="D17"/>
  <c r="C17"/>
  <c r="B17"/>
  <c r="D16"/>
  <c r="C16"/>
  <c r="B16"/>
  <c r="J55" i="92"/>
  <c r="K55" s="1"/>
  <c r="J56"/>
  <c r="K56" s="1"/>
  <c r="J54"/>
  <c r="K54" s="1"/>
  <c r="J46"/>
  <c r="K46" s="1"/>
  <c r="J43"/>
  <c r="K43" s="1"/>
  <c r="J42"/>
  <c r="K42" s="1"/>
  <c r="J41"/>
  <c r="K41" s="1"/>
  <c r="J38"/>
  <c r="K38" s="1"/>
  <c r="J25"/>
  <c r="K25" s="1"/>
  <c r="K71" i="103" l="1"/>
  <c r="D13" i="64" s="1"/>
  <c r="L13" s="1"/>
  <c r="H18" i="75"/>
  <c r="H75" i="92" s="1"/>
  <c r="J75" s="1"/>
  <c r="K75" s="1"/>
  <c r="K77" s="1"/>
  <c r="H18" i="94"/>
  <c r="H58" i="92" s="1"/>
  <c r="J58" s="1"/>
  <c r="K58" s="1"/>
  <c r="K21" i="87"/>
  <c r="K10" s="1"/>
  <c r="K12" s="1"/>
  <c r="H35" i="63" s="1"/>
  <c r="K75" i="99"/>
  <c r="K74"/>
  <c r="K82" i="96"/>
  <c r="K58"/>
  <c r="K52"/>
  <c r="K30"/>
  <c r="H14" i="63"/>
  <c r="C14" i="64"/>
  <c r="N12"/>
  <c r="P12"/>
  <c r="O12"/>
  <c r="S12"/>
  <c r="R12"/>
  <c r="T12"/>
  <c r="Q12"/>
  <c r="U12"/>
  <c r="K68" i="99"/>
  <c r="K70"/>
  <c r="K33"/>
  <c r="K53"/>
  <c r="K55" s="1"/>
  <c r="K16" s="1"/>
  <c r="BI10" i="100"/>
  <c r="BI13" s="1"/>
  <c r="G27" i="99"/>
  <c r="K27" s="1"/>
  <c r="G28"/>
  <c r="K28" s="1"/>
  <c r="AF10" i="100"/>
  <c r="BK10"/>
  <c r="G71" i="99" s="1"/>
  <c r="K71" s="1"/>
  <c r="BE10" i="100"/>
  <c r="AL27" i="97"/>
  <c r="AF21"/>
  <c r="AG21" s="1"/>
  <c r="AF18"/>
  <c r="AG18" s="1"/>
  <c r="AO24"/>
  <c r="BE24" s="1"/>
  <c r="BF24" s="1"/>
  <c r="AM18"/>
  <c r="BC18" s="1"/>
  <c r="BD18" s="1"/>
  <c r="AF14"/>
  <c r="AG14" s="1"/>
  <c r="AF10"/>
  <c r="G28" i="96"/>
  <c r="G27"/>
  <c r="BI10" i="97"/>
  <c r="BE10"/>
  <c r="BK10"/>
  <c r="G76" i="96" s="1"/>
  <c r="C29" i="93"/>
  <c r="C19"/>
  <c r="F13" i="94" s="1"/>
  <c r="K24" i="87" l="1"/>
  <c r="D20" i="64" s="1"/>
  <c r="T20" s="1"/>
  <c r="K77" i="99"/>
  <c r="K20" s="1"/>
  <c r="H13" i="64"/>
  <c r="P13"/>
  <c r="J13"/>
  <c r="M13"/>
  <c r="K13"/>
  <c r="Q13"/>
  <c r="N13"/>
  <c r="O13"/>
  <c r="I13"/>
  <c r="V12"/>
  <c r="X12" s="1"/>
  <c r="K30" i="99"/>
  <c r="K10" s="1"/>
  <c r="BF10" i="100"/>
  <c r="BF13" s="1"/>
  <c r="BE13"/>
  <c r="X18"/>
  <c r="T18"/>
  <c r="Y17"/>
  <c r="U17"/>
  <c r="AS16"/>
  <c r="X16"/>
  <c r="T16"/>
  <c r="W15"/>
  <c r="AL10"/>
  <c r="G34" i="99" s="1"/>
  <c r="AC10" i="100"/>
  <c r="AC13" s="1"/>
  <c r="W18"/>
  <c r="X17"/>
  <c r="T17"/>
  <c r="AM16"/>
  <c r="W16"/>
  <c r="V15"/>
  <c r="AS10"/>
  <c r="AB10"/>
  <c r="AB13" s="1"/>
  <c r="V18"/>
  <c r="W17"/>
  <c r="V16"/>
  <c r="J16"/>
  <c r="J17" s="1"/>
  <c r="Y15"/>
  <c r="U15"/>
  <c r="BL10"/>
  <c r="G80" i="99" s="1"/>
  <c r="K22" s="1"/>
  <c r="AR10" i="100"/>
  <c r="G44" i="99" s="1"/>
  <c r="K44" s="1"/>
  <c r="AE10" i="100"/>
  <c r="AE13" s="1"/>
  <c r="AA10"/>
  <c r="AA13" s="1"/>
  <c r="Q10"/>
  <c r="G39" i="99" s="1"/>
  <c r="K39" s="1"/>
  <c r="Y18" i="100"/>
  <c r="U18"/>
  <c r="V17"/>
  <c r="Y16"/>
  <c r="U16"/>
  <c r="X15"/>
  <c r="T15"/>
  <c r="BG10"/>
  <c r="AQ10"/>
  <c r="AM10"/>
  <c r="AD10"/>
  <c r="AD13" s="1"/>
  <c r="Z10"/>
  <c r="G40" i="99" s="1"/>
  <c r="K40" s="1"/>
  <c r="AG10" i="100"/>
  <c r="AG15"/>
  <c r="AG14"/>
  <c r="AG16"/>
  <c r="AG17"/>
  <c r="K16" i="96"/>
  <c r="K10"/>
  <c r="AA27" i="97"/>
  <c r="AQ27"/>
  <c r="BL27"/>
  <c r="Q27"/>
  <c r="AD27"/>
  <c r="AR27"/>
  <c r="AS27"/>
  <c r="AE27"/>
  <c r="BG27"/>
  <c r="BH27" s="1"/>
  <c r="AO27"/>
  <c r="BE27" s="1"/>
  <c r="BF27" s="1"/>
  <c r="AC27"/>
  <c r="AB27"/>
  <c r="AA18"/>
  <c r="AL18"/>
  <c r="AB18"/>
  <c r="BG18"/>
  <c r="BH18" s="1"/>
  <c r="AB21"/>
  <c r="AD18"/>
  <c r="AS18"/>
  <c r="AE18"/>
  <c r="AL24"/>
  <c r="AC24"/>
  <c r="AS24"/>
  <c r="AB24"/>
  <c r="BL24"/>
  <c r="AR24"/>
  <c r="AE24"/>
  <c r="AA24"/>
  <c r="Q24"/>
  <c r="BG24"/>
  <c r="BH24" s="1"/>
  <c r="AQ24"/>
  <c r="AM24"/>
  <c r="BC24" s="1"/>
  <c r="BD24" s="1"/>
  <c r="AD24"/>
  <c r="AE10"/>
  <c r="BF10"/>
  <c r="W35"/>
  <c r="X34"/>
  <c r="W33"/>
  <c r="V32"/>
  <c r="V33"/>
  <c r="Y32"/>
  <c r="V35"/>
  <c r="W34"/>
  <c r="J33"/>
  <c r="J34" s="1"/>
  <c r="Y35"/>
  <c r="V34"/>
  <c r="Y33"/>
  <c r="X32"/>
  <c r="AM10"/>
  <c r="X35"/>
  <c r="Y34"/>
  <c r="X33"/>
  <c r="W32"/>
  <c r="AL10"/>
  <c r="G34" i="96" s="1"/>
  <c r="AG10" i="97"/>
  <c r="O44" i="95"/>
  <c r="F14" i="94"/>
  <c r="C41" i="93"/>
  <c r="F15" i="94" s="1"/>
  <c r="J51" i="92"/>
  <c r="K51" s="1"/>
  <c r="N51"/>
  <c r="C52"/>
  <c r="D52"/>
  <c r="E52"/>
  <c r="F52"/>
  <c r="C60"/>
  <c r="D60"/>
  <c r="E60"/>
  <c r="F60"/>
  <c r="G39"/>
  <c r="G38"/>
  <c r="B10"/>
  <c r="C10"/>
  <c r="B12"/>
  <c r="C12"/>
  <c r="B14"/>
  <c r="C14"/>
  <c r="B16"/>
  <c r="C16"/>
  <c r="B18"/>
  <c r="C18"/>
  <c r="B20"/>
  <c r="C20"/>
  <c r="G25"/>
  <c r="G26"/>
  <c r="J26"/>
  <c r="K26" s="1"/>
  <c r="K28" s="1"/>
  <c r="J27"/>
  <c r="K27" s="1"/>
  <c r="J28"/>
  <c r="J29"/>
  <c r="G31"/>
  <c r="J31"/>
  <c r="K31" s="1"/>
  <c r="G32"/>
  <c r="J32"/>
  <c r="K32" s="1"/>
  <c r="G37"/>
  <c r="J37"/>
  <c r="K37" s="1"/>
  <c r="K48" s="1"/>
  <c r="J34"/>
  <c r="J35"/>
  <c r="G40"/>
  <c r="G41"/>
  <c r="G42"/>
  <c r="G43"/>
  <c r="G44"/>
  <c r="G45"/>
  <c r="G46"/>
  <c r="J48"/>
  <c r="J62"/>
  <c r="J82"/>
  <c r="J83"/>
  <c r="BL13" i="91"/>
  <c r="BK13"/>
  <c r="BD13"/>
  <c r="BC13"/>
  <c r="BB13"/>
  <c r="BA13"/>
  <c r="AS13"/>
  <c r="AR13"/>
  <c r="AQ13"/>
  <c r="AP13"/>
  <c r="AS15"/>
  <c r="AM15"/>
  <c r="AL13"/>
  <c r="AM13"/>
  <c r="AN13"/>
  <c r="AO13"/>
  <c r="AK13"/>
  <c r="Z13"/>
  <c r="Q13"/>
  <c r="P13"/>
  <c r="BL10"/>
  <c r="BK10"/>
  <c r="BJ10"/>
  <c r="BD10"/>
  <c r="BC10"/>
  <c r="BA10"/>
  <c r="AP10"/>
  <c r="AM10"/>
  <c r="AK10"/>
  <c r="Q10"/>
  <c r="T10"/>
  <c r="U20" i="64" l="1"/>
  <c r="V20" s="1"/>
  <c r="K34" i="92"/>
  <c r="K34" i="99"/>
  <c r="K36" s="1"/>
  <c r="K12" s="1"/>
  <c r="G41"/>
  <c r="K41" s="1"/>
  <c r="BC10" i="100"/>
  <c r="BA10"/>
  <c r="G43" i="99"/>
  <c r="K43" s="1"/>
  <c r="G42"/>
  <c r="K42" s="1"/>
  <c r="BH10" i="100"/>
  <c r="BH13" s="1"/>
  <c r="BG13"/>
  <c r="K20" i="96"/>
  <c r="K12"/>
  <c r="BA27" i="97"/>
  <c r="BB27" s="1"/>
  <c r="AC18"/>
  <c r="AQ18"/>
  <c r="Q18"/>
  <c r="AQ21"/>
  <c r="AE21"/>
  <c r="AR18"/>
  <c r="AO18"/>
  <c r="BE18" s="1"/>
  <c r="BF18" s="1"/>
  <c r="BL18"/>
  <c r="AR10"/>
  <c r="G46" i="96" s="1"/>
  <c r="AQ10" i="97"/>
  <c r="AA10"/>
  <c r="AB10"/>
  <c r="AC10"/>
  <c r="AL21"/>
  <c r="AM33"/>
  <c r="BG21"/>
  <c r="BH21" s="1"/>
  <c r="AR21"/>
  <c r="AC21"/>
  <c r="AO21"/>
  <c r="BE21" s="1"/>
  <c r="BF21" s="1"/>
  <c r="Q21"/>
  <c r="BL21"/>
  <c r="AS21"/>
  <c r="G42" i="96" s="1"/>
  <c r="AA21" i="97"/>
  <c r="AD21"/>
  <c r="AM21"/>
  <c r="BC21" s="1"/>
  <c r="BD21" s="1"/>
  <c r="BA24"/>
  <c r="BB24" s="1"/>
  <c r="BG10"/>
  <c r="Q10"/>
  <c r="G39" i="96" s="1"/>
  <c r="BL10" i="97"/>
  <c r="G85" i="96" s="1"/>
  <c r="K22" s="1"/>
  <c r="AS10" i="97"/>
  <c r="AD10"/>
  <c r="AL14"/>
  <c r="AC14"/>
  <c r="AS14"/>
  <c r="AB14"/>
  <c r="BL14"/>
  <c r="AR14"/>
  <c r="AE14"/>
  <c r="AA14"/>
  <c r="Q14"/>
  <c r="BG14"/>
  <c r="BH14" s="1"/>
  <c r="AQ14"/>
  <c r="AM14"/>
  <c r="AD14"/>
  <c r="BC10"/>
  <c r="G45" i="96"/>
  <c r="K14" i="92"/>
  <c r="K20"/>
  <c r="P10" i="91"/>
  <c r="N10"/>
  <c r="M10"/>
  <c r="L11"/>
  <c r="BO177"/>
  <c r="CN151"/>
  <c r="CO151" s="1"/>
  <c r="CN150"/>
  <c r="CO150" s="1"/>
  <c r="CO149"/>
  <c r="CN149"/>
  <c r="CN148"/>
  <c r="CO148" s="1"/>
  <c r="CN147"/>
  <c r="CO147" s="1"/>
  <c r="CN146"/>
  <c r="CO146" s="1"/>
  <c r="CN145"/>
  <c r="CO145" s="1"/>
  <c r="CN144"/>
  <c r="CO144" s="1"/>
  <c r="BU144"/>
  <c r="CN143"/>
  <c r="CO143" s="1"/>
  <c r="CN142"/>
  <c r="CO142" s="1"/>
  <c r="CN141"/>
  <c r="CO141" s="1"/>
  <c r="CN140"/>
  <c r="CO140" s="1"/>
  <c r="CN139"/>
  <c r="CO139" s="1"/>
  <c r="CN138"/>
  <c r="CO138" s="1"/>
  <c r="CN137"/>
  <c r="CO137" s="1"/>
  <c r="CN136"/>
  <c r="CO136" s="1"/>
  <c r="CN135"/>
  <c r="CO135" s="1"/>
  <c r="CQ134"/>
  <c r="CN134"/>
  <c r="CO134" s="1"/>
  <c r="CQ133"/>
  <c r="CN133"/>
  <c r="CO133" s="1"/>
  <c r="CQ132"/>
  <c r="CN132"/>
  <c r="CO132" s="1"/>
  <c r="CQ131"/>
  <c r="CN131"/>
  <c r="CO131" s="1"/>
  <c r="CQ130"/>
  <c r="CN130"/>
  <c r="CO130" s="1"/>
  <c r="CQ129"/>
  <c r="CN129"/>
  <c r="CO129" s="1"/>
  <c r="CQ128"/>
  <c r="CN128"/>
  <c r="CO128" s="1"/>
  <c r="CQ127"/>
  <c r="CN127"/>
  <c r="CO127" s="1"/>
  <c r="DI126"/>
  <c r="DG126"/>
  <c r="CQ126"/>
  <c r="CN126"/>
  <c r="CO126" s="1"/>
  <c r="DL125"/>
  <c r="DI125"/>
  <c r="DG125"/>
  <c r="CQ125"/>
  <c r="CN125"/>
  <c r="CO125" s="1"/>
  <c r="DL124"/>
  <c r="DI124"/>
  <c r="DG124"/>
  <c r="CQ124"/>
  <c r="CN124"/>
  <c r="CO124" s="1"/>
  <c r="CA124"/>
  <c r="DL123"/>
  <c r="DI123"/>
  <c r="DG123"/>
  <c r="CQ123"/>
  <c r="CN123"/>
  <c r="CO123" s="1"/>
  <c r="DL122"/>
  <c r="DI122"/>
  <c r="DG122"/>
  <c r="CQ122"/>
  <c r="CN122"/>
  <c r="CO122" s="1"/>
  <c r="CA122"/>
  <c r="DL121"/>
  <c r="DI121"/>
  <c r="DG121"/>
  <c r="DD121"/>
  <c r="DB121"/>
  <c r="CQ121"/>
  <c r="CN121"/>
  <c r="CO121" s="1"/>
  <c r="CL121"/>
  <c r="CK121"/>
  <c r="CI121"/>
  <c r="CA121"/>
  <c r="DL120"/>
  <c r="DI120"/>
  <c r="DG120"/>
  <c r="DD120"/>
  <c r="DB120"/>
  <c r="CQ120"/>
  <c r="CN120"/>
  <c r="CO120" s="1"/>
  <c r="CL120"/>
  <c r="CK120"/>
  <c r="CI120"/>
  <c r="CA120"/>
  <c r="DL119"/>
  <c r="DI119"/>
  <c r="DG119"/>
  <c r="DD119"/>
  <c r="DB119"/>
  <c r="CQ119"/>
  <c r="CN119"/>
  <c r="CO119" s="1"/>
  <c r="CL119"/>
  <c r="CK119"/>
  <c r="CI119"/>
  <c r="CA119"/>
  <c r="DL118"/>
  <c r="DI118"/>
  <c r="DG118"/>
  <c r="CQ118"/>
  <c r="CN118"/>
  <c r="CO118" s="1"/>
  <c r="CL118"/>
  <c r="CK118"/>
  <c r="CI118"/>
  <c r="CG118"/>
  <c r="CF118"/>
  <c r="CE118"/>
  <c r="CA118"/>
  <c r="DL117"/>
  <c r="DI117"/>
  <c r="DG117"/>
  <c r="DD117"/>
  <c r="DB117"/>
  <c r="CQ117"/>
  <c r="CN117"/>
  <c r="CO117" s="1"/>
  <c r="CL117"/>
  <c r="CK117"/>
  <c r="CI117"/>
  <c r="CG117"/>
  <c r="CF117"/>
  <c r="CE117"/>
  <c r="CA117"/>
  <c r="DL116"/>
  <c r="DI116"/>
  <c r="DG116"/>
  <c r="DD116"/>
  <c r="DB116"/>
  <c r="CQ116"/>
  <c r="CN116"/>
  <c r="CO116" s="1"/>
  <c r="CL116"/>
  <c r="CK116"/>
  <c r="CI116"/>
  <c r="CG116"/>
  <c r="CF116"/>
  <c r="CE116"/>
  <c r="CA116"/>
  <c r="DL115"/>
  <c r="DI115"/>
  <c r="DG115"/>
  <c r="DD115"/>
  <c r="DB115"/>
  <c r="CQ115"/>
  <c r="CN115"/>
  <c r="CO115" s="1"/>
  <c r="CK115"/>
  <c r="CI115"/>
  <c r="CG115"/>
  <c r="CF115"/>
  <c r="CE115"/>
  <c r="CG109"/>
  <c r="CF109"/>
  <c r="CE109"/>
  <c r="CD109"/>
  <c r="CG108"/>
  <c r="CF108"/>
  <c r="CE108"/>
  <c r="CD108"/>
  <c r="CG107"/>
  <c r="CF107"/>
  <c r="CE107"/>
  <c r="CD107"/>
  <c r="CG106"/>
  <c r="CF106"/>
  <c r="CE106"/>
  <c r="CD106"/>
  <c r="CG105"/>
  <c r="CF105"/>
  <c r="CE105"/>
  <c r="CD105"/>
  <c r="CG104"/>
  <c r="CF104"/>
  <c r="CE104"/>
  <c r="CD104"/>
  <c r="CG103"/>
  <c r="CF103"/>
  <c r="CE103"/>
  <c r="CD103"/>
  <c r="CG102"/>
  <c r="CF102"/>
  <c r="CE102"/>
  <c r="CD102"/>
  <c r="CG101"/>
  <c r="CF101"/>
  <c r="CE101"/>
  <c r="CD101"/>
  <c r="CG100"/>
  <c r="CF100"/>
  <c r="CE100"/>
  <c r="CD100"/>
  <c r="CG99"/>
  <c r="CF99"/>
  <c r="CE99"/>
  <c r="CD99"/>
  <c r="CG98"/>
  <c r="CF98"/>
  <c r="CE98"/>
  <c r="CD98"/>
  <c r="CG97"/>
  <c r="CF97"/>
  <c r="CE97"/>
  <c r="CD97"/>
  <c r="CG96"/>
  <c r="CF96"/>
  <c r="CE96"/>
  <c r="CD96"/>
  <c r="Y22"/>
  <c r="X22"/>
  <c r="W22"/>
  <c r="V22"/>
  <c r="U22"/>
  <c r="T22"/>
  <c r="N22"/>
  <c r="Y21"/>
  <c r="X21"/>
  <c r="W21"/>
  <c r="V21"/>
  <c r="U21"/>
  <c r="T21"/>
  <c r="N21"/>
  <c r="Y20"/>
  <c r="X20"/>
  <c r="W20"/>
  <c r="V20"/>
  <c r="U20"/>
  <c r="T20"/>
  <c r="N20"/>
  <c r="Y19"/>
  <c r="X19"/>
  <c r="W19"/>
  <c r="V19"/>
  <c r="U19"/>
  <c r="T19"/>
  <c r="N19"/>
  <c r="N18"/>
  <c r="J18"/>
  <c r="N17"/>
  <c r="N16"/>
  <c r="N15"/>
  <c r="E13"/>
  <c r="I11"/>
  <c r="AZ10"/>
  <c r="AY10"/>
  <c r="AX10"/>
  <c r="AW10"/>
  <c r="AV10"/>
  <c r="AU10"/>
  <c r="AT10"/>
  <c r="AO10"/>
  <c r="AN10"/>
  <c r="AJ10"/>
  <c r="AI10"/>
  <c r="AE10"/>
  <c r="AD10"/>
  <c r="AC10"/>
  <c r="AB10"/>
  <c r="AA10"/>
  <c r="Z10"/>
  <c r="O10"/>
  <c r="L9"/>
  <c r="I9"/>
  <c r="BK7"/>
  <c r="BI7"/>
  <c r="BH7"/>
  <c r="BF7"/>
  <c r="BD7"/>
  <c r="BB7"/>
  <c r="AE6"/>
  <c r="AD6"/>
  <c r="AC6"/>
  <c r="AB6"/>
  <c r="AA6"/>
  <c r="Z6"/>
  <c r="Y6"/>
  <c r="X6"/>
  <c r="W6"/>
  <c r="V6"/>
  <c r="U6"/>
  <c r="T6"/>
  <c r="AU3"/>
  <c r="K10" i="92" l="1"/>
  <c r="BB10" i="100"/>
  <c r="G46" i="99" s="1"/>
  <c r="K46" s="1"/>
  <c r="G45"/>
  <c r="K45" s="1"/>
  <c r="BD10" i="100"/>
  <c r="G48" i="99" s="1"/>
  <c r="K48" s="1"/>
  <c r="G47"/>
  <c r="K47" s="1"/>
  <c r="BA18" i="97"/>
  <c r="BB18" s="1"/>
  <c r="BH10"/>
  <c r="AS33"/>
  <c r="BA10"/>
  <c r="BB10" s="1"/>
  <c r="G48" i="96" s="1"/>
  <c r="BA21" i="97"/>
  <c r="BB21" s="1"/>
  <c r="BA14"/>
  <c r="BB14" s="1"/>
  <c r="BC14"/>
  <c r="BD14" s="1"/>
  <c r="G44" i="96"/>
  <c r="BD10" i="97"/>
  <c r="AD13" i="91"/>
  <c r="AI13"/>
  <c r="AF10"/>
  <c r="BI10"/>
  <c r="AA13"/>
  <c r="AE13"/>
  <c r="AJ13"/>
  <c r="AZ13"/>
  <c r="BE10"/>
  <c r="AB13"/>
  <c r="AC13"/>
  <c r="K12" i="92" l="1"/>
  <c r="K50" i="99"/>
  <c r="K14" s="1"/>
  <c r="G47" i="96"/>
  <c r="BE13" i="91"/>
  <c r="BF10"/>
  <c r="BF13" s="1"/>
  <c r="AG10"/>
  <c r="AL10"/>
  <c r="Y10"/>
  <c r="U10"/>
  <c r="X10"/>
  <c r="AS10"/>
  <c r="AR10"/>
  <c r="W10"/>
  <c r="AQ10"/>
  <c r="V10"/>
  <c r="BG10"/>
  <c r="K14" i="96" l="1"/>
  <c r="AG13" i="91"/>
  <c r="AG17"/>
  <c r="BH10"/>
  <c r="AG14"/>
  <c r="U15"/>
  <c r="Y15"/>
  <c r="AG15"/>
  <c r="V18"/>
  <c r="X17"/>
  <c r="V15"/>
  <c r="U18"/>
  <c r="AG16"/>
  <c r="V17" l="1"/>
  <c r="U17"/>
  <c r="W17"/>
  <c r="T17"/>
  <c r="V13"/>
  <c r="V16" s="1"/>
  <c r="W13"/>
  <c r="T16"/>
  <c r="X13"/>
  <c r="X18"/>
  <c r="AM16"/>
  <c r="X15"/>
  <c r="Y17"/>
  <c r="T18"/>
  <c r="BB10"/>
  <c r="W18"/>
  <c r="W15"/>
  <c r="AU13"/>
  <c r="AW13"/>
  <c r="AV13"/>
  <c r="AX13"/>
  <c r="AT13"/>
  <c r="Y18"/>
  <c r="X16"/>
  <c r="AS16"/>
  <c r="W16"/>
  <c r="U13"/>
  <c r="U16" s="1"/>
  <c r="Y13"/>
  <c r="BH13"/>
  <c r="J16"/>
  <c r="J17" s="1"/>
  <c r="BI13" l="1"/>
  <c r="AY13"/>
  <c r="T13"/>
  <c r="Y16"/>
  <c r="BG13"/>
  <c r="L17" i="76" l="1"/>
  <c r="H27" i="95" s="1"/>
  <c r="J27" s="1"/>
  <c r="K27" s="1"/>
  <c r="H14" i="89" l="1"/>
  <c r="H15"/>
  <c r="H16"/>
  <c r="H17"/>
  <c r="H13"/>
  <c r="F16"/>
  <c r="F14"/>
  <c r="F13"/>
  <c r="H20" l="1"/>
  <c r="H60" i="92" s="1"/>
  <c r="J60" s="1"/>
  <c r="K60" s="1"/>
  <c r="F15" i="89"/>
  <c r="B14"/>
  <c r="B15" s="1"/>
  <c r="B16" s="1"/>
  <c r="B17" s="1"/>
  <c r="F17"/>
  <c r="H66" i="96" l="1"/>
  <c r="J66" s="1"/>
  <c r="K66" s="1"/>
  <c r="H62" i="99"/>
  <c r="J62" s="1"/>
  <c r="K62" s="1"/>
  <c r="K64" s="1"/>
  <c r="K18" s="1"/>
  <c r="K24" s="1"/>
  <c r="H29" i="63" s="1"/>
  <c r="H14" i="86"/>
  <c r="H15"/>
  <c r="H16"/>
  <c r="H17"/>
  <c r="H18"/>
  <c r="H19"/>
  <c r="H20"/>
  <c r="H21"/>
  <c r="H22"/>
  <c r="H23"/>
  <c r="H24"/>
  <c r="H25"/>
  <c r="H26"/>
  <c r="H27"/>
  <c r="H28"/>
  <c r="H29"/>
  <c r="H30"/>
  <c r="H13"/>
  <c r="B25"/>
  <c r="B26"/>
  <c r="B27"/>
  <c r="B28" s="1"/>
  <c r="B29" s="1"/>
  <c r="B30" s="1"/>
  <c r="B14"/>
  <c r="B15" s="1"/>
  <c r="B16" s="1"/>
  <c r="B17" s="1"/>
  <c r="B18" s="1"/>
  <c r="B19" s="1"/>
  <c r="B20" s="1"/>
  <c r="B21" s="1"/>
  <c r="B22" s="1"/>
  <c r="B23" s="1"/>
  <c r="B24" s="1"/>
  <c r="C239" i="85"/>
  <c r="C219"/>
  <c r="C206"/>
  <c r="C204"/>
  <c r="C195"/>
  <c r="C193"/>
  <c r="C184"/>
  <c r="C57"/>
  <c r="C57" i="83"/>
  <c r="C171" i="85"/>
  <c r="C140"/>
  <c r="K85" i="99" l="1"/>
  <c r="D18" i="64" s="1"/>
  <c r="H33" i="86"/>
  <c r="H52" i="92" s="1"/>
  <c r="J52" s="1"/>
  <c r="K52" s="1"/>
  <c r="K62" s="1"/>
  <c r="K16" s="1"/>
  <c r="E30" i="86"/>
  <c r="D30"/>
  <c r="C30"/>
  <c r="E29"/>
  <c r="D29"/>
  <c r="C29"/>
  <c r="E28"/>
  <c r="D28"/>
  <c r="C28"/>
  <c r="E27"/>
  <c r="D27"/>
  <c r="C27"/>
  <c r="E26"/>
  <c r="D26"/>
  <c r="C26"/>
  <c r="E25"/>
  <c r="D25"/>
  <c r="C25"/>
  <c r="E24"/>
  <c r="D24"/>
  <c r="C24"/>
  <c r="E23"/>
  <c r="D23"/>
  <c r="C23"/>
  <c r="E22"/>
  <c r="D22"/>
  <c r="C22"/>
  <c r="E21"/>
  <c r="D21"/>
  <c r="C21"/>
  <c r="E20"/>
  <c r="D20"/>
  <c r="C20"/>
  <c r="E19"/>
  <c r="D19"/>
  <c r="C19"/>
  <c r="E18"/>
  <c r="D18"/>
  <c r="C18"/>
  <c r="E17"/>
  <c r="D17"/>
  <c r="C17"/>
  <c r="E16"/>
  <c r="D16"/>
  <c r="C16"/>
  <c r="E15"/>
  <c r="D15"/>
  <c r="C15"/>
  <c r="E14"/>
  <c r="D14"/>
  <c r="C14"/>
  <c r="D13"/>
  <c r="C13"/>
  <c r="C8"/>
  <c r="D236" i="85"/>
  <c r="C236"/>
  <c r="B236"/>
  <c r="D235"/>
  <c r="C235"/>
  <c r="B235"/>
  <c r="D234"/>
  <c r="C234"/>
  <c r="B234"/>
  <c r="D233"/>
  <c r="C233"/>
  <c r="B233"/>
  <c r="D232"/>
  <c r="C232"/>
  <c r="B232"/>
  <c r="D231"/>
  <c r="C231"/>
  <c r="B231"/>
  <c r="D230"/>
  <c r="C230"/>
  <c r="B230"/>
  <c r="D227"/>
  <c r="C227"/>
  <c r="B227"/>
  <c r="D226"/>
  <c r="C226"/>
  <c r="B226"/>
  <c r="D225"/>
  <c r="C225"/>
  <c r="B225"/>
  <c r="B224"/>
  <c r="D216"/>
  <c r="C216"/>
  <c r="B216"/>
  <c r="D215"/>
  <c r="B215"/>
  <c r="D214"/>
  <c r="B214"/>
  <c r="D203"/>
  <c r="C203"/>
  <c r="B203"/>
  <c r="D202"/>
  <c r="B202"/>
  <c r="D201"/>
  <c r="B201"/>
  <c r="D192"/>
  <c r="C192"/>
  <c r="B192"/>
  <c r="D191"/>
  <c r="B191"/>
  <c r="D190"/>
  <c r="B190"/>
  <c r="D181"/>
  <c r="C181"/>
  <c r="B181"/>
  <c r="D180"/>
  <c r="B180"/>
  <c r="D179"/>
  <c r="B179"/>
  <c r="C169"/>
  <c r="F25" i="86" s="1"/>
  <c r="D158" i="85"/>
  <c r="C158"/>
  <c r="B158"/>
  <c r="D157"/>
  <c r="C157"/>
  <c r="B157"/>
  <c r="D156"/>
  <c r="C156"/>
  <c r="B156"/>
  <c r="D155"/>
  <c r="C155"/>
  <c r="B155"/>
  <c r="D154"/>
  <c r="C154"/>
  <c r="B154"/>
  <c r="D153"/>
  <c r="C153"/>
  <c r="B153"/>
  <c r="D152"/>
  <c r="C152"/>
  <c r="B152"/>
  <c r="C141"/>
  <c r="C215" s="1"/>
  <c r="C201"/>
  <c r="D131"/>
  <c r="C131"/>
  <c r="B131"/>
  <c r="D130"/>
  <c r="C130"/>
  <c r="B130"/>
  <c r="D129"/>
  <c r="C129"/>
  <c r="B129"/>
  <c r="B128"/>
  <c r="D120"/>
  <c r="B120"/>
  <c r="D111"/>
  <c r="C111"/>
  <c r="B111"/>
  <c r="D110"/>
  <c r="C110"/>
  <c r="B110"/>
  <c r="D109"/>
  <c r="C109"/>
  <c r="B109"/>
  <c r="B108"/>
  <c r="D100"/>
  <c r="C100"/>
  <c r="B100"/>
  <c r="D99"/>
  <c r="C99"/>
  <c r="B99"/>
  <c r="D98"/>
  <c r="C98"/>
  <c r="B98"/>
  <c r="B97"/>
  <c r="D89"/>
  <c r="C89"/>
  <c r="B89"/>
  <c r="D88"/>
  <c r="C88"/>
  <c r="B88"/>
  <c r="D87"/>
  <c r="C87"/>
  <c r="B87"/>
  <c r="B86"/>
  <c r="D76"/>
  <c r="B76"/>
  <c r="D57"/>
  <c r="D55"/>
  <c r="D40"/>
  <c r="C40"/>
  <c r="C42" s="1"/>
  <c r="C45" s="1"/>
  <c r="B40"/>
  <c r="D39"/>
  <c r="C39"/>
  <c r="C41" s="1"/>
  <c r="C44" s="1"/>
  <c r="B39"/>
  <c r="C38"/>
  <c r="D28"/>
  <c r="D30" s="1"/>
  <c r="E13" i="86" s="1"/>
  <c r="C28" i="85"/>
  <c r="H14" i="8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13"/>
  <c r="B15"/>
  <c r="B16"/>
  <c r="B17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14"/>
  <c r="H35" l="1"/>
  <c r="H62" i="96" s="1"/>
  <c r="J62" s="1"/>
  <c r="K62" s="1"/>
  <c r="K68" s="1"/>
  <c r="K18" s="1"/>
  <c r="K24" s="1"/>
  <c r="H23" i="63" s="1"/>
  <c r="T18" i="64"/>
  <c r="R18"/>
  <c r="P18"/>
  <c r="O18"/>
  <c r="Q18"/>
  <c r="S18"/>
  <c r="U18"/>
  <c r="N18"/>
  <c r="K85" i="92"/>
  <c r="C30" i="85"/>
  <c r="F13" i="86" s="1"/>
  <c r="C101" i="85"/>
  <c r="C103" s="1"/>
  <c r="C56" s="1"/>
  <c r="C228"/>
  <c r="C202"/>
  <c r="F28" i="86" s="1"/>
  <c r="C159" i="85"/>
  <c r="C143"/>
  <c r="C179"/>
  <c r="C190"/>
  <c r="C214"/>
  <c r="C217" s="1"/>
  <c r="F29" i="86" s="1"/>
  <c r="C237" i="85"/>
  <c r="F30" i="86" s="1"/>
  <c r="C46" i="85"/>
  <c r="C90"/>
  <c r="C92" s="1"/>
  <c r="C55" s="1"/>
  <c r="C112"/>
  <c r="C132"/>
  <c r="C134" s="1"/>
  <c r="F22" i="86" s="1"/>
  <c r="C43" i="85"/>
  <c r="C191"/>
  <c r="C180"/>
  <c r="C182" s="1"/>
  <c r="F26" i="86" s="1"/>
  <c r="F30" i="84"/>
  <c r="E30"/>
  <c r="D30"/>
  <c r="F29"/>
  <c r="E29"/>
  <c r="D29"/>
  <c r="F27"/>
  <c r="E27"/>
  <c r="D27"/>
  <c r="F26"/>
  <c r="E26"/>
  <c r="D26"/>
  <c r="C30"/>
  <c r="C29"/>
  <c r="C27"/>
  <c r="C26"/>
  <c r="C8"/>
  <c r="C13"/>
  <c r="D13"/>
  <c r="E13"/>
  <c r="F13"/>
  <c r="C14"/>
  <c r="D14"/>
  <c r="E14"/>
  <c r="F14"/>
  <c r="C15"/>
  <c r="D15"/>
  <c r="E15"/>
  <c r="F15"/>
  <c r="C16"/>
  <c r="D16"/>
  <c r="E16"/>
  <c r="F16"/>
  <c r="C17"/>
  <c r="D17"/>
  <c r="E17"/>
  <c r="F17"/>
  <c r="C18"/>
  <c r="D18"/>
  <c r="E18"/>
  <c r="F18"/>
  <c r="C19"/>
  <c r="D19"/>
  <c r="E19"/>
  <c r="F19"/>
  <c r="C20"/>
  <c r="D20"/>
  <c r="E20"/>
  <c r="F20"/>
  <c r="C21"/>
  <c r="D21"/>
  <c r="E21"/>
  <c r="F21"/>
  <c r="C22"/>
  <c r="D22"/>
  <c r="E22"/>
  <c r="F22"/>
  <c r="C23"/>
  <c r="D23"/>
  <c r="E23"/>
  <c r="F23"/>
  <c r="C24"/>
  <c r="D24"/>
  <c r="E24"/>
  <c r="F24"/>
  <c r="C25"/>
  <c r="D25"/>
  <c r="E25"/>
  <c r="F25"/>
  <c r="C28"/>
  <c r="D28"/>
  <c r="E28"/>
  <c r="F28"/>
  <c r="C31"/>
  <c r="D31"/>
  <c r="E31"/>
  <c r="F31"/>
  <c r="C32"/>
  <c r="D32"/>
  <c r="E32"/>
  <c r="F32"/>
  <c r="C255" i="83"/>
  <c r="C219"/>
  <c r="D219"/>
  <c r="B219"/>
  <c r="D218"/>
  <c r="B218"/>
  <c r="D217"/>
  <c r="B217"/>
  <c r="C208"/>
  <c r="D208"/>
  <c r="B208"/>
  <c r="D207"/>
  <c r="B207"/>
  <c r="D206"/>
  <c r="B206"/>
  <c r="C232"/>
  <c r="D232"/>
  <c r="B232"/>
  <c r="D231"/>
  <c r="B231"/>
  <c r="D230"/>
  <c r="B230"/>
  <c r="C197"/>
  <c r="D197"/>
  <c r="B197"/>
  <c r="D196"/>
  <c r="D195"/>
  <c r="B196"/>
  <c r="B195"/>
  <c r="C185"/>
  <c r="C187" s="1"/>
  <c r="C177"/>
  <c r="C179" s="1"/>
  <c r="K90" i="96" l="1"/>
  <c r="D16" i="64" s="1"/>
  <c r="T16" s="1"/>
  <c r="V18"/>
  <c r="F18" i="86"/>
  <c r="F27"/>
  <c r="F19"/>
  <c r="C145" i="85"/>
  <c r="F23" i="86" s="1"/>
  <c r="C120" i="85"/>
  <c r="C121" s="1"/>
  <c r="C123" s="1"/>
  <c r="F21" i="86" s="1"/>
  <c r="C114" i="85"/>
  <c r="F20" i="86" s="1"/>
  <c r="C161" i="85"/>
  <c r="F24" i="86" s="1"/>
  <c r="C47" i="85"/>
  <c r="O16" i="64" l="1"/>
  <c r="Q16"/>
  <c r="U16"/>
  <c r="R16"/>
  <c r="P16"/>
  <c r="S16"/>
  <c r="N16"/>
  <c r="C49" i="85"/>
  <c r="C54" s="1"/>
  <c r="C58" s="1"/>
  <c r="C65"/>
  <c r="V16" i="64" l="1"/>
  <c r="C60" i="85"/>
  <c r="C66" s="1"/>
  <c r="C68" s="1"/>
  <c r="F14" i="86"/>
  <c r="F15" l="1"/>
  <c r="C70" i="85"/>
  <c r="C76" s="1"/>
  <c r="C77" s="1"/>
  <c r="C79" s="1"/>
  <c r="F17" i="86" s="1"/>
  <c r="C141" i="83"/>
  <c r="C140"/>
  <c r="C131"/>
  <c r="D131"/>
  <c r="C130"/>
  <c r="D130"/>
  <c r="C129"/>
  <c r="D129"/>
  <c r="B130"/>
  <c r="B131"/>
  <c r="B129"/>
  <c r="B128"/>
  <c r="D120"/>
  <c r="B120"/>
  <c r="C40"/>
  <c r="C42" s="1"/>
  <c r="C45" s="1"/>
  <c r="C39"/>
  <c r="C41" s="1"/>
  <c r="C44" s="1"/>
  <c r="C38"/>
  <c r="C28"/>
  <c r="D28"/>
  <c r="F16" i="86" l="1"/>
  <c r="C206" i="83"/>
  <c r="C217"/>
  <c r="C207"/>
  <c r="C218"/>
  <c r="C230"/>
  <c r="C195"/>
  <c r="C196"/>
  <c r="C231"/>
  <c r="C43"/>
  <c r="C220" l="1"/>
  <c r="C222" s="1"/>
  <c r="C209"/>
  <c r="C211" s="1"/>
  <c r="C243" l="1"/>
  <c r="C158"/>
  <c r="C30"/>
  <c r="D30"/>
  <c r="B39"/>
  <c r="D39"/>
  <c r="B40"/>
  <c r="D40"/>
  <c r="D55"/>
  <c r="D57"/>
  <c r="B76"/>
  <c r="D76"/>
  <c r="B86"/>
  <c r="B87"/>
  <c r="C87"/>
  <c r="C90" s="1"/>
  <c r="C92" s="1"/>
  <c r="D87"/>
  <c r="B88"/>
  <c r="C88"/>
  <c r="D88"/>
  <c r="B89"/>
  <c r="C89"/>
  <c r="D89"/>
  <c r="B97"/>
  <c r="B98"/>
  <c r="C98"/>
  <c r="D98"/>
  <c r="B99"/>
  <c r="C99"/>
  <c r="D99"/>
  <c r="B100"/>
  <c r="C100"/>
  <c r="D100"/>
  <c r="B108"/>
  <c r="B109"/>
  <c r="C109"/>
  <c r="D109"/>
  <c r="B110"/>
  <c r="C110"/>
  <c r="D110"/>
  <c r="B111"/>
  <c r="D111"/>
  <c r="B152"/>
  <c r="C152"/>
  <c r="D152"/>
  <c r="B153"/>
  <c r="C153"/>
  <c r="D153"/>
  <c r="B154"/>
  <c r="C154"/>
  <c r="D154"/>
  <c r="B155"/>
  <c r="C155"/>
  <c r="D155"/>
  <c r="B156"/>
  <c r="C156"/>
  <c r="D156"/>
  <c r="B157"/>
  <c r="C157"/>
  <c r="D157"/>
  <c r="B158"/>
  <c r="D158"/>
  <c r="C169"/>
  <c r="C171" s="1"/>
  <c r="B240"/>
  <c r="B241"/>
  <c r="C241"/>
  <c r="D241"/>
  <c r="B242"/>
  <c r="C242"/>
  <c r="D242"/>
  <c r="B243"/>
  <c r="D243"/>
  <c r="B246"/>
  <c r="C246"/>
  <c r="D246"/>
  <c r="B247"/>
  <c r="C247"/>
  <c r="D247"/>
  <c r="B248"/>
  <c r="C248"/>
  <c r="D248"/>
  <c r="B249"/>
  <c r="C249"/>
  <c r="D249"/>
  <c r="B250"/>
  <c r="C250"/>
  <c r="D250"/>
  <c r="B251"/>
  <c r="C251"/>
  <c r="D251"/>
  <c r="B252"/>
  <c r="C252"/>
  <c r="D252"/>
  <c r="C101" l="1"/>
  <c r="C103" s="1"/>
  <c r="C56"/>
  <c r="C55"/>
  <c r="C253"/>
  <c r="C244"/>
  <c r="C159"/>
  <c r="C161" s="1"/>
  <c r="C143"/>
  <c r="C145" s="1"/>
  <c r="C46"/>
  <c r="C47" s="1"/>
  <c r="C111"/>
  <c r="C233" l="1"/>
  <c r="C235" s="1"/>
  <c r="C198"/>
  <c r="C49"/>
  <c r="C54" s="1"/>
  <c r="C58" s="1"/>
  <c r="C112"/>
  <c r="C114" s="1"/>
  <c r="C132"/>
  <c r="C134" s="1"/>
  <c r="C200" l="1"/>
  <c r="C65"/>
  <c r="C68" s="1"/>
  <c r="C70" s="1"/>
  <c r="C76" s="1"/>
  <c r="C60"/>
  <c r="C66" s="1"/>
  <c r="C120" l="1"/>
  <c r="C77"/>
  <c r="C79" s="1"/>
  <c r="C121" l="1"/>
  <c r="C123" l="1"/>
  <c r="H15" i="80" l="1"/>
  <c r="H16"/>
  <c r="H17"/>
  <c r="H18"/>
  <c r="H19"/>
  <c r="H20"/>
  <c r="H21"/>
  <c r="H13"/>
  <c r="D30"/>
  <c r="D29"/>
  <c r="D32"/>
  <c r="F18" s="1"/>
  <c r="D31"/>
  <c r="B15"/>
  <c r="B16" s="1"/>
  <c r="B17" s="1"/>
  <c r="B18" s="1"/>
  <c r="B19" s="1"/>
  <c r="B20" s="1"/>
  <c r="B21" s="1"/>
  <c r="E14"/>
  <c r="D14"/>
  <c r="C14"/>
  <c r="B14"/>
  <c r="H15" i="79"/>
  <c r="H16"/>
  <c r="H17"/>
  <c r="H18"/>
  <c r="H19"/>
  <c r="H20"/>
  <c r="H21"/>
  <c r="H13"/>
  <c r="B15"/>
  <c r="B16"/>
  <c r="B17"/>
  <c r="B18" s="1"/>
  <c r="B19" s="1"/>
  <c r="B20" s="1"/>
  <c r="B21" s="1"/>
  <c r="B14"/>
  <c r="E14"/>
  <c r="D14"/>
  <c r="C14"/>
  <c r="L64" i="76"/>
  <c r="D30" i="79"/>
  <c r="D29"/>
  <c r="D31"/>
  <c r="G14" l="1"/>
  <c r="F13" i="80"/>
  <c r="F14"/>
  <c r="H14" s="1"/>
  <c r="F19"/>
  <c r="D32" i="79"/>
  <c r="H24" i="80" l="1"/>
  <c r="H30" i="98" s="1"/>
  <c r="J30" s="1"/>
  <c r="K30" s="1"/>
  <c r="F19" i="79"/>
  <c r="F18"/>
  <c r="F14"/>
  <c r="H14" s="1"/>
  <c r="F13"/>
  <c r="H24" l="1"/>
  <c r="H42" i="95" s="1"/>
  <c r="J42" s="1"/>
  <c r="K42" s="1"/>
  <c r="L61" i="76"/>
  <c r="L63"/>
  <c r="L60"/>
  <c r="L51"/>
  <c r="H18" i="101" s="1"/>
  <c r="L52" i="76"/>
  <c r="H19" i="101" s="1"/>
  <c r="L53" i="76"/>
  <c r="H20" i="101" s="1"/>
  <c r="L54" i="76"/>
  <c r="H21" i="101" s="1"/>
  <c r="L55" i="76"/>
  <c r="H22" i="101" s="1"/>
  <c r="L56" i="76"/>
  <c r="H23" i="101" s="1"/>
  <c r="L57" i="76"/>
  <c r="H24" i="101" s="1"/>
  <c r="J24" s="1"/>
  <c r="K24" s="1"/>
  <c r="L58" i="76"/>
  <c r="H25" i="101" s="1"/>
  <c r="J25" s="1"/>
  <c r="K25" s="1"/>
  <c r="L59" i="76"/>
  <c r="H26" i="101" s="1"/>
  <c r="L48" i="76"/>
  <c r="H15" i="101" s="1"/>
  <c r="L45" i="76"/>
  <c r="H28" i="98" s="1"/>
  <c r="L46" i="76"/>
  <c r="H29" i="98" s="1"/>
  <c r="L47" i="76"/>
  <c r="H31" i="98" s="1"/>
  <c r="J31" s="1"/>
  <c r="K31" s="1"/>
  <c r="L44" i="76"/>
  <c r="H27" i="98" s="1"/>
  <c r="L43" i="76"/>
  <c r="H26" i="98" s="1"/>
  <c r="J26" s="1"/>
  <c r="K26" s="1"/>
  <c r="L33" i="76"/>
  <c r="H16" i="98" s="1"/>
  <c r="L34" i="76"/>
  <c r="H17" i="98" s="1"/>
  <c r="L35" i="76"/>
  <c r="H18" i="98" s="1"/>
  <c r="L37" i="76"/>
  <c r="H20" i="98" s="1"/>
  <c r="L38" i="76"/>
  <c r="H21" i="98" s="1"/>
  <c r="L39" i="76"/>
  <c r="H22" i="98" s="1"/>
  <c r="L40" i="76"/>
  <c r="H23" i="98" s="1"/>
  <c r="J23" s="1"/>
  <c r="K23" s="1"/>
  <c r="L41" i="76"/>
  <c r="H24" i="98" s="1"/>
  <c r="J24" s="1"/>
  <c r="K24" s="1"/>
  <c r="L42" i="76"/>
  <c r="H25" i="98" s="1"/>
  <c r="J25" s="1"/>
  <c r="K25" s="1"/>
  <c r="L32" i="76"/>
  <c r="H15" i="98" s="1"/>
  <c r="L19" i="76"/>
  <c r="H29" i="95" s="1"/>
  <c r="L21" i="76"/>
  <c r="H31" i="95" s="1"/>
  <c r="L22" i="76"/>
  <c r="H32" i="95" s="1"/>
  <c r="L23" i="76"/>
  <c r="H33" i="95" s="1"/>
  <c r="L24" i="76"/>
  <c r="H34" i="95" s="1"/>
  <c r="L25" i="76"/>
  <c r="H35" i="95" s="1"/>
  <c r="L26" i="76"/>
  <c r="H36" i="95" s="1"/>
  <c r="L27" i="76"/>
  <c r="H37" i="95" s="1"/>
  <c r="L28" i="76"/>
  <c r="H38" i="95" s="1"/>
  <c r="J38" s="1"/>
  <c r="K38" s="1"/>
  <c r="L29" i="76"/>
  <c r="H39" i="95" s="1"/>
  <c r="J39" s="1"/>
  <c r="K39" s="1"/>
  <c r="L30" i="76"/>
  <c r="H40" i="95" s="1"/>
  <c r="L31" i="76"/>
  <c r="H41" i="95" s="1"/>
  <c r="L18" i="76"/>
  <c r="H28" i="95" s="1"/>
  <c r="L8" i="76"/>
  <c r="H18" i="95" s="1"/>
  <c r="L9" i="76"/>
  <c r="H19" i="95" s="1"/>
  <c r="L10" i="76"/>
  <c r="H20" i="95" s="1"/>
  <c r="L11" i="76"/>
  <c r="H21" i="95" s="1"/>
  <c r="J21" s="1"/>
  <c r="K21" s="1"/>
  <c r="L12" i="76"/>
  <c r="H22" i="95" s="1"/>
  <c r="J22" s="1"/>
  <c r="K22" s="1"/>
  <c r="L13" i="76"/>
  <c r="H23" i="95" s="1"/>
  <c r="L14" i="76"/>
  <c r="H24" i="95" s="1"/>
  <c r="J24" s="1"/>
  <c r="K24" s="1"/>
  <c r="L15" i="76"/>
  <c r="H25" i="95" s="1"/>
  <c r="L16" i="76"/>
  <c r="H26" i="95" s="1"/>
  <c r="L5" i="76"/>
  <c r="H15" i="95" s="1"/>
  <c r="J62" i="76"/>
  <c r="L50"/>
  <c r="H17" i="101" s="1"/>
  <c r="L49" i="76"/>
  <c r="H16" i="101" s="1"/>
  <c r="L36" i="76"/>
  <c r="H19" i="98" s="1"/>
  <c r="L6" i="76"/>
  <c r="H16" i="95" s="1"/>
  <c r="L20" i="76"/>
  <c r="H30" i="95" s="1"/>
  <c r="L7" i="76"/>
  <c r="H17" i="95" s="1"/>
  <c r="C10" i="77"/>
  <c r="B10"/>
  <c r="F18"/>
  <c r="F17"/>
  <c r="F16"/>
  <c r="F15"/>
  <c r="E18"/>
  <c r="E16"/>
  <c r="E15"/>
  <c r="D18"/>
  <c r="D17"/>
  <c r="D16"/>
  <c r="D15"/>
  <c r="C18"/>
  <c r="C17"/>
  <c r="C16"/>
  <c r="C15"/>
  <c r="M19" i="98" l="1"/>
  <c r="J19"/>
  <c r="K19" s="1"/>
  <c r="M20" i="95"/>
  <c r="J20"/>
  <c r="K20" s="1"/>
  <c r="M41"/>
  <c r="J41"/>
  <c r="K41" s="1"/>
  <c r="M37"/>
  <c r="J37"/>
  <c r="K37" s="1"/>
  <c r="M33"/>
  <c r="J33"/>
  <c r="K33" s="1"/>
  <c r="M15" i="98"/>
  <c r="J15"/>
  <c r="K15" s="1"/>
  <c r="M22"/>
  <c r="J22"/>
  <c r="K22" s="1"/>
  <c r="M17"/>
  <c r="J17"/>
  <c r="K17" s="1"/>
  <c r="M26" i="101"/>
  <c r="J26"/>
  <c r="K26" s="1"/>
  <c r="M22"/>
  <c r="J22"/>
  <c r="K22" s="1"/>
  <c r="M18"/>
  <c r="J18"/>
  <c r="K18" s="1"/>
  <c r="M17" i="95"/>
  <c r="J17"/>
  <c r="K17" s="1"/>
  <c r="M16" i="101"/>
  <c r="J16"/>
  <c r="K16" s="1"/>
  <c r="M15" i="95"/>
  <c r="J15"/>
  <c r="K15" s="1"/>
  <c r="M23"/>
  <c r="J23"/>
  <c r="K23" s="1"/>
  <c r="M19"/>
  <c r="J19"/>
  <c r="K19" s="1"/>
  <c r="M40"/>
  <c r="J40"/>
  <c r="K40" s="1"/>
  <c r="M36"/>
  <c r="J36"/>
  <c r="K36" s="1"/>
  <c r="M32"/>
  <c r="J32"/>
  <c r="K32" s="1"/>
  <c r="M21" i="98"/>
  <c r="J21"/>
  <c r="K21" s="1"/>
  <c r="M16"/>
  <c r="J16"/>
  <c r="K16" s="1"/>
  <c r="M29"/>
  <c r="J29"/>
  <c r="K29" s="1"/>
  <c r="M21" i="101"/>
  <c r="J21"/>
  <c r="K21" s="1"/>
  <c r="M30" i="95"/>
  <c r="J30"/>
  <c r="K30" s="1"/>
  <c r="M17" i="101"/>
  <c r="J17"/>
  <c r="K17" s="1"/>
  <c r="M26" i="95"/>
  <c r="J26"/>
  <c r="K26" s="1"/>
  <c r="M18"/>
  <c r="J18"/>
  <c r="K18" s="1"/>
  <c r="M35"/>
  <c r="J35"/>
  <c r="K35" s="1"/>
  <c r="M31"/>
  <c r="J31"/>
  <c r="K31" s="1"/>
  <c r="M20" i="98"/>
  <c r="J20"/>
  <c r="K20" s="1"/>
  <c r="M28"/>
  <c r="J28"/>
  <c r="K28" s="1"/>
  <c r="M20" i="101"/>
  <c r="J20"/>
  <c r="K20" s="1"/>
  <c r="M16" i="95"/>
  <c r="J16"/>
  <c r="K16" s="1"/>
  <c r="M25"/>
  <c r="J25"/>
  <c r="K25" s="1"/>
  <c r="M28"/>
  <c r="J28"/>
  <c r="K28" s="1"/>
  <c r="M34"/>
  <c r="J34"/>
  <c r="K34" s="1"/>
  <c r="M29"/>
  <c r="J29"/>
  <c r="K29" s="1"/>
  <c r="M18" i="98"/>
  <c r="J18"/>
  <c r="K18" s="1"/>
  <c r="M27"/>
  <c r="J27"/>
  <c r="K27" s="1"/>
  <c r="M15" i="101"/>
  <c r="J15"/>
  <c r="K15" s="1"/>
  <c r="M23"/>
  <c r="J23"/>
  <c r="K23" s="1"/>
  <c r="M19"/>
  <c r="J19"/>
  <c r="K19" s="1"/>
  <c r="L62" i="76"/>
  <c r="H17" i="77" s="1"/>
  <c r="I18"/>
  <c r="I17"/>
  <c r="I16"/>
  <c r="I15"/>
  <c r="J20"/>
  <c r="J19"/>
  <c r="J14"/>
  <c r="H18"/>
  <c r="H16"/>
  <c r="H15"/>
  <c r="M17" l="1"/>
  <c r="J17"/>
  <c r="K17" s="1"/>
  <c r="M18"/>
  <c r="J18"/>
  <c r="K18" s="1"/>
  <c r="M16"/>
  <c r="J16"/>
  <c r="K16" s="1"/>
  <c r="M15"/>
  <c r="J15"/>
  <c r="K15" s="1"/>
  <c r="K28" i="101"/>
  <c r="K31" s="1"/>
  <c r="K44" i="95"/>
  <c r="K10" s="1"/>
  <c r="K12" s="1"/>
  <c r="H20" i="63" s="1"/>
  <c r="K33" i="98"/>
  <c r="M28" i="101"/>
  <c r="N28" s="1"/>
  <c r="M44" i="95"/>
  <c r="N44" s="1"/>
  <c r="M33" i="98"/>
  <c r="N33" s="1"/>
  <c r="M20" i="77" l="1"/>
  <c r="N20" s="1"/>
  <c r="K20"/>
  <c r="K10" s="1"/>
  <c r="K12" s="1"/>
  <c r="K10" i="101"/>
  <c r="K12" s="1"/>
  <c r="H32" i="63" s="1"/>
  <c r="K10" i="98"/>
  <c r="K12" s="1"/>
  <c r="H26" i="63" s="1"/>
  <c r="K36" i="98"/>
  <c r="D17" i="64" s="1"/>
  <c r="K47" i="95"/>
  <c r="D15" i="64" s="1"/>
  <c r="D19"/>
  <c r="K23" i="77" l="1"/>
  <c r="D21" i="64" s="1"/>
  <c r="M21" s="1"/>
  <c r="J17"/>
  <c r="M17"/>
  <c r="K17"/>
  <c r="L17"/>
  <c r="L15"/>
  <c r="M15"/>
  <c r="K15"/>
  <c r="J15"/>
  <c r="L19"/>
  <c r="M19"/>
  <c r="K19"/>
  <c r="J19"/>
  <c r="H38" i="63"/>
  <c r="V17" i="64" l="1"/>
  <c r="J21"/>
  <c r="L21"/>
  <c r="K21"/>
  <c r="V19"/>
  <c r="V15"/>
  <c r="J9" l="1"/>
  <c r="J24" s="1"/>
  <c r="V21"/>
  <c r="X19"/>
  <c r="G13" l="1"/>
  <c r="F13"/>
  <c r="F9" l="1"/>
  <c r="V13"/>
  <c r="X15"/>
  <c r="X21"/>
  <c r="X13" l="1"/>
  <c r="F24"/>
  <c r="X20"/>
  <c r="F26" l="1"/>
  <c r="J26" s="1"/>
  <c r="X18"/>
  <c r="X17"/>
  <c r="X16" l="1"/>
  <c r="K18" i="92" l="1"/>
  <c r="D14" i="64"/>
  <c r="K22" i="92" l="1"/>
  <c r="H17" i="63" s="1"/>
  <c r="Q14" i="64"/>
  <c r="U14"/>
  <c r="D23"/>
  <c r="N14"/>
  <c r="R14"/>
  <c r="O14"/>
  <c r="S14"/>
  <c r="P14"/>
  <c r="T14"/>
  <c r="H43" i="63" l="1"/>
  <c r="V14" i="64"/>
  <c r="N9"/>
  <c r="F11"/>
  <c r="F25"/>
  <c r="F27" s="1"/>
  <c r="J11"/>
  <c r="J25"/>
  <c r="R9"/>
  <c r="M41" i="63" l="1"/>
  <c r="O43"/>
  <c r="D9" i="64"/>
  <c r="W20" s="1"/>
  <c r="V9"/>
  <c r="N11"/>
  <c r="N24"/>
  <c r="R11"/>
  <c r="R24"/>
  <c r="J27"/>
  <c r="V23"/>
  <c r="X14"/>
  <c r="W22" l="1"/>
  <c r="W15"/>
  <c r="W14"/>
  <c r="J10"/>
  <c r="R10"/>
  <c r="W12"/>
  <c r="N10"/>
  <c r="W13"/>
  <c r="F10"/>
  <c r="W21"/>
  <c r="W18"/>
  <c r="D31"/>
  <c r="W17"/>
  <c r="W16"/>
  <c r="W19"/>
  <c r="N26"/>
  <c r="R26" s="1"/>
  <c r="AA23" s="1"/>
  <c r="N25"/>
  <c r="N27" s="1"/>
  <c r="R25"/>
  <c r="X23"/>
  <c r="Y23"/>
  <c r="Z23"/>
  <c r="X10"/>
  <c r="W9" l="1"/>
  <c r="W23"/>
  <c r="R27"/>
</calcChain>
</file>

<file path=xl/sharedStrings.xml><?xml version="1.0" encoding="utf-8"?>
<sst xmlns="http://schemas.openxmlformats.org/spreadsheetml/2006/main" count="3980" uniqueCount="915">
  <si>
    <t>CANTEIRO DE OBRAS</t>
  </si>
  <si>
    <t>m²</t>
  </si>
  <si>
    <t>SINAPI</t>
  </si>
  <si>
    <t>OBRAS CIVIS E SERVIÇOS</t>
  </si>
  <si>
    <t>m</t>
  </si>
  <si>
    <t>SABESP</t>
  </si>
  <si>
    <t>m³</t>
  </si>
  <si>
    <t xml:space="preserve">MEMORIAIS DE QUANTITATIVOS DE ORÇAMENTO </t>
  </si>
  <si>
    <t>unid</t>
  </si>
  <si>
    <t>Subtotal</t>
  </si>
  <si>
    <t>Largura</t>
  </si>
  <si>
    <t>Comprimento</t>
  </si>
  <si>
    <t xml:space="preserve">CRONOGRAMA FÍSICO-FINANCEIRO </t>
  </si>
  <si>
    <t>ATIVIDADE</t>
  </si>
  <si>
    <t>CUSTO</t>
  </si>
  <si>
    <t>PERIODO</t>
  </si>
  <si>
    <t>PERÍODO</t>
  </si>
  <si>
    <t>Total                         (R$)</t>
  </si>
  <si>
    <t>Total do Item (%)</t>
  </si>
  <si>
    <t>Mês 1</t>
  </si>
  <si>
    <t>TOTAL GERAL (R$)</t>
  </si>
  <si>
    <t>TOTAL MÊS (R$)</t>
  </si>
  <si>
    <t>TOTAL MÊS (%)</t>
  </si>
  <si>
    <t>ACUMULADO (R$)</t>
  </si>
  <si>
    <t>ACUMULADO (%)</t>
  </si>
  <si>
    <t>Item</t>
  </si>
  <si>
    <t>Código</t>
  </si>
  <si>
    <t>Quant.</t>
  </si>
  <si>
    <t>Unid.</t>
  </si>
  <si>
    <t>Canteiro de Obras</t>
  </si>
  <si>
    <t>OBRA</t>
  </si>
  <si>
    <t>Discriminação</t>
  </si>
  <si>
    <t>Preço Unitário com BDI (R$)</t>
  </si>
  <si>
    <t>Preço Total com BDI (R$)</t>
  </si>
  <si>
    <t>TOTAL</t>
  </si>
  <si>
    <t>1.1</t>
  </si>
  <si>
    <t>Subtotal 1</t>
  </si>
  <si>
    <t>2.1</t>
  </si>
  <si>
    <t>2.2</t>
  </si>
  <si>
    <t>Subtotal 2</t>
  </si>
  <si>
    <t>3.1</t>
  </si>
  <si>
    <t>Subtotal 3</t>
  </si>
  <si>
    <t>4.1</t>
  </si>
  <si>
    <t>Subtotal 4</t>
  </si>
  <si>
    <t>RESUMO GERAL</t>
  </si>
  <si>
    <t>--</t>
  </si>
  <si>
    <t>SAMAE</t>
  </si>
  <si>
    <t>SERVIÇO AUTÔNOMO MUNICIPAL DE ÁGUA E ESGOTO DE MOGI GUAÇU</t>
  </si>
  <si>
    <t>Referência de Preços</t>
  </si>
  <si>
    <t xml:space="preserve">PLANILHA DE ORÇAMENTO </t>
  </si>
  <si>
    <t>SINAPI Desonerado I0:</t>
  </si>
  <si>
    <t>SABESP Io:</t>
  </si>
  <si>
    <t>Obras Civis e Serviços:</t>
  </si>
  <si>
    <t>Materiais e Equipamentos:</t>
  </si>
  <si>
    <t>Fonte</t>
  </si>
  <si>
    <t>Preço Unitário sem BDI (R$)</t>
  </si>
  <si>
    <t>BDI Aplicado (%)</t>
  </si>
  <si>
    <t>4.2</t>
  </si>
  <si>
    <t>4.3</t>
  </si>
  <si>
    <t>Placa de identificação de obras</t>
  </si>
  <si>
    <t>Mês 2</t>
  </si>
  <si>
    <t>kg</t>
  </si>
  <si>
    <t>eqxdia</t>
  </si>
  <si>
    <t>Quantidade</t>
  </si>
  <si>
    <t>4.4</t>
  </si>
  <si>
    <t>BDI (apenas SINAPI)</t>
  </si>
  <si>
    <t>INSTALAÇÃO DO CANTEIRO</t>
  </si>
  <si>
    <t>Comprimento (estimado)</t>
  </si>
  <si>
    <t>Largura (estimada)</t>
  </si>
  <si>
    <t>Área total de execução de refeitório em canteiro de obra</t>
  </si>
  <si>
    <t>Área total de execução de central de armadura  em canteiro de obra</t>
  </si>
  <si>
    <t>Execução de central de fôrmas, produção de argamassa ou concreto em canteiro de obra</t>
  </si>
  <si>
    <t>Área total de execução de central de fôrmas, produção de concreto</t>
  </si>
  <si>
    <t>Área total de execução de guarita em canteiro de obra</t>
  </si>
  <si>
    <t>Área total de placa de identificação de obras</t>
  </si>
  <si>
    <t>1.2</t>
  </si>
  <si>
    <t>1.3</t>
  </si>
  <si>
    <t>1.4</t>
  </si>
  <si>
    <t>1.5</t>
  </si>
  <si>
    <t>1.6</t>
  </si>
  <si>
    <t>1.7</t>
  </si>
  <si>
    <t>EQ04714</t>
  </si>
  <si>
    <t>EQ04793</t>
  </si>
  <si>
    <t>Container escritório *(6,00 x 2,30 x 2,20 m) com banheiro, locação (mês)</t>
  </si>
  <si>
    <t>Duração da obra</t>
  </si>
  <si>
    <t>mês</t>
  </si>
  <si>
    <t>Total de container escritório *(6,00 x 2,30 x 2,20 m) com banheiro, locação (mês)</t>
  </si>
  <si>
    <t>Container em chapa galvanizada *(6,00 x 2,30 x 2,20 m) 4 sanitários / 4 chuveiros e 2 lavatórios, locação (mês)</t>
  </si>
  <si>
    <t>Total de container em chapa galvanizada *(6,00 x 2,30 x 2,20 m) 4 sanitários</t>
  </si>
  <si>
    <t>Execução de central de armadura em canteiro de obra</t>
  </si>
  <si>
    <t>Número de veículos</t>
  </si>
  <si>
    <t>Período</t>
  </si>
  <si>
    <t>h x dia</t>
  </si>
  <si>
    <t xml:space="preserve">Dias de utilização do veículo </t>
  </si>
  <si>
    <t>dia/mês</t>
  </si>
  <si>
    <t xml:space="preserve">Tarifa "A" de fornecimento de água </t>
  </si>
  <si>
    <t>Número médio de funcionários</t>
  </si>
  <si>
    <t>func</t>
  </si>
  <si>
    <t>Dias de consumo</t>
  </si>
  <si>
    <t>Consumo de água diário de cada funcionário (estimado)</t>
  </si>
  <si>
    <t>m³/dia</t>
  </si>
  <si>
    <t>Energia elétrica comercial, incluindo ICMS, PIS/PASEP e COFINS</t>
  </si>
  <si>
    <t>Consumo de energia diário de cada funcionário (estimado)</t>
  </si>
  <si>
    <t>kWh</t>
  </si>
  <si>
    <t>Vigia noturno com encargos complementares</t>
  </si>
  <si>
    <t>Quantidade de profissionais</t>
  </si>
  <si>
    <t>Dias por mês</t>
  </si>
  <si>
    <t>h</t>
  </si>
  <si>
    <t>EQ07281</t>
  </si>
  <si>
    <t>Aparelho Smartphone com Android e GPS</t>
  </si>
  <si>
    <t>Número de aparelhos</t>
  </si>
  <si>
    <t>Dias de utilização do aparelho</t>
  </si>
  <si>
    <t>OPERAÇÃO E MANUTENÇÃO</t>
  </si>
  <si>
    <t>MÊS</t>
  </si>
  <si>
    <t>EQ04595</t>
  </si>
  <si>
    <t>Picape leve cabine simples - carga útil 700kg - 85 a 95CV - Strada Working ou similar - à disposição</t>
  </si>
  <si>
    <t>Mês 3</t>
  </si>
  <si>
    <t>Mês 4</t>
  </si>
  <si>
    <t>1.8</t>
  </si>
  <si>
    <t>1.9</t>
  </si>
  <si>
    <t>1.10</t>
  </si>
  <si>
    <t>1.11</t>
  </si>
  <si>
    <t>NOVO RESERVATÓRIO METÁLICO NO SETOR EUCALIPTOS</t>
  </si>
  <si>
    <t>COMPOSIÇÃO DE PREÇOS</t>
  </si>
  <si>
    <t>Desonerado</t>
  </si>
  <si>
    <t xml:space="preserve">SINAPI </t>
  </si>
  <si>
    <t>SP</t>
  </si>
  <si>
    <t>COMP.</t>
  </si>
  <si>
    <t xml:space="preserve">Unid: </t>
  </si>
  <si>
    <t>Descrição</t>
  </si>
  <si>
    <t>Unid</t>
  </si>
  <si>
    <t>Quant</t>
  </si>
  <si>
    <t>Preço Unitário (R$)</t>
  </si>
  <si>
    <t>Preço Total (R$)</t>
  </si>
  <si>
    <t>Total</t>
  </si>
  <si>
    <t>MATERIAIS E EQUIPAMENTOS</t>
  </si>
  <si>
    <t>pç</t>
  </si>
  <si>
    <t>Quantitativos</t>
  </si>
  <si>
    <t>OPER-01</t>
  </si>
  <si>
    <t>equipe x dia</t>
  </si>
  <si>
    <t>Nº</t>
  </si>
  <si>
    <t>Profissional</t>
  </si>
  <si>
    <t>Montador</t>
  </si>
  <si>
    <t>MNT-01</t>
  </si>
  <si>
    <t>Montador (tubo de aço / equipamentos) com encargos complementares</t>
  </si>
  <si>
    <t>1.12</t>
  </si>
  <si>
    <t>OBRAS CIVIS E SERVIÇOS E MATERIAIS E EQUIPAMENTOS</t>
  </si>
  <si>
    <t>CÓDIGO</t>
  </si>
  <si>
    <t>DESCRIÇÃO</t>
  </si>
  <si>
    <t>UNID.</t>
  </si>
  <si>
    <t>ORIGEM DO PREÇO 1</t>
  </si>
  <si>
    <t>ORIGEM DO PREÇO 2</t>
  </si>
  <si>
    <t>ORIGEM DO PREÇO 3</t>
  </si>
  <si>
    <t>PREÇO 1</t>
  </si>
  <si>
    <t>PREÇO 2</t>
  </si>
  <si>
    <t>PREÇO 3</t>
  </si>
  <si>
    <t>PREÇO MEDIANO</t>
  </si>
  <si>
    <t>Curva 22°30' com bolsas JGS, Ø 400mm, em ferro fundido, para água</t>
  </si>
  <si>
    <t>Curva 45° com bolsas JGS, Ø 400mm, em ferro fundido, para água</t>
  </si>
  <si>
    <t>HM02969</t>
  </si>
  <si>
    <t>Curva 90° com bolsas JGS, Ø 400mm, em ferro fundido, para água</t>
  </si>
  <si>
    <t>cj</t>
  </si>
  <si>
    <t>HM01293</t>
  </si>
  <si>
    <t>Acessórios para montagem de flanges Ø 150mm, flange conf. ISO 2531 PN-10</t>
  </si>
  <si>
    <t>HM01298</t>
  </si>
  <si>
    <t>Acessórios para montagem de flanges Ø 400mm, flange conf. ISO 2531 PN-10</t>
  </si>
  <si>
    <t>Tubo ponta e bolsa JGS Ø 400mm, classe K7, L = 6,00m, em ferro fundido, para água</t>
  </si>
  <si>
    <t>Redução concêntrica com flanges Ø 400mm x Ø 300mm, flange conf. ISO 2531 PN-10, em ferro fundido, para água</t>
  </si>
  <si>
    <t>Tê com flanges Ø 300mm x Ø 300mm, flange conf. ISO 2531 PN-10, em ferro fundido, para água</t>
  </si>
  <si>
    <t>HM03162</t>
  </si>
  <si>
    <t>Junta de desmontagem travada axialmente, Ø 300mm, flange conf. ISO 2531 PN-10, em ferro fundido, para água</t>
  </si>
  <si>
    <t>Registro de gaveta Ø 300mm, com flanges, cunha emborrachada, corpo curto e acionamento manual através de cabeçote, flange conf. ISO 2531 PN-10, em ferro fundido, para água</t>
  </si>
  <si>
    <t>Tubo com flanges, Ø 300mm, L = 0,58m, flange conf. ISO 2531 PN-10, em ferro fundido, para água</t>
  </si>
  <si>
    <t>Válvula borboleta com flanges, com cabeçote, Ø 300mm, flange conf. ISO 2531 PN-10, em ferro fundido, para água</t>
  </si>
  <si>
    <t>HM03516</t>
  </si>
  <si>
    <t>Toco com flanges, Ø 300mm, L = 0,25m, flange conf. ISO 2531 PN-10, em ferro fundido, para água</t>
  </si>
  <si>
    <t>Curva 90° com flanges Ø 300mm, flange conf. ISO 2531 PN-10, em ferro fundido, para água</t>
  </si>
  <si>
    <t>Tubo com flange e ponta, Ø 400mm, L = 1,13m, flange conf. ISO 2531 PN-10, em ferro fundido, para água</t>
  </si>
  <si>
    <t>Tubo com pontas, Ø 400mm, L = 1,25m, em ferro fundido, para água</t>
  </si>
  <si>
    <t>Tubo com flange e ponta, Ø 400mm, L = 2,92m, flange conf. ISO 2531 PN-10, em ferro fundido, para água</t>
  </si>
  <si>
    <t>Curva 90° com flanges Ø 400mm, flange conf. ISO 2531 PN-10, em ferro fundido, para água</t>
  </si>
  <si>
    <t>Tubo com flanges, Ø 400mm, L = 0,56m, flange conf. ISO 2531 PN-10, em ferro fundido, para água</t>
  </si>
  <si>
    <t>Curva 90° com flanges e pé Ø 400mm, flange conf. ISO 2531 PN-10, em ferro fundido, para água</t>
  </si>
  <si>
    <t>Tubo com flanges, Ø 400mm, L = 5,80m, flange conf. ISO 2531 PN-10, em ferro fundido, para água</t>
  </si>
  <si>
    <t>Tubo com flanges, Ø 400mm, L = 4,38m, flange conf. ISO 2531 PN-10, em ferro fundido, para água</t>
  </si>
  <si>
    <t>Guarda corpo em fibra de vidro pultrudada, h = 1,20m</t>
  </si>
  <si>
    <t>Acessórios para montagem de flanges Ø 300mm, flange conf. ISO 2531 PN-10</t>
  </si>
  <si>
    <t>Curva 90° com flanges Ø 500mm, flange conf. ISO 2531 PN-10, em ferro fundido, para água</t>
  </si>
  <si>
    <t>Curva 90° com flanges e pé Ø 500mm, flange conf. ISO 2531 PN-10, em ferro fundido, para água</t>
  </si>
  <si>
    <t>Tubo com flanges, Ø 500mm, L = 5,80m, flange conf. ISO 2531 PN-10, em ferro fundido, para água</t>
  </si>
  <si>
    <t>Tubo com flanges, Ø 500mm, L = 3,77m, flange conf. ISO 2531 PN-10, em ferro fundido, para água</t>
  </si>
  <si>
    <t>Tubo com pontas, Ø 500mm, L = 3,00m, em ferro fundido, para água</t>
  </si>
  <si>
    <t>Toco com flanges, Ø 150mm, L = 0,50m, flange conf. ISO 2531 PN-10, em ferro fundido, para água</t>
  </si>
  <si>
    <t>Curva 90° com flanges Ø 150mm, flange conf. ISO 2531 PN-10, em ferro fundido, para água</t>
  </si>
  <si>
    <t>Tubo com flanges, Ø 150mm, L = 2,20m, flange conf. ISO 2531 PN-10, em ferro fundido, para água</t>
  </si>
  <si>
    <t>Registro de gaveta Ø 150mm, com flanges, cunha emborrachada, corpo curto e acionamento manual através de cabeçote, flange conf. ISO 2531 PN-10, em ferro fundido, para água</t>
  </si>
  <si>
    <t>Tubo com pontas, Ø 100mm, em PVC ocre</t>
  </si>
  <si>
    <t>Flange avulso soldável Ø 100mm, em PVC</t>
  </si>
  <si>
    <t>Válvula tipo flap com flanges, Ø 100mm, flange conf. ISO 2531 PN-10, em ferro fundido, para água</t>
  </si>
  <si>
    <t>Acessórios para montagem de flanges Ø 500mm, flange conf. ISO 2531 PN-10</t>
  </si>
  <si>
    <t>Curva 90° com bolsas JGS, Ø 500mm, em ferro fundido, para água</t>
  </si>
  <si>
    <t>Tubo com pontas, Ø 500mm, L = 4,70m (confirmar e ajustar em campo), em ferro fundido, para água</t>
  </si>
  <si>
    <t>Tubo ponta e bolsa JGS Ø 500mm, classe K7, L = 6,00m, em ferro fundido, para água</t>
  </si>
  <si>
    <t>Curva 45° com bolsas JGS, Ø 500mm, em ferro fundido, para água</t>
  </si>
  <si>
    <t>Tubo com flange e ponta, Ø 500mm, L = 1,55m, flange conf. ISO 2531 PN-10, em ferro fundido, para água</t>
  </si>
  <si>
    <t>Curva 45° com flanges Ø 500mm, flange conf. ISO 2531 PN-10, em ferro fundido, para água</t>
  </si>
  <si>
    <t>Tubo com flanges, Ø 500mm, L = 1,82m, flange conf. ISO 2531 PN-10, em ferro fundido, para água</t>
  </si>
  <si>
    <t>Tê com flanges Ø 500mm x Ø 500mm, flange conf. ISO 2531 PN-10, em ferro fundido, para água</t>
  </si>
  <si>
    <t>Tubo com flanges, Ø 500mm, L = 0,45m, flange conf. ISO 2531 PN-10, em ferro fundido, para água</t>
  </si>
  <si>
    <t>Junta de desmontagem travada axialmente, Ø 500mm, flange conf. ISO 2531 PN-10, em ferro fundido, para água</t>
  </si>
  <si>
    <t>Toco com flanges, Ø 150mm, L = 0,25m, flange conf. ISO 2531 PN-10, em ferro fundido, para água</t>
  </si>
  <si>
    <t>Tela de proteção com malha fina fio 0,30mm, abertura 0,55mm (para flange Ø 150mm) DE Ø 290mm em aço inox AISI 304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</si>
  <si>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</si>
  <si>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</si>
  <si>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</si>
  <si>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</si>
  <si>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</si>
  <si>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</si>
  <si>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</si>
  <si>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</si>
  <si>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</si>
  <si>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</si>
  <si>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</si>
  <si>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>1.24</t>
  </si>
  <si>
    <t>1.25</t>
  </si>
  <si>
    <t>1.26</t>
  </si>
  <si>
    <t>1.27</t>
  </si>
  <si>
    <t>Cotação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</si>
  <si>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</si>
  <si>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</si>
  <si>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</si>
  <si>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</si>
  <si>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</si>
  <si>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</si>
  <si>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</si>
  <si>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</si>
  <si>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</si>
  <si>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</si>
  <si>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</si>
  <si>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HM04109</t>
  </si>
  <si>
    <t>HM03736</t>
  </si>
  <si>
    <t>HM03310</t>
  </si>
  <si>
    <t>HM03412</t>
  </si>
  <si>
    <t>HM07074</t>
  </si>
  <si>
    <t>HM03607</t>
  </si>
  <si>
    <t>HM07038</t>
  </si>
  <si>
    <t>HM03006</t>
  </si>
  <si>
    <t>HM03912</t>
  </si>
  <si>
    <t>HM02959</t>
  </si>
  <si>
    <t>HM02949</t>
  </si>
  <si>
    <t>HM03915</t>
  </si>
  <si>
    <t>HM02984</t>
  </si>
  <si>
    <t>HM03541</t>
  </si>
  <si>
    <t>HM03017</t>
  </si>
  <si>
    <t>HM03551</t>
  </si>
  <si>
    <t>HM03549</t>
  </si>
  <si>
    <t>Escada tipo marinheiro em fibra de vidro pultrudada</t>
  </si>
  <si>
    <t>HM01296</t>
  </si>
  <si>
    <t>Tubo com flange e bolsa, Ø 400mm, L = 5,80m, flange conf. ISO 2531 PN-10, em ferro fundido, para água</t>
  </si>
  <si>
    <t>Tubo com pontas, Ø 400mm, L = 3,80m (confirmar e ajustar em campo), em ferro fundido, para água</t>
  </si>
  <si>
    <t>1.28</t>
  </si>
  <si>
    <t>HM02986</t>
  </si>
  <si>
    <t>HM03019</t>
  </si>
  <si>
    <t>HM03665</t>
  </si>
  <si>
    <t>HM03661</t>
  </si>
  <si>
    <t>HM04111</t>
  </si>
  <si>
    <t>HM03511</t>
  </si>
  <si>
    <t>HM03003</t>
  </si>
  <si>
    <t>HM03577</t>
  </si>
  <si>
    <t>HM07080</t>
  </si>
  <si>
    <t>VALV-01</t>
  </si>
  <si>
    <t>VALV-02</t>
  </si>
  <si>
    <t>HM01301</t>
  </si>
  <si>
    <t>PVC-01</t>
  </si>
  <si>
    <t>COT-01 (PEDRÃO PVC)</t>
  </si>
  <si>
    <t>COT-03 (PONTO DO ENCANADOR)</t>
  </si>
  <si>
    <t>Acessórios para montagem de flanges Ø 100mm, flange conf. ISO 2531 PN-10</t>
  </si>
  <si>
    <t>HM01292</t>
  </si>
  <si>
    <t>Grade de fibra de vidro com barras de H = 38 mm, espaçamento 32 mm</t>
  </si>
  <si>
    <t>HM02971</t>
  </si>
  <si>
    <t>HM02961</t>
  </si>
  <si>
    <t>HM04027</t>
  </si>
  <si>
    <t>HM02982</t>
  </si>
  <si>
    <t>HM03657</t>
  </si>
  <si>
    <t>HM03398</t>
  </si>
  <si>
    <t>HM03655</t>
  </si>
  <si>
    <t>HM07078</t>
  </si>
  <si>
    <t>HM03164</t>
  </si>
  <si>
    <t>HM03510</t>
  </si>
  <si>
    <t>DIV-01</t>
  </si>
  <si>
    <t>COT-04 (DISFOIL)</t>
  </si>
  <si>
    <t>COT-05 (CASA CHIARIELLO)</t>
  </si>
  <si>
    <t>SUP-01</t>
  </si>
  <si>
    <t>HM00266</t>
  </si>
  <si>
    <t>Chapa Galvanizada 5/16" x 2"</t>
  </si>
  <si>
    <t>Área</t>
  </si>
  <si>
    <t>Chapa de aço esp=5/16" massa teórica *(62,25 kg/m²) ASTM A36</t>
  </si>
  <si>
    <t>Comprimento 1</t>
  </si>
  <si>
    <t>Comprimento 2</t>
  </si>
  <si>
    <t>DIV-02</t>
  </si>
  <si>
    <t>Manta de borracha neoprene, e=5mm</t>
  </si>
  <si>
    <t>Parafuso de ferro polido, sextavado, com rosca parcial, diâmetro 5/8", comprimento 6", com porca e arruela de pressão média</t>
  </si>
  <si>
    <t>Parafuso francês zincado, diâmetro 1/2'', comprimento 2'', com porca e arruela</t>
  </si>
  <si>
    <t>Porca zincada, sextavada, diâmetro 5/8"</t>
  </si>
  <si>
    <t>Pintura com tinta alquídica de fundo (tipo zarcão) aplicada a rolo ou pincel sobre superfícies metálicas (exceto perfil) executado em obra (por demão)</t>
  </si>
  <si>
    <t>Pintura com tinta alquídica de acabamento (esmalte sintético fosco) aplicada a rolo ou pincel sobre superfícies metálicas (exceto perfil) executado em obra (por demão)</t>
  </si>
  <si>
    <t>Serralheiro com encargos complementares</t>
  </si>
  <si>
    <t>Montador com encargos complementares</t>
  </si>
  <si>
    <t>Suporte para tubulação de reservatório Ø 400mm - FºFº - Tipo 1</t>
  </si>
  <si>
    <t>SUP-02</t>
  </si>
  <si>
    <t>Suporte para tubulação de reservatório Ø 500mm - FºFº - Tipo 2</t>
  </si>
  <si>
    <t>DADOS</t>
  </si>
  <si>
    <t>Laje de Fundo em Concreto Armado</t>
  </si>
  <si>
    <t xml:space="preserve">Comprimento </t>
  </si>
  <si>
    <t xml:space="preserve">Largura </t>
  </si>
  <si>
    <t>Altura do lastro de brita</t>
  </si>
  <si>
    <t>Altura do lastro de concreto magro</t>
  </si>
  <si>
    <t>Paredes em Alvenaria (1)</t>
  </si>
  <si>
    <t>Paredes em Alvenaria (2)</t>
  </si>
  <si>
    <t>SERVIÇOS TÉCNICOS</t>
  </si>
  <si>
    <t>Locação de obras localizadas</t>
  </si>
  <si>
    <t>Quantidade de equipe x dia</t>
  </si>
  <si>
    <t>Total de locação de obras localizadas</t>
  </si>
  <si>
    <t>MOVIMENTO DE TERRA</t>
  </si>
  <si>
    <t>Escavação mecanizada de poços e cavas, em solo não rochoso, com profundidade até 3,00 m</t>
  </si>
  <si>
    <t>Folgas Laterais</t>
  </si>
  <si>
    <t>Altura total</t>
  </si>
  <si>
    <t>Comprimento de escavação (fundo)</t>
  </si>
  <si>
    <t>Largura de escavação (fundo)</t>
  </si>
  <si>
    <t>Área da base menor (fundo)</t>
  </si>
  <si>
    <t>Comprimento de escavação (superfície)</t>
  </si>
  <si>
    <t>Largura de escavação (superfície)</t>
  </si>
  <si>
    <t>Área da base menor (superfície)</t>
  </si>
  <si>
    <t>Volume total de escavação mecanizada de poços e cavas, com prof. até 3,00 m</t>
  </si>
  <si>
    <t>Aterro de valas, poços e cavas compactado mecanicamente, sem controle do G.C.</t>
  </si>
  <si>
    <t>Volume total de escavação</t>
  </si>
  <si>
    <t>(-) Volume total de lastro de brita</t>
  </si>
  <si>
    <t>(-) Volume total de lastro de concreto magro</t>
  </si>
  <si>
    <t>(-) Volume total de construção</t>
  </si>
  <si>
    <t>Volume total de aterro de valas, poços e cavas compactado, sem controle do G.C.</t>
  </si>
  <si>
    <t>Carga, manobra e descarga de solos e materiais granulares em caminhão basculante 10 m³</t>
  </si>
  <si>
    <t xml:space="preserve">Volume total de escavação </t>
  </si>
  <si>
    <t xml:space="preserve">(-) Volume total de reaterro </t>
  </si>
  <si>
    <t>Considerado 30% de empolamento</t>
  </si>
  <si>
    <t>Transporte com caminhão basculante de 10 m³, em via urbana pavimentada</t>
  </si>
  <si>
    <t>Distância considerada</t>
  </si>
  <si>
    <t>km</t>
  </si>
  <si>
    <t>Volume total de transporte com caminhão basculante de 10 m³</t>
  </si>
  <si>
    <t>FUNDAÇÕES E ESTRUTURAS</t>
  </si>
  <si>
    <t>Lastro com material granular (pedra britada nº 2), aplicado em pisos ou lajes sobre solo</t>
  </si>
  <si>
    <t>Volume total de lastro com material granular (pedra britada nº 2)</t>
  </si>
  <si>
    <t>Lastro de concreto magro, aplicado em pisos, lajes sobre solo ou radiers</t>
  </si>
  <si>
    <t>Volume total de lastro de concreto magro, aplicado em pisos, lajes sobre solo</t>
  </si>
  <si>
    <t>Fôrma plana de madeira - estrutura</t>
  </si>
  <si>
    <t>Altura</t>
  </si>
  <si>
    <t>Área total de fôrma plana de madeira - estrutura</t>
  </si>
  <si>
    <t>Comprimento interno</t>
  </si>
  <si>
    <t>Largura interna</t>
  </si>
  <si>
    <t>Armação em aço CA-50</t>
  </si>
  <si>
    <t>Peso total de armação em aço CA-50</t>
  </si>
  <si>
    <t>Concreto estrutural p/ estruturas em contato com água bruta, água tratada, solo e gases agressivos, FCK = 30,0 MPa</t>
  </si>
  <si>
    <t>Volume total de concreto estrutural, FCK = 30,0 MPa</t>
  </si>
  <si>
    <t>Concreto não estrutural - mínimo 150 kg de cimento/m³</t>
  </si>
  <si>
    <t>Volume total de concreto não estrutural - mínimo 150 kg de cimento/m³</t>
  </si>
  <si>
    <t>ALVENARIAS</t>
  </si>
  <si>
    <t>Alvenaria de blocos estruturais de concreto 19 x 19 x 39 cm, com armação e grout</t>
  </si>
  <si>
    <t>Área total de alvenaria de blocos estruturais de concreto 19 x 19 x 39 cm</t>
  </si>
  <si>
    <t>ASSENTAMENTO DE TUBOS E PEÇAS</t>
  </si>
  <si>
    <t>Quantidade por caixa</t>
  </si>
  <si>
    <t>Chapisco</t>
  </si>
  <si>
    <t>Paredes Internas</t>
  </si>
  <si>
    <t>Área total de chapisco</t>
  </si>
  <si>
    <t>Paredes Internas e Laje de Fundo</t>
  </si>
  <si>
    <t>Impermeabilização de superfície com emulsão asfáltica, 2 demãos</t>
  </si>
  <si>
    <t>Área total de impermeabilização de superfície com emulsão asfáltica, 2 demãos</t>
  </si>
  <si>
    <t>Caixa do extravasor com paredes em alvenaria e laje de fundo em concreto armado</t>
  </si>
  <si>
    <t xml:space="preserve">Total de dias </t>
  </si>
  <si>
    <t>dia</t>
  </si>
  <si>
    <t>Taxa adotada</t>
  </si>
  <si>
    <t>kg/m³</t>
  </si>
  <si>
    <t>Enchimento</t>
  </si>
  <si>
    <t>Altura média</t>
  </si>
  <si>
    <t>Junta argamassada entre tubo DN 100 mm e o poço de visita / caixa de concreto ou alvenaria</t>
  </si>
  <si>
    <t>Quantidade total de junta argamassada entre tubo DN 100 mm</t>
  </si>
  <si>
    <t>Junta argamassada entre tubo DN 150 mm e o poço de visita / caixa de concreto ou alvenaria</t>
  </si>
  <si>
    <t>Quantidade total de junta argamassada entre tubo DN 150 mm</t>
  </si>
  <si>
    <t>Junta argamassada entre tubo DN 600 mm e o poço de visita / caixa de concreto ou alvenaria</t>
  </si>
  <si>
    <t>Quantidade total de junta argamassada entre tubo DN 600 mm</t>
  </si>
  <si>
    <t>Emboço</t>
  </si>
  <si>
    <t>Área total de emboço</t>
  </si>
  <si>
    <t>Reboco</t>
  </si>
  <si>
    <t>Área total de reboco</t>
  </si>
  <si>
    <t>REVESTIMENTOS E TRATAMENTO DE SUPERFÍCIE</t>
  </si>
  <si>
    <t>IMPERMEABILIZAÇÃO</t>
  </si>
  <si>
    <t>Pintura impermeabilizante, cinco demãos de poliuretano vegetal</t>
  </si>
  <si>
    <t>Área total de pintura impermeabilizante, cinco demãos de poliuretano vegetal</t>
  </si>
  <si>
    <t>Volume total de carga, manobra e descarga de solos</t>
  </si>
  <si>
    <t>m³xkm</t>
  </si>
  <si>
    <t>CX-Ext</t>
  </si>
  <si>
    <t>CX-Entr</t>
  </si>
  <si>
    <t>Caixa de entrada com paredes em alvenaria e laje de fundo em concreto armado</t>
  </si>
  <si>
    <t>Volume total de escavação mecanizada de poços e cavas, com prof. até 2,00 m</t>
  </si>
  <si>
    <t>Escavação mecanizada de poços e cavas, em solo não rochoso, com profundidade até 2,00 m</t>
  </si>
  <si>
    <t>Junta argamassada entre tubo DN 400 mm e o poço de visita / caixa de concreto ou alvenaria</t>
  </si>
  <si>
    <t>Quantidade total de junta argamassada entre tubo DN 400 mm</t>
  </si>
  <si>
    <t>Montagem de Materiais e Equipamentos</t>
  </si>
  <si>
    <t>Junta desmontagem travada axialmente DN 250 mm até DN 400 mm - montagem</t>
  </si>
  <si>
    <t>Válvula gaveta ferro fundido DN 250 mm até DN 400 mm - montagem</t>
  </si>
  <si>
    <t>Válvula borboleta ferro fundido DN 250 mm até DN 400 mm - montagem</t>
  </si>
  <si>
    <t>Registro de gaveta Ø 500mm, com flanges, cunha metálica, corpo oval e acionamento manual através de cabeçote, flange conf. ISO 2531 PN-10, em ferro fundido, para água</t>
  </si>
  <si>
    <t>Válvula gaveta ferro fundido até DN 200 mm - montagem</t>
  </si>
  <si>
    <t>Válvula ferro fundido adufa ou flap até DN 200 mm - montagem</t>
  </si>
  <si>
    <t>Válvula gaveta ferro fundido DN 450 mm até DN 600 mm - montagem</t>
  </si>
  <si>
    <t>Junta desmontagem travada axialmente DN 450 mm até DN 600 mm - montagem</t>
  </si>
  <si>
    <t>Caixas</t>
  </si>
  <si>
    <t>Blocos de Ancoragem</t>
  </si>
  <si>
    <t>Ancoragem em concreto para curva 22 graus 30 min, diâmetro 400 mm</t>
  </si>
  <si>
    <t>Ancoragem em concreto para curva 45 graus, diâmetro 400 mm</t>
  </si>
  <si>
    <t>Ancoragem em concreto para curva 90 graus e tê, diâmetro 400 mm</t>
  </si>
  <si>
    <t>Ancoragem em concreto para curva 45 graus, diâmetro 500 mm</t>
  </si>
  <si>
    <t>Ancoragem em concreto para curva 90 graus e tê, diâmetro 500 mm</t>
  </si>
  <si>
    <t>Proteção de flanges enterrados para tubulação</t>
  </si>
  <si>
    <t>Graxa lubrificante</t>
  </si>
  <si>
    <t>Tinta / revestimento a base de resina epóxi com alcatrão, bicomponente</t>
  </si>
  <si>
    <t>l</t>
  </si>
  <si>
    <t>Manta termoplástica, PEAD, geomembrana lisa, E = 1,00mm (NBR 15352)</t>
  </si>
  <si>
    <t>Arame protegido com polimero para gabião, diâmetro 2,2mm</t>
  </si>
  <si>
    <t>Prot-Fl</t>
  </si>
  <si>
    <t>ml/m²</t>
  </si>
  <si>
    <t xml:space="preserve">Rendimento da tinta em superfícies metálicas: </t>
  </si>
  <si>
    <t>Proteção de Flanges</t>
  </si>
  <si>
    <t>COT-09 (BERMAD)</t>
  </si>
  <si>
    <t>Válvula posicionadora de comando hidráulico através de solenóides com preparação para comando eletrônico, Ø 300mm, atuador tipo diafragma, flanges conf. ISO 2531 PN-10, para água</t>
  </si>
  <si>
    <t>Serviços Técnicos</t>
  </si>
  <si>
    <t>Locação de adutoras, coletores-tronco e interceptores (até diâm. 500 mm)</t>
  </si>
  <si>
    <t>Cadastro de adutoras, coletores-tronco e interceptores (até diâm. 500 mm)</t>
  </si>
  <si>
    <t>Serviços Preliminares</t>
  </si>
  <si>
    <t>Tapume contínuo em chapas de madeira</t>
  </si>
  <si>
    <t>Passadiços de madeira para pedestres</t>
  </si>
  <si>
    <t>Escoramento de postes</t>
  </si>
  <si>
    <t>Movimento de Terra</t>
  </si>
  <si>
    <t>Aterro de valas, poços e cavas compactado mecanicamente, com controle do G.C. &gt;= 95% do E.N.C.</t>
  </si>
  <si>
    <t>Carga, manobra e descarga de solos e materiais granulares em caminhão basculante 18 m³ - carga com escavadeira hidráulica (caçamba de 1,20m³ / 155HP) e descarga livre</t>
  </si>
  <si>
    <t>Transporte com caminhão basculante de 18 m³, em via urbana pavimentada, DMT até 30 km</t>
  </si>
  <si>
    <t>Carga, manobra e descarga de solos e materiais granulares em caminhão basculante 10 m³ - carga com escavadeira hidráulica (caçamba de 1,20m³ / 155HP) e descarga livre</t>
  </si>
  <si>
    <t>Transporte com caminhão basculante de 10 m³, em via urbana pavimentada, DMT até 30 km</t>
  </si>
  <si>
    <t>Escoramento</t>
  </si>
  <si>
    <t>Escoramento descontínuo</t>
  </si>
  <si>
    <t>Esgotamento</t>
  </si>
  <si>
    <t>5.1</t>
  </si>
  <si>
    <t>Subtotal 5</t>
  </si>
  <si>
    <t>6.1</t>
  </si>
  <si>
    <t>6.2</t>
  </si>
  <si>
    <t>6.3</t>
  </si>
  <si>
    <t>Subtotal 6</t>
  </si>
  <si>
    <t>7.1</t>
  </si>
  <si>
    <t>Carga e descarga, de tubos e peças em ferro fundido</t>
  </si>
  <si>
    <t>t</t>
  </si>
  <si>
    <t>Transporte, de tubos e peças em ferro fundido</t>
  </si>
  <si>
    <t>txkm</t>
  </si>
  <si>
    <t>Subtotal 7</t>
  </si>
  <si>
    <t>Serviços Diversos</t>
  </si>
  <si>
    <t>exp</t>
  </si>
  <si>
    <t>dist</t>
  </si>
  <si>
    <t>Estaca Inicial</t>
  </si>
  <si>
    <t>Estaca Final</t>
  </si>
  <si>
    <t>Extensão</t>
  </si>
  <si>
    <t>Material</t>
  </si>
  <si>
    <t>Tipo de Obra</t>
  </si>
  <si>
    <t>Nível de Interferência</t>
  </si>
  <si>
    <t>Ø</t>
  </si>
  <si>
    <t>Cota Terreno Inicial (m)</t>
  </si>
  <si>
    <t>Cota GI Inicial (m)</t>
  </si>
  <si>
    <t>Prof Inicial (m)</t>
  </si>
  <si>
    <t>Profundidade Média de Escavação</t>
  </si>
  <si>
    <t>Largura da Vala</t>
  </si>
  <si>
    <t>Decliv.</t>
  </si>
  <si>
    <t>Locação e Cadastro</t>
  </si>
  <si>
    <t>Pavimento</t>
  </si>
  <si>
    <t>Tipo de Escavação</t>
  </si>
  <si>
    <t>Escavação Mecânica de Valas</t>
  </si>
  <si>
    <t>Escavação Manual de Valas</t>
  </si>
  <si>
    <t>Tapume</t>
  </si>
  <si>
    <t>Passadiços de Madeira para Pedestres</t>
  </si>
  <si>
    <t>Embasamento</t>
  </si>
  <si>
    <t>Assentamento das Tubulações</t>
  </si>
  <si>
    <t>Reaterro de Vala</t>
  </si>
  <si>
    <t>Preparo de Fundo de Vala</t>
  </si>
  <si>
    <t>Demolição de Pavimentação</t>
  </si>
  <si>
    <t>Pavimentação Asfáltica</t>
  </si>
  <si>
    <t>Passeio Cimentado</t>
  </si>
  <si>
    <t>Carga e Transporte</t>
  </si>
  <si>
    <t>Limpeza Pós-Obra</t>
  </si>
  <si>
    <t>Tipo</t>
  </si>
  <si>
    <t>Tempo de Bombeamento</t>
  </si>
  <si>
    <t>Rebaixamento com Ponteiras Filtrantes</t>
  </si>
  <si>
    <t>Contínuo</t>
  </si>
  <si>
    <t>Lastro de Vala com Brita</t>
  </si>
  <si>
    <t>Lastro de Vala com Areia</t>
  </si>
  <si>
    <t>Envoltória com Areia</t>
  </si>
  <si>
    <t>Com Controle</t>
  </si>
  <si>
    <t>Sem Controle</t>
  </si>
  <si>
    <t>Subleito</t>
  </si>
  <si>
    <t>Sub Base</t>
  </si>
  <si>
    <t>Base</t>
  </si>
  <si>
    <t>Imprimação</t>
  </si>
  <si>
    <t>Camada de Rolamento</t>
  </si>
  <si>
    <t>Carga e Descarga de Terra</t>
  </si>
  <si>
    <t>Transporte de Terra</t>
  </si>
  <si>
    <t>Carga e Descarga de Brita</t>
  </si>
  <si>
    <t>Transporte de Brita</t>
  </si>
  <si>
    <t>Carga e Descarga de Areia</t>
  </si>
  <si>
    <t>Transporte de Areia</t>
  </si>
  <si>
    <t>Carga e Descarga de Entulho</t>
  </si>
  <si>
    <t>Transporte de Entulho</t>
  </si>
  <si>
    <t>Transporte de Asfalto</t>
  </si>
  <si>
    <t>Carga e Descarga de Tubos</t>
  </si>
  <si>
    <t>Transporte de Tubos</t>
  </si>
  <si>
    <t>Cota Terreno Final (m)</t>
  </si>
  <si>
    <t>Cota GI Final (m)</t>
  </si>
  <si>
    <t>Prof Final (m)</t>
  </si>
  <si>
    <t>Reaprov. 3x</t>
  </si>
  <si>
    <t>Asfática=m²</t>
  </si>
  <si>
    <t>mm</t>
  </si>
  <si>
    <t>hp x h</t>
  </si>
  <si>
    <t>Passeio=m³</t>
  </si>
  <si>
    <t>m³ x km</t>
  </si>
  <si>
    <t>t x km</t>
  </si>
  <si>
    <t>T</t>
  </si>
  <si>
    <t>T x km</t>
  </si>
  <si>
    <t>FºFº Classe K7</t>
  </si>
  <si>
    <t>Água</t>
  </si>
  <si>
    <t>Alto</t>
  </si>
  <si>
    <t>Terra</t>
  </si>
  <si>
    <t>Mecânica</t>
  </si>
  <si>
    <t>Desnecessário</t>
  </si>
  <si>
    <t>Asfalto</t>
  </si>
  <si>
    <t>TOTAL FºFº</t>
  </si>
  <si>
    <t>P</t>
  </si>
  <si>
    <t>D</t>
  </si>
  <si>
    <t>Número de cruzamentos</t>
  </si>
  <si>
    <t>un</t>
  </si>
  <si>
    <t>C</t>
  </si>
  <si>
    <t>Vala &lt; 1,50m</t>
  </si>
  <si>
    <t>Largura média das valas</t>
  </si>
  <si>
    <t>E</t>
  </si>
  <si>
    <t>Vala &gt; 1,50m&lt;2,5m</t>
  </si>
  <si>
    <t>Passadiço para veículos</t>
  </si>
  <si>
    <t>MM</t>
  </si>
  <si>
    <t>Sinalização de trânsito</t>
  </si>
  <si>
    <t>NBR 12266/1992: Projeto e Execução de Valas para Assentamento de Tubulação de Água, Esgoto ou Drenagem Urbana</t>
  </si>
  <si>
    <t>Tabela 2 - Largura da Vala para Obra de Água</t>
  </si>
  <si>
    <t>Tabela 2 - Largura da Vala para Obra de Água (Tubos de Aço)</t>
  </si>
  <si>
    <t>Tabela 1 - Largura da Vala para Obra de Esgoto</t>
  </si>
  <si>
    <t>Largura da Vala em Função do Tipo de Escoramento e Cota de Corte</t>
  </si>
  <si>
    <t>Diâmetro Nominal (mm)</t>
  </si>
  <si>
    <t>Cota de Corte (m)</t>
  </si>
  <si>
    <t>Pontaletes (m)</t>
  </si>
  <si>
    <t>Contínuo e Descontínuo (m)</t>
  </si>
  <si>
    <t>Especial (m)</t>
  </si>
  <si>
    <t>Metálico-Madeira (m)</t>
  </si>
  <si>
    <t>0 a 2</t>
  </si>
  <si>
    <t>-</t>
  </si>
  <si>
    <t>&gt; 2</t>
  </si>
  <si>
    <t>2 a 4</t>
  </si>
  <si>
    <t>4 a 6</t>
  </si>
  <si>
    <t>6 a 8</t>
  </si>
  <si>
    <t>&gt; 8</t>
  </si>
  <si>
    <t>Essa tabela acima de 8 m é calculada.</t>
  </si>
  <si>
    <t>Saint Gobain</t>
  </si>
  <si>
    <t>Tigre</t>
  </si>
  <si>
    <t>Amanco</t>
  </si>
  <si>
    <t>Otek</t>
  </si>
  <si>
    <t>Kanaflex</t>
  </si>
  <si>
    <t>Tigre ADS</t>
  </si>
  <si>
    <t>Guarani</t>
  </si>
  <si>
    <t>Listas</t>
  </si>
  <si>
    <t>Critérios</t>
  </si>
  <si>
    <t>Dados das Tubulações</t>
  </si>
  <si>
    <t>Ferro Fundido / PVC deFoFo</t>
  </si>
  <si>
    <t xml:space="preserve">Classe K7 </t>
  </si>
  <si>
    <t xml:space="preserve">Classe K9 </t>
  </si>
  <si>
    <t>PVC deFoFo</t>
  </si>
  <si>
    <t>PVC PBA</t>
  </si>
  <si>
    <t>Classe 12 Peso (kg / m)</t>
  </si>
  <si>
    <t>Classe 15 Peso (kg / m)</t>
  </si>
  <si>
    <t>Classe 20 Peso (kg / m)</t>
  </si>
  <si>
    <t>PVC Corrugado / PVC Coletor (Ocre)</t>
  </si>
  <si>
    <t>PVC Ocre Peso (kg / m)</t>
  </si>
  <si>
    <t>PVC Corr. Peso (kg / m)</t>
  </si>
  <si>
    <t>Aço</t>
  </si>
  <si>
    <t>esp. (poleg) =</t>
  </si>
  <si>
    <t>PRFV SN 5000</t>
  </si>
  <si>
    <t>PN 10</t>
  </si>
  <si>
    <t>PN 16</t>
  </si>
  <si>
    <t>PN 20</t>
  </si>
  <si>
    <t>PEAD Corrugado KNTS Super</t>
  </si>
  <si>
    <t>PEAD Corrugado N-12 - Aplicação Sanitária</t>
  </si>
  <si>
    <t>PEAD Corrugado N-12 - Drenagem</t>
  </si>
  <si>
    <t>Concreto Armado - Classes EA e PA</t>
  </si>
  <si>
    <t>Espessura do lastro de brita</t>
  </si>
  <si>
    <t>DN</t>
  </si>
  <si>
    <t>DE</t>
  </si>
  <si>
    <t>Peso (kg/m)</t>
  </si>
  <si>
    <t>DI</t>
  </si>
  <si>
    <t>Peso (kg / m)</t>
  </si>
  <si>
    <t>DE (envolt.)</t>
  </si>
  <si>
    <t>Parede (espess.)</t>
  </si>
  <si>
    <t>DE (espess.)</t>
  </si>
  <si>
    <t>Esp</t>
  </si>
  <si>
    <t>Esgoto</t>
  </si>
  <si>
    <t>Espessura do lastro de areia</t>
  </si>
  <si>
    <t>Travessia Aérea</t>
  </si>
  <si>
    <t>Espessura da envoltória com areia abaixo do tubo</t>
  </si>
  <si>
    <t>Espessura da envoltória com areia acima do tubo</t>
  </si>
  <si>
    <t>Esp. da envol. com areia abaixo do tubo PEAD ADS &lt;=600mm</t>
  </si>
  <si>
    <t>Baixo</t>
  </si>
  <si>
    <t>Esp. da envol. com areia abaixo do tubo PEAD ADS &lt;=750mm</t>
  </si>
  <si>
    <t>Critério para aterro</t>
  </si>
  <si>
    <t>Espess. mínima de aterro sem controle acima da GS (critério 1)</t>
  </si>
  <si>
    <t>Catálogo Saint Gobain</t>
  </si>
  <si>
    <t>Espess. mínima de aterro com controle (critério 2)</t>
  </si>
  <si>
    <t>FºFº Classe K9</t>
  </si>
  <si>
    <t>Espess. mínima de aterro sem controle acima da GS (critério 2)</t>
  </si>
  <si>
    <t>Catálogo Guarani</t>
  </si>
  <si>
    <t>NBR 15645 (Execução de Obras de Esgoto e Drenagem com Tubos de Concreto)</t>
  </si>
  <si>
    <t>Concreto Armado EA-2</t>
  </si>
  <si>
    <t>Concreto Armado EA-3</t>
  </si>
  <si>
    <t>Concreto Armado EA-4</t>
  </si>
  <si>
    <t>Concreto Armado PA-1</t>
  </si>
  <si>
    <t>Concreto Armado PA-2</t>
  </si>
  <si>
    <t>Concreto Armado PA-3</t>
  </si>
  <si>
    <t>Concreto Armado PA-4</t>
  </si>
  <si>
    <t>PEAD ADS - Esgoto</t>
  </si>
  <si>
    <t>PEAD Corrugado - Esgoto</t>
  </si>
  <si>
    <t>PEAD ADS - Drenagem</t>
  </si>
  <si>
    <t>PEAD Corrugado - Drenagem</t>
  </si>
  <si>
    <t>Catálogo Tigre</t>
  </si>
  <si>
    <t>PVC Coletor (Ocre)</t>
  </si>
  <si>
    <t>PVC Coletor Corrugado (Ocre)</t>
  </si>
  <si>
    <t>Esgotamento com bombas: horas por metro de vala</t>
  </si>
  <si>
    <t>h / m</t>
  </si>
  <si>
    <t>PVC PBA - Cl 12</t>
  </si>
  <si>
    <t>Número de ponteiras filtrantes: 1 a cada</t>
  </si>
  <si>
    <t>PVC PBA - Cl 15</t>
  </si>
  <si>
    <t>Profundidade de ponteiras filtrantes</t>
  </si>
  <si>
    <t>PVC PBA - Cl 20</t>
  </si>
  <si>
    <t>Faixa 1 de largura de vala</t>
  </si>
  <si>
    <t>PRFV - SN 5000 - PN 10</t>
  </si>
  <si>
    <t>Faixa 2 de largura de vala</t>
  </si>
  <si>
    <t>PRFV - SN 5000 - PN 16</t>
  </si>
  <si>
    <t>Faixa 3 de largura de vala</t>
  </si>
  <si>
    <t>PRFV - SN 5000 - PN 20</t>
  </si>
  <si>
    <t>Faixa 4 de largura de vala</t>
  </si>
  <si>
    <t>Faixa de profundidade de escavação mecânica</t>
  </si>
  <si>
    <t>Faixa de profundidade de escavação manual</t>
  </si>
  <si>
    <t>Coeficiente de empolamento - terra</t>
  </si>
  <si>
    <t>Faixa até</t>
  </si>
  <si>
    <t>lista</t>
  </si>
  <si>
    <t>Coeficiente de expansão - brita</t>
  </si>
  <si>
    <t>Coeficiente de expansão - areia</t>
  </si>
  <si>
    <t>Colocar ESPECIAL</t>
  </si>
  <si>
    <t>Coeficiente de expansão - entulho</t>
  </si>
  <si>
    <t>apenas em solo</t>
  </si>
  <si>
    <t>Distância ao bota-fora - terra</t>
  </si>
  <si>
    <t>com água</t>
  </si>
  <si>
    <t>E mudar para lista 5</t>
  </si>
  <si>
    <t>Distância - brita</t>
  </si>
  <si>
    <t>Distância - areia</t>
  </si>
  <si>
    <t>Distância ao bota-fora - entulho</t>
  </si>
  <si>
    <t>Distância - tubos</t>
  </si>
  <si>
    <t>Número de passadiços para pedestres: 1 a cada</t>
  </si>
  <si>
    <t>Largura do passadiço para pedestres</t>
  </si>
  <si>
    <t>Largura da chapa de madeira para veículos</t>
  </si>
  <si>
    <t>Margem da chapa de madeira para veículos para cada lado</t>
  </si>
  <si>
    <t>espessura</t>
  </si>
  <si>
    <t>margem</t>
  </si>
  <si>
    <t>Comprimento de sinalização por cruzamento</t>
  </si>
  <si>
    <t>Reaproveitamento do tapume (SINAPI já considera 2x)</t>
  </si>
  <si>
    <t>x</t>
  </si>
  <si>
    <t>Altura do tapume</t>
  </si>
  <si>
    <t>Passeio</t>
  </si>
  <si>
    <t>Margem da limpeza pós-obra para cada lado</t>
  </si>
  <si>
    <t>Bombeamento</t>
  </si>
  <si>
    <t>Ponteiras Filtrantes</t>
  </si>
  <si>
    <t>Manual</t>
  </si>
  <si>
    <t>Raspagem Superficial</t>
  </si>
  <si>
    <t>4.1.1</t>
  </si>
  <si>
    <t>4.2.1</t>
  </si>
  <si>
    <t>4.2.2</t>
  </si>
  <si>
    <t>4.2.3</t>
  </si>
  <si>
    <t>4.3.1</t>
  </si>
  <si>
    <t>Acessórios</t>
  </si>
  <si>
    <t>Assentamento e Montagem de Tubos e Peças</t>
  </si>
  <si>
    <t>kg flanges</t>
  </si>
  <si>
    <t>Raspagem da camada superficial</t>
  </si>
  <si>
    <t>Escavação manual de valas, poços e cavas em solo não rochoso, c/prof. até 1,25m</t>
  </si>
  <si>
    <t>Preparo de fundo de vala com largura menor que 1,5 m (acerto do solo natural)</t>
  </si>
  <si>
    <t xml:space="preserve">Aterro de valas, poços e cavas compactado mecanicamente, sem controle do G.C. </t>
  </si>
  <si>
    <t>INTERLIGAÇÃO DE ENTRADA DO RESERVATÓRIO</t>
  </si>
  <si>
    <t>Bloco de apoio 0,60m x 0,60m x 0,20m</t>
  </si>
  <si>
    <t>PINTURAS</t>
  </si>
  <si>
    <t>Pintura com verniz acrílico em concreto aparente</t>
  </si>
  <si>
    <t>Área total de pintura com verniz acrílico em concreto aparente</t>
  </si>
  <si>
    <t>BL-Apoio</t>
  </si>
  <si>
    <t>Blocos de Apoio</t>
  </si>
  <si>
    <t>4.4.1</t>
  </si>
  <si>
    <t>Assentamento para redes de água, tubos e peças, DN 400 mm, em FºFº</t>
  </si>
  <si>
    <t>5.1.1</t>
  </si>
  <si>
    <t>5.2</t>
  </si>
  <si>
    <t>Carga, descarga e transporte de tubos e peças</t>
  </si>
  <si>
    <t>5.2.1</t>
  </si>
  <si>
    <t>5.2.2</t>
  </si>
  <si>
    <t>5.3</t>
  </si>
  <si>
    <t>5.3.1</t>
  </si>
  <si>
    <t>5.3.2</t>
  </si>
  <si>
    <t>5.3.3</t>
  </si>
  <si>
    <t>5.3.4</t>
  </si>
  <si>
    <t>Tubos e conexões metálicos flangeados - montagem</t>
  </si>
  <si>
    <t>Limpeza da obra</t>
  </si>
  <si>
    <t>Fornecimento de Materiais e Equipamentos</t>
  </si>
  <si>
    <t>5.3.5</t>
  </si>
  <si>
    <t>gb</t>
  </si>
  <si>
    <t>Montagem de válvula posicionadora de comando hidráulico através de solenóides com preparação para comando eletrônico</t>
  </si>
  <si>
    <t>horas</t>
  </si>
  <si>
    <t>dias</t>
  </si>
  <si>
    <t>Eletrotécnico</t>
  </si>
  <si>
    <t>Engenheiro civil</t>
  </si>
  <si>
    <t>Eletrotécnico com encargos complementares</t>
  </si>
  <si>
    <t>Engenheiro civil de obra senior com encargos complementares</t>
  </si>
  <si>
    <t>MEMORIAIS DE QUANTITATIVOS - INTERLIGAÇÃO DE ENTRADA DO RESERVATÓRIO</t>
  </si>
  <si>
    <t>INTERLIGAÇÃO DO EXTRAVASOR E DESCARGA</t>
  </si>
  <si>
    <t>MEMORIAIS DE QUANTITATIVOS - INTERLIGAÇÃO DO EXTRAVASOR E DESCARGA</t>
  </si>
  <si>
    <t>TOTAL PVC</t>
  </si>
  <si>
    <t>Escavação manual de valas, poços e cavas em solo não rochoso, c/prof. até 2,00m</t>
  </si>
  <si>
    <t>Preparo de fundo de vala com largura menor que 1,5m,  com  camada de  areia,  lançamento  manual</t>
  </si>
  <si>
    <t>Preparo de fundo de vala com largura menor que 1,5m,  com  camada  de  brita,  lançamento  manual</t>
  </si>
  <si>
    <t>Poços de Inspeção</t>
  </si>
  <si>
    <t>Cx-Extravasor</t>
  </si>
  <si>
    <t>Cx-Entrada</t>
  </si>
  <si>
    <t>Escoramentos</t>
  </si>
  <si>
    <t>Pontaleteamento</t>
  </si>
  <si>
    <t>Assentamento tubos</t>
  </si>
  <si>
    <t>Assentamento para redes de água, tubos e peças, DN 500 mm, em FºFº</t>
  </si>
  <si>
    <t>5.1.2</t>
  </si>
  <si>
    <t>Assentamento simples de tubos e peças, DN 100 mm, em PVC rígido, RPVC e DEFºFº, JE</t>
  </si>
  <si>
    <t>6.1.1</t>
  </si>
  <si>
    <t>6.1.2</t>
  </si>
  <si>
    <t>6.2.1</t>
  </si>
  <si>
    <t>6.2.2</t>
  </si>
  <si>
    <t>6.3.1</t>
  </si>
  <si>
    <t>6.3.2</t>
  </si>
  <si>
    <t>6.3.3</t>
  </si>
  <si>
    <t>INTERLIGAÇÃO DE SAÍDA DO RESERVATÓRIO</t>
  </si>
  <si>
    <t>MEMORIAIS DE QUANTITATIVOS - INTERLIGAÇÃO DE SAÍDA DO RESERVATÓRIO</t>
  </si>
  <si>
    <t>RESPIRO</t>
  </si>
  <si>
    <t>Montagem de Tubos e Peças</t>
  </si>
  <si>
    <t>1.1.1</t>
  </si>
  <si>
    <t>1.1.2</t>
  </si>
  <si>
    <t>1.2.1</t>
  </si>
  <si>
    <t>Total de Caixas</t>
  </si>
  <si>
    <t>CX-AP-1</t>
  </si>
  <si>
    <t>CX-AP-2</t>
  </si>
  <si>
    <t>CX-AP-3</t>
  </si>
  <si>
    <t>Caixa de alvenaria de 1/2 tijolo - 0,60 x 0,60 m</t>
  </si>
  <si>
    <t>Reservatório cilíndrico vertical apoiado, Ø 14,32m, H = 18,00m, V = 2.800m³, completo, incluso escada externa tipo marinheiro com guarda-corpo, em aço carbono</t>
  </si>
  <si>
    <t>RES-01</t>
  </si>
  <si>
    <t>COT-10 (PETROTANQUE)</t>
  </si>
  <si>
    <t>RESERVATÓRIO METÁLICO</t>
  </si>
  <si>
    <t>Montagem de Materiais e Equipamentos Elétricos</t>
  </si>
  <si>
    <t>Fornecimento de Materiais e Equipamentos Elétricos</t>
  </si>
  <si>
    <t>Fornecimento de Materiais e Equipamentos Hidráulicos</t>
  </si>
  <si>
    <t>INST-01</t>
  </si>
  <si>
    <t>Urbanização</t>
  </si>
  <si>
    <t>Portão de tela</t>
  </si>
  <si>
    <t>Operação e Manutenção do Canteiro de Obras</t>
  </si>
  <si>
    <t>DURAÇÃO DA OBRA</t>
  </si>
  <si>
    <t>meses</t>
  </si>
  <si>
    <t>Execução de refeitório em canteiro de obra em chapa de madeira compensada</t>
  </si>
  <si>
    <t>Execução de guarita em canteiro de obra em chapa de madeira compensada</t>
  </si>
  <si>
    <t>Operação  e  Manutenção   do  Canteiro  de  Obras</t>
  </si>
  <si>
    <t>Rev-0</t>
  </si>
  <si>
    <t>COT-11 (RESMET)</t>
  </si>
  <si>
    <t>COT-12 (DIPAWA)</t>
  </si>
  <si>
    <t>COT-13 (HYDROSTEC)</t>
  </si>
  <si>
    <t>Engenheiro Eletricista</t>
  </si>
  <si>
    <t>Auxiliar de Eletricista</t>
  </si>
  <si>
    <t>Eletricista Industrial</t>
  </si>
  <si>
    <t>hora</t>
  </si>
  <si>
    <t>equipe x hora x dia</t>
  </si>
  <si>
    <t>Auxiliar de eletricista com encargos complementares</t>
  </si>
  <si>
    <t>Eletricista industrial com encargos complementares</t>
  </si>
  <si>
    <t>Montagem do sistema de aterramento e SPDA</t>
  </si>
  <si>
    <t>E-001</t>
  </si>
  <si>
    <t>E-002</t>
  </si>
  <si>
    <t>Ajudante</t>
  </si>
  <si>
    <t>Ajudante de operação em geral com encargos complementares</t>
  </si>
  <si>
    <t>Transporte com caminhão carroceria 9T, em via urbana pavimentada, DMT até 30km</t>
  </si>
  <si>
    <t>Transporte de materiais e equipamentos</t>
  </si>
  <si>
    <t>E-003</t>
  </si>
  <si>
    <t>Instalação e comissionamento de instrumentos</t>
  </si>
  <si>
    <t>E-004</t>
  </si>
  <si>
    <t>Montagem da entrada de energia</t>
  </si>
  <si>
    <t>Entrada de Energia</t>
  </si>
  <si>
    <t>Armação secundária com isolador tipo roldana</t>
  </si>
  <si>
    <t>Braçadeira de aço zincado</t>
  </si>
  <si>
    <t>Poste de concreto duplo T de 7,5m - 90daN</t>
  </si>
  <si>
    <t>Curva 135° PVC rígido  DN 40mm</t>
  </si>
  <si>
    <t>Eletroduto de PVC rígido DN 40mm x3000mm</t>
  </si>
  <si>
    <t>Luva para eletroduto de PVC DN 40mm</t>
  </si>
  <si>
    <t>Bucha para eletroduto de PVC DN 40mm</t>
  </si>
  <si>
    <t>Arruela para eletroduto de PVC DN 40mm</t>
  </si>
  <si>
    <t>Curva de 90° PVC rígido DN 40mm</t>
  </si>
  <si>
    <t>Eletroduto de PVC rígido DN 20mm x3000mm</t>
  </si>
  <si>
    <t>Curva de 90° PVC rígido DN 20mm</t>
  </si>
  <si>
    <t>Luva para eletroduto de PVC DN 20mm</t>
  </si>
  <si>
    <t>Bucha para eletroduto de PVC DN 20mm</t>
  </si>
  <si>
    <t>Arruela para eletroduto de PVC DN 20mm</t>
  </si>
  <si>
    <t>Fita de aço zincada</t>
  </si>
  <si>
    <t>Caixa de inspeção DN 250 x 250mm com tampa de ferro fundido</t>
  </si>
  <si>
    <t>Massa calafetadora para vedação</t>
  </si>
  <si>
    <t>Fios e Cabos</t>
  </si>
  <si>
    <t>Eletrodutos e Afins</t>
  </si>
  <si>
    <t>br</t>
  </si>
  <si>
    <t>Instrumentação</t>
  </si>
  <si>
    <t>Sinalização</t>
  </si>
  <si>
    <t>SPDA e Aterramento</t>
  </si>
  <si>
    <t>2.1.1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</si>
  <si>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</si>
  <si>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</si>
  <si>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</si>
  <si>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</si>
  <si>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</si>
  <si>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</si>
  <si>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</si>
  <si>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</si>
  <si>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</si>
  <si>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</si>
  <si>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</si>
  <si>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</si>
  <si>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</si>
  <si>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</si>
  <si>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2.1.16</t>
  </si>
  <si>
    <t>2.1.17</t>
  </si>
  <si>
    <t>2.1.18</t>
  </si>
  <si>
    <t>2.1.19</t>
  </si>
  <si>
    <t>2.1.20</t>
  </si>
  <si>
    <t>2.1.21</t>
  </si>
  <si>
    <t>2.1.22</t>
  </si>
  <si>
    <t>2.1.23</t>
  </si>
  <si>
    <t>2.1.24</t>
  </si>
  <si>
    <t>2.2.1</t>
  </si>
  <si>
    <t>2.2.2</t>
  </si>
  <si>
    <t>2.2.3</t>
  </si>
  <si>
    <t>2.3</t>
  </si>
  <si>
    <t>2.3.1</t>
  </si>
  <si>
    <t>2.3.2</t>
  </si>
  <si>
    <t>2.3.3</t>
  </si>
  <si>
    <t>2.3.4</t>
  </si>
  <si>
    <t>2.3.5</t>
  </si>
  <si>
    <t>2.4</t>
  </si>
  <si>
    <t>2.4.1</t>
  </si>
  <si>
    <t>2.5</t>
  </si>
  <si>
    <t>2.5.1</t>
  </si>
  <si>
    <t>2.5.2</t>
  </si>
  <si>
    <t>2.6</t>
  </si>
  <si>
    <t>2.6.1</t>
  </si>
  <si>
    <t>2.6.2</t>
  </si>
  <si>
    <t>2.6.3</t>
  </si>
  <si>
    <t>2.6.4</t>
  </si>
  <si>
    <t>Disjuntor trifásico 600V, 63A</t>
  </si>
  <si>
    <t>Haste de aterramento cobreado DN 3/4"x3000 mm</t>
  </si>
  <si>
    <t>Cabo de cobre nu, seção 50 mm², encordoamento classe 2</t>
  </si>
  <si>
    <t>Condutor de cobre singelo, isolado 750v, bitola 16 mm² preto</t>
  </si>
  <si>
    <t>Condutor de cobre singelo, isolado 750v, bitola 16 mm² azul claro</t>
  </si>
  <si>
    <t>Terminal para cabo # 16mm²</t>
  </si>
  <si>
    <t>Condutor de cobre nú # 16mm²</t>
  </si>
  <si>
    <t>Conector de bronze para haste-cabo DN 3/4"-16mm²</t>
  </si>
  <si>
    <t>Cabo unipolar de cobre, flexível, isolação em composto termofixo tipo EPR, cobertura em composto termoplástico tipo PVC colorido, seção 2,5 mm², cor preta</t>
  </si>
  <si>
    <t>Cabo unipolar de cobre, flexível, isolação em composto termofixo tipo EPR, cobertura em composto termoplástico tipo PVC colorido, seção 2,5 mm², cor verde</t>
  </si>
  <si>
    <t>Eletroduto flexível corrugado de PEAD, para instalação de rede subterrânea de distribuição, com fio guia, diâmetro nominal 2"</t>
  </si>
  <si>
    <t>Eletroduto rígido de aço galvanizado, fornecido em barras de 3 m, diâmetro nominal de 3/4"</t>
  </si>
  <si>
    <t>Luva para eletroduto rígido de aço galvanizado, diâmetro nominal de 3/4"</t>
  </si>
  <si>
    <t>Curva de 90° para eletroduto rígido de aço galvanizado, diâmetro nominal de 3/4"</t>
  </si>
  <si>
    <t>Conector tipo prensa-cabos para eletroduto rígido, diâmetro nominal de 3/4"</t>
  </si>
  <si>
    <t>EL06088</t>
  </si>
  <si>
    <t>EL00793</t>
  </si>
  <si>
    <t>EL00728</t>
  </si>
  <si>
    <t>EL00736</t>
  </si>
  <si>
    <t>EL00801</t>
  </si>
  <si>
    <t>EL02581</t>
  </si>
  <si>
    <t>EL02533</t>
  </si>
  <si>
    <t xml:space="preserve">EL02574 </t>
  </si>
  <si>
    <t>Cabo unipolar de cobre, flexível, isolação em composto termofixo tipo EPR, cobertura em composto termoplástico tipo PVC colorido, seção 1,5 mm², cor preta (conexões de instrumentação)</t>
  </si>
  <si>
    <t>EL00735</t>
  </si>
  <si>
    <t>Transmissor de nível tipo piezostático (por pressão), alimentação 24 Vcc, sinalização 4-20 mA, com indicador local integral, conexão ao processo com rosca 1/2" NPT e apto para instalação ao tempo</t>
  </si>
  <si>
    <t>Cartucho de pó para solda exotérmica, nº 115, com disco retentor e palito de ignição.</t>
  </si>
  <si>
    <t>Suporte para sinalizador de obstáculo duplo, com soquetes E27, para fixação em mastro de 2.1/2", sem lâmpada</t>
  </si>
  <si>
    <t>Lâmpada estroboscópica LED branca ou amarela, 3,5 W / 220 V, soquete E27</t>
  </si>
  <si>
    <t>Assentamento tubos com bolsas</t>
  </si>
  <si>
    <t xml:space="preserve">RESUMO DOS PREÇOS DE MATERIAIS E EQUIPAMENTOS </t>
  </si>
  <si>
    <t>PROJETO EXECUTIVO DE IMPLANTAÇÃO DE</t>
  </si>
  <si>
    <t>PROJETO EXECUTIVO DE IMPLANTAÇÃO DE NOVO RESERVATÓRIO METÁLICO NO SETOR EUCALIPTOS</t>
  </si>
  <si>
    <t>COT-02 (AGROMETAL)</t>
  </si>
  <si>
    <t>COT-06 (TECNO FERRAM.)</t>
  </si>
  <si>
    <t>COT-07 (SODIVEL)</t>
  </si>
  <si>
    <t>COT-08 (ELASTOBOR)</t>
  </si>
  <si>
    <t>Dezembro/2023</t>
  </si>
  <si>
    <t>Novembro/2023</t>
  </si>
  <si>
    <t>COT-16 (LIQUOS)</t>
  </si>
  <si>
    <t>COT-17 (CONSBEM)</t>
  </si>
  <si>
    <t>COT-15 (CENTRAL MESH)</t>
  </si>
  <si>
    <t>COT-14 (SMAR)</t>
  </si>
  <si>
    <t>Novembro</t>
  </si>
  <si>
    <t>Engenheiro pleno com encargos complementares</t>
  </si>
</sst>
</file>

<file path=xl/styles.xml><?xml version="1.0" encoding="utf-8"?>
<styleSheet xmlns="http://schemas.openxmlformats.org/spreadsheetml/2006/main">
  <numFmts count="3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Cr$&quot;* #,##0.00_);_(&quot;Cr$&quot;* \(#,##0.00\);_(&quot;Cr$&quot;* &quot;-&quot;??_);_(@_)"/>
    <numFmt numFmtId="165" formatCode="_(* #,##0.00_);_(* \(#,##0.00\);_(* &quot;-&quot;??_);_(@_)"/>
    <numFmt numFmtId="166" formatCode="_([$€-2]* #,##0.00_);_([$€-2]* \(#,##0.00\);_([$€-2]* &quot;-&quot;??_)"/>
    <numFmt numFmtId="167" formatCode="0.000"/>
    <numFmt numFmtId="168" formatCode="#,##0.000_);\(#,##0.000\)"/>
    <numFmt numFmtId="169" formatCode="_(&quot;R$ &quot;* #,##0.00_);_(&quot;R$ &quot;* \(#,##0.00\);_(&quot;R$ &quot;* &quot;-&quot;??_);_(@_)"/>
    <numFmt numFmtId="170" formatCode="_(&quot;R$&quot;* #,##0.00_);_(&quot;R$&quot;* \(#,##0.00\);_(&quot;R$&quot;* &quot;-&quot;??_);_(@_)"/>
    <numFmt numFmtId="171" formatCode="_([$€]* #,##0.00_);_([$€]* \(#,##0.00\);_([$€]* &quot;-&quot;??_);_(@_)"/>
    <numFmt numFmtId="172" formatCode="0.000_)"/>
    <numFmt numFmtId="173" formatCode="0.00000"/>
    <numFmt numFmtId="174" formatCode="0.000000"/>
    <numFmt numFmtId="175" formatCode="0.0000"/>
    <numFmt numFmtId="176" formatCode="&quot;R$ &quot;#,##0.00"/>
    <numFmt numFmtId="177" formatCode="0.000%"/>
    <numFmt numFmtId="178" formatCode="&quot;R$&quot;\ #,##0.00"/>
    <numFmt numFmtId="179" formatCode="0.00000000%"/>
    <numFmt numFmtId="180" formatCode="_-* #,##0.0000_-;\-* #,##0.0000_-;_-* &quot;-&quot;_-;_-@_-"/>
    <numFmt numFmtId="181" formatCode="&quot;R$&quot;\ #,##0.00;[Red]&quot;R$&quot;\ #,##0.00"/>
    <numFmt numFmtId="182" formatCode="#,##0.000"/>
    <numFmt numFmtId="183" formatCode="0.0"/>
    <numFmt numFmtId="184" formatCode="#,##0.0000"/>
    <numFmt numFmtId="185" formatCode=";;;"/>
    <numFmt numFmtId="186" formatCode="###0.00;\-###0.00;\-"/>
    <numFmt numFmtId="187" formatCode="###0.0000;\-###0.0000;\-"/>
    <numFmt numFmtId="188" formatCode="0.00_ ;\-0.00\ "/>
    <numFmt numFmtId="189" formatCode="0.000_ ;\-0.000\ "/>
    <numFmt numFmtId="190" formatCode="#,##0.00_ ;\-#,##0.00\ "/>
    <numFmt numFmtId="191" formatCode="#\ ???/???"/>
  </numFmts>
  <fonts count="7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2"/>
      <name val="Arial MT"/>
    </font>
    <font>
      <sz val="11"/>
      <color theme="9" tint="-0.499984740745262"/>
      <name val="Arial Narrow"/>
      <family val="2"/>
    </font>
    <font>
      <sz val="11"/>
      <color indexed="8"/>
      <name val="Calibri"/>
      <family val="2"/>
    </font>
    <font>
      <sz val="11"/>
      <color theme="1"/>
      <name val="Times New Roman"/>
      <family val="2"/>
    </font>
    <font>
      <sz val="11"/>
      <color rgb="FF000000"/>
      <name val="Calibri"/>
      <family val="2"/>
      <charset val="204"/>
    </font>
    <font>
      <sz val="10"/>
      <color indexed="8"/>
      <name val="Arial"/>
      <family val="2"/>
    </font>
    <font>
      <sz val="9"/>
      <name val="Times New Roman"/>
      <family val="1"/>
    </font>
    <font>
      <b/>
      <sz val="10"/>
      <name val="Arial Narrow"/>
      <family val="2"/>
    </font>
    <font>
      <sz val="10"/>
      <color indexed="10"/>
      <name val="Arial Narrow"/>
      <family val="2"/>
    </font>
    <font>
      <b/>
      <u/>
      <sz val="10"/>
      <name val="Arial Narrow"/>
      <family val="2"/>
    </font>
    <font>
      <sz val="10"/>
      <name val="Arial Narrow"/>
      <family val="2"/>
    </font>
    <font>
      <sz val="10"/>
      <color rgb="FFFF0000"/>
      <name val="Arial Narrow"/>
      <family val="2"/>
    </font>
    <font>
      <i/>
      <sz val="10"/>
      <name val="Arial Narrow"/>
      <family val="2"/>
    </font>
    <font>
      <sz val="10"/>
      <color indexed="10"/>
      <name val="Arial"/>
      <family val="2"/>
    </font>
    <font>
      <b/>
      <sz val="9"/>
      <name val="Times New Roman"/>
      <family val="1"/>
    </font>
    <font>
      <b/>
      <sz val="9.5"/>
      <name val="Times New Roman"/>
      <family val="1"/>
    </font>
    <font>
      <b/>
      <sz val="12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theme="1"/>
      <name val="Arial Narrow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.5"/>
      <name val="Times New Roman"/>
      <family val="1"/>
    </font>
    <font>
      <sz val="11.5"/>
      <name val="Times New Roman"/>
      <family val="1"/>
    </font>
    <font>
      <b/>
      <sz val="10"/>
      <name val="Times New Roman"/>
      <family val="1"/>
    </font>
    <font>
      <sz val="11"/>
      <name val="Calibri"/>
      <family val="2"/>
      <scheme val="minor"/>
    </font>
    <font>
      <b/>
      <sz val="11"/>
      <name val="Times New Roman"/>
      <family val="1"/>
    </font>
    <font>
      <sz val="10"/>
      <name val="Times New Roman"/>
      <family val="1"/>
    </font>
    <font>
      <b/>
      <sz val="9"/>
      <color theme="1"/>
      <name val="Arial"/>
      <family val="2"/>
    </font>
    <font>
      <i/>
      <sz val="12"/>
      <name val="Times New Roman"/>
      <family val="1"/>
    </font>
    <font>
      <b/>
      <i/>
      <sz val="12"/>
      <name val="Times New Roman"/>
      <family val="1"/>
    </font>
    <font>
      <b/>
      <i/>
      <sz val="10"/>
      <color theme="1"/>
      <name val="Arial Narrow"/>
      <family val="2"/>
    </font>
    <font>
      <sz val="11"/>
      <color theme="1"/>
      <name val="Arial"/>
      <family val="2"/>
    </font>
    <font>
      <b/>
      <i/>
      <sz val="10"/>
      <name val="Arial Narrow"/>
      <family val="2"/>
    </font>
    <font>
      <b/>
      <sz val="10"/>
      <color theme="1"/>
      <name val="Arial Narrow"/>
      <family val="2"/>
    </font>
    <font>
      <b/>
      <u/>
      <sz val="10"/>
      <color theme="1"/>
      <name val="Arial Narrow"/>
      <family val="2"/>
    </font>
    <font>
      <sz val="10"/>
      <color theme="1"/>
      <name val="Arial Narrow"/>
      <family val="2"/>
    </font>
    <font>
      <b/>
      <i/>
      <u/>
      <sz val="10"/>
      <color theme="1"/>
      <name val="Arial Narrow"/>
      <family val="2"/>
    </font>
    <font>
      <i/>
      <sz val="10"/>
      <color theme="1"/>
      <name val="Arial Narrow"/>
      <family val="2"/>
    </font>
    <font>
      <b/>
      <sz val="10.5"/>
      <name val="Arial Narrow"/>
      <family val="2"/>
    </font>
    <font>
      <b/>
      <sz val="10"/>
      <color rgb="FFFF0000"/>
      <name val="Arial"/>
      <family val="2"/>
    </font>
    <font>
      <b/>
      <sz val="8"/>
      <name val="Times New Roman"/>
      <family val="1"/>
    </font>
    <font>
      <sz val="10"/>
      <name val="Verdana"/>
      <family val="2"/>
    </font>
    <font>
      <sz val="9"/>
      <name val="Arial"/>
      <family val="2"/>
    </font>
    <font>
      <sz val="8"/>
      <name val="Arial"/>
      <family val="2"/>
    </font>
    <font>
      <b/>
      <sz val="15"/>
      <name val="Arial"/>
      <family val="2"/>
    </font>
    <font>
      <b/>
      <sz val="13"/>
      <name val="Arial"/>
      <family val="2"/>
    </font>
    <font>
      <b/>
      <sz val="9"/>
      <name val="Arial"/>
      <family val="2"/>
    </font>
    <font>
      <i/>
      <sz val="9"/>
      <name val="Arial"/>
      <family val="2"/>
    </font>
    <font>
      <b/>
      <i/>
      <sz val="11"/>
      <name val="Times New Roman"/>
      <family val="1"/>
    </font>
    <font>
      <b/>
      <i/>
      <sz val="10"/>
      <color rgb="FFFF0000"/>
      <name val="Arial Narrow"/>
      <family val="2"/>
    </font>
    <font>
      <b/>
      <i/>
      <sz val="12"/>
      <color rgb="FF00B050"/>
      <name val="Times New Roman"/>
      <family val="1"/>
    </font>
    <font>
      <sz val="12"/>
      <color theme="1"/>
      <name val="Arial"/>
      <family val="2"/>
    </font>
    <font>
      <sz val="11"/>
      <color rgb="FF000000"/>
      <name val="Calibri"/>
      <family val="2"/>
    </font>
    <font>
      <sz val="10"/>
      <color indexed="8"/>
      <name val="Arial Narrow"/>
      <family val="2"/>
    </font>
    <font>
      <sz val="11"/>
      <name val="Times New Roman"/>
      <family val="1"/>
    </font>
  </fonts>
  <fills count="4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CC66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999FF"/>
        <bgColor indexed="64"/>
      </patternFill>
    </fill>
  </fills>
  <borders count="5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86">
    <xf numFmtId="0" fontId="0" fillId="0" borderId="0"/>
    <xf numFmtId="0" fontId="2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4" fillId="0" borderId="0"/>
    <xf numFmtId="0" fontId="5" fillId="2" borderId="1" applyNumberFormat="0" applyAlignment="0" applyProtection="0"/>
    <xf numFmtId="166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9" fillId="0" borderId="0" applyProtection="0"/>
    <xf numFmtId="0" fontId="2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2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9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6" borderId="0" applyNumberFormat="0" applyBorder="0" applyAlignment="0" applyProtection="0"/>
    <xf numFmtId="0" fontId="6" fillId="9" borderId="0" applyNumberFormat="0" applyBorder="0" applyAlignment="0" applyProtection="0"/>
    <xf numFmtId="0" fontId="6" fillId="13" borderId="0" applyNumberFormat="0" applyBorder="0" applyAlignment="0" applyProtection="0"/>
    <xf numFmtId="0" fontId="21" fillId="17" borderId="0" applyNumberFormat="0" applyBorder="0" applyAlignment="0" applyProtection="0"/>
    <xf numFmtId="0" fontId="21" fillId="12" borderId="0" applyNumberFormat="0" applyBorder="0" applyAlignment="0" applyProtection="0"/>
    <xf numFmtId="0" fontId="21" fillId="14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9" borderId="0" applyNumberFormat="0" applyBorder="0" applyAlignment="0" applyProtection="0"/>
    <xf numFmtId="0" fontId="21" fillId="21" borderId="0" applyNumberFormat="0" applyBorder="0" applyAlignment="0" applyProtection="0"/>
    <xf numFmtId="0" fontId="21" fillId="15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1" borderId="0" applyNumberFormat="0" applyBorder="0" applyAlignment="0" applyProtection="0"/>
    <xf numFmtId="0" fontId="22" fillId="6" borderId="0" applyNumberFormat="0" applyBorder="0" applyAlignment="0" applyProtection="0"/>
    <xf numFmtId="0" fontId="23" fillId="9" borderId="0" applyNumberFormat="0" applyBorder="0" applyAlignment="0" applyProtection="0"/>
    <xf numFmtId="0" fontId="24" fillId="25" borderId="20" applyNumberFormat="0" applyAlignment="0" applyProtection="0"/>
    <xf numFmtId="0" fontId="24" fillId="25" borderId="20" applyNumberFormat="0" applyAlignment="0" applyProtection="0"/>
    <xf numFmtId="0" fontId="24" fillId="25" borderId="20" applyNumberFormat="0" applyAlignment="0" applyProtection="0"/>
    <xf numFmtId="0" fontId="25" fillId="26" borderId="20" applyNumberFormat="0" applyAlignment="0" applyProtection="0"/>
    <xf numFmtId="0" fontId="26" fillId="27" borderId="21" applyNumberFormat="0" applyAlignment="0" applyProtection="0"/>
    <xf numFmtId="0" fontId="27" fillId="0" borderId="22" applyNumberFormat="0" applyFill="0" applyAlignment="0" applyProtection="0"/>
    <xf numFmtId="0" fontId="26" fillId="27" borderId="21" applyNumberFormat="0" applyAlignment="0" applyProtection="0"/>
    <xf numFmtId="0" fontId="21" fillId="28" borderId="0" applyNumberFormat="0" applyBorder="0" applyAlignment="0" applyProtection="0"/>
    <xf numFmtId="0" fontId="21" fillId="21" borderId="0" applyNumberFormat="0" applyBorder="0" applyAlignment="0" applyProtection="0"/>
    <xf numFmtId="0" fontId="21" fillId="15" borderId="0" applyNumberFormat="0" applyBorder="0" applyAlignment="0" applyProtection="0"/>
    <xf numFmtId="0" fontId="21" fillId="29" borderId="0" applyNumberFormat="0" applyBorder="0" applyAlignment="0" applyProtection="0"/>
    <xf numFmtId="0" fontId="21" fillId="19" borderId="0" applyNumberFormat="0" applyBorder="0" applyAlignment="0" applyProtection="0"/>
    <xf numFmtId="0" fontId="21" fillId="23" borderId="0" applyNumberFormat="0" applyBorder="0" applyAlignment="0" applyProtection="0"/>
    <xf numFmtId="0" fontId="28" fillId="16" borderId="20" applyNumberFormat="0" applyAlignment="0" applyProtection="0"/>
    <xf numFmtId="0" fontId="28" fillId="16" borderId="20" applyNumberFormat="0" applyAlignment="0" applyProtection="0"/>
    <xf numFmtId="0" fontId="29" fillId="0" borderId="0" applyNumberFormat="0" applyFill="0" applyBorder="0" applyAlignment="0" applyProtection="0"/>
    <xf numFmtId="0" fontId="23" fillId="7" borderId="0" applyNumberFormat="0" applyBorder="0" applyAlignment="0" applyProtection="0"/>
    <xf numFmtId="0" fontId="30" fillId="0" borderId="23" applyNumberFormat="0" applyFill="0" applyAlignment="0" applyProtection="0"/>
    <xf numFmtId="0" fontId="31" fillId="0" borderId="24" applyNumberFormat="0" applyFill="0" applyAlignment="0" applyProtection="0"/>
    <xf numFmtId="0" fontId="32" fillId="0" borderId="25" applyNumberFormat="0" applyFill="0" applyAlignment="0" applyProtection="0"/>
    <xf numFmtId="0" fontId="32" fillId="0" borderId="0" applyNumberFormat="0" applyFill="0" applyBorder="0" applyAlignment="0" applyProtection="0"/>
    <xf numFmtId="0" fontId="22" fillId="8" borderId="0" applyNumberFormat="0" applyBorder="0" applyAlignment="0" applyProtection="0"/>
    <xf numFmtId="0" fontId="28" fillId="10" borderId="20" applyNumberFormat="0" applyAlignment="0" applyProtection="0"/>
    <xf numFmtId="0" fontId="28" fillId="10" borderId="20" applyNumberFormat="0" applyAlignment="0" applyProtection="0"/>
    <xf numFmtId="0" fontId="28" fillId="10" borderId="20" applyNumberFormat="0" applyAlignment="0" applyProtection="0"/>
    <xf numFmtId="0" fontId="33" fillId="0" borderId="26" applyNumberFormat="0" applyFill="0" applyAlignment="0" applyProtection="0"/>
    <xf numFmtId="0" fontId="34" fillId="16" borderId="0" applyNumberFormat="0" applyBorder="0" applyAlignment="0" applyProtection="0"/>
    <xf numFmtId="0" fontId="35" fillId="1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6" fillId="0" borderId="0"/>
    <xf numFmtId="0" fontId="2" fillId="13" borderId="27" applyNumberFormat="0" applyFont="0" applyAlignment="0" applyProtection="0"/>
    <xf numFmtId="0" fontId="2" fillId="13" borderId="27" applyNumberFormat="0" applyFont="0" applyAlignment="0" applyProtection="0"/>
    <xf numFmtId="0" fontId="2" fillId="13" borderId="27" applyNumberFormat="0" applyFont="0" applyAlignment="0" applyProtection="0"/>
    <xf numFmtId="0" fontId="2" fillId="13" borderId="27" applyNumberFormat="0" applyFont="0" applyAlignment="0" applyProtection="0"/>
    <xf numFmtId="0" fontId="2" fillId="13" borderId="27" applyNumberFormat="0" applyFont="0" applyAlignment="0" applyProtection="0"/>
    <xf numFmtId="0" fontId="6" fillId="13" borderId="27" applyNumberFormat="0" applyFont="0" applyAlignment="0" applyProtection="0"/>
    <xf numFmtId="0" fontId="6" fillId="13" borderId="27" applyNumberFormat="0" applyFont="0" applyAlignment="0" applyProtection="0"/>
    <xf numFmtId="0" fontId="37" fillId="25" borderId="28" applyNumberFormat="0" applyAlignment="0" applyProtection="0"/>
    <xf numFmtId="0" fontId="37" fillId="25" borderId="28" applyNumberFormat="0" applyAlignment="0" applyProtection="0"/>
    <xf numFmtId="0" fontId="37" fillId="26" borderId="28" applyNumberFormat="0" applyAlignment="0" applyProtection="0"/>
    <xf numFmtId="0" fontId="37" fillId="26" borderId="28" applyNumberFormat="0" applyAlignment="0" applyProtection="0"/>
    <xf numFmtId="0" fontId="37" fillId="26" borderId="28" applyNumberFormat="0" applyAlignment="0" applyProtection="0"/>
    <xf numFmtId="0" fontId="27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29" applyNumberFormat="0" applyFill="0" applyAlignment="0" applyProtection="0"/>
    <xf numFmtId="0" fontId="40" fillId="0" borderId="30" applyNumberFormat="0" applyFill="0" applyAlignment="0" applyProtection="0"/>
    <xf numFmtId="0" fontId="41" fillId="0" borderId="31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32" applyNumberFormat="0" applyFill="0" applyAlignment="0" applyProtection="0"/>
    <xf numFmtId="0" fontId="43" fillId="0" borderId="32" applyNumberFormat="0" applyFill="0" applyAlignment="0" applyProtection="0"/>
    <xf numFmtId="0" fontId="27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50" fillId="3" borderId="33">
      <alignment horizontal="center"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75" fillId="0" borderId="0"/>
  </cellStyleXfs>
  <cellXfs count="919">
    <xf numFmtId="0" fontId="0" fillId="0" borderId="0" xfId="0"/>
    <xf numFmtId="0" fontId="3" fillId="0" borderId="0" xfId="3" applyFont="1" applyFill="1" applyAlignment="1">
      <alignment vertical="center"/>
    </xf>
    <xf numFmtId="0" fontId="12" fillId="0" borderId="0" xfId="1284" applyFont="1" applyFill="1" applyAlignment="1">
      <alignment vertical="center"/>
    </xf>
    <xf numFmtId="0" fontId="11" fillId="0" borderId="0" xfId="1360" applyFont="1" applyFill="1" applyAlignment="1">
      <alignment vertical="center"/>
    </xf>
    <xf numFmtId="0" fontId="14" fillId="0" borderId="0" xfId="1360" applyFont="1" applyFill="1" applyAlignment="1">
      <alignment vertical="center"/>
    </xf>
    <xf numFmtId="2" fontId="14" fillId="0" borderId="0" xfId="1284" applyNumberFormat="1" applyFont="1" applyFill="1" applyAlignment="1">
      <alignment vertical="center"/>
    </xf>
    <xf numFmtId="2" fontId="14" fillId="0" borderId="0" xfId="1360" applyNumberFormat="1" applyFont="1" applyFill="1" applyAlignment="1">
      <alignment vertical="center"/>
    </xf>
    <xf numFmtId="49" fontId="15" fillId="0" borderId="0" xfId="1416" applyNumberFormat="1" applyFont="1" applyFill="1" applyAlignment="1">
      <alignment vertical="center"/>
    </xf>
    <xf numFmtId="0" fontId="12" fillId="0" borderId="0" xfId="1416" applyFont="1" applyFill="1" applyAlignment="1">
      <alignment vertical="center"/>
    </xf>
    <xf numFmtId="0" fontId="14" fillId="0" borderId="0" xfId="1416" applyFont="1" applyFill="1" applyAlignment="1">
      <alignment vertical="center"/>
    </xf>
    <xf numFmtId="0" fontId="11" fillId="0" borderId="0" xfId="1284" applyFont="1" applyFill="1" applyAlignment="1">
      <alignment vertical="center"/>
    </xf>
    <xf numFmtId="0" fontId="11" fillId="0" borderId="0" xfId="1284" applyFont="1" applyFill="1" applyAlignment="1">
      <alignment horizontal="left" vertical="center"/>
    </xf>
    <xf numFmtId="2" fontId="14" fillId="0" borderId="0" xfId="0" applyNumberFormat="1" applyFont="1" applyFill="1"/>
    <xf numFmtId="0" fontId="14" fillId="0" borderId="0" xfId="0" applyFont="1" applyFill="1" applyAlignment="1">
      <alignment horizontal="left" vertical="center"/>
    </xf>
    <xf numFmtId="0" fontId="14" fillId="0" borderId="0" xfId="0" applyFont="1" applyFill="1" applyAlignment="1">
      <alignment vertical="center"/>
    </xf>
    <xf numFmtId="0" fontId="11" fillId="0" borderId="0" xfId="1277" applyFont="1" applyFill="1" applyAlignment="1">
      <alignment vertical="center"/>
    </xf>
    <xf numFmtId="0" fontId="12" fillId="0" borderId="0" xfId="1360" applyFont="1" applyFill="1" applyAlignment="1">
      <alignment horizontal="center" vertical="center"/>
    </xf>
    <xf numFmtId="0" fontId="2" fillId="0" borderId="0" xfId="1277" applyFill="1"/>
    <xf numFmtId="49" fontId="15" fillId="0" borderId="0" xfId="1277" applyNumberFormat="1" applyFont="1" applyFill="1" applyAlignment="1">
      <alignment vertical="center"/>
    </xf>
    <xf numFmtId="0" fontId="17" fillId="0" borderId="0" xfId="1360" applyFont="1" applyFill="1" applyAlignment="1">
      <alignment vertical="center"/>
    </xf>
    <xf numFmtId="0" fontId="2" fillId="0" borderId="0" xfId="1284" applyFill="1" applyAlignment="1">
      <alignment vertical="center"/>
    </xf>
    <xf numFmtId="2" fontId="11" fillId="0" borderId="0" xfId="1360" applyNumberFormat="1" applyFont="1" applyFill="1" applyAlignment="1">
      <alignment vertical="center"/>
    </xf>
    <xf numFmtId="0" fontId="16" fillId="0" borderId="0" xfId="1360" applyFont="1" applyFill="1" applyAlignment="1">
      <alignment vertical="center"/>
    </xf>
    <xf numFmtId="0" fontId="2" fillId="0" borderId="0" xfId="1284" applyFont="1" applyFill="1" applyAlignment="1">
      <alignment vertical="center"/>
    </xf>
    <xf numFmtId="0" fontId="10" fillId="0" borderId="0" xfId="3" applyFont="1" applyFill="1"/>
    <xf numFmtId="43" fontId="10" fillId="0" borderId="0" xfId="3" applyNumberFormat="1" applyFont="1" applyFill="1"/>
    <xf numFmtId="10" fontId="18" fillId="0" borderId="8" xfId="3" quotePrefix="1" applyNumberFormat="1" applyFont="1" applyFill="1" applyBorder="1" applyAlignment="1">
      <alignment horizontal="center"/>
    </xf>
    <xf numFmtId="176" fontId="18" fillId="0" borderId="8" xfId="16" applyNumberFormat="1" applyFont="1" applyFill="1" applyBorder="1" applyAlignment="1">
      <alignment horizontal="center" vertical="center"/>
    </xf>
    <xf numFmtId="10" fontId="18" fillId="0" borderId="8" xfId="3" applyNumberFormat="1" applyFont="1" applyFill="1" applyBorder="1" applyAlignment="1">
      <alignment horizontal="center" vertical="center"/>
    </xf>
    <xf numFmtId="169" fontId="18" fillId="0" borderId="16" xfId="16" quotePrefix="1" applyFont="1" applyFill="1" applyBorder="1" applyAlignment="1">
      <alignment horizontal="center" vertical="center"/>
    </xf>
    <xf numFmtId="10" fontId="18" fillId="0" borderId="16" xfId="3" quotePrefix="1" applyNumberFormat="1" applyFont="1" applyFill="1" applyBorder="1" applyAlignment="1">
      <alignment horizontal="center" vertical="center"/>
    </xf>
    <xf numFmtId="4" fontId="18" fillId="0" borderId="3" xfId="3" applyNumberFormat="1" applyFont="1" applyFill="1" applyBorder="1" applyAlignment="1">
      <alignment horizontal="center" vertical="center"/>
    </xf>
    <xf numFmtId="4" fontId="18" fillId="0" borderId="0" xfId="3" applyNumberFormat="1" applyFont="1" applyFill="1" applyBorder="1" applyAlignment="1">
      <alignment horizontal="center" vertical="center"/>
    </xf>
    <xf numFmtId="0" fontId="10" fillId="0" borderId="0" xfId="3" applyFont="1" applyFill="1" applyAlignment="1">
      <alignment vertical="center"/>
    </xf>
    <xf numFmtId="177" fontId="10" fillId="0" borderId="0" xfId="3" applyNumberFormat="1" applyFont="1" applyFill="1" applyAlignment="1">
      <alignment vertical="center"/>
    </xf>
    <xf numFmtId="169" fontId="10" fillId="0" borderId="13" xfId="16" applyFont="1" applyFill="1" applyBorder="1" applyAlignment="1">
      <alignment vertical="center"/>
    </xf>
    <xf numFmtId="0" fontId="10" fillId="0" borderId="13" xfId="3" applyFont="1" applyFill="1" applyBorder="1" applyAlignment="1">
      <alignment vertical="center"/>
    </xf>
    <xf numFmtId="0" fontId="10" fillId="0" borderId="0" xfId="3" applyFont="1" applyFill="1" applyAlignment="1">
      <alignment horizontal="center"/>
    </xf>
    <xf numFmtId="4" fontId="10" fillId="0" borderId="0" xfId="3" applyNumberFormat="1" applyFont="1" applyFill="1"/>
    <xf numFmtId="0" fontId="3" fillId="0" borderId="0" xfId="3" applyFont="1" applyFill="1" applyAlignment="1">
      <alignment horizontal="center" vertical="center"/>
    </xf>
    <xf numFmtId="4" fontId="20" fillId="0" borderId="0" xfId="3" applyNumberFormat="1" applyFont="1" applyFill="1" applyAlignment="1">
      <alignment horizontal="center" vertical="center"/>
    </xf>
    <xf numFmtId="2" fontId="10" fillId="0" borderId="0" xfId="3" applyNumberFormat="1" applyFont="1" applyFill="1"/>
    <xf numFmtId="0" fontId="11" fillId="0" borderId="0" xfId="0" applyFont="1" applyFill="1" applyAlignment="1">
      <alignment horizontal="center" vertical="center" wrapText="1"/>
    </xf>
    <xf numFmtId="49" fontId="15" fillId="0" borderId="0" xfId="0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3" fillId="0" borderId="0" xfId="2" applyFont="1" applyProtection="1">
      <protection locked="0"/>
    </xf>
    <xf numFmtId="0" fontId="3" fillId="0" borderId="0" xfId="2" applyFont="1" applyFill="1" applyProtection="1">
      <protection locked="0"/>
    </xf>
    <xf numFmtId="1" fontId="3" fillId="0" borderId="36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36" xfId="2" applyFont="1" applyFill="1" applyBorder="1" applyAlignment="1" applyProtection="1">
      <alignment horizontal="justify" vertical="center" wrapText="1"/>
      <protection locked="0"/>
    </xf>
    <xf numFmtId="0" fontId="3" fillId="0" borderId="36" xfId="2" applyFont="1" applyFill="1" applyBorder="1" applyAlignment="1" applyProtection="1">
      <alignment horizontal="center" vertical="center" wrapText="1"/>
      <protection locked="0"/>
    </xf>
    <xf numFmtId="4" fontId="3" fillId="0" borderId="36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/>
    <xf numFmtId="1" fontId="3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3" fillId="0" borderId="5" xfId="2" applyFont="1" applyFill="1" applyBorder="1" applyAlignment="1" applyProtection="1">
      <alignment horizontal="center" vertical="center" wrapText="1"/>
      <protection locked="0"/>
    </xf>
    <xf numFmtId="4" fontId="3" fillId="0" borderId="5" xfId="2" applyNumberFormat="1" applyFont="1" applyFill="1" applyBorder="1" applyAlignment="1" applyProtection="1">
      <alignment horizontal="center" vertical="center" wrapText="1"/>
      <protection locked="0"/>
    </xf>
    <xf numFmtId="165" fontId="46" fillId="0" borderId="3" xfId="2414" quotePrefix="1" applyNumberFormat="1" applyFont="1" applyFill="1" applyBorder="1" applyAlignment="1" applyProtection="1">
      <alignment horizontal="right" vertical="center" wrapText="1"/>
      <protection locked="0"/>
    </xf>
    <xf numFmtId="4" fontId="3" fillId="0" borderId="5" xfId="2" applyNumberFormat="1" applyFont="1" applyFill="1" applyBorder="1" applyAlignment="1" applyProtection="1">
      <alignment horizontal="right" vertical="center"/>
      <protection locked="0"/>
    </xf>
    <xf numFmtId="0" fontId="3" fillId="0" borderId="5" xfId="3" applyFont="1" applyFill="1" applyBorder="1" applyAlignment="1">
      <alignment horizontal="justify" vertical="center" wrapText="1"/>
    </xf>
    <xf numFmtId="0" fontId="3" fillId="0" borderId="5" xfId="3" applyFont="1" applyFill="1" applyBorder="1" applyAlignment="1">
      <alignment horizontal="center" vertical="center"/>
    </xf>
    <xf numFmtId="4" fontId="3" fillId="0" borderId="4" xfId="3" applyNumberFormat="1" applyFont="1" applyFill="1" applyBorder="1" applyAlignment="1">
      <alignment vertical="center"/>
    </xf>
    <xf numFmtId="4" fontId="3" fillId="0" borderId="0" xfId="3" applyNumberFormat="1" applyFont="1" applyFill="1" applyProtection="1">
      <protection locked="0"/>
    </xf>
    <xf numFmtId="1" fontId="3" fillId="0" borderId="5" xfId="2" applyNumberFormat="1" applyFont="1" applyFill="1" applyBorder="1" applyAlignment="1">
      <alignment horizontal="center" vertical="center"/>
    </xf>
    <xf numFmtId="0" fontId="20" fillId="0" borderId="5" xfId="2" applyFont="1" applyFill="1" applyBorder="1" applyAlignment="1">
      <alignment horizontal="center" vertical="center" wrapText="1"/>
    </xf>
    <xf numFmtId="0" fontId="20" fillId="0" borderId="5" xfId="2" applyFont="1" applyFill="1" applyBorder="1" applyAlignment="1">
      <alignment horizontal="center" vertical="center"/>
    </xf>
    <xf numFmtId="0" fontId="3" fillId="0" borderId="0" xfId="3" applyFont="1" applyFill="1"/>
    <xf numFmtId="4" fontId="3" fillId="0" borderId="5" xfId="3" applyNumberFormat="1" applyFont="1" applyFill="1" applyBorder="1" applyAlignment="1" applyProtection="1">
      <alignment vertical="center"/>
      <protection locked="0"/>
    </xf>
    <xf numFmtId="4" fontId="3" fillId="0" borderId="4" xfId="3" applyNumberFormat="1" applyFont="1" applyFill="1" applyBorder="1" applyAlignment="1" applyProtection="1">
      <alignment vertical="center"/>
      <protection locked="0"/>
    </xf>
    <xf numFmtId="165" fontId="3" fillId="0" borderId="0" xfId="4" applyFont="1" applyFill="1" applyProtection="1">
      <protection locked="0"/>
    </xf>
    <xf numFmtId="1" fontId="3" fillId="0" borderId="3" xfId="3" applyNumberFormat="1" applyFont="1" applyFill="1" applyBorder="1" applyAlignment="1">
      <alignment horizontal="center" vertical="center"/>
    </xf>
    <xf numFmtId="4" fontId="20" fillId="0" borderId="5" xfId="3" applyNumberFormat="1" applyFont="1" applyFill="1" applyBorder="1" applyAlignment="1" applyProtection="1">
      <alignment vertical="center"/>
      <protection locked="0"/>
    </xf>
    <xf numFmtId="4" fontId="20" fillId="0" borderId="4" xfId="3" applyNumberFormat="1" applyFont="1" applyFill="1" applyBorder="1" applyAlignment="1" applyProtection="1">
      <alignment vertical="center"/>
      <protection locked="0"/>
    </xf>
    <xf numFmtId="1" fontId="3" fillId="0" borderId="5" xfId="3" applyNumberFormat="1" applyFont="1" applyFill="1" applyBorder="1" applyAlignment="1">
      <alignment horizontal="center" vertical="center"/>
    </xf>
    <xf numFmtId="4" fontId="3" fillId="0" borderId="5" xfId="3" applyNumberFormat="1" applyFont="1" applyFill="1" applyBorder="1" applyAlignment="1">
      <alignment vertical="center"/>
    </xf>
    <xf numFmtId="0" fontId="20" fillId="0" borderId="5" xfId="3" applyFont="1" applyFill="1" applyBorder="1" applyAlignment="1">
      <alignment horizontal="center" vertical="center" wrapText="1"/>
    </xf>
    <xf numFmtId="0" fontId="20" fillId="0" borderId="5" xfId="3" applyFont="1" applyFill="1" applyBorder="1" applyAlignment="1">
      <alignment horizontal="center" vertical="center"/>
    </xf>
    <xf numFmtId="0" fontId="3" fillId="0" borderId="5" xfId="2" applyFont="1" applyFill="1" applyBorder="1" applyAlignment="1">
      <alignment vertical="center"/>
    </xf>
    <xf numFmtId="4" fontId="3" fillId="0" borderId="5" xfId="2" applyNumberFormat="1" applyFont="1" applyFill="1" applyBorder="1" applyAlignment="1">
      <alignment horizontal="right" vertical="center"/>
    </xf>
    <xf numFmtId="4" fontId="20" fillId="0" borderId="5" xfId="2" applyNumberFormat="1" applyFont="1" applyFill="1" applyBorder="1" applyAlignment="1">
      <alignment horizontal="right"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justify" vertical="center"/>
    </xf>
    <xf numFmtId="0" fontId="3" fillId="0" borderId="0" xfId="2" applyFont="1" applyAlignment="1">
      <alignment vertical="center"/>
    </xf>
    <xf numFmtId="4" fontId="3" fillId="0" borderId="0" xfId="2" applyNumberFormat="1" applyFont="1" applyAlignment="1" applyProtection="1">
      <alignment vertical="center"/>
      <protection locked="0"/>
    </xf>
    <xf numFmtId="0" fontId="3" fillId="0" borderId="5" xfId="2" applyFont="1" applyFill="1" applyBorder="1" applyAlignment="1" applyProtection="1">
      <alignment horizontal="justify" vertical="center" wrapText="1"/>
      <protection locked="0"/>
    </xf>
    <xf numFmtId="0" fontId="3" fillId="0" borderId="36" xfId="2" applyFont="1" applyFill="1" applyBorder="1" applyAlignment="1" applyProtection="1">
      <alignment horizontal="left" vertical="center" wrapText="1"/>
      <protection locked="0"/>
    </xf>
    <xf numFmtId="0" fontId="20" fillId="0" borderId="5" xfId="2" applyFont="1" applyFill="1" applyBorder="1" applyAlignment="1" applyProtection="1">
      <alignment horizontal="center" vertical="center" wrapText="1"/>
      <protection locked="0"/>
    </xf>
    <xf numFmtId="4" fontId="20" fillId="0" borderId="5" xfId="2" applyNumberFormat="1" applyFont="1" applyFill="1" applyBorder="1" applyAlignment="1" applyProtection="1">
      <alignment horizontal="center" vertical="center" wrapText="1"/>
      <protection locked="0"/>
    </xf>
    <xf numFmtId="1" fontId="20" fillId="0" borderId="5" xfId="2" applyNumberFormat="1" applyFont="1" applyFill="1" applyBorder="1" applyAlignment="1">
      <alignment horizontal="center" vertical="center"/>
    </xf>
    <xf numFmtId="0" fontId="20" fillId="0" borderId="5" xfId="2" applyFont="1" applyFill="1" applyBorder="1" applyAlignment="1">
      <alignment horizontal="justify" vertical="center" wrapText="1"/>
    </xf>
    <xf numFmtId="4" fontId="3" fillId="0" borderId="5" xfId="5" applyNumberFormat="1" applyFont="1" applyFill="1" applyBorder="1" applyAlignment="1" applyProtection="1">
      <alignment horizontal="right" vertical="center"/>
    </xf>
    <xf numFmtId="165" fontId="20" fillId="0" borderId="5" xfId="2414" quotePrefix="1" applyNumberFormat="1" applyFont="1" applyFill="1" applyBorder="1" applyAlignment="1" applyProtection="1">
      <alignment horizontal="right" vertical="center" wrapText="1"/>
    </xf>
    <xf numFmtId="0" fontId="45" fillId="0" borderId="5" xfId="3" applyFont="1" applyFill="1" applyBorder="1" applyAlignment="1">
      <alignment horizontal="right" vertical="center" wrapText="1"/>
    </xf>
    <xf numFmtId="169" fontId="10" fillId="0" borderId="33" xfId="16" applyFont="1" applyFill="1" applyBorder="1" applyAlignment="1">
      <alignment horizontal="center" vertical="center"/>
    </xf>
    <xf numFmtId="4" fontId="10" fillId="0" borderId="41" xfId="2229" applyNumberFormat="1" applyFont="1" applyFill="1" applyBorder="1" applyAlignment="1">
      <alignment horizontal="center" vertical="center"/>
    </xf>
    <xf numFmtId="4" fontId="10" fillId="0" borderId="42" xfId="2229" applyNumberFormat="1" applyFont="1" applyFill="1" applyBorder="1" applyAlignment="1">
      <alignment horizontal="center" vertical="center"/>
    </xf>
    <xf numFmtId="4" fontId="10" fillId="0" borderId="43" xfId="2229" applyNumberFormat="1" applyFont="1" applyFill="1" applyBorder="1" applyAlignment="1">
      <alignment horizontal="center" vertical="center"/>
    </xf>
    <xf numFmtId="10" fontId="10" fillId="0" borderId="33" xfId="3" applyNumberFormat="1" applyFont="1" applyFill="1" applyBorder="1" applyAlignment="1">
      <alignment horizontal="center" vertical="center"/>
    </xf>
    <xf numFmtId="10" fontId="10" fillId="0" borderId="33" xfId="2229" applyNumberFormat="1" applyFont="1" applyFill="1" applyBorder="1" applyAlignment="1">
      <alignment vertical="center"/>
    </xf>
    <xf numFmtId="169" fontId="10" fillId="0" borderId="33" xfId="16" applyFont="1" applyFill="1" applyBorder="1" applyAlignment="1">
      <alignment vertical="center"/>
    </xf>
    <xf numFmtId="0" fontId="10" fillId="0" borderId="33" xfId="3" applyFont="1" applyFill="1" applyBorder="1" applyAlignment="1">
      <alignment vertical="center"/>
    </xf>
    <xf numFmtId="4" fontId="20" fillId="4" borderId="0" xfId="3" applyNumberFormat="1" applyFont="1" applyFill="1" applyAlignment="1">
      <alignment horizontal="center" vertical="center"/>
    </xf>
    <xf numFmtId="10" fontId="10" fillId="0" borderId="0" xfId="3" applyNumberFormat="1" applyFont="1" applyFill="1"/>
    <xf numFmtId="179" fontId="10" fillId="0" borderId="0" xfId="3" applyNumberFormat="1" applyFont="1" applyFill="1"/>
    <xf numFmtId="174" fontId="10" fillId="0" borderId="0" xfId="3" applyNumberFormat="1" applyFont="1" applyFill="1"/>
    <xf numFmtId="175" fontId="3" fillId="0" borderId="0" xfId="3" applyNumberFormat="1" applyFont="1" applyFill="1" applyAlignment="1">
      <alignment vertical="center"/>
    </xf>
    <xf numFmtId="0" fontId="10" fillId="0" borderId="34" xfId="3" applyFont="1" applyFill="1" applyBorder="1" applyAlignment="1">
      <alignment horizontal="center" vertical="center"/>
    </xf>
    <xf numFmtId="169" fontId="18" fillId="0" borderId="8" xfId="16" quotePrefix="1" applyFont="1" applyFill="1" applyBorder="1" applyAlignment="1">
      <alignment horizontal="center" vertical="center"/>
    </xf>
    <xf numFmtId="165" fontId="3" fillId="0" borderId="36" xfId="2442" quotePrefix="1" applyFont="1" applyFill="1" applyBorder="1" applyAlignment="1" applyProtection="1">
      <alignment horizontal="right" vertical="center" wrapText="1"/>
      <protection locked="0"/>
    </xf>
    <xf numFmtId="1" fontId="3" fillId="0" borderId="5" xfId="2" applyNumberFormat="1" applyFont="1" applyFill="1" applyBorder="1" applyAlignment="1">
      <alignment horizontal="center" vertical="center" wrapText="1"/>
    </xf>
    <xf numFmtId="1" fontId="3" fillId="0" borderId="5" xfId="2" applyNumberFormat="1" applyFont="1" applyFill="1" applyBorder="1" applyAlignment="1">
      <alignment horizontal="justify" vertical="center" wrapText="1"/>
    </xf>
    <xf numFmtId="165" fontId="3" fillId="0" borderId="5" xfId="2442" quotePrefix="1" applyFont="1" applyFill="1" applyBorder="1" applyAlignment="1" applyProtection="1">
      <alignment horizontal="right" vertical="center" wrapText="1"/>
    </xf>
    <xf numFmtId="165" fontId="3" fillId="0" borderId="5" xfId="2442" quotePrefix="1" applyFont="1" applyFill="1" applyBorder="1" applyAlignment="1" applyProtection="1">
      <alignment horizontal="right" vertical="center" wrapText="1"/>
      <protection locked="0"/>
    </xf>
    <xf numFmtId="1" fontId="3" fillId="0" borderId="44" xfId="2" applyNumberFormat="1" applyFont="1" applyFill="1" applyBorder="1" applyAlignment="1">
      <alignment horizontal="center" vertical="center"/>
    </xf>
    <xf numFmtId="0" fontId="3" fillId="0" borderId="44" xfId="2" applyFont="1" applyFill="1" applyBorder="1" applyAlignment="1">
      <alignment horizontal="justify" vertical="center" wrapText="1"/>
    </xf>
    <xf numFmtId="0" fontId="3" fillId="0" borderId="44" xfId="2" applyFont="1" applyFill="1" applyBorder="1" applyAlignment="1">
      <alignment horizontal="center" vertical="center"/>
    </xf>
    <xf numFmtId="4" fontId="3" fillId="0" borderId="44" xfId="2" applyNumberFormat="1" applyFont="1" applyFill="1" applyBorder="1" applyAlignment="1" applyProtection="1">
      <alignment vertical="center"/>
      <protection locked="0"/>
    </xf>
    <xf numFmtId="4" fontId="3" fillId="0" borderId="44" xfId="2" applyNumberFormat="1" applyFont="1" applyFill="1" applyBorder="1" applyAlignment="1">
      <alignment vertical="center"/>
    </xf>
    <xf numFmtId="165" fontId="3" fillId="0" borderId="44" xfId="2414" applyNumberFormat="1" applyFont="1" applyFill="1" applyBorder="1" applyAlignment="1">
      <alignment horizontal="right" vertical="center"/>
    </xf>
    <xf numFmtId="0" fontId="45" fillId="0" borderId="5" xfId="3" applyFont="1" applyFill="1" applyBorder="1" applyAlignment="1">
      <alignment horizontal="center" vertical="center" wrapText="1"/>
    </xf>
    <xf numFmtId="10" fontId="3" fillId="0" borderId="4" xfId="2558" applyNumberFormat="1" applyFont="1" applyFill="1" applyBorder="1" applyAlignment="1">
      <alignment horizontal="right" vertical="center"/>
    </xf>
    <xf numFmtId="4" fontId="3" fillId="0" borderId="5" xfId="3" applyNumberFormat="1" applyFont="1" applyFill="1" applyBorder="1" applyAlignment="1">
      <alignment horizontal="right" vertical="center"/>
    </xf>
    <xf numFmtId="180" fontId="3" fillId="0" borderId="4" xfId="2558" applyNumberFormat="1" applyFont="1" applyFill="1" applyBorder="1" applyAlignment="1">
      <alignment horizontal="right" vertical="center"/>
    </xf>
    <xf numFmtId="0" fontId="44" fillId="0" borderId="5" xfId="3" applyFont="1" applyFill="1" applyBorder="1" applyAlignment="1">
      <alignment horizontal="center" vertical="center" wrapText="1"/>
    </xf>
    <xf numFmtId="4" fontId="20" fillId="0" borderId="5" xfId="3" applyNumberFormat="1" applyFont="1" applyFill="1" applyBorder="1" applyAlignment="1">
      <alignment horizontal="right" vertical="center"/>
    </xf>
    <xf numFmtId="49" fontId="49" fillId="0" borderId="5" xfId="2" applyNumberFormat="1" applyFont="1" applyFill="1" applyBorder="1" applyAlignment="1">
      <alignment horizontal="center" vertical="center"/>
    </xf>
    <xf numFmtId="4" fontId="49" fillId="0" borderId="5" xfId="2" applyNumberFormat="1" applyFont="1" applyFill="1" applyBorder="1" applyAlignment="1">
      <alignment horizontal="center" vertical="center"/>
    </xf>
    <xf numFmtId="4" fontId="46" fillId="0" borderId="5" xfId="2" applyNumberFormat="1" applyFont="1" applyFill="1" applyBorder="1" applyAlignment="1">
      <alignment horizontal="center" vertical="center"/>
    </xf>
    <xf numFmtId="0" fontId="46" fillId="0" borderId="5" xfId="2" applyFont="1" applyFill="1" applyBorder="1" applyAlignment="1">
      <alignment horizontal="center" vertical="center"/>
    </xf>
    <xf numFmtId="4" fontId="3" fillId="0" borderId="3" xfId="3" applyNumberFormat="1" applyFont="1" applyFill="1" applyBorder="1" applyAlignment="1">
      <alignment vertical="center"/>
    </xf>
    <xf numFmtId="0" fontId="3" fillId="0" borderId="3" xfId="3" applyFont="1" applyFill="1" applyBorder="1" applyAlignment="1">
      <alignment horizontal="center" vertical="center"/>
    </xf>
    <xf numFmtId="0" fontId="20" fillId="0" borderId="5" xfId="2" applyFont="1" applyFill="1" applyBorder="1" applyAlignment="1">
      <alignment horizontal="right" vertical="center"/>
    </xf>
    <xf numFmtId="0" fontId="3" fillId="0" borderId="44" xfId="2" applyFont="1" applyFill="1" applyBorder="1" applyAlignment="1">
      <alignment horizontal="justify" vertical="center"/>
    </xf>
    <xf numFmtId="0" fontId="3" fillId="0" borderId="44" xfId="2" applyFont="1" applyFill="1" applyBorder="1" applyAlignment="1">
      <alignment horizontal="right" vertical="center"/>
    </xf>
    <xf numFmtId="0" fontId="3" fillId="0" borderId="44" xfId="2" applyFont="1" applyFill="1" applyBorder="1" applyAlignment="1">
      <alignment vertical="center"/>
    </xf>
    <xf numFmtId="4" fontId="3" fillId="0" borderId="44" xfId="2" applyNumberFormat="1" applyFont="1" applyFill="1" applyBorder="1" applyAlignment="1">
      <alignment horizontal="right" vertical="center"/>
    </xf>
    <xf numFmtId="1" fontId="51" fillId="0" borderId="5" xfId="2" applyNumberFormat="1" applyFont="1" applyFill="1" applyBorder="1" applyAlignment="1" applyProtection="1">
      <alignment horizontal="center" vertical="center" wrapText="1"/>
      <protection locked="0"/>
    </xf>
    <xf numFmtId="1" fontId="52" fillId="0" borderId="5" xfId="2" applyNumberFormat="1" applyFont="1" applyFill="1" applyBorder="1" applyAlignment="1" applyProtection="1">
      <alignment horizontal="center" vertical="center" wrapText="1"/>
      <protection locked="0"/>
    </xf>
    <xf numFmtId="1" fontId="10" fillId="0" borderId="33" xfId="3" applyNumberFormat="1" applyFont="1" applyFill="1" applyBorder="1" applyAlignment="1">
      <alignment horizontal="center" vertical="center" wrapText="1"/>
    </xf>
    <xf numFmtId="1" fontId="10" fillId="0" borderId="33" xfId="3" applyNumberFormat="1" applyFont="1" applyFill="1" applyBorder="1" applyAlignment="1">
      <alignment horizontal="justify" vertical="center" wrapText="1"/>
    </xf>
    <xf numFmtId="175" fontId="3" fillId="0" borderId="0" xfId="3" applyNumberFormat="1" applyFont="1" applyFill="1" applyAlignment="1" applyProtection="1">
      <alignment horizontal="center" vertical="center" wrapText="1"/>
      <protection locked="0"/>
    </xf>
    <xf numFmtId="175" fontId="3" fillId="0" borderId="0" xfId="3" quotePrefix="1" applyNumberFormat="1" applyFont="1" applyFill="1" applyAlignment="1" applyProtection="1">
      <alignment horizontal="center" vertical="center" wrapText="1"/>
      <protection locked="0"/>
    </xf>
    <xf numFmtId="0" fontId="15" fillId="0" borderId="0" xfId="1416" applyFont="1" applyFill="1" applyAlignment="1">
      <alignment vertical="center"/>
    </xf>
    <xf numFmtId="0" fontId="14" fillId="0" borderId="0" xfId="0" applyFont="1" applyFill="1"/>
    <xf numFmtId="0" fontId="14" fillId="0" borderId="0" xfId="1277" applyFont="1" applyFill="1" applyAlignment="1">
      <alignment horizontal="left" vertical="center"/>
    </xf>
    <xf numFmtId="0" fontId="14" fillId="0" borderId="0" xfId="1360" applyFont="1" applyFill="1"/>
    <xf numFmtId="4" fontId="14" fillId="0" borderId="0" xfId="1416" applyNumberFormat="1" applyFont="1" applyFill="1"/>
    <xf numFmtId="4" fontId="14" fillId="0" borderId="0" xfId="0" applyNumberFormat="1" applyFont="1" applyFill="1"/>
    <xf numFmtId="0" fontId="11" fillId="0" borderId="0" xfId="1277" applyFont="1" applyFill="1" applyAlignment="1">
      <alignment horizontal="left" vertical="center"/>
    </xf>
    <xf numFmtId="2" fontId="14" fillId="0" borderId="0" xfId="1277" applyNumberFormat="1" applyFont="1" applyFill="1" applyAlignment="1">
      <alignment horizontal="right" vertical="center"/>
    </xf>
    <xf numFmtId="0" fontId="2" fillId="0" borderId="0" xfId="1277" applyFill="1" applyAlignment="1">
      <alignment horizontal="left" vertical="center"/>
    </xf>
    <xf numFmtId="0" fontId="2" fillId="0" borderId="0" xfId="1277" applyFill="1" applyAlignment="1">
      <alignment horizontal="right" vertical="center"/>
    </xf>
    <xf numFmtId="0" fontId="11" fillId="0" borderId="0" xfId="1416" applyNumberFormat="1" applyFont="1" applyFill="1" applyAlignment="1">
      <alignment horizontal="center" vertical="center" wrapText="1"/>
    </xf>
    <xf numFmtId="4" fontId="11" fillId="0" borderId="0" xfId="1277" applyNumberFormat="1" applyFont="1" applyFill="1" applyAlignment="1">
      <alignment horizontal="right" vertical="center"/>
    </xf>
    <xf numFmtId="4" fontId="11" fillId="0" borderId="0" xfId="1284" applyNumberFormat="1" applyFont="1" applyFill="1" applyAlignment="1">
      <alignment vertical="center"/>
    </xf>
    <xf numFmtId="4" fontId="11" fillId="0" borderId="0" xfId="1284" applyNumberFormat="1" applyFont="1" applyFill="1" applyAlignment="1">
      <alignment horizontal="left" vertical="center"/>
    </xf>
    <xf numFmtId="0" fontId="14" fillId="0" borderId="0" xfId="1360" applyFont="1" applyFill="1" applyAlignment="1">
      <alignment wrapText="1"/>
    </xf>
    <xf numFmtId="1" fontId="14" fillId="0" borderId="0" xfId="1277" applyNumberFormat="1" applyFont="1" applyFill="1" applyAlignment="1">
      <alignment horizontal="right" vertical="center"/>
    </xf>
    <xf numFmtId="4" fontId="3" fillId="0" borderId="5" xfId="3" applyNumberFormat="1" applyFont="1" applyFill="1" applyBorder="1" applyAlignment="1">
      <alignment horizontal="center" vertical="center"/>
    </xf>
    <xf numFmtId="1" fontId="14" fillId="0" borderId="0" xfId="0" applyNumberFormat="1" applyFont="1" applyFill="1"/>
    <xf numFmtId="0" fontId="14" fillId="0" borderId="0" xfId="0" applyFont="1" applyFill="1" applyAlignment="1">
      <alignment horizontal="center" vertical="center" wrapText="1"/>
    </xf>
    <xf numFmtId="4" fontId="14" fillId="0" borderId="0" xfId="1416" applyNumberFormat="1" applyFont="1" applyFill="1" applyAlignment="1">
      <alignment horizontal="left" vertical="center"/>
    </xf>
    <xf numFmtId="2" fontId="16" fillId="0" borderId="0" xfId="1416" applyNumberFormat="1" applyFont="1" applyFill="1" applyAlignment="1">
      <alignment horizontal="center" vertical="center"/>
    </xf>
    <xf numFmtId="0" fontId="16" fillId="0" borderId="0" xfId="0" applyFont="1" applyFill="1" applyAlignment="1">
      <alignment vertical="center"/>
    </xf>
    <xf numFmtId="0" fontId="54" fillId="0" borderId="0" xfId="0" applyFont="1" applyFill="1"/>
    <xf numFmtId="0" fontId="55" fillId="0" borderId="0" xfId="0" applyFont="1" applyFill="1" applyAlignment="1">
      <alignment vertical="center"/>
    </xf>
    <xf numFmtId="4" fontId="11" fillId="0" borderId="0" xfId="1416" applyNumberFormat="1" applyFont="1" applyFill="1" applyAlignment="1">
      <alignment horizontal="left" vertical="center"/>
    </xf>
    <xf numFmtId="0" fontId="11" fillId="0" borderId="0" xfId="1277" applyFont="1" applyFill="1" applyBorder="1" applyAlignment="1">
      <alignment horizontal="center" vertical="center" wrapText="1"/>
    </xf>
    <xf numFmtId="0" fontId="15" fillId="0" borderId="0" xfId="1277" applyFont="1" applyFill="1" applyAlignment="1">
      <alignment vertical="center"/>
    </xf>
    <xf numFmtId="0" fontId="12" fillId="0" borderId="0" xfId="1277" applyFont="1" applyFill="1" applyAlignment="1">
      <alignment vertical="center"/>
    </xf>
    <xf numFmtId="1" fontId="11" fillId="0" borderId="0" xfId="1284" applyNumberFormat="1" applyFont="1" applyFill="1" applyAlignment="1">
      <alignment vertical="center"/>
    </xf>
    <xf numFmtId="178" fontId="3" fillId="0" borderId="0" xfId="2" applyNumberFormat="1" applyFont="1" applyAlignment="1">
      <alignment vertical="center"/>
    </xf>
    <xf numFmtId="4" fontId="10" fillId="0" borderId="35" xfId="2229" applyNumberFormat="1" applyFont="1" applyFill="1" applyBorder="1" applyAlignment="1">
      <alignment horizontal="center" vertical="center"/>
    </xf>
    <xf numFmtId="4" fontId="10" fillId="0" borderId="45" xfId="2229" applyNumberFormat="1" applyFont="1" applyFill="1" applyBorder="1" applyAlignment="1">
      <alignment horizontal="center" vertical="center"/>
    </xf>
    <xf numFmtId="0" fontId="3" fillId="0" borderId="0" xfId="2" applyFont="1" applyFill="1" applyAlignment="1" applyProtection="1">
      <alignment wrapText="1"/>
      <protection locked="0"/>
    </xf>
    <xf numFmtId="0" fontId="11" fillId="0" borderId="0" xfId="1416" applyFont="1" applyFill="1" applyBorder="1" applyAlignment="1">
      <alignment horizontal="right" vertical="center"/>
    </xf>
    <xf numFmtId="0" fontId="11" fillId="0" borderId="0" xfId="1416" applyFont="1" applyFill="1" applyBorder="1" applyAlignment="1">
      <alignment horizontal="center" vertical="center"/>
    </xf>
    <xf numFmtId="17" fontId="11" fillId="0" borderId="0" xfId="1416" applyNumberFormat="1" applyFont="1" applyFill="1" applyBorder="1" applyAlignment="1">
      <alignment horizontal="center" vertical="center"/>
    </xf>
    <xf numFmtId="0" fontId="11" fillId="0" borderId="0" xfId="1416" applyFont="1" applyFill="1" applyBorder="1" applyAlignment="1">
      <alignment horizontal="left" vertical="center"/>
    </xf>
    <xf numFmtId="0" fontId="11" fillId="0" borderId="0" xfId="1416" applyFont="1" applyFill="1" applyBorder="1" applyAlignment="1">
      <alignment vertical="center"/>
    </xf>
    <xf numFmtId="0" fontId="57" fillId="0" borderId="0" xfId="424" applyFont="1" applyFill="1" applyBorder="1" applyAlignment="1">
      <alignment horizontal="left" vertical="center" wrapText="1"/>
    </xf>
    <xf numFmtId="0" fontId="57" fillId="0" borderId="0" xfId="424" applyFont="1" applyFill="1" applyBorder="1" applyAlignment="1">
      <alignment horizontal="center" vertical="center" wrapText="1"/>
    </xf>
    <xf numFmtId="0" fontId="56" fillId="0" borderId="0" xfId="424" applyFont="1" applyFill="1" applyBorder="1" applyAlignment="1">
      <alignment vertical="center" wrapText="1"/>
    </xf>
    <xf numFmtId="0" fontId="58" fillId="0" borderId="0" xfId="424" applyFont="1" applyFill="1" applyBorder="1" applyAlignment="1">
      <alignment vertical="center"/>
    </xf>
    <xf numFmtId="0" fontId="58" fillId="0" borderId="0" xfId="424" applyFont="1" applyFill="1" applyBorder="1" applyAlignment="1">
      <alignment horizontal="center" vertical="center"/>
    </xf>
    <xf numFmtId="0" fontId="56" fillId="30" borderId="33" xfId="424" applyFont="1" applyFill="1" applyBorder="1" applyAlignment="1">
      <alignment horizontal="center" vertical="center"/>
    </xf>
    <xf numFmtId="0" fontId="56" fillId="30" borderId="33" xfId="424" applyFont="1" applyFill="1" applyBorder="1" applyAlignment="1">
      <alignment horizontal="center" vertical="center" wrapText="1"/>
    </xf>
    <xf numFmtId="1" fontId="58" fillId="0" borderId="33" xfId="2557" applyNumberFormat="1" applyFont="1" applyFill="1" applyBorder="1" applyAlignment="1">
      <alignment horizontal="center" vertical="center"/>
    </xf>
    <xf numFmtId="0" fontId="14" fillId="0" borderId="33" xfId="3" applyFont="1" applyFill="1" applyBorder="1" applyAlignment="1">
      <alignment horizontal="justify" vertical="center" wrapText="1"/>
    </xf>
    <xf numFmtId="0" fontId="58" fillId="0" borderId="33" xfId="2552" applyNumberFormat="1" applyFont="1" applyFill="1" applyBorder="1" applyAlignment="1">
      <alignment horizontal="center" vertical="center" wrapText="1"/>
    </xf>
    <xf numFmtId="2" fontId="58" fillId="0" borderId="33" xfId="2555" applyNumberFormat="1" applyFont="1" applyFill="1" applyBorder="1" applyAlignment="1">
      <alignment horizontal="center" vertical="center"/>
    </xf>
    <xf numFmtId="4" fontId="58" fillId="0" borderId="33" xfId="2555" applyNumberFormat="1" applyFont="1" applyFill="1" applyBorder="1" applyAlignment="1">
      <alignment horizontal="right" vertical="center"/>
    </xf>
    <xf numFmtId="49" fontId="58" fillId="0" borderId="0" xfId="2555" applyNumberFormat="1" applyFont="1" applyFill="1" applyBorder="1" applyAlignment="1">
      <alignment horizontal="center" vertical="center"/>
    </xf>
    <xf numFmtId="0" fontId="58" fillId="0" borderId="0" xfId="2555" applyFont="1" applyFill="1" applyBorder="1" applyAlignment="1">
      <alignment vertical="center"/>
    </xf>
    <xf numFmtId="0" fontId="58" fillId="0" borderId="0" xfId="2555" applyFont="1" applyFill="1" applyBorder="1" applyAlignment="1">
      <alignment horizontal="center" vertical="center"/>
    </xf>
    <xf numFmtId="2" fontId="58" fillId="0" borderId="0" xfId="2555" applyNumberFormat="1" applyFont="1" applyFill="1" applyBorder="1" applyAlignment="1">
      <alignment horizontal="center" vertical="center"/>
    </xf>
    <xf numFmtId="2" fontId="58" fillId="0" borderId="0" xfId="2555" applyNumberFormat="1" applyFont="1" applyFill="1" applyBorder="1" applyAlignment="1">
      <alignment horizontal="right" vertical="center"/>
    </xf>
    <xf numFmtId="4" fontId="58" fillId="0" borderId="0" xfId="2555" applyNumberFormat="1" applyFont="1" applyFill="1" applyBorder="1" applyAlignment="1">
      <alignment horizontal="right" vertical="center"/>
    </xf>
    <xf numFmtId="0" fontId="59" fillId="0" borderId="0" xfId="2553" applyFont="1" applyFill="1" applyBorder="1" applyAlignment="1">
      <alignment horizontal="center" vertical="center"/>
    </xf>
    <xf numFmtId="0" fontId="60" fillId="0" borderId="0" xfId="2553" applyFont="1" applyFill="1" applyBorder="1" applyAlignment="1">
      <alignment vertical="center"/>
    </xf>
    <xf numFmtId="0" fontId="56" fillId="30" borderId="33" xfId="421" applyFont="1" applyFill="1" applyBorder="1" applyAlignment="1">
      <alignment horizontal="right" vertical="center"/>
    </xf>
    <xf numFmtId="178" fontId="56" fillId="30" borderId="33" xfId="421" applyNumberFormat="1" applyFont="1" applyFill="1" applyBorder="1" applyAlignment="1">
      <alignment vertical="center"/>
    </xf>
    <xf numFmtId="0" fontId="14" fillId="0" borderId="0" xfId="1416" applyFont="1" applyFill="1" applyAlignment="1">
      <alignment horizontal="center" vertical="center"/>
    </xf>
    <xf numFmtId="49" fontId="14" fillId="0" borderId="0" xfId="1416" applyNumberFormat="1" applyFont="1" applyFill="1" applyAlignment="1">
      <alignment horizontal="center" vertical="center"/>
    </xf>
    <xf numFmtId="49" fontId="2" fillId="0" borderId="0" xfId="1416" applyNumberFormat="1" applyFill="1"/>
    <xf numFmtId="0" fontId="2" fillId="0" borderId="0" xfId="1416" applyFill="1"/>
    <xf numFmtId="4" fontId="3" fillId="0" borderId="0" xfId="3" applyNumberFormat="1" applyFont="1" applyFill="1" applyProtection="1"/>
    <xf numFmtId="182" fontId="16" fillId="0" borderId="0" xfId="1416" applyNumberFormat="1" applyFont="1" applyFill="1" applyAlignment="1">
      <alignment vertical="center"/>
    </xf>
    <xf numFmtId="0" fontId="60" fillId="0" borderId="0" xfId="2555" applyFont="1" applyFill="1" applyBorder="1" applyAlignment="1">
      <alignment horizontal="left" vertical="center"/>
    </xf>
    <xf numFmtId="0" fontId="56" fillId="0" borderId="0" xfId="421" applyFont="1" applyFill="1" applyBorder="1" applyAlignment="1">
      <alignment horizontal="right" vertical="center"/>
    </xf>
    <xf numFmtId="178" fontId="56" fillId="0" borderId="0" xfId="424" applyNumberFormat="1" applyFont="1" applyFill="1" applyBorder="1" applyAlignment="1">
      <alignment vertical="center"/>
    </xf>
    <xf numFmtId="0" fontId="60" fillId="0" borderId="0" xfId="469" applyFont="1" applyFill="1" applyBorder="1" applyAlignment="1">
      <alignment vertical="center"/>
    </xf>
    <xf numFmtId="4" fontId="3" fillId="0" borderId="0" xfId="3" applyNumberFormat="1" applyFont="1" applyFill="1"/>
    <xf numFmtId="0" fontId="59" fillId="0" borderId="0" xfId="2553" applyFont="1" applyFill="1" applyBorder="1" applyAlignment="1">
      <alignment horizontal="center" vertical="center"/>
    </xf>
    <xf numFmtId="178" fontId="52" fillId="0" borderId="0" xfId="2" applyNumberFormat="1" applyFont="1" applyAlignment="1">
      <alignment vertical="center"/>
    </xf>
    <xf numFmtId="0" fontId="14" fillId="0" borderId="0" xfId="1084" applyFont="1" applyFill="1" applyAlignment="1">
      <alignment horizontal="center" vertical="center"/>
    </xf>
    <xf numFmtId="0" fontId="14" fillId="0" borderId="0" xfId="1084" applyFont="1" applyFill="1" applyAlignment="1">
      <alignment vertical="center"/>
    </xf>
    <xf numFmtId="0" fontId="14" fillId="0" borderId="0" xfId="1084" applyFont="1" applyFill="1" applyAlignment="1">
      <alignment horizontal="center" vertical="center" wrapText="1"/>
    </xf>
    <xf numFmtId="0" fontId="11" fillId="0" borderId="0" xfId="1084" applyFont="1" applyFill="1" applyAlignment="1">
      <alignment vertical="center"/>
    </xf>
    <xf numFmtId="44" fontId="14" fillId="0" borderId="0" xfId="1084" applyNumberFormat="1" applyFont="1" applyFill="1" applyAlignment="1">
      <alignment vertical="center"/>
    </xf>
    <xf numFmtId="178" fontId="11" fillId="0" borderId="0" xfId="1084" applyNumberFormat="1" applyFont="1" applyFill="1" applyAlignment="1">
      <alignment vertical="center"/>
    </xf>
    <xf numFmtId="0" fontId="14" fillId="0" borderId="0" xfId="1084" applyFont="1" applyFill="1" applyAlignment="1">
      <alignment horizontal="right" vertical="center"/>
    </xf>
    <xf numFmtId="0" fontId="11" fillId="0" borderId="0" xfId="1084" applyFont="1" applyFill="1" applyAlignment="1">
      <alignment horizontal="center" vertical="center"/>
    </xf>
    <xf numFmtId="1" fontId="14" fillId="0" borderId="49" xfId="1084" applyNumberFormat="1" applyFont="1" applyFill="1" applyBorder="1" applyAlignment="1">
      <alignment horizontal="center" vertical="center" wrapText="1"/>
    </xf>
    <xf numFmtId="0" fontId="14" fillId="0" borderId="50" xfId="1084" applyFont="1" applyFill="1" applyBorder="1" applyAlignment="1">
      <alignment horizontal="center" vertical="center" wrapText="1"/>
    </xf>
    <xf numFmtId="181" fontId="14" fillId="0" borderId="50" xfId="1084" applyNumberFormat="1" applyFont="1" applyFill="1" applyBorder="1" applyAlignment="1">
      <alignment horizontal="right" vertical="center"/>
    </xf>
    <xf numFmtId="181" fontId="14" fillId="0" borderId="52" xfId="1084" applyNumberFormat="1" applyFont="1" applyFill="1" applyBorder="1" applyAlignment="1">
      <alignment horizontal="right" vertical="center"/>
    </xf>
    <xf numFmtId="0" fontId="14" fillId="0" borderId="0" xfId="1084" applyFont="1" applyFill="1" applyAlignment="1">
      <alignment vertical="center" wrapText="1"/>
    </xf>
    <xf numFmtId="4" fontId="58" fillId="0" borderId="51" xfId="1084" applyNumberFormat="1" applyFont="1" applyFill="1" applyBorder="1" applyAlignment="1">
      <alignment horizontal="justify" vertical="center" wrapText="1"/>
    </xf>
    <xf numFmtId="0" fontId="14" fillId="0" borderId="51" xfId="1084" applyFont="1" applyFill="1" applyBorder="1" applyAlignment="1">
      <alignment horizontal="center" vertical="center"/>
    </xf>
    <xf numFmtId="1" fontId="58" fillId="0" borderId="0" xfId="2526" applyNumberFormat="1" applyFont="1" applyFill="1" applyBorder="1" applyAlignment="1">
      <alignment horizontal="center" vertical="center"/>
    </xf>
    <xf numFmtId="0" fontId="14" fillId="0" borderId="0" xfId="3" applyFont="1" applyFill="1" applyBorder="1" applyAlignment="1">
      <alignment horizontal="justify" vertical="center" wrapText="1"/>
    </xf>
    <xf numFmtId="49" fontId="58" fillId="0" borderId="0" xfId="2517" applyNumberFormat="1" applyFont="1" applyFill="1" applyBorder="1" applyAlignment="1">
      <alignment horizontal="center" vertical="center"/>
    </xf>
    <xf numFmtId="0" fontId="11" fillId="0" borderId="0" xfId="1284" applyFont="1" applyFill="1" applyAlignment="1">
      <alignment horizontal="center" vertical="center" wrapText="1"/>
    </xf>
    <xf numFmtId="2" fontId="2" fillId="0" borderId="0" xfId="1416" applyNumberFormat="1" applyFont="1" applyFill="1" applyAlignment="1">
      <alignment horizontal="right" vertical="center"/>
    </xf>
    <xf numFmtId="0" fontId="16" fillId="0" borderId="0" xfId="1284" applyFont="1" applyFill="1" applyAlignment="1">
      <alignment vertical="center"/>
    </xf>
    <xf numFmtId="0" fontId="14" fillId="0" borderId="0" xfId="1284" applyFont="1" applyFill="1" applyAlignment="1">
      <alignment vertical="center"/>
    </xf>
    <xf numFmtId="0" fontId="2" fillId="0" borderId="0" xfId="1416" applyFont="1" applyFill="1" applyBorder="1" applyAlignment="1">
      <alignment horizontal="center" vertical="center"/>
    </xf>
    <xf numFmtId="176" fontId="11" fillId="0" borderId="0" xfId="1284" applyNumberFormat="1" applyFont="1" applyFill="1" applyAlignment="1">
      <alignment horizontal="center" vertical="center"/>
    </xf>
    <xf numFmtId="1" fontId="14" fillId="0" borderId="0" xfId="1284" applyNumberFormat="1" applyFont="1" applyFill="1" applyAlignment="1">
      <alignment vertical="center"/>
    </xf>
    <xf numFmtId="176" fontId="11" fillId="0" borderId="0" xfId="1284" applyNumberFormat="1" applyFont="1" applyFill="1" applyBorder="1" applyAlignment="1">
      <alignment horizontal="center" vertical="center"/>
    </xf>
    <xf numFmtId="0" fontId="12" fillId="0" borderId="0" xfId="1284" applyFont="1" applyFill="1" applyBorder="1" applyAlignment="1">
      <alignment vertical="center"/>
    </xf>
    <xf numFmtId="0" fontId="11" fillId="0" borderId="0" xfId="1416" applyFont="1" applyFill="1" applyAlignment="1">
      <alignment vertical="center"/>
    </xf>
    <xf numFmtId="2" fontId="14" fillId="0" borderId="0" xfId="1416" applyNumberFormat="1" applyFont="1" applyFill="1"/>
    <xf numFmtId="0" fontId="14" fillId="0" borderId="0" xfId="1416" applyFont="1" applyFill="1" applyAlignment="1">
      <alignment horizontal="left" vertical="center"/>
    </xf>
    <xf numFmtId="0" fontId="11" fillId="0" borderId="0" xfId="1416" applyFont="1" applyFill="1" applyAlignment="1">
      <alignment horizontal="center" vertical="center" wrapText="1"/>
    </xf>
    <xf numFmtId="1" fontId="14" fillId="0" borderId="0" xfId="1416" applyNumberFormat="1" applyFont="1" applyFill="1" applyAlignment="1">
      <alignment vertical="center"/>
    </xf>
    <xf numFmtId="2" fontId="11" fillId="0" borderId="0" xfId="1416" applyNumberFormat="1" applyFont="1" applyFill="1"/>
    <xf numFmtId="0" fontId="11" fillId="0" borderId="0" xfId="1416" applyFont="1" applyFill="1" applyAlignment="1">
      <alignment horizontal="left" vertical="center"/>
    </xf>
    <xf numFmtId="49" fontId="15" fillId="0" borderId="0" xfId="1284" applyNumberFormat="1" applyFont="1" applyFill="1" applyAlignment="1">
      <alignment vertical="center"/>
    </xf>
    <xf numFmtId="0" fontId="15" fillId="0" borderId="0" xfId="1284" applyFont="1" applyFill="1" applyAlignment="1">
      <alignment vertical="center"/>
    </xf>
    <xf numFmtId="2" fontId="14" fillId="0" borderId="0" xfId="0" applyNumberFormat="1" applyFont="1" applyFill="1" applyAlignment="1">
      <alignment vertical="center"/>
    </xf>
    <xf numFmtId="0" fontId="14" fillId="0" borderId="0" xfId="1277" applyFont="1" applyFill="1"/>
    <xf numFmtId="2" fontId="11" fillId="0" borderId="0" xfId="1284" applyNumberFormat="1" applyFont="1" applyFill="1" applyAlignment="1">
      <alignment vertical="center"/>
    </xf>
    <xf numFmtId="0" fontId="14" fillId="0" borderId="0" xfId="1277" applyFont="1" applyFill="1" applyAlignment="1">
      <alignment vertical="center" wrapText="1"/>
    </xf>
    <xf numFmtId="4" fontId="14" fillId="0" borderId="0" xfId="1277" applyNumberFormat="1" applyFont="1" applyFill="1" applyAlignment="1">
      <alignment vertical="center"/>
    </xf>
    <xf numFmtId="0" fontId="14" fillId="0" borderId="0" xfId="1277" applyFont="1" applyFill="1" applyAlignment="1">
      <alignment vertical="center"/>
    </xf>
    <xf numFmtId="4" fontId="14" fillId="0" borderId="0" xfId="1360" applyNumberFormat="1" applyFont="1" applyFill="1" applyAlignment="1">
      <alignment vertical="center"/>
    </xf>
    <xf numFmtId="2" fontId="14" fillId="0" borderId="0" xfId="1277" applyNumberFormat="1" applyFont="1" applyFill="1" applyAlignment="1">
      <alignment vertical="center"/>
    </xf>
    <xf numFmtId="4" fontId="11" fillId="0" borderId="0" xfId="1360" applyNumberFormat="1" applyFont="1" applyFill="1" applyAlignment="1">
      <alignment vertical="center"/>
    </xf>
    <xf numFmtId="0" fontId="62" fillId="0" borderId="0" xfId="1360" applyFont="1" applyFill="1" applyAlignment="1">
      <alignment vertical="center"/>
    </xf>
    <xf numFmtId="0" fontId="2" fillId="0" borderId="0" xfId="1360" applyFill="1"/>
    <xf numFmtId="0" fontId="14" fillId="0" borderId="0" xfId="1284" applyFont="1" applyFill="1" applyAlignment="1">
      <alignment horizontal="left" vertical="center"/>
    </xf>
    <xf numFmtId="0" fontId="2" fillId="0" borderId="0" xfId="1360" applyFill="1" applyAlignment="1">
      <alignment vertical="center"/>
    </xf>
    <xf numFmtId="0" fontId="14" fillId="0" borderId="0" xfId="1360" applyFont="1" applyFill="1" applyAlignment="1">
      <alignment vertical="center" wrapText="1"/>
    </xf>
    <xf numFmtId="4" fontId="11" fillId="0" borderId="0" xfId="1277" applyNumberFormat="1" applyFont="1" applyFill="1" applyAlignment="1">
      <alignment vertical="center"/>
    </xf>
    <xf numFmtId="0" fontId="11" fillId="0" borderId="0" xfId="1417" applyFont="1" applyFill="1" applyAlignment="1">
      <alignment horizontal="left" vertical="center"/>
    </xf>
    <xf numFmtId="0" fontId="2" fillId="0" borderId="0" xfId="1277" applyFill="1" applyAlignment="1">
      <alignment vertical="center"/>
    </xf>
    <xf numFmtId="0" fontId="11" fillId="0" borderId="0" xfId="1360" applyFont="1" applyFill="1"/>
    <xf numFmtId="4" fontId="11" fillId="0" borderId="0" xfId="1360" applyNumberFormat="1" applyFont="1" applyFill="1"/>
    <xf numFmtId="2" fontId="11" fillId="0" borderId="0" xfId="1360" applyNumberFormat="1" applyFont="1" applyFill="1"/>
    <xf numFmtId="0" fontId="12" fillId="0" borderId="0" xfId="1360" applyFont="1" applyFill="1" applyAlignment="1">
      <alignment vertical="center"/>
    </xf>
    <xf numFmtId="1" fontId="14" fillId="0" borderId="0" xfId="1360" applyNumberFormat="1" applyFont="1" applyFill="1" applyAlignment="1">
      <alignment vertical="center"/>
    </xf>
    <xf numFmtId="0" fontId="0" fillId="0" borderId="0" xfId="0" applyFill="1" applyAlignment="1">
      <alignment vertical="center"/>
    </xf>
    <xf numFmtId="2" fontId="14" fillId="0" borderId="0" xfId="1416" applyNumberFormat="1" applyFont="1" applyFill="1" applyAlignment="1">
      <alignment vertical="center"/>
    </xf>
    <xf numFmtId="49" fontId="14" fillId="0" borderId="0" xfId="1416" applyNumberFormat="1" applyFont="1" applyFill="1" applyAlignment="1">
      <alignment vertical="center"/>
    </xf>
    <xf numFmtId="1" fontId="11" fillId="0" borderId="0" xfId="1284" applyNumberFormat="1" applyFont="1" applyFill="1" applyAlignment="1">
      <alignment horizontal="center" vertical="center" wrapText="1"/>
    </xf>
    <xf numFmtId="2" fontId="14" fillId="0" borderId="0" xfId="1360" applyNumberFormat="1" applyFont="1" applyFill="1"/>
    <xf numFmtId="1" fontId="20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11" fillId="0" borderId="0" xfId="1284" applyFont="1" applyFill="1" applyAlignment="1">
      <alignment horizontal="center" vertical="center" wrapText="1"/>
    </xf>
    <xf numFmtId="1" fontId="45" fillId="0" borderId="3" xfId="0" applyNumberFormat="1" applyFont="1" applyFill="1" applyBorder="1" applyAlignment="1">
      <alignment horizontal="right" vertical="center" wrapText="1"/>
    </xf>
    <xf numFmtId="4" fontId="45" fillId="0" borderId="5" xfId="5" applyNumberFormat="1" applyFont="1" applyFill="1" applyBorder="1" applyAlignment="1" applyProtection="1">
      <alignment horizontal="center" vertical="center"/>
    </xf>
    <xf numFmtId="0" fontId="3" fillId="0" borderId="5" xfId="3" applyNumberFormat="1" applyFont="1" applyFill="1" applyBorder="1" applyAlignment="1">
      <alignment horizontal="center" vertical="center"/>
    </xf>
    <xf numFmtId="4" fontId="3" fillId="0" borderId="5" xfId="3" applyNumberFormat="1" applyFont="1" applyFill="1" applyBorder="1" applyAlignment="1" applyProtection="1">
      <alignment vertical="center"/>
    </xf>
    <xf numFmtId="4" fontId="3" fillId="0" borderId="4" xfId="2" applyNumberFormat="1" applyFont="1" applyFill="1" applyBorder="1" applyAlignment="1">
      <alignment vertical="center"/>
    </xf>
    <xf numFmtId="4" fontId="3" fillId="0" borderId="4" xfId="3" applyNumberFormat="1" applyFont="1" applyFill="1" applyBorder="1" applyAlignment="1">
      <alignment horizontal="right" vertical="center"/>
    </xf>
    <xf numFmtId="0" fontId="3" fillId="0" borderId="0" xfId="2" applyFont="1" applyFill="1" applyAlignment="1">
      <alignment horizontal="center" vertical="center"/>
    </xf>
    <xf numFmtId="0" fontId="3" fillId="0" borderId="0" xfId="2" applyFont="1" applyFill="1" applyAlignment="1">
      <alignment horizontal="justify" vertical="center"/>
    </xf>
    <xf numFmtId="0" fontId="3" fillId="0" borderId="0" xfId="2" applyFont="1" applyFill="1" applyAlignment="1">
      <alignment vertical="center"/>
    </xf>
    <xf numFmtId="4" fontId="3" fillId="0" borderId="0" xfId="2" applyNumberFormat="1" applyFont="1" applyFill="1" applyAlignment="1" applyProtection="1">
      <alignment vertical="center"/>
      <protection locked="0"/>
    </xf>
    <xf numFmtId="0" fontId="58" fillId="0" borderId="0" xfId="420" applyFont="1" applyFill="1" applyBorder="1" applyAlignment="1">
      <alignment vertical="center"/>
    </xf>
    <xf numFmtId="0" fontId="58" fillId="0" borderId="0" xfId="420" applyFont="1" applyFill="1" applyBorder="1" applyAlignment="1">
      <alignment horizontal="center" vertical="center"/>
    </xf>
    <xf numFmtId="0" fontId="56" fillId="0" borderId="0" xfId="420" applyFont="1" applyFill="1" applyBorder="1" applyAlignment="1">
      <alignment horizontal="right" vertical="center"/>
    </xf>
    <xf numFmtId="178" fontId="56" fillId="0" borderId="0" xfId="420" applyNumberFormat="1" applyFont="1" applyFill="1" applyBorder="1" applyAlignment="1">
      <alignment vertical="center"/>
    </xf>
    <xf numFmtId="0" fontId="58" fillId="0" borderId="0" xfId="469" applyFont="1" applyFill="1" applyBorder="1" applyAlignment="1">
      <alignment horizontal="center" vertical="center"/>
    </xf>
    <xf numFmtId="4" fontId="56" fillId="0" borderId="0" xfId="469" applyNumberFormat="1" applyFont="1" applyFill="1" applyBorder="1" applyAlignment="1">
      <alignment horizontal="center" vertical="center"/>
    </xf>
    <xf numFmtId="178" fontId="56" fillId="0" borderId="0" xfId="254" applyNumberFormat="1" applyFont="1" applyFill="1" applyBorder="1" applyAlignment="1">
      <alignment horizontal="right" vertical="center"/>
    </xf>
    <xf numFmtId="2" fontId="60" fillId="0" borderId="0" xfId="2553" applyNumberFormat="1" applyFont="1" applyFill="1" applyBorder="1" applyAlignment="1">
      <alignment vertical="center"/>
    </xf>
    <xf numFmtId="0" fontId="60" fillId="0" borderId="0" xfId="2556" applyFont="1" applyFill="1" applyBorder="1" applyAlignment="1">
      <alignment vertical="center"/>
    </xf>
    <xf numFmtId="184" fontId="16" fillId="0" borderId="0" xfId="1416" applyNumberFormat="1" applyFont="1" applyFill="1" applyAlignment="1">
      <alignment vertical="center"/>
    </xf>
    <xf numFmtId="165" fontId="63" fillId="0" borderId="3" xfId="2414" quotePrefix="1" applyNumberFormat="1" applyFont="1" applyFill="1" applyBorder="1" applyAlignment="1" applyProtection="1">
      <alignment horizontal="right" vertical="center" wrapText="1"/>
      <protection locked="0"/>
    </xf>
    <xf numFmtId="165" fontId="3" fillId="0" borderId="0" xfId="2" applyNumberFormat="1" applyFont="1" applyFill="1"/>
    <xf numFmtId="0" fontId="64" fillId="0" borderId="0" xfId="2" applyFont="1" applyFill="1" applyAlignment="1">
      <alignment vertical="center"/>
    </xf>
    <xf numFmtId="0" fontId="3" fillId="0" borderId="5" xfId="3" applyFont="1" applyFill="1" applyBorder="1" applyAlignment="1">
      <alignment horizontal="center" vertical="center" wrapText="1"/>
    </xf>
    <xf numFmtId="0" fontId="64" fillId="0" borderId="0" xfId="3" applyFont="1" applyFill="1" applyAlignment="1">
      <alignment vertical="center"/>
    </xf>
    <xf numFmtId="1" fontId="3" fillId="0" borderId="44" xfId="3" applyNumberFormat="1" applyFont="1" applyFill="1" applyBorder="1" applyAlignment="1">
      <alignment horizontal="center" vertical="center"/>
    </xf>
    <xf numFmtId="4" fontId="3" fillId="0" borderId="7" xfId="3" applyNumberFormat="1" applyFont="1" applyFill="1" applyBorder="1" applyAlignment="1">
      <alignment vertical="center"/>
    </xf>
    <xf numFmtId="4" fontId="3" fillId="0" borderId="44" xfId="3" applyNumberFormat="1" applyFont="1" applyFill="1" applyBorder="1" applyAlignment="1">
      <alignment horizontal="right" vertical="center"/>
    </xf>
    <xf numFmtId="0" fontId="46" fillId="0" borderId="5" xfId="2" applyFont="1" applyFill="1" applyBorder="1" applyAlignment="1">
      <alignment horizontal="center" vertical="center" wrapText="1"/>
    </xf>
    <xf numFmtId="0" fontId="20" fillId="0" borderId="5" xfId="3" applyNumberFormat="1" applyFont="1" applyFill="1" applyBorder="1" applyAlignment="1">
      <alignment horizontal="center" vertical="center"/>
    </xf>
    <xf numFmtId="0" fontId="20" fillId="0" borderId="5" xfId="3" applyFont="1" applyFill="1" applyBorder="1" applyAlignment="1">
      <alignment horizontal="right" vertical="center"/>
    </xf>
    <xf numFmtId="0" fontId="3" fillId="0" borderId="0" xfId="3" applyFont="1" applyFill="1" applyProtection="1">
      <protection locked="0"/>
    </xf>
    <xf numFmtId="0" fontId="64" fillId="0" borderId="0" xfId="3" applyFont="1" applyFill="1" applyAlignment="1" applyProtection="1">
      <alignment vertical="center"/>
      <protection locked="0"/>
    </xf>
    <xf numFmtId="0" fontId="3" fillId="0" borderId="0" xfId="3" applyFont="1" applyFill="1" applyAlignment="1" applyProtection="1">
      <alignment vertical="center"/>
      <protection locked="0"/>
    </xf>
    <xf numFmtId="10" fontId="3" fillId="0" borderId="0" xfId="2558" applyNumberFormat="1" applyFont="1" applyFill="1" applyBorder="1" applyAlignment="1">
      <alignment horizontal="right" vertical="center"/>
    </xf>
    <xf numFmtId="0" fontId="3" fillId="0" borderId="3" xfId="2" applyFont="1" applyFill="1" applyBorder="1" applyProtection="1">
      <protection locked="0"/>
    </xf>
    <xf numFmtId="4" fontId="20" fillId="0" borderId="3" xfId="3" applyNumberFormat="1" applyFont="1" applyFill="1" applyBorder="1" applyAlignment="1" applyProtection="1">
      <alignment vertical="center"/>
      <protection locked="0"/>
    </xf>
    <xf numFmtId="10" fontId="3" fillId="0" borderId="5" xfId="2558" applyNumberFormat="1" applyFont="1" applyFill="1" applyBorder="1" applyAlignment="1">
      <alignment horizontal="right" vertical="center"/>
    </xf>
    <xf numFmtId="4" fontId="64" fillId="0" borderId="0" xfId="2" applyNumberFormat="1" applyFont="1" applyFill="1" applyAlignment="1">
      <alignment vertical="center"/>
    </xf>
    <xf numFmtId="0" fontId="20" fillId="0" borderId="3" xfId="3" applyFont="1" applyFill="1" applyBorder="1" applyAlignment="1">
      <alignment horizontal="center" vertical="center"/>
    </xf>
    <xf numFmtId="0" fontId="65" fillId="0" borderId="0" xfId="1360" applyFont="1" applyFill="1" applyAlignment="1">
      <alignment vertical="center"/>
    </xf>
    <xf numFmtId="0" fontId="65" fillId="0" borderId="0" xfId="1360" applyFont="1" applyFill="1" applyAlignment="1">
      <alignment horizontal="center" vertical="center"/>
    </xf>
    <xf numFmtId="175" fontId="10" fillId="0" borderId="0" xfId="1360" applyNumberFormat="1" applyFont="1" applyFill="1" applyBorder="1" applyAlignment="1">
      <alignment horizontal="right" vertical="center" wrapText="1"/>
    </xf>
    <xf numFmtId="2" fontId="10" fillId="0" borderId="0" xfId="1360" applyNumberFormat="1" applyFont="1" applyFill="1" applyBorder="1" applyAlignment="1">
      <alignment horizontal="left" vertical="center" wrapText="1"/>
    </xf>
    <xf numFmtId="0" fontId="66" fillId="0" borderId="0" xfId="1360" applyFont="1" applyFill="1" applyAlignment="1">
      <alignment horizontal="center" vertical="center"/>
    </xf>
    <xf numFmtId="2" fontId="10" fillId="0" borderId="0" xfId="1360" applyNumberFormat="1" applyFont="1" applyFill="1" applyBorder="1" applyAlignment="1">
      <alignment horizontal="right" vertical="center" wrapText="1"/>
    </xf>
    <xf numFmtId="0" fontId="67" fillId="0" borderId="0" xfId="1360" applyFont="1" applyFill="1" applyBorder="1" applyAlignment="1">
      <alignment vertical="center"/>
    </xf>
    <xf numFmtId="0" fontId="67" fillId="0" borderId="0" xfId="1360" applyFont="1" applyFill="1" applyBorder="1" applyAlignment="1">
      <alignment horizontal="center" vertical="center"/>
    </xf>
    <xf numFmtId="2" fontId="10" fillId="0" borderId="0" xfId="1360" applyNumberFormat="1" applyFont="1" applyFill="1" applyBorder="1" applyAlignment="1">
      <alignment horizontal="center" vertical="center" wrapText="1"/>
    </xf>
    <xf numFmtId="0" fontId="2" fillId="0" borderId="0" xfId="1414" applyFill="1" applyAlignment="1">
      <alignment vertical="center"/>
    </xf>
    <xf numFmtId="0" fontId="68" fillId="34" borderId="2" xfId="1360" applyFont="1" applyFill="1" applyBorder="1" applyAlignment="1">
      <alignment vertical="center"/>
    </xf>
    <xf numFmtId="0" fontId="65" fillId="0" borderId="0" xfId="1360" applyFont="1" applyFill="1" applyBorder="1" applyAlignment="1">
      <alignment vertical="center"/>
    </xf>
    <xf numFmtId="0" fontId="69" fillId="0" borderId="0" xfId="1360" applyFont="1" applyFill="1" applyBorder="1" applyAlignment="1">
      <alignment horizontal="center" vertical="center"/>
    </xf>
    <xf numFmtId="0" fontId="65" fillId="0" borderId="5" xfId="1360" applyFont="1" applyFill="1" applyBorder="1" applyAlignment="1">
      <alignment horizontal="center" vertical="center"/>
    </xf>
    <xf numFmtId="0" fontId="65" fillId="0" borderId="36" xfId="1360" applyNumberFormat="1" applyFont="1" applyFill="1" applyBorder="1" applyAlignment="1">
      <alignment horizontal="center" vertical="center"/>
    </xf>
    <xf numFmtId="0" fontId="65" fillId="0" borderId="36" xfId="1360" applyFont="1" applyFill="1" applyBorder="1" applyAlignment="1">
      <alignment horizontal="center" vertical="center"/>
    </xf>
    <xf numFmtId="185" fontId="65" fillId="0" borderId="36" xfId="1360" applyNumberFormat="1" applyFont="1" applyFill="1" applyBorder="1" applyAlignment="1">
      <alignment horizontal="center"/>
    </xf>
    <xf numFmtId="167" fontId="65" fillId="0" borderId="36" xfId="1360" applyNumberFormat="1" applyFont="1" applyFill="1" applyBorder="1" applyAlignment="1">
      <alignment horizontal="center" vertical="center"/>
    </xf>
    <xf numFmtId="2" fontId="65" fillId="0" borderId="36" xfId="1360" applyNumberFormat="1" applyFont="1" applyFill="1" applyBorder="1" applyAlignment="1">
      <alignment horizontal="center" vertical="center"/>
    </xf>
    <xf numFmtId="2" fontId="65" fillId="0" borderId="36" xfId="1360" applyNumberFormat="1" applyFont="1" applyFill="1" applyBorder="1" applyAlignment="1">
      <alignment horizontal="center"/>
    </xf>
    <xf numFmtId="167" fontId="65" fillId="0" borderId="0" xfId="1360" applyNumberFormat="1" applyFont="1" applyFill="1" applyAlignment="1">
      <alignment vertical="center"/>
    </xf>
    <xf numFmtId="2" fontId="65" fillId="0" borderId="5" xfId="1360" applyNumberFormat="1" applyFont="1" applyFill="1" applyBorder="1" applyAlignment="1">
      <alignment horizontal="center" vertical="center"/>
    </xf>
    <xf numFmtId="0" fontId="65" fillId="0" borderId="5" xfId="1360" applyNumberFormat="1" applyFont="1" applyFill="1" applyBorder="1" applyAlignment="1">
      <alignment horizontal="center" vertical="center"/>
    </xf>
    <xf numFmtId="39" fontId="65" fillId="0" borderId="5" xfId="1360" applyNumberFormat="1" applyFont="1" applyFill="1" applyBorder="1" applyAlignment="1">
      <alignment horizontal="center" vertical="center"/>
    </xf>
    <xf numFmtId="1" fontId="65" fillId="0" borderId="5" xfId="1360" applyNumberFormat="1" applyFont="1" applyFill="1" applyBorder="1" applyAlignment="1">
      <alignment horizontal="center" vertical="center"/>
    </xf>
    <xf numFmtId="167" fontId="65" fillId="0" borderId="5" xfId="1360" applyNumberFormat="1" applyFont="1" applyFill="1" applyBorder="1" applyAlignment="1">
      <alignment horizontal="center" vertical="center"/>
    </xf>
    <xf numFmtId="186" fontId="65" fillId="0" borderId="5" xfId="1360" applyNumberFormat="1" applyFont="1" applyFill="1" applyBorder="1" applyAlignment="1">
      <alignment horizontal="center" vertical="center"/>
    </xf>
    <xf numFmtId="187" fontId="65" fillId="0" borderId="5" xfId="1360" applyNumberFormat="1" applyFont="1" applyFill="1" applyBorder="1" applyAlignment="1">
      <alignment horizontal="center" vertical="center"/>
    </xf>
    <xf numFmtId="186" fontId="65" fillId="0" borderId="5" xfId="1360" applyNumberFormat="1" applyFont="1" applyFill="1" applyBorder="1" applyAlignment="1">
      <alignment horizontal="center"/>
    </xf>
    <xf numFmtId="2" fontId="65" fillId="0" borderId="0" xfId="1360" applyNumberFormat="1" applyFont="1" applyFill="1" applyBorder="1" applyAlignment="1">
      <alignment vertical="center"/>
    </xf>
    <xf numFmtId="0" fontId="65" fillId="0" borderId="44" xfId="1360" applyFont="1" applyFill="1" applyBorder="1" applyAlignment="1">
      <alignment horizontal="center" vertical="center"/>
    </xf>
    <xf numFmtId="0" fontId="65" fillId="0" borderId="44" xfId="1360" applyNumberFormat="1" applyFont="1" applyFill="1" applyBorder="1" applyAlignment="1">
      <alignment horizontal="center" vertical="center"/>
    </xf>
    <xf numFmtId="39" fontId="65" fillId="0" borderId="44" xfId="1360" applyNumberFormat="1" applyFont="1" applyFill="1" applyBorder="1" applyAlignment="1">
      <alignment horizontal="center" vertical="center"/>
    </xf>
    <xf numFmtId="185" fontId="65" fillId="0" borderId="44" xfId="1360" applyNumberFormat="1" applyFont="1" applyFill="1" applyBorder="1" applyAlignment="1">
      <alignment horizontal="center"/>
    </xf>
    <xf numFmtId="167" fontId="65" fillId="0" borderId="6" xfId="1360" applyNumberFormat="1" applyFont="1" applyFill="1" applyBorder="1" applyAlignment="1">
      <alignment horizontal="center" vertical="center"/>
    </xf>
    <xf numFmtId="2" fontId="65" fillId="0" borderId="44" xfId="1360" applyNumberFormat="1" applyFont="1" applyFill="1" applyBorder="1" applyAlignment="1">
      <alignment horizontal="center" vertical="center"/>
    </xf>
    <xf numFmtId="167" fontId="65" fillId="0" borderId="44" xfId="1360" applyNumberFormat="1" applyFont="1" applyFill="1" applyBorder="1" applyAlignment="1">
      <alignment horizontal="center" vertical="center"/>
    </xf>
    <xf numFmtId="2" fontId="65" fillId="0" borderId="44" xfId="1360" applyNumberFormat="1" applyFont="1" applyFill="1" applyBorder="1" applyAlignment="1">
      <alignment horizontal="center"/>
    </xf>
    <xf numFmtId="0" fontId="65" fillId="0" borderId="0" xfId="1360" applyFont="1" applyFill="1" applyBorder="1" applyAlignment="1">
      <alignment horizontal="center" vertical="center"/>
    </xf>
    <xf numFmtId="39" fontId="65" fillId="0" borderId="0" xfId="1360" applyNumberFormat="1" applyFont="1" applyFill="1" applyBorder="1" applyAlignment="1">
      <alignment horizontal="center" vertical="center"/>
    </xf>
    <xf numFmtId="0" fontId="65" fillId="0" borderId="0" xfId="1360" applyFont="1" applyFill="1" applyBorder="1" applyAlignment="1">
      <alignment horizontal="center" vertical="center" wrapText="1"/>
    </xf>
    <xf numFmtId="167" fontId="65" fillId="0" borderId="0" xfId="1360" applyNumberFormat="1" applyFont="1" applyFill="1" applyBorder="1" applyAlignment="1">
      <alignment horizontal="center" vertical="center"/>
    </xf>
    <xf numFmtId="2" fontId="65" fillId="0" borderId="0" xfId="1360" applyNumberFormat="1" applyFont="1" applyFill="1" applyBorder="1" applyAlignment="1">
      <alignment horizontal="center" vertical="center"/>
    </xf>
    <xf numFmtId="0" fontId="69" fillId="0" borderId="40" xfId="1360" applyFont="1" applyFill="1" applyBorder="1" applyAlignment="1">
      <alignment vertical="center"/>
    </xf>
    <xf numFmtId="2" fontId="65" fillId="0" borderId="0" xfId="1360" applyNumberFormat="1" applyFont="1" applyFill="1" applyAlignment="1">
      <alignment vertical="center"/>
    </xf>
    <xf numFmtId="188" fontId="69" fillId="0" borderId="0" xfId="1360" applyNumberFormat="1" applyFont="1" applyFill="1" applyBorder="1" applyAlignment="1">
      <alignment vertical="center" wrapText="1"/>
    </xf>
    <xf numFmtId="2" fontId="69" fillId="0" borderId="0" xfId="1360" applyNumberFormat="1" applyFont="1" applyFill="1" applyAlignment="1">
      <alignment vertical="center"/>
    </xf>
    <xf numFmtId="0" fontId="69" fillId="0" borderId="0" xfId="1360" applyFont="1" applyFill="1" applyBorder="1" applyAlignment="1">
      <alignment vertical="center" wrapText="1"/>
    </xf>
    <xf numFmtId="0" fontId="69" fillId="0" borderId="0" xfId="1360" applyFont="1" applyFill="1" applyAlignment="1">
      <alignment horizontal="right" vertical="center"/>
    </xf>
    <xf numFmtId="2" fontId="69" fillId="0" borderId="0" xfId="1360" applyNumberFormat="1" applyFont="1" applyFill="1" applyAlignment="1">
      <alignment horizontal="right" vertical="center"/>
    </xf>
    <xf numFmtId="0" fontId="69" fillId="0" borderId="0" xfId="1360" applyFont="1" applyFill="1" applyBorder="1" applyAlignment="1">
      <alignment vertical="center"/>
    </xf>
    <xf numFmtId="186" fontId="69" fillId="0" borderId="0" xfId="1360" applyNumberFormat="1" applyFont="1" applyFill="1" applyAlignment="1">
      <alignment horizontal="right" vertical="center"/>
    </xf>
    <xf numFmtId="0" fontId="65" fillId="0" borderId="0" xfId="1360" applyFont="1" applyFill="1" applyBorder="1" applyAlignment="1">
      <alignment horizontal="right" vertical="center"/>
    </xf>
    <xf numFmtId="0" fontId="65" fillId="0" borderId="0" xfId="1360" applyFont="1" applyFill="1" applyAlignment="1">
      <alignment horizontal="right" vertical="center"/>
    </xf>
    <xf numFmtId="175" fontId="65" fillId="0" borderId="0" xfId="1360" applyNumberFormat="1" applyFont="1" applyFill="1" applyAlignment="1">
      <alignment horizontal="right" vertical="center"/>
    </xf>
    <xf numFmtId="0" fontId="69" fillId="0" borderId="0" xfId="1360" applyFont="1" applyFill="1" applyAlignment="1">
      <alignment horizontal="center" vertical="center"/>
    </xf>
    <xf numFmtId="0" fontId="69" fillId="0" borderId="0" xfId="1360" applyFont="1" applyFill="1" applyAlignment="1">
      <alignment horizontal="left" vertical="center"/>
    </xf>
    <xf numFmtId="174" fontId="69" fillId="0" borderId="0" xfId="1360" applyNumberFormat="1" applyFont="1" applyFill="1" applyAlignment="1">
      <alignment horizontal="center" vertical="center"/>
    </xf>
    <xf numFmtId="186" fontId="69" fillId="0" borderId="0" xfId="1360" applyNumberFormat="1" applyFont="1" applyFill="1" applyAlignment="1">
      <alignment horizontal="center" vertical="center"/>
    </xf>
    <xf numFmtId="188" fontId="69" fillId="0" borderId="0" xfId="1360" applyNumberFormat="1" applyFont="1" applyFill="1" applyAlignment="1">
      <alignment horizontal="right" vertical="center"/>
    </xf>
    <xf numFmtId="186" fontId="65" fillId="0" borderId="0" xfId="1360" applyNumberFormat="1" applyFont="1" applyFill="1" applyAlignment="1">
      <alignment vertical="center"/>
    </xf>
    <xf numFmtId="0" fontId="69" fillId="0" borderId="0" xfId="1360" applyFont="1" applyFill="1" applyAlignment="1">
      <alignment vertical="center"/>
    </xf>
    <xf numFmtId="2" fontId="69" fillId="0" borderId="0" xfId="1360" applyNumberFormat="1" applyFont="1" applyFill="1" applyAlignment="1">
      <alignment horizontal="center" vertical="center"/>
    </xf>
    <xf numFmtId="188" fontId="65" fillId="0" borderId="0" xfId="1360" applyNumberFormat="1" applyFont="1" applyFill="1" applyAlignment="1">
      <alignment vertical="center"/>
    </xf>
    <xf numFmtId="188" fontId="69" fillId="0" borderId="0" xfId="1360" applyNumberFormat="1" applyFont="1" applyFill="1" applyAlignment="1">
      <alignment vertical="center"/>
    </xf>
    <xf numFmtId="2" fontId="65" fillId="0" borderId="0" xfId="1360" applyNumberFormat="1" applyFont="1" applyFill="1" applyAlignment="1">
      <alignment horizontal="center" vertical="center"/>
    </xf>
    <xf numFmtId="189" fontId="65" fillId="0" borderId="0" xfId="1360" applyNumberFormat="1" applyFont="1" applyFill="1" applyAlignment="1">
      <alignment vertical="center"/>
    </xf>
    <xf numFmtId="175" fontId="65" fillId="0" borderId="0" xfId="1360" applyNumberFormat="1" applyFont="1" applyFill="1" applyAlignment="1">
      <alignment vertical="center"/>
    </xf>
    <xf numFmtId="186" fontId="69" fillId="0" borderId="0" xfId="1360" applyNumberFormat="1" applyFont="1" applyFill="1" applyAlignment="1">
      <alignment vertical="center"/>
    </xf>
    <xf numFmtId="0" fontId="69" fillId="34" borderId="0" xfId="1360" applyFont="1" applyFill="1" applyAlignment="1">
      <alignment horizontal="center" vertical="center"/>
    </xf>
    <xf numFmtId="1" fontId="69" fillId="34" borderId="0" xfId="1360" applyNumberFormat="1" applyFont="1" applyFill="1" applyAlignment="1">
      <alignment horizontal="center" vertical="center"/>
    </xf>
    <xf numFmtId="2" fontId="69" fillId="0" borderId="0" xfId="1360" applyNumberFormat="1" applyFont="1" applyFill="1" applyAlignment="1">
      <alignment horizontal="left" vertical="center"/>
    </xf>
    <xf numFmtId="0" fontId="2" fillId="0" borderId="0" xfId="1414" applyFont="1" applyFill="1" applyAlignment="1">
      <alignment vertical="center"/>
    </xf>
    <xf numFmtId="190" fontId="65" fillId="0" borderId="0" xfId="1360" applyNumberFormat="1" applyFont="1" applyFill="1" applyAlignment="1">
      <alignment horizontal="center" vertical="center"/>
    </xf>
    <xf numFmtId="188" fontId="66" fillId="0" borderId="0" xfId="1360" applyNumberFormat="1" applyFont="1" applyFill="1" applyAlignment="1">
      <alignment vertical="center"/>
    </xf>
    <xf numFmtId="190" fontId="65" fillId="0" borderId="0" xfId="1360" applyNumberFormat="1" applyFont="1" applyFill="1" applyAlignment="1">
      <alignment vertical="center"/>
    </xf>
    <xf numFmtId="0" fontId="65" fillId="0" borderId="0" xfId="1360" applyFont="1" applyFill="1" applyBorder="1" applyAlignment="1">
      <alignment vertical="center" wrapText="1"/>
    </xf>
    <xf numFmtId="0" fontId="65" fillId="35" borderId="53" xfId="1360" applyFont="1" applyFill="1" applyBorder="1" applyAlignment="1">
      <alignment horizontal="center" vertical="center"/>
    </xf>
    <xf numFmtId="2" fontId="65" fillId="35" borderId="53" xfId="1360" applyNumberFormat="1" applyFont="1" applyFill="1" applyBorder="1" applyAlignment="1">
      <alignment horizontal="center" vertical="center"/>
    </xf>
    <xf numFmtId="49" fontId="65" fillId="0" borderId="0" xfId="1360" applyNumberFormat="1" applyFont="1" applyFill="1" applyAlignment="1">
      <alignment horizontal="center" vertical="center"/>
    </xf>
    <xf numFmtId="0" fontId="65" fillId="36" borderId="53" xfId="1360" applyFont="1" applyFill="1" applyBorder="1" applyAlignment="1">
      <alignment horizontal="center" vertical="center"/>
    </xf>
    <xf numFmtId="2" fontId="65" fillId="36" borderId="53" xfId="1360" applyNumberFormat="1" applyFont="1" applyFill="1" applyBorder="1" applyAlignment="1">
      <alignment horizontal="center" vertical="center"/>
    </xf>
    <xf numFmtId="0" fontId="65" fillId="36" borderId="0" xfId="1360" applyFont="1" applyFill="1" applyAlignment="1">
      <alignment vertical="center"/>
    </xf>
    <xf numFmtId="0" fontId="70" fillId="31" borderId="53" xfId="1360" applyFont="1" applyFill="1" applyBorder="1" applyAlignment="1">
      <alignment horizontal="center" vertical="center"/>
    </xf>
    <xf numFmtId="0" fontId="65" fillId="0" borderId="39" xfId="1360" applyFont="1" applyFill="1" applyBorder="1" applyAlignment="1">
      <alignment vertical="center"/>
    </xf>
    <xf numFmtId="0" fontId="65" fillId="0" borderId="40" xfId="1360" applyFont="1" applyFill="1" applyBorder="1" applyAlignment="1">
      <alignment vertical="center"/>
    </xf>
    <xf numFmtId="2" fontId="65" fillId="0" borderId="39" xfId="1360" applyNumberFormat="1" applyFont="1" applyFill="1" applyBorder="1" applyAlignment="1">
      <alignment vertical="center"/>
    </xf>
    <xf numFmtId="0" fontId="65" fillId="0" borderId="38" xfId="1360" applyFont="1" applyFill="1" applyBorder="1" applyAlignment="1">
      <alignment vertical="center"/>
    </xf>
    <xf numFmtId="0" fontId="65" fillId="0" borderId="3" xfId="1360" applyFont="1" applyFill="1" applyBorder="1" applyAlignment="1">
      <alignment vertical="center"/>
    </xf>
    <xf numFmtId="2" fontId="65" fillId="0" borderId="3" xfId="1360" applyNumberFormat="1" applyFont="1" applyFill="1" applyBorder="1" applyAlignment="1">
      <alignment vertical="center"/>
    </xf>
    <xf numFmtId="0" fontId="65" fillId="0" borderId="4" xfId="1360" applyFont="1" applyFill="1" applyBorder="1" applyAlignment="1">
      <alignment vertical="center"/>
    </xf>
    <xf numFmtId="0" fontId="65" fillId="35" borderId="36" xfId="1360" applyFont="1" applyFill="1" applyBorder="1" applyAlignment="1">
      <alignment horizontal="center" vertical="center" wrapText="1"/>
    </xf>
    <xf numFmtId="0" fontId="65" fillId="31" borderId="36" xfId="1360" applyFont="1" applyFill="1" applyBorder="1" applyAlignment="1">
      <alignment horizontal="center" vertical="center" wrapText="1"/>
    </xf>
    <xf numFmtId="0" fontId="65" fillId="0" borderId="53" xfId="1360" applyFont="1" applyFill="1" applyBorder="1" applyAlignment="1">
      <alignment horizontal="center" vertical="center"/>
    </xf>
    <xf numFmtId="0" fontId="65" fillId="0" borderId="37" xfId="1360" applyFont="1" applyFill="1" applyBorder="1" applyAlignment="1">
      <alignment horizontal="right" vertical="center"/>
    </xf>
    <xf numFmtId="191" fontId="65" fillId="0" borderId="35" xfId="1360" applyNumberFormat="1" applyFont="1" applyFill="1" applyBorder="1" applyAlignment="1">
      <alignment horizontal="left" vertical="center"/>
    </xf>
    <xf numFmtId="0" fontId="65" fillId="31" borderId="53" xfId="1360" applyFont="1" applyFill="1" applyBorder="1" applyAlignment="1">
      <alignment horizontal="center" vertical="center"/>
    </xf>
    <xf numFmtId="0" fontId="65" fillId="35" borderId="3" xfId="1360" applyFont="1" applyFill="1" applyBorder="1" applyAlignment="1">
      <alignment vertical="center"/>
    </xf>
    <xf numFmtId="0" fontId="65" fillId="35" borderId="0" xfId="1360" applyFont="1" applyFill="1" applyBorder="1" applyAlignment="1">
      <alignment vertical="center"/>
    </xf>
    <xf numFmtId="2" fontId="65" fillId="35" borderId="0" xfId="1360" applyNumberFormat="1" applyFont="1" applyFill="1" applyBorder="1" applyAlignment="1">
      <alignment vertical="center"/>
    </xf>
    <xf numFmtId="0" fontId="65" fillId="35" borderId="4" xfId="1360" applyFont="1" applyFill="1" applyBorder="1" applyAlignment="1">
      <alignment vertical="center"/>
    </xf>
    <xf numFmtId="0" fontId="65" fillId="35" borderId="44" xfId="1360" applyFont="1" applyFill="1" applyBorder="1" applyAlignment="1">
      <alignment horizontal="center" vertical="center" wrapText="1"/>
    </xf>
    <xf numFmtId="0" fontId="65" fillId="31" borderId="44" xfId="1360" applyFont="1" applyFill="1" applyBorder="1" applyAlignment="1">
      <alignment horizontal="center" vertical="center" wrapText="1"/>
    </xf>
    <xf numFmtId="0" fontId="65" fillId="31" borderId="35" xfId="1360" applyFont="1" applyFill="1" applyBorder="1" applyAlignment="1">
      <alignment horizontal="center" vertical="center"/>
    </xf>
    <xf numFmtId="0" fontId="65" fillId="37" borderId="3" xfId="1360" applyFont="1" applyFill="1" applyBorder="1" applyAlignment="1">
      <alignment vertical="center"/>
    </xf>
    <xf numFmtId="0" fontId="65" fillId="37" borderId="0" xfId="1360" applyFont="1" applyFill="1" applyBorder="1" applyAlignment="1">
      <alignment vertical="center"/>
    </xf>
    <xf numFmtId="2" fontId="65" fillId="37" borderId="0" xfId="1360" applyNumberFormat="1" applyFont="1" applyFill="1" applyBorder="1" applyAlignment="1">
      <alignment vertical="center"/>
    </xf>
    <xf numFmtId="0" fontId="65" fillId="37" borderId="4" xfId="1360" applyFont="1" applyFill="1" applyBorder="1" applyAlignment="1">
      <alignment vertical="center"/>
    </xf>
    <xf numFmtId="1" fontId="65" fillId="35" borderId="53" xfId="1360" applyNumberFormat="1" applyFont="1" applyFill="1" applyBorder="1" applyAlignment="1">
      <alignment horizontal="center" vertical="center"/>
    </xf>
    <xf numFmtId="183" fontId="65" fillId="35" borderId="53" xfId="1360" applyNumberFormat="1" applyFont="1" applyFill="1" applyBorder="1" applyAlignment="1">
      <alignment horizontal="center" vertical="center"/>
    </xf>
    <xf numFmtId="183" fontId="65" fillId="0" borderId="53" xfId="1360" applyNumberFormat="1" applyFont="1" applyFill="1" applyBorder="1" applyAlignment="1">
      <alignment horizontal="center" vertical="center"/>
    </xf>
    <xf numFmtId="1" fontId="65" fillId="31" borderId="53" xfId="1360" applyNumberFormat="1" applyFont="1" applyFill="1" applyBorder="1" applyAlignment="1">
      <alignment horizontal="center" vertical="center"/>
    </xf>
    <xf numFmtId="2" fontId="65" fillId="31" borderId="53" xfId="1360" applyNumberFormat="1" applyFont="1" applyFill="1" applyBorder="1" applyAlignment="1">
      <alignment horizontal="center" vertical="center"/>
    </xf>
    <xf numFmtId="167" fontId="65" fillId="31" borderId="53" xfId="1360" applyNumberFormat="1" applyFont="1" applyFill="1" applyBorder="1" applyAlignment="1">
      <alignment horizontal="center" vertical="center"/>
    </xf>
    <xf numFmtId="1" fontId="65" fillId="31" borderId="3" xfId="1360" applyNumberFormat="1" applyFont="1" applyFill="1" applyBorder="1" applyAlignment="1">
      <alignment horizontal="center" vertical="center"/>
    </xf>
    <xf numFmtId="2" fontId="65" fillId="0" borderId="4" xfId="1360" applyNumberFormat="1" applyFont="1" applyFill="1" applyBorder="1" applyAlignment="1">
      <alignment horizontal="center" vertical="center"/>
    </xf>
    <xf numFmtId="1" fontId="65" fillId="31" borderId="39" xfId="1360" applyNumberFormat="1" applyFont="1" applyFill="1" applyBorder="1" applyAlignment="1">
      <alignment horizontal="center" vertical="center"/>
    </xf>
    <xf numFmtId="2" fontId="65" fillId="31" borderId="40" xfId="1360" applyNumberFormat="1" applyFont="1" applyFill="1" applyBorder="1" applyAlignment="1">
      <alignment horizontal="center" vertical="center"/>
    </xf>
    <xf numFmtId="183" fontId="65" fillId="31" borderId="40" xfId="1360" applyNumberFormat="1" applyFont="1" applyFill="1" applyBorder="1" applyAlignment="1">
      <alignment horizontal="center" vertical="center"/>
    </xf>
    <xf numFmtId="183" fontId="65" fillId="31" borderId="38" xfId="1360" applyNumberFormat="1" applyFont="1" applyFill="1" applyBorder="1" applyAlignment="1">
      <alignment horizontal="center" vertical="center"/>
    </xf>
    <xf numFmtId="1" fontId="65" fillId="0" borderId="39" xfId="1360" applyNumberFormat="1" applyFont="1" applyFill="1" applyBorder="1" applyAlignment="1">
      <alignment horizontal="center" vertical="center"/>
    </xf>
    <xf numFmtId="1" fontId="65" fillId="0" borderId="40" xfId="1360" applyNumberFormat="1" applyFont="1" applyFill="1" applyBorder="1" applyAlignment="1">
      <alignment horizontal="center" vertical="center"/>
    </xf>
    <xf numFmtId="2" fontId="65" fillId="0" borderId="40" xfId="1360" applyNumberFormat="1" applyFont="1" applyFill="1" applyBorder="1" applyAlignment="1">
      <alignment horizontal="center" vertical="center"/>
    </xf>
    <xf numFmtId="2" fontId="65" fillId="0" borderId="38" xfId="1360" applyNumberFormat="1" applyFont="1" applyFill="1" applyBorder="1" applyAlignment="1">
      <alignment horizontal="center" vertical="center"/>
    </xf>
    <xf numFmtId="1" fontId="65" fillId="31" borderId="40" xfId="1360" applyNumberFormat="1" applyFont="1" applyFill="1" applyBorder="1" applyAlignment="1">
      <alignment horizontal="center" vertical="center"/>
    </xf>
    <xf numFmtId="0" fontId="65" fillId="31" borderId="40" xfId="1360" applyFont="1" applyFill="1" applyBorder="1" applyAlignment="1">
      <alignment horizontal="center" vertical="center"/>
    </xf>
    <xf numFmtId="2" fontId="65" fillId="31" borderId="38" xfId="1360" applyNumberFormat="1" applyFont="1" applyFill="1" applyBorder="1" applyAlignment="1">
      <alignment horizontal="center" vertical="center"/>
    </xf>
    <xf numFmtId="0" fontId="65" fillId="0" borderId="39" xfId="1360" applyFont="1" applyFill="1" applyBorder="1" applyAlignment="1">
      <alignment horizontal="center" vertical="center"/>
    </xf>
    <xf numFmtId="0" fontId="65" fillId="0" borderId="40" xfId="1360" applyFont="1" applyFill="1" applyBorder="1" applyAlignment="1">
      <alignment horizontal="center" vertical="center"/>
    </xf>
    <xf numFmtId="0" fontId="65" fillId="38" borderId="3" xfId="1360" applyFont="1" applyFill="1" applyBorder="1" applyAlignment="1">
      <alignment vertical="center"/>
    </xf>
    <xf numFmtId="0" fontId="65" fillId="38" borderId="0" xfId="1360" applyFont="1" applyFill="1" applyBorder="1" applyAlignment="1">
      <alignment vertical="center"/>
    </xf>
    <xf numFmtId="2" fontId="65" fillId="38" borderId="0" xfId="1360" applyNumberFormat="1" applyFont="1" applyFill="1" applyBorder="1" applyAlignment="1">
      <alignment vertical="center"/>
    </xf>
    <xf numFmtId="0" fontId="65" fillId="38" borderId="4" xfId="1360" applyFont="1" applyFill="1" applyBorder="1" applyAlignment="1">
      <alignment vertical="center"/>
    </xf>
    <xf numFmtId="1" fontId="65" fillId="0" borderId="3" xfId="1360" applyNumberFormat="1" applyFont="1" applyFill="1" applyBorder="1" applyAlignment="1">
      <alignment horizontal="center" vertical="center"/>
    </xf>
    <xf numFmtId="2" fontId="65" fillId="31" borderId="0" xfId="1360" applyNumberFormat="1" applyFont="1" applyFill="1" applyBorder="1" applyAlignment="1">
      <alignment horizontal="center" vertical="center"/>
    </xf>
    <xf numFmtId="183" fontId="65" fillId="31" borderId="0" xfId="1360" applyNumberFormat="1" applyFont="1" applyFill="1" applyBorder="1" applyAlignment="1">
      <alignment horizontal="center" vertical="center"/>
    </xf>
    <xf numFmtId="183" fontId="65" fillId="31" borderId="4" xfId="1360" applyNumberFormat="1" applyFont="1" applyFill="1" applyBorder="1" applyAlignment="1">
      <alignment horizontal="center" vertical="center"/>
    </xf>
    <xf numFmtId="1" fontId="65" fillId="0" borderId="0" xfId="1360" applyNumberFormat="1" applyFont="1" applyFill="1" applyBorder="1" applyAlignment="1">
      <alignment horizontal="center" vertical="center"/>
    </xf>
    <xf numFmtId="1" fontId="65" fillId="31" borderId="0" xfId="1360" applyNumberFormat="1" applyFont="1" applyFill="1" applyBorder="1" applyAlignment="1">
      <alignment horizontal="center" vertical="center"/>
    </xf>
    <xf numFmtId="0" fontId="65" fillId="31" borderId="0" xfId="1360" applyFont="1" applyFill="1" applyBorder="1" applyAlignment="1">
      <alignment horizontal="center" vertical="center"/>
    </xf>
    <xf numFmtId="2" fontId="65" fillId="31" borderId="4" xfId="1360" applyNumberFormat="1" applyFont="1" applyFill="1" applyBorder="1" applyAlignment="1">
      <alignment horizontal="center" vertical="center"/>
    </xf>
    <xf numFmtId="0" fontId="65" fillId="0" borderId="3" xfId="1360" applyFont="1" applyFill="1" applyBorder="1" applyAlignment="1">
      <alignment horizontal="center" vertical="center"/>
    </xf>
    <xf numFmtId="1" fontId="65" fillId="39" borderId="3" xfId="1360" applyNumberFormat="1" applyFont="1" applyFill="1" applyBorder="1" applyAlignment="1">
      <alignment horizontal="center" vertical="center"/>
    </xf>
    <xf numFmtId="1" fontId="65" fillId="39" borderId="0" xfId="1360" applyNumberFormat="1" applyFont="1" applyFill="1" applyBorder="1" applyAlignment="1">
      <alignment horizontal="center" vertical="center"/>
    </xf>
    <xf numFmtId="183" fontId="65" fillId="39" borderId="0" xfId="1360" applyNumberFormat="1" applyFont="1" applyFill="1" applyBorder="1" applyAlignment="1">
      <alignment horizontal="center" vertical="center"/>
    </xf>
    <xf numFmtId="0" fontId="65" fillId="39" borderId="0" xfId="1360" applyFont="1" applyFill="1" applyBorder="1" applyAlignment="1">
      <alignment horizontal="center" vertical="center"/>
    </xf>
    <xf numFmtId="2" fontId="65" fillId="39" borderId="4" xfId="1360" applyNumberFormat="1" applyFont="1" applyFill="1" applyBorder="1" applyAlignment="1">
      <alignment horizontal="center" vertical="center"/>
    </xf>
    <xf numFmtId="183" fontId="65" fillId="0" borderId="0" xfId="1360" applyNumberFormat="1" applyFont="1" applyFill="1" applyBorder="1" applyAlignment="1">
      <alignment horizontal="center" vertical="center"/>
    </xf>
    <xf numFmtId="0" fontId="65" fillId="0" borderId="6" xfId="1360" applyFont="1" applyFill="1" applyBorder="1" applyAlignment="1">
      <alignment horizontal="center" vertical="center"/>
    </xf>
    <xf numFmtId="0" fontId="65" fillId="0" borderId="2" xfId="1360" applyFont="1" applyFill="1" applyBorder="1" applyAlignment="1">
      <alignment horizontal="center" vertical="center"/>
    </xf>
    <xf numFmtId="2" fontId="65" fillId="0" borderId="7" xfId="1360" applyNumberFormat="1" applyFont="1" applyFill="1" applyBorder="1" applyAlignment="1">
      <alignment horizontal="center" vertical="center"/>
    </xf>
    <xf numFmtId="1" fontId="65" fillId="37" borderId="0" xfId="1360" applyNumberFormat="1" applyFont="1" applyFill="1" applyBorder="1" applyAlignment="1">
      <alignment vertical="center"/>
    </xf>
    <xf numFmtId="1" fontId="65" fillId="31" borderId="6" xfId="1360" applyNumberFormat="1" applyFont="1" applyFill="1" applyBorder="1" applyAlignment="1">
      <alignment horizontal="center" vertical="center"/>
    </xf>
    <xf numFmtId="1" fontId="65" fillId="31" borderId="2" xfId="1360" applyNumberFormat="1" applyFont="1" applyFill="1" applyBorder="1" applyAlignment="1">
      <alignment horizontal="center" vertical="center"/>
    </xf>
    <xf numFmtId="183" fontId="65" fillId="31" borderId="2" xfId="1360" applyNumberFormat="1" applyFont="1" applyFill="1" applyBorder="1" applyAlignment="1">
      <alignment horizontal="center" vertical="center"/>
    </xf>
    <xf numFmtId="0" fontId="65" fillId="31" borderId="2" xfId="1360" applyFont="1" applyFill="1" applyBorder="1" applyAlignment="1">
      <alignment horizontal="center" vertical="center"/>
    </xf>
    <xf numFmtId="2" fontId="65" fillId="31" borderId="7" xfId="1360" applyNumberFormat="1" applyFont="1" applyFill="1" applyBorder="1" applyAlignment="1">
      <alignment horizontal="center" vertical="center"/>
    </xf>
    <xf numFmtId="1" fontId="65" fillId="0" borderId="0" xfId="1360" applyNumberFormat="1" applyFont="1" applyFill="1" applyAlignment="1">
      <alignment horizontal="center" vertical="center"/>
    </xf>
    <xf numFmtId="1" fontId="65" fillId="0" borderId="6" xfId="1360" applyNumberFormat="1" applyFont="1" applyFill="1" applyBorder="1" applyAlignment="1">
      <alignment horizontal="center" vertical="center"/>
    </xf>
    <xf numFmtId="1" fontId="65" fillId="0" borderId="2" xfId="1360" applyNumberFormat="1" applyFont="1" applyFill="1" applyBorder="1" applyAlignment="1">
      <alignment horizontal="center" vertical="center"/>
    </xf>
    <xf numFmtId="2" fontId="65" fillId="0" borderId="2" xfId="1360" applyNumberFormat="1" applyFont="1" applyFill="1" applyBorder="1" applyAlignment="1">
      <alignment horizontal="center" vertical="center"/>
    </xf>
    <xf numFmtId="2" fontId="65" fillId="0" borderId="53" xfId="1360" applyNumberFormat="1" applyFont="1" applyFill="1" applyBorder="1" applyAlignment="1">
      <alignment horizontal="center" vertical="center"/>
    </xf>
    <xf numFmtId="174" fontId="65" fillId="0" borderId="0" xfId="1360" applyNumberFormat="1" applyFont="1" applyFill="1" applyAlignment="1">
      <alignment vertical="center"/>
    </xf>
    <xf numFmtId="1" fontId="65" fillId="0" borderId="53" xfId="1360" applyNumberFormat="1" applyFont="1" applyFill="1" applyBorder="1" applyAlignment="1">
      <alignment horizontal="center" vertical="center"/>
    </xf>
    <xf numFmtId="0" fontId="65" fillId="36" borderId="3" xfId="1360" applyFont="1" applyFill="1" applyBorder="1" applyAlignment="1">
      <alignment vertical="center"/>
    </xf>
    <xf numFmtId="0" fontId="65" fillId="36" borderId="0" xfId="1360" applyFont="1" applyFill="1" applyBorder="1" applyAlignment="1">
      <alignment vertical="center"/>
    </xf>
    <xf numFmtId="2" fontId="65" fillId="31" borderId="2" xfId="1360" applyNumberFormat="1" applyFont="1" applyFill="1" applyBorder="1" applyAlignment="1">
      <alignment horizontal="center" vertical="center"/>
    </xf>
    <xf numFmtId="183" fontId="65" fillId="31" borderId="7" xfId="1360" applyNumberFormat="1" applyFont="1" applyFill="1" applyBorder="1" applyAlignment="1">
      <alignment horizontal="center" vertical="center"/>
    </xf>
    <xf numFmtId="2" fontId="65" fillId="0" borderId="0" xfId="1360" applyNumberFormat="1" applyFont="1" applyFill="1" applyBorder="1" applyAlignment="1">
      <alignment horizontal="right" vertical="center"/>
    </xf>
    <xf numFmtId="2" fontId="65" fillId="36" borderId="0" xfId="1360" applyNumberFormat="1" applyFont="1" applyFill="1" applyBorder="1" applyAlignment="1">
      <alignment vertical="center"/>
    </xf>
    <xf numFmtId="0" fontId="65" fillId="36" borderId="4" xfId="1360" applyFont="1" applyFill="1" applyBorder="1" applyAlignment="1">
      <alignment vertical="center"/>
    </xf>
    <xf numFmtId="0" fontId="65" fillId="0" borderId="0" xfId="2" applyFont="1" applyFill="1" applyAlignment="1">
      <alignment vertical="center"/>
    </xf>
    <xf numFmtId="0" fontId="65" fillId="36" borderId="3" xfId="1360" applyFont="1" applyFill="1" applyBorder="1" applyAlignment="1">
      <alignment horizontal="center" vertical="center"/>
    </xf>
    <xf numFmtId="0" fontId="65" fillId="36" borderId="0" xfId="1360" applyFont="1" applyFill="1" applyBorder="1" applyAlignment="1">
      <alignment horizontal="center" vertical="center"/>
    </xf>
    <xf numFmtId="2" fontId="65" fillId="36" borderId="3" xfId="1360" applyNumberFormat="1" applyFont="1" applyFill="1" applyBorder="1" applyAlignment="1">
      <alignment horizontal="center" vertical="center"/>
    </xf>
    <xf numFmtId="49" fontId="65" fillId="36" borderId="0" xfId="1360" applyNumberFormat="1" applyFont="1" applyFill="1" applyBorder="1" applyAlignment="1">
      <alignment horizontal="center" vertical="center"/>
    </xf>
    <xf numFmtId="0" fontId="2" fillId="36" borderId="0" xfId="1414" applyFill="1" applyAlignment="1">
      <alignment vertical="center"/>
    </xf>
    <xf numFmtId="2" fontId="65" fillId="0" borderId="3" xfId="1360" applyNumberFormat="1" applyFont="1" applyFill="1" applyBorder="1" applyAlignment="1">
      <alignment horizontal="center" vertical="center"/>
    </xf>
    <xf numFmtId="49" fontId="65" fillId="0" borderId="0" xfId="1360" applyNumberFormat="1" applyFont="1" applyFill="1" applyBorder="1" applyAlignment="1">
      <alignment horizontal="center" vertical="center"/>
    </xf>
    <xf numFmtId="2" fontId="65" fillId="36" borderId="0" xfId="1360" applyNumberFormat="1" applyFont="1" applyFill="1" applyBorder="1" applyAlignment="1">
      <alignment horizontal="center" vertical="center"/>
    </xf>
    <xf numFmtId="183" fontId="65" fillId="36" borderId="0" xfId="1360" applyNumberFormat="1" applyFont="1" applyFill="1" applyBorder="1" applyAlignment="1">
      <alignment vertical="center"/>
    </xf>
    <xf numFmtId="173" fontId="65" fillId="0" borderId="0" xfId="1360" applyNumberFormat="1" applyFont="1" applyFill="1" applyAlignment="1">
      <alignment vertical="center"/>
    </xf>
    <xf numFmtId="0" fontId="65" fillId="0" borderId="0" xfId="1360" applyFont="1" applyFill="1" applyAlignment="1">
      <alignment horizontal="left" vertical="center"/>
    </xf>
    <xf numFmtId="173" fontId="65" fillId="0" borderId="0" xfId="1360" applyNumberFormat="1" applyFont="1" applyFill="1" applyAlignment="1">
      <alignment horizontal="right" vertical="center"/>
    </xf>
    <xf numFmtId="0" fontId="65" fillId="0" borderId="6" xfId="1360" applyFont="1" applyFill="1" applyBorder="1" applyAlignment="1">
      <alignment vertical="center"/>
    </xf>
    <xf numFmtId="0" fontId="65" fillId="0" borderId="2" xfId="1360" applyFont="1" applyFill="1" applyBorder="1" applyAlignment="1">
      <alignment vertical="center"/>
    </xf>
    <xf numFmtId="2" fontId="65" fillId="0" borderId="2" xfId="1360" applyNumberFormat="1" applyFont="1" applyFill="1" applyBorder="1" applyAlignment="1">
      <alignment vertical="center"/>
    </xf>
    <xf numFmtId="0" fontId="65" fillId="0" borderId="7" xfId="1360" applyFont="1" applyFill="1" applyBorder="1" applyAlignment="1">
      <alignment vertical="center"/>
    </xf>
    <xf numFmtId="173" fontId="65" fillId="0" borderId="0" xfId="1360" applyNumberFormat="1" applyFont="1" applyFill="1" applyBorder="1" applyAlignment="1">
      <alignment vertical="center"/>
    </xf>
    <xf numFmtId="1" fontId="69" fillId="0" borderId="0" xfId="1360" applyNumberFormat="1" applyFont="1" applyFill="1" applyAlignment="1">
      <alignment horizontal="center" vertical="center"/>
    </xf>
    <xf numFmtId="1" fontId="69" fillId="0" borderId="0" xfId="1360" applyNumberFormat="1" applyFont="1" applyFill="1" applyAlignment="1">
      <alignment vertical="center"/>
    </xf>
    <xf numFmtId="4" fontId="3" fillId="32" borderId="0" xfId="3" applyNumberFormat="1" applyFont="1" applyFill="1" applyBorder="1" applyAlignment="1">
      <alignment vertical="center"/>
    </xf>
    <xf numFmtId="4" fontId="3" fillId="0" borderId="0" xfId="3" applyNumberFormat="1" applyFont="1" applyFill="1" applyBorder="1" applyAlignment="1">
      <alignment vertical="center"/>
    </xf>
    <xf numFmtId="0" fontId="3" fillId="33" borderId="0" xfId="3" applyFont="1" applyFill="1" applyAlignment="1">
      <alignment vertical="center"/>
    </xf>
    <xf numFmtId="2" fontId="3" fillId="33" borderId="0" xfId="3" applyNumberFormat="1" applyFont="1" applyFill="1" applyAlignment="1">
      <alignment vertical="center"/>
    </xf>
    <xf numFmtId="4" fontId="51" fillId="33" borderId="0" xfId="3" applyNumberFormat="1" applyFont="1" applyFill="1"/>
    <xf numFmtId="4" fontId="52" fillId="33" borderId="0" xfId="3" applyNumberFormat="1" applyFont="1" applyFill="1"/>
    <xf numFmtId="4" fontId="3" fillId="40" borderId="0" xfId="3" applyNumberFormat="1" applyFont="1" applyFill="1" applyBorder="1" applyAlignment="1">
      <alignment vertical="center"/>
    </xf>
    <xf numFmtId="0" fontId="3" fillId="33" borderId="2" xfId="3" applyFont="1" applyFill="1" applyBorder="1" applyAlignment="1">
      <alignment vertical="center"/>
    </xf>
    <xf numFmtId="4" fontId="3" fillId="32" borderId="2" xfId="3" applyNumberFormat="1" applyFont="1" applyFill="1" applyBorder="1" applyAlignment="1">
      <alignment vertical="center"/>
    </xf>
    <xf numFmtId="4" fontId="3" fillId="40" borderId="2" xfId="3" applyNumberFormat="1" applyFont="1" applyFill="1" applyBorder="1" applyAlignment="1">
      <alignment vertical="center"/>
    </xf>
    <xf numFmtId="4" fontId="20" fillId="40" borderId="34" xfId="3" applyNumberFormat="1" applyFont="1" applyFill="1" applyBorder="1"/>
    <xf numFmtId="0" fontId="52" fillId="40" borderId="37" xfId="3" applyFont="1" applyFill="1" applyBorder="1"/>
    <xf numFmtId="0" fontId="3" fillId="40" borderId="35" xfId="3" applyFont="1" applyFill="1" applyBorder="1"/>
    <xf numFmtId="0" fontId="46" fillId="0" borderId="44" xfId="2" applyFont="1" applyFill="1" applyBorder="1" applyAlignment="1">
      <alignment horizontal="center" vertical="center"/>
    </xf>
    <xf numFmtId="49" fontId="49" fillId="0" borderId="44" xfId="2" applyNumberFormat="1" applyFont="1" applyFill="1" applyBorder="1" applyAlignment="1">
      <alignment horizontal="center" vertical="center"/>
    </xf>
    <xf numFmtId="0" fontId="3" fillId="0" borderId="6" xfId="3" applyFont="1" applyFill="1" applyBorder="1" applyAlignment="1">
      <alignment horizontal="center" vertical="center"/>
    </xf>
    <xf numFmtId="4" fontId="3" fillId="0" borderId="44" xfId="3" applyNumberFormat="1" applyFont="1" applyFill="1" applyBorder="1" applyAlignment="1">
      <alignment vertical="center"/>
    </xf>
    <xf numFmtId="4" fontId="49" fillId="0" borderId="44" xfId="2" applyNumberFormat="1" applyFont="1" applyFill="1" applyBorder="1" applyAlignment="1">
      <alignment horizontal="center" vertical="center"/>
    </xf>
    <xf numFmtId="4" fontId="46" fillId="0" borderId="44" xfId="2" applyNumberFormat="1" applyFont="1" applyFill="1" applyBorder="1" applyAlignment="1">
      <alignment horizontal="center" vertical="center"/>
    </xf>
    <xf numFmtId="0" fontId="45" fillId="0" borderId="3" xfId="3" applyFont="1" applyFill="1" applyBorder="1" applyAlignment="1">
      <alignment horizontal="center" vertical="center" wrapText="1"/>
    </xf>
    <xf numFmtId="4" fontId="51" fillId="0" borderId="0" xfId="3" applyNumberFormat="1" applyFont="1" applyFill="1"/>
    <xf numFmtId="4" fontId="52" fillId="0" borderId="0" xfId="3" applyNumberFormat="1" applyFont="1" applyFill="1"/>
    <xf numFmtId="4" fontId="20" fillId="0" borderId="0" xfId="3" applyNumberFormat="1" applyFont="1" applyFill="1" applyBorder="1"/>
    <xf numFmtId="0" fontId="52" fillId="0" borderId="0" xfId="3" applyFont="1" applyFill="1" applyBorder="1"/>
    <xf numFmtId="0" fontId="3" fillId="0" borderId="0" xfId="3" applyFont="1" applyFill="1" applyBorder="1"/>
    <xf numFmtId="0" fontId="65" fillId="0" borderId="0" xfId="1360" applyNumberFormat="1" applyFont="1" applyFill="1" applyBorder="1" applyAlignment="1">
      <alignment horizontal="center" vertical="center"/>
    </xf>
    <xf numFmtId="0" fontId="66" fillId="0" borderId="0" xfId="1360" applyFont="1" applyFill="1" applyBorder="1" applyAlignment="1">
      <alignment horizontal="center" vertical="center" wrapText="1"/>
    </xf>
    <xf numFmtId="185" fontId="65" fillId="0" borderId="0" xfId="1360" applyNumberFormat="1" applyFont="1" applyFill="1" applyBorder="1" applyAlignment="1">
      <alignment horizontal="center"/>
    </xf>
    <xf numFmtId="0" fontId="65" fillId="0" borderId="0" xfId="1360" applyNumberFormat="1" applyFont="1" applyFill="1" applyBorder="1" applyAlignment="1">
      <alignment horizontal="center" vertical="center" wrapText="1"/>
    </xf>
    <xf numFmtId="2" fontId="65" fillId="0" borderId="0" xfId="1360" applyNumberFormat="1" applyFont="1" applyFill="1" applyBorder="1" applyAlignment="1">
      <alignment horizontal="center"/>
    </xf>
    <xf numFmtId="1" fontId="3" fillId="0" borderId="6" xfId="3" applyNumberFormat="1" applyFont="1" applyFill="1" applyBorder="1" applyAlignment="1">
      <alignment horizontal="center" vertical="center"/>
    </xf>
    <xf numFmtId="0" fontId="20" fillId="0" borderId="44" xfId="2" applyFont="1" applyFill="1" applyBorder="1" applyAlignment="1">
      <alignment horizontal="center" vertical="center" wrapText="1"/>
    </xf>
    <xf numFmtId="0" fontId="44" fillId="0" borderId="44" xfId="3" applyFont="1" applyFill="1" applyBorder="1" applyAlignment="1">
      <alignment horizontal="center" vertical="center" wrapText="1"/>
    </xf>
    <xf numFmtId="0" fontId="20" fillId="0" borderId="44" xfId="3" applyFont="1" applyFill="1" applyBorder="1" applyAlignment="1">
      <alignment horizontal="center" vertical="center" wrapText="1"/>
    </xf>
    <xf numFmtId="0" fontId="20" fillId="0" borderId="44" xfId="3" applyFont="1" applyFill="1" applyBorder="1" applyAlignment="1">
      <alignment horizontal="center" vertical="center"/>
    </xf>
    <xf numFmtId="4" fontId="20" fillId="0" borderId="44" xfId="3" applyNumberFormat="1" applyFont="1" applyFill="1" applyBorder="1" applyAlignment="1" applyProtection="1">
      <alignment vertical="center"/>
      <protection locked="0"/>
    </xf>
    <xf numFmtId="4" fontId="20" fillId="0" borderId="7" xfId="3" applyNumberFormat="1" applyFont="1" applyFill="1" applyBorder="1" applyAlignment="1" applyProtection="1">
      <alignment vertical="center"/>
      <protection locked="0"/>
    </xf>
    <xf numFmtId="10" fontId="3" fillId="0" borderId="44" xfId="2558" applyNumberFormat="1" applyFont="1" applyFill="1" applyBorder="1" applyAlignment="1">
      <alignment horizontal="right" vertical="center"/>
    </xf>
    <xf numFmtId="4" fontId="20" fillId="0" borderId="44" xfId="3" applyNumberFormat="1" applyFont="1" applyFill="1" applyBorder="1" applyAlignment="1">
      <alignment horizontal="right" vertical="center"/>
    </xf>
    <xf numFmtId="2" fontId="3" fillId="0" borderId="0" xfId="3" applyNumberFormat="1" applyFont="1" applyFill="1" applyAlignment="1">
      <alignment vertical="center"/>
    </xf>
    <xf numFmtId="1" fontId="69" fillId="0" borderId="0" xfId="1360" applyNumberFormat="1" applyFont="1" applyFill="1" applyAlignment="1">
      <alignment horizontal="left" vertical="center"/>
    </xf>
    <xf numFmtId="0" fontId="11" fillId="0" borderId="0" xfId="1284" applyFont="1" applyFill="1" applyAlignment="1">
      <alignment horizontal="center" vertical="center" wrapText="1"/>
    </xf>
    <xf numFmtId="1" fontId="3" fillId="0" borderId="5" xfId="2" applyNumberFormat="1" applyFont="1" applyFill="1" applyBorder="1" applyAlignment="1" applyProtection="1">
      <alignment horizontal="center" vertical="center" wrapText="1"/>
    </xf>
    <xf numFmtId="0" fontId="3" fillId="0" borderId="5" xfId="2" applyFont="1" applyFill="1" applyBorder="1" applyAlignment="1" applyProtection="1">
      <alignment horizontal="justify" vertical="center" wrapText="1"/>
    </xf>
    <xf numFmtId="1" fontId="3" fillId="0" borderId="3" xfId="2" applyNumberFormat="1" applyFont="1" applyFill="1" applyBorder="1" applyAlignment="1">
      <alignment horizontal="center" vertical="center"/>
    </xf>
    <xf numFmtId="4" fontId="3" fillId="0" borderId="5" xfId="3" applyNumberFormat="1" applyFont="1" applyFill="1" applyBorder="1" applyAlignment="1">
      <alignment horizontal="justify" vertical="center"/>
    </xf>
    <xf numFmtId="4" fontId="3" fillId="0" borderId="5" xfId="3" applyNumberFormat="1" applyFont="1" applyFill="1" applyBorder="1" applyAlignment="1">
      <alignment horizontal="justify" vertical="center" wrapText="1"/>
    </xf>
    <xf numFmtId="0" fontId="14" fillId="0" borderId="50" xfId="1084" applyFont="1" applyFill="1" applyBorder="1" applyAlignment="1">
      <alignment horizontal="justify" vertical="center" wrapText="1"/>
    </xf>
    <xf numFmtId="0" fontId="14" fillId="0" borderId="0" xfId="1084" applyNumberFormat="1" applyFont="1" applyFill="1" applyAlignment="1">
      <alignment vertical="center"/>
    </xf>
    <xf numFmtId="4" fontId="3" fillId="0" borderId="3" xfId="3" applyNumberFormat="1" applyFont="1" applyFill="1" applyBorder="1" applyAlignment="1" applyProtection="1">
      <alignment vertical="center"/>
      <protection locked="0"/>
    </xf>
    <xf numFmtId="1" fontId="45" fillId="0" borderId="5" xfId="3" applyNumberFormat="1" applyFont="1" applyFill="1" applyBorder="1" applyAlignment="1">
      <alignment horizontal="right" vertical="center" wrapText="1"/>
    </xf>
    <xf numFmtId="1" fontId="45" fillId="0" borderId="5" xfId="3" applyNumberFormat="1" applyFont="1" applyFill="1" applyBorder="1" applyAlignment="1">
      <alignment horizontal="center" vertical="center" wrapText="1"/>
    </xf>
    <xf numFmtId="49" fontId="48" fillId="30" borderId="4" xfId="2" applyNumberFormat="1" applyFont="1" applyFill="1" applyBorder="1" applyAlignment="1">
      <alignment horizontal="left" vertical="center"/>
    </xf>
    <xf numFmtId="10" fontId="48" fillId="30" borderId="4" xfId="2" applyNumberFormat="1" applyFont="1" applyFill="1" applyBorder="1" applyAlignment="1">
      <alignment horizontal="left" vertical="center"/>
    </xf>
    <xf numFmtId="10" fontId="48" fillId="30" borderId="7" xfId="2" applyNumberFormat="1" applyFont="1" applyFill="1" applyBorder="1" applyAlignment="1">
      <alignment horizontal="left" vertical="center"/>
    </xf>
    <xf numFmtId="0" fontId="48" fillId="30" borderId="35" xfId="3" applyFont="1" applyFill="1" applyBorder="1" applyAlignment="1" applyProtection="1">
      <alignment horizontal="center" vertical="center" wrapText="1"/>
      <protection locked="0"/>
    </xf>
    <xf numFmtId="49" fontId="48" fillId="30" borderId="35" xfId="3" applyNumberFormat="1" applyFont="1" applyFill="1" applyBorder="1" applyAlignment="1" applyProtection="1">
      <alignment horizontal="center" vertical="center" wrapText="1"/>
      <protection locked="0"/>
    </xf>
    <xf numFmtId="4" fontId="48" fillId="30" borderId="35" xfId="3" applyNumberFormat="1" applyFont="1" applyFill="1" applyBorder="1" applyAlignment="1" applyProtection="1">
      <alignment horizontal="center" vertical="center" wrapText="1"/>
      <protection locked="0"/>
    </xf>
    <xf numFmtId="2" fontId="3" fillId="0" borderId="0" xfId="2" applyNumberFormat="1" applyFont="1" applyProtection="1">
      <protection locked="0"/>
    </xf>
    <xf numFmtId="0" fontId="56" fillId="30" borderId="53" xfId="424" applyFont="1" applyFill="1" applyBorder="1" applyAlignment="1">
      <alignment horizontal="center" vertical="center"/>
    </xf>
    <xf numFmtId="0" fontId="56" fillId="30" borderId="53" xfId="424" applyFont="1" applyFill="1" applyBorder="1" applyAlignment="1">
      <alignment horizontal="center" vertical="center" wrapText="1"/>
    </xf>
    <xf numFmtId="1" fontId="58" fillId="0" borderId="53" xfId="2557" applyNumberFormat="1" applyFont="1" applyFill="1" applyBorder="1" applyAlignment="1">
      <alignment horizontal="center" vertical="center"/>
    </xf>
    <xf numFmtId="0" fontId="58" fillId="0" borderId="53" xfId="2552" applyNumberFormat="1" applyFont="1" applyFill="1" applyBorder="1" applyAlignment="1">
      <alignment horizontal="left" vertical="center" wrapText="1"/>
    </xf>
    <xf numFmtId="0" fontId="58" fillId="0" borderId="53" xfId="2552" applyNumberFormat="1" applyFont="1" applyFill="1" applyBorder="1" applyAlignment="1">
      <alignment horizontal="center" vertical="center" wrapText="1"/>
    </xf>
    <xf numFmtId="4" fontId="58" fillId="0" borderId="53" xfId="2555" applyNumberFormat="1" applyFont="1" applyFill="1" applyBorder="1" applyAlignment="1">
      <alignment horizontal="center" vertical="center"/>
    </xf>
    <xf numFmtId="2" fontId="58" fillId="0" borderId="53" xfId="2555" applyNumberFormat="1" applyFont="1" applyFill="1" applyBorder="1" applyAlignment="1">
      <alignment horizontal="center" vertical="center"/>
    </xf>
    <xf numFmtId="4" fontId="58" fillId="0" borderId="53" xfId="2555" applyNumberFormat="1" applyFont="1" applyFill="1" applyBorder="1" applyAlignment="1">
      <alignment horizontal="right" vertical="center"/>
    </xf>
    <xf numFmtId="0" fontId="56" fillId="30" borderId="53" xfId="421" applyFont="1" applyFill="1" applyBorder="1" applyAlignment="1">
      <alignment horizontal="right" vertical="center"/>
    </xf>
    <xf numFmtId="178" fontId="56" fillId="30" borderId="53" xfId="421" applyNumberFormat="1" applyFont="1" applyFill="1" applyBorder="1" applyAlignment="1">
      <alignment vertical="center"/>
    </xf>
    <xf numFmtId="178" fontId="56" fillId="0" borderId="0" xfId="421" applyNumberFormat="1" applyFont="1" applyFill="1" applyBorder="1" applyAlignment="1">
      <alignment vertical="center"/>
    </xf>
    <xf numFmtId="2" fontId="55" fillId="0" borderId="0" xfId="0" applyNumberFormat="1" applyFont="1" applyFill="1"/>
    <xf numFmtId="0" fontId="55" fillId="0" borderId="0" xfId="0" applyFont="1" applyFill="1" applyAlignment="1">
      <alignment horizontal="left" vertical="center"/>
    </xf>
    <xf numFmtId="0" fontId="55" fillId="0" borderId="0" xfId="0" applyFont="1" applyFill="1" applyAlignment="1">
      <alignment horizontal="center" vertical="center" wrapText="1"/>
    </xf>
    <xf numFmtId="49" fontId="72" fillId="0" borderId="0" xfId="0" applyNumberFormat="1" applyFont="1" applyFill="1" applyAlignment="1">
      <alignment vertical="center"/>
    </xf>
    <xf numFmtId="0" fontId="11" fillId="30" borderId="0" xfId="1416" applyFont="1" applyFill="1" applyAlignment="1">
      <alignment vertical="center"/>
    </xf>
    <xf numFmtId="2" fontId="11" fillId="30" borderId="0" xfId="1360" applyNumberFormat="1" applyFont="1" applyFill="1" applyAlignment="1">
      <alignment vertical="center"/>
    </xf>
    <xf numFmtId="0" fontId="11" fillId="30" borderId="0" xfId="1284" applyFont="1" applyFill="1" applyAlignment="1">
      <alignment horizontal="left" vertical="center"/>
    </xf>
    <xf numFmtId="0" fontId="11" fillId="30" borderId="0" xfId="1416" applyFont="1" applyFill="1" applyAlignment="1">
      <alignment horizontal="center" vertical="center" wrapText="1"/>
    </xf>
    <xf numFmtId="178" fontId="11" fillId="0" borderId="0" xfId="1416" applyNumberFormat="1" applyFont="1" applyFill="1" applyAlignment="1">
      <alignment vertical="center"/>
    </xf>
    <xf numFmtId="4" fontId="11" fillId="30" borderId="0" xfId="1360" applyNumberFormat="1" applyFont="1" applyFill="1" applyAlignment="1">
      <alignment vertical="center"/>
    </xf>
    <xf numFmtId="0" fontId="55" fillId="0" borderId="0" xfId="1277" applyFont="1" applyFill="1" applyBorder="1" applyAlignment="1">
      <alignment horizontal="center" vertical="center" wrapText="1"/>
    </xf>
    <xf numFmtId="49" fontId="72" fillId="0" borderId="0" xfId="1277" applyNumberFormat="1" applyFont="1" applyFill="1" applyAlignment="1">
      <alignment vertical="center"/>
    </xf>
    <xf numFmtId="0" fontId="48" fillId="30" borderId="33" xfId="3" applyFont="1" applyFill="1" applyBorder="1" applyAlignment="1" applyProtection="1">
      <alignment horizontal="center" vertical="center" wrapText="1"/>
      <protection locked="0"/>
    </xf>
    <xf numFmtId="1" fontId="3" fillId="0" borderId="6" xfId="2" applyNumberFormat="1" applyFont="1" applyFill="1" applyBorder="1" applyAlignment="1">
      <alignment horizontal="center" vertical="center"/>
    </xf>
    <xf numFmtId="4" fontId="3" fillId="0" borderId="44" xfId="3" applyNumberFormat="1" applyFont="1" applyFill="1" applyBorder="1" applyAlignment="1">
      <alignment horizontal="justify" vertical="center"/>
    </xf>
    <xf numFmtId="1" fontId="45" fillId="0" borderId="6" xfId="0" applyNumberFormat="1" applyFont="1" applyFill="1" applyBorder="1" applyAlignment="1">
      <alignment horizontal="right" vertical="center" wrapText="1"/>
    </xf>
    <xf numFmtId="4" fontId="45" fillId="0" borderId="44" xfId="5" applyNumberFormat="1" applyFont="1" applyFill="1" applyBorder="1" applyAlignment="1" applyProtection="1">
      <alignment horizontal="center" vertical="center"/>
    </xf>
    <xf numFmtId="0" fontId="3" fillId="0" borderId="44" xfId="3" applyNumberFormat="1" applyFont="1" applyFill="1" applyBorder="1" applyAlignment="1">
      <alignment horizontal="center" vertical="center"/>
    </xf>
    <xf numFmtId="4" fontId="3" fillId="0" borderId="44" xfId="3" applyNumberFormat="1" applyFont="1" applyFill="1" applyBorder="1" applyAlignment="1" applyProtection="1">
      <alignment vertical="center"/>
    </xf>
    <xf numFmtId="4" fontId="3" fillId="0" borderId="7" xfId="2" applyNumberFormat="1" applyFont="1" applyFill="1" applyBorder="1" applyAlignment="1">
      <alignment vertical="center"/>
    </xf>
    <xf numFmtId="10" fontId="3" fillId="0" borderId="7" xfId="2558" applyNumberFormat="1" applyFont="1" applyFill="1" applyBorder="1" applyAlignment="1">
      <alignment horizontal="right" vertical="center"/>
    </xf>
    <xf numFmtId="4" fontId="3" fillId="0" borderId="7" xfId="3" applyNumberFormat="1" applyFont="1" applyFill="1" applyBorder="1" applyAlignment="1">
      <alignment horizontal="right" vertical="center"/>
    </xf>
    <xf numFmtId="4" fontId="3" fillId="0" borderId="4" xfId="2" applyNumberFormat="1" applyFont="1" applyFill="1" applyBorder="1" applyAlignment="1">
      <alignment horizontal="right" vertical="center"/>
    </xf>
    <xf numFmtId="0" fontId="10" fillId="30" borderId="34" xfId="1360" applyFont="1" applyFill="1" applyBorder="1" applyAlignment="1">
      <alignment horizontal="center" vertical="center" wrapText="1"/>
    </xf>
    <xf numFmtId="2" fontId="10" fillId="30" borderId="36" xfId="1360" applyNumberFormat="1" applyFont="1" applyFill="1" applyBorder="1" applyAlignment="1">
      <alignment horizontal="center" vertical="center"/>
    </xf>
    <xf numFmtId="2" fontId="10" fillId="30" borderId="5" xfId="1360" applyNumberFormat="1" applyFont="1" applyFill="1" applyBorder="1" applyAlignment="1">
      <alignment horizontal="center" vertical="center"/>
    </xf>
    <xf numFmtId="2" fontId="10" fillId="30" borderId="53" xfId="1360" applyNumberFormat="1" applyFont="1" applyFill="1" applyBorder="1" applyAlignment="1">
      <alignment horizontal="center" vertical="center"/>
    </xf>
    <xf numFmtId="2" fontId="10" fillId="30" borderId="34" xfId="1360" applyNumberFormat="1" applyFont="1" applyFill="1" applyBorder="1" applyAlignment="1">
      <alignment horizontal="center" vertical="center" wrapText="1"/>
    </xf>
    <xf numFmtId="0" fontId="10" fillId="30" borderId="53" xfId="1360" applyFont="1" applyFill="1" applyBorder="1" applyAlignment="1">
      <alignment horizontal="center" vertical="center" wrapText="1"/>
    </xf>
    <xf numFmtId="2" fontId="10" fillId="30" borderId="44" xfId="1360" applyNumberFormat="1" applyFont="1" applyFill="1" applyBorder="1" applyAlignment="1">
      <alignment horizontal="center" vertical="center"/>
    </xf>
    <xf numFmtId="2" fontId="10" fillId="30" borderId="44" xfId="1360" applyNumberFormat="1" applyFont="1" applyFill="1" applyBorder="1" applyAlignment="1">
      <alignment horizontal="center" vertical="center" wrapText="1"/>
    </xf>
    <xf numFmtId="2" fontId="65" fillId="30" borderId="53" xfId="1360" applyNumberFormat="1" applyFont="1" applyFill="1" applyBorder="1" applyAlignment="1">
      <alignment horizontal="center" vertical="center"/>
    </xf>
    <xf numFmtId="2" fontId="65" fillId="30" borderId="36" xfId="1360" applyNumberFormat="1" applyFont="1" applyFill="1" applyBorder="1" applyAlignment="1">
      <alignment horizontal="center" vertical="center"/>
    </xf>
    <xf numFmtId="2" fontId="65" fillId="30" borderId="44" xfId="1360" applyNumberFormat="1" applyFont="1" applyFill="1" applyBorder="1" applyAlignment="1">
      <alignment horizontal="center" vertical="center"/>
    </xf>
    <xf numFmtId="2" fontId="10" fillId="30" borderId="44" xfId="1360" applyNumberFormat="1" applyFont="1" applyFill="1" applyBorder="1" applyAlignment="1">
      <alignment horizontal="center" vertical="top"/>
    </xf>
    <xf numFmtId="0" fontId="69" fillId="30" borderId="0" xfId="1360" applyFont="1" applyFill="1" applyAlignment="1">
      <alignment horizontal="center" vertical="center"/>
    </xf>
    <xf numFmtId="2" fontId="69" fillId="30" borderId="0" xfId="1360" applyNumberFormat="1" applyFont="1" applyFill="1" applyAlignment="1">
      <alignment horizontal="right" vertical="center"/>
    </xf>
    <xf numFmtId="186" fontId="69" fillId="30" borderId="0" xfId="1360" applyNumberFormat="1" applyFont="1" applyFill="1" applyAlignment="1">
      <alignment horizontal="right" vertical="center"/>
    </xf>
    <xf numFmtId="0" fontId="69" fillId="30" borderId="0" xfId="1360" applyFont="1" applyFill="1" applyAlignment="1">
      <alignment horizontal="left" vertical="center"/>
    </xf>
    <xf numFmtId="0" fontId="65" fillId="30" borderId="0" xfId="1360" applyFont="1" applyFill="1" applyAlignment="1">
      <alignment vertical="center"/>
    </xf>
    <xf numFmtId="1" fontId="11" fillId="30" borderId="0" xfId="1416" applyNumberFormat="1" applyFont="1" applyFill="1"/>
    <xf numFmtId="0" fontId="11" fillId="30" borderId="0" xfId="1416" applyFont="1" applyFill="1" applyAlignment="1">
      <alignment horizontal="left" vertical="center"/>
    </xf>
    <xf numFmtId="0" fontId="11" fillId="30" borderId="0" xfId="1284" applyFont="1" applyFill="1" applyAlignment="1">
      <alignment vertical="center"/>
    </xf>
    <xf numFmtId="2" fontId="11" fillId="30" borderId="0" xfId="1284" applyNumberFormat="1" applyFont="1" applyFill="1" applyAlignment="1">
      <alignment vertical="center"/>
    </xf>
    <xf numFmtId="0" fontId="11" fillId="30" borderId="0" xfId="1416" applyNumberFormat="1" applyFont="1" applyFill="1" applyAlignment="1">
      <alignment horizontal="center" vertical="center" wrapText="1"/>
    </xf>
    <xf numFmtId="0" fontId="11" fillId="30" borderId="0" xfId="1360" applyFont="1" applyFill="1" applyAlignment="1">
      <alignment vertical="center"/>
    </xf>
    <xf numFmtId="1" fontId="11" fillId="30" borderId="0" xfId="1416" applyNumberFormat="1" applyFont="1" applyFill="1" applyAlignment="1">
      <alignment vertical="center"/>
    </xf>
    <xf numFmtId="4" fontId="11" fillId="30" borderId="0" xfId="1277" applyNumberFormat="1" applyFont="1" applyFill="1" applyAlignment="1">
      <alignment vertical="center"/>
    </xf>
    <xf numFmtId="0" fontId="11" fillId="30" borderId="0" xfId="1277" applyFont="1" applyFill="1" applyAlignment="1">
      <alignment vertical="center"/>
    </xf>
    <xf numFmtId="0" fontId="11" fillId="30" borderId="0" xfId="1360" applyFont="1" applyFill="1"/>
    <xf numFmtId="4" fontId="11" fillId="30" borderId="0" xfId="1360" applyNumberFormat="1" applyFont="1" applyFill="1"/>
    <xf numFmtId="2" fontId="11" fillId="30" borderId="0" xfId="1360" applyNumberFormat="1" applyFont="1" applyFill="1"/>
    <xf numFmtId="1" fontId="11" fillId="30" borderId="0" xfId="1360" applyNumberFormat="1" applyFont="1" applyFill="1" applyAlignment="1">
      <alignment vertical="center"/>
    </xf>
    <xf numFmtId="178" fontId="11" fillId="30" borderId="0" xfId="1416" applyNumberFormat="1" applyFont="1" applyFill="1" applyAlignment="1">
      <alignment vertical="center"/>
    </xf>
    <xf numFmtId="1" fontId="58" fillId="0" borderId="53" xfId="812" applyNumberFormat="1" applyFont="1" applyFill="1" applyBorder="1" applyAlignment="1">
      <alignment horizontal="center" vertical="center"/>
    </xf>
    <xf numFmtId="0" fontId="14" fillId="0" borderId="53" xfId="3" applyFont="1" applyFill="1" applyBorder="1" applyAlignment="1">
      <alignment horizontal="justify" vertical="center" wrapText="1"/>
    </xf>
    <xf numFmtId="0" fontId="58" fillId="0" borderId="53" xfId="290" applyNumberFormat="1" applyFont="1" applyFill="1" applyBorder="1" applyAlignment="1">
      <alignment horizontal="center" vertical="center"/>
    </xf>
    <xf numFmtId="2" fontId="58" fillId="0" borderId="53" xfId="420" applyNumberFormat="1" applyFont="1" applyFill="1" applyBorder="1" applyAlignment="1">
      <alignment horizontal="center" vertical="center"/>
    </xf>
    <xf numFmtId="4" fontId="14" fillId="0" borderId="53" xfId="420" applyNumberFormat="1" applyFont="1" applyFill="1" applyBorder="1" applyAlignment="1">
      <alignment horizontal="right" vertical="center"/>
    </xf>
    <xf numFmtId="4" fontId="58" fillId="0" borderId="53" xfId="420" applyNumberFormat="1" applyFont="1" applyFill="1" applyBorder="1" applyAlignment="1">
      <alignment horizontal="right" vertical="center"/>
    </xf>
    <xf numFmtId="2" fontId="58" fillId="0" borderId="53" xfId="290" applyNumberFormat="1" applyFont="1" applyFill="1" applyBorder="1" applyAlignment="1">
      <alignment horizontal="center" vertical="center"/>
    </xf>
    <xf numFmtId="0" fontId="58" fillId="0" borderId="53" xfId="421" applyNumberFormat="1" applyFont="1" applyFill="1" applyBorder="1" applyAlignment="1">
      <alignment horizontal="center" vertical="center"/>
    </xf>
    <xf numFmtId="2" fontId="58" fillId="0" borderId="53" xfId="421" applyNumberFormat="1" applyFont="1" applyFill="1" applyBorder="1" applyAlignment="1">
      <alignment horizontal="center" vertical="center"/>
    </xf>
    <xf numFmtId="2" fontId="58" fillId="0" borderId="53" xfId="421" applyNumberFormat="1" applyFont="1" applyFill="1" applyBorder="1" applyAlignment="1">
      <alignment horizontal="right" vertical="center"/>
    </xf>
    <xf numFmtId="0" fontId="58" fillId="0" borderId="53" xfId="469" applyNumberFormat="1" applyFont="1" applyFill="1" applyBorder="1" applyAlignment="1">
      <alignment horizontal="center" vertical="center"/>
    </xf>
    <xf numFmtId="2" fontId="58" fillId="0" borderId="53" xfId="469" applyNumberFormat="1" applyFont="1" applyFill="1" applyBorder="1" applyAlignment="1">
      <alignment horizontal="center" vertical="center"/>
    </xf>
    <xf numFmtId="2" fontId="58" fillId="0" borderId="53" xfId="459" applyNumberFormat="1" applyFont="1" applyFill="1" applyBorder="1" applyAlignment="1">
      <alignment horizontal="center" vertical="center"/>
    </xf>
    <xf numFmtId="4" fontId="58" fillId="0" borderId="53" xfId="469" applyNumberFormat="1" applyFont="1" applyFill="1" applyBorder="1" applyAlignment="1">
      <alignment horizontal="right" vertical="center"/>
    </xf>
    <xf numFmtId="4" fontId="16" fillId="0" borderId="0" xfId="1416" applyNumberFormat="1" applyFont="1" applyFill="1" applyAlignment="1">
      <alignment vertical="center"/>
    </xf>
    <xf numFmtId="0" fontId="58" fillId="0" borderId="33" xfId="2552" applyNumberFormat="1" applyFont="1" applyFill="1" applyBorder="1" applyAlignment="1">
      <alignment horizontal="center" vertical="center"/>
    </xf>
    <xf numFmtId="0" fontId="58" fillId="0" borderId="33" xfId="2555" applyFont="1" applyFill="1" applyBorder="1" applyAlignment="1">
      <alignment horizontal="center" vertical="center"/>
    </xf>
    <xf numFmtId="0" fontId="53" fillId="0" borderId="0" xfId="421" applyFont="1" applyFill="1" applyBorder="1" applyAlignment="1">
      <alignment horizontal="center" vertical="center"/>
    </xf>
    <xf numFmtId="4" fontId="58" fillId="0" borderId="53" xfId="2552" applyNumberFormat="1" applyFont="1" applyFill="1" applyBorder="1" applyAlignment="1">
      <alignment horizontal="center" vertical="center" wrapText="1"/>
    </xf>
    <xf numFmtId="4" fontId="14" fillId="0" borderId="53" xfId="3" applyNumberFormat="1" applyFont="1" applyFill="1" applyBorder="1" applyAlignment="1">
      <alignment horizontal="justify" vertical="center" wrapText="1"/>
    </xf>
    <xf numFmtId="1" fontId="58" fillId="0" borderId="53" xfId="2552" applyNumberFormat="1" applyFont="1" applyFill="1" applyBorder="1" applyAlignment="1">
      <alignment horizontal="center" vertical="center" wrapText="1"/>
    </xf>
    <xf numFmtId="0" fontId="53" fillId="0" borderId="0" xfId="2553" applyFont="1" applyFill="1" applyBorder="1" applyAlignment="1">
      <alignment horizontal="left" vertical="center"/>
    </xf>
    <xf numFmtId="0" fontId="53" fillId="0" borderId="0" xfId="2556" applyFont="1" applyFill="1" applyBorder="1" applyAlignment="1">
      <alignment vertical="center"/>
    </xf>
    <xf numFmtId="4" fontId="55" fillId="0" borderId="0" xfId="1416" applyNumberFormat="1" applyFont="1" applyFill="1" applyAlignment="1">
      <alignment vertical="center"/>
    </xf>
    <xf numFmtId="0" fontId="53" fillId="0" borderId="0" xfId="2555" applyFont="1" applyFill="1" applyBorder="1" applyAlignment="1">
      <alignment horizontal="left" vertical="center"/>
    </xf>
    <xf numFmtId="0" fontId="11" fillId="30" borderId="46" xfId="1084" applyFont="1" applyFill="1" applyBorder="1" applyAlignment="1">
      <alignment horizontal="center" vertical="center" wrapText="1"/>
    </xf>
    <xf numFmtId="0" fontId="11" fillId="30" borderId="47" xfId="1084" applyFont="1" applyFill="1" applyBorder="1" applyAlignment="1">
      <alignment horizontal="center" vertical="center" wrapText="1"/>
    </xf>
    <xf numFmtId="44" fontId="11" fillId="30" borderId="47" xfId="1084" applyNumberFormat="1" applyFont="1" applyFill="1" applyBorder="1" applyAlignment="1">
      <alignment horizontal="center" vertical="center" wrapText="1"/>
    </xf>
    <xf numFmtId="178" fontId="11" fillId="30" borderId="48" xfId="1084" applyNumberFormat="1" applyFont="1" applyFill="1" applyBorder="1" applyAlignment="1">
      <alignment horizontal="center" vertical="center" wrapText="1"/>
    </xf>
    <xf numFmtId="4" fontId="14" fillId="0" borderId="50" xfId="1084" applyNumberFormat="1" applyFont="1" applyFill="1" applyBorder="1" applyAlignment="1">
      <alignment horizontal="justify" vertical="center" wrapText="1"/>
    </xf>
    <xf numFmtId="17" fontId="14" fillId="0" borderId="49" xfId="1084" applyNumberFormat="1" applyFont="1" applyFill="1" applyBorder="1" applyAlignment="1">
      <alignment horizontal="center" vertical="center" wrapText="1"/>
    </xf>
    <xf numFmtId="43" fontId="10" fillId="0" borderId="0" xfId="3" applyNumberFormat="1" applyFont="1" applyFill="1" applyAlignment="1">
      <alignment vertical="center"/>
    </xf>
    <xf numFmtId="178" fontId="73" fillId="0" borderId="0" xfId="2" applyNumberFormat="1" applyFont="1" applyAlignment="1">
      <alignment vertical="center"/>
    </xf>
    <xf numFmtId="0" fontId="73" fillId="0" borderId="0" xfId="2" applyFont="1" applyFill="1"/>
    <xf numFmtId="1" fontId="20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59" fillId="0" borderId="0" xfId="2553" applyFont="1" applyFill="1" applyBorder="1" applyAlignment="1">
      <alignment horizontal="center" vertical="center"/>
    </xf>
    <xf numFmtId="0" fontId="74" fillId="0" borderId="0" xfId="0" applyFont="1"/>
    <xf numFmtId="4" fontId="58" fillId="0" borderId="53" xfId="421" applyNumberFormat="1" applyFont="1" applyFill="1" applyBorder="1" applyAlignment="1">
      <alignment horizontal="right" vertical="center"/>
    </xf>
    <xf numFmtId="4" fontId="58" fillId="0" borderId="53" xfId="421" applyNumberFormat="1" applyFont="1" applyFill="1" applyBorder="1" applyAlignment="1">
      <alignment horizontal="center" vertical="center" wrapText="1"/>
    </xf>
    <xf numFmtId="0" fontId="58" fillId="0" borderId="53" xfId="469" applyFont="1" applyFill="1" applyBorder="1" applyAlignment="1">
      <alignment horizontal="center" vertical="center"/>
    </xf>
    <xf numFmtId="1" fontId="58" fillId="0" borderId="53" xfId="814" applyNumberFormat="1" applyFont="1" applyFill="1" applyBorder="1" applyAlignment="1">
      <alignment horizontal="center" vertical="center"/>
    </xf>
    <xf numFmtId="0" fontId="58" fillId="0" borderId="53" xfId="459" applyNumberFormat="1" applyFont="1" applyFill="1" applyBorder="1" applyAlignment="1">
      <alignment horizontal="center" vertical="center" wrapText="1"/>
    </xf>
    <xf numFmtId="0" fontId="58" fillId="0" borderId="53" xfId="459" applyNumberFormat="1" applyFont="1" applyFill="1" applyBorder="1" applyAlignment="1">
      <alignment horizontal="center" vertical="center"/>
    </xf>
    <xf numFmtId="178" fontId="12" fillId="0" borderId="0" xfId="1416" applyNumberFormat="1" applyFont="1" applyFill="1" applyAlignment="1">
      <alignment vertical="center"/>
    </xf>
    <xf numFmtId="0" fontId="76" fillId="0" borderId="53" xfId="2585" applyFont="1" applyFill="1" applyBorder="1" applyAlignment="1">
      <alignment horizontal="center" vertical="center" wrapText="1"/>
    </xf>
    <xf numFmtId="0" fontId="76" fillId="0" borderId="53" xfId="2585" applyNumberFormat="1" applyFont="1" applyFill="1" applyBorder="1" applyAlignment="1">
      <alignment horizontal="center" vertical="center" wrapText="1"/>
    </xf>
    <xf numFmtId="1" fontId="20" fillId="0" borderId="3" xfId="2" applyNumberFormat="1" applyFont="1" applyFill="1" applyBorder="1" applyAlignment="1">
      <alignment horizontal="center" vertical="center"/>
    </xf>
    <xf numFmtId="4" fontId="77" fillId="0" borderId="5" xfId="3" applyNumberFormat="1" applyFont="1" applyFill="1" applyBorder="1" applyAlignment="1">
      <alignment horizontal="right" vertical="center"/>
    </xf>
    <xf numFmtId="4" fontId="3" fillId="0" borderId="5" xfId="5" applyNumberFormat="1" applyFont="1" applyFill="1" applyBorder="1" applyAlignment="1" applyProtection="1">
      <alignment horizontal="right" vertical="center"/>
      <protection locked="0"/>
    </xf>
    <xf numFmtId="43" fontId="3" fillId="0" borderId="4" xfId="2558" applyFont="1" applyFill="1" applyBorder="1" applyAlignment="1">
      <alignment horizontal="right" vertical="center"/>
    </xf>
    <xf numFmtId="0" fontId="14" fillId="0" borderId="0" xfId="2" applyFont="1" applyAlignment="1">
      <alignment vertical="center"/>
    </xf>
    <xf numFmtId="0" fontId="3" fillId="0" borderId="5" xfId="3" applyFont="1" applyFill="1" applyBorder="1" applyAlignment="1">
      <alignment horizontal="justify" vertical="center"/>
    </xf>
    <xf numFmtId="10" fontId="3" fillId="0" borderId="4" xfId="3" applyNumberFormat="1" applyFont="1" applyFill="1" applyBorder="1" applyAlignment="1">
      <alignment horizontal="right" vertical="center"/>
    </xf>
    <xf numFmtId="4" fontId="3" fillId="0" borderId="4" xfId="3" applyNumberFormat="1" applyFont="1" applyFill="1" applyBorder="1" applyAlignment="1">
      <alignment horizontal="right" vertical="center" wrapText="1"/>
    </xf>
    <xf numFmtId="0" fontId="14" fillId="0" borderId="0" xfId="2" applyFont="1" applyFill="1" applyAlignment="1">
      <alignment vertical="center"/>
    </xf>
    <xf numFmtId="0" fontId="3" fillId="0" borderId="0" xfId="2" applyFont="1" applyFill="1" applyAlignment="1">
      <alignment horizontal="right" vertical="center"/>
    </xf>
    <xf numFmtId="1" fontId="20" fillId="0" borderId="5" xfId="2" applyNumberFormat="1" applyFont="1" applyFill="1" applyBorder="1" applyAlignment="1" applyProtection="1">
      <alignment horizontal="center" vertical="center" wrapText="1"/>
      <protection locked="0"/>
    </xf>
    <xf numFmtId="4" fontId="20" fillId="0" borderId="4" xfId="3" applyNumberFormat="1" applyFont="1" applyFill="1" applyBorder="1" applyAlignment="1">
      <alignment horizontal="right" vertical="center"/>
    </xf>
    <xf numFmtId="0" fontId="45" fillId="0" borderId="3" xfId="0" applyNumberFormat="1" applyFont="1" applyFill="1" applyBorder="1" applyAlignment="1">
      <alignment horizontal="right" vertical="center" wrapText="1"/>
    </xf>
    <xf numFmtId="0" fontId="3" fillId="0" borderId="5" xfId="2" applyFont="1" applyFill="1" applyBorder="1"/>
    <xf numFmtId="4" fontId="52" fillId="0" borderId="0" xfId="3" applyNumberFormat="1" applyFont="1" applyFill="1" applyBorder="1" applyAlignment="1">
      <alignment horizontal="right" vertical="center"/>
    </xf>
    <xf numFmtId="4" fontId="52" fillId="0" borderId="0" xfId="3" applyNumberFormat="1" applyFont="1" applyFill="1" applyBorder="1" applyAlignment="1" applyProtection="1">
      <alignment horizontal="right" vertical="center"/>
    </xf>
    <xf numFmtId="0" fontId="3" fillId="0" borderId="0" xfId="2" applyFont="1" applyFill="1" applyAlignment="1" applyProtection="1">
      <protection locked="0"/>
    </xf>
    <xf numFmtId="0" fontId="3" fillId="0" borderId="44" xfId="3" applyFont="1" applyFill="1" applyBorder="1" applyAlignment="1">
      <alignment horizontal="justify" vertical="center"/>
    </xf>
    <xf numFmtId="0" fontId="45" fillId="0" borderId="6" xfId="0" applyNumberFormat="1" applyFont="1" applyFill="1" applyBorder="1" applyAlignment="1">
      <alignment horizontal="right" vertical="center" wrapText="1"/>
    </xf>
    <xf numFmtId="0" fontId="45" fillId="0" borderId="44" xfId="3" applyFont="1" applyFill="1" applyBorder="1" applyAlignment="1">
      <alignment horizontal="center" vertical="center" wrapText="1"/>
    </xf>
    <xf numFmtId="0" fontId="3" fillId="0" borderId="44" xfId="3" applyFont="1" applyFill="1" applyBorder="1" applyAlignment="1">
      <alignment horizontal="center" vertical="center"/>
    </xf>
    <xf numFmtId="4" fontId="3" fillId="0" borderId="44" xfId="5" applyNumberFormat="1" applyFont="1" applyFill="1" applyBorder="1" applyAlignment="1" applyProtection="1">
      <alignment horizontal="right" vertical="center"/>
      <protection locked="0"/>
    </xf>
    <xf numFmtId="0" fontId="51" fillId="0" borderId="3" xfId="2" applyFont="1" applyFill="1" applyBorder="1" applyAlignment="1" applyProtection="1">
      <alignment horizontal="left" vertical="center" wrapText="1"/>
      <protection locked="0"/>
    </xf>
    <xf numFmtId="0" fontId="51" fillId="0" borderId="0" xfId="2" applyFont="1" applyFill="1" applyBorder="1" applyAlignment="1" applyProtection="1">
      <alignment horizontal="left" vertical="center" wrapText="1"/>
      <protection locked="0"/>
    </xf>
    <xf numFmtId="0" fontId="51" fillId="0" borderId="4" xfId="2" applyFont="1" applyFill="1" applyBorder="1" applyAlignment="1" applyProtection="1">
      <alignment horizontal="left" vertical="center" wrapText="1"/>
      <protection locked="0"/>
    </xf>
    <xf numFmtId="0" fontId="51" fillId="0" borderId="3" xfId="2" applyFont="1" applyFill="1" applyBorder="1" applyAlignment="1" applyProtection="1">
      <alignment horizontal="center" vertical="center" wrapText="1"/>
      <protection locked="0"/>
    </xf>
    <xf numFmtId="0" fontId="51" fillId="0" borderId="0" xfId="2" applyFont="1" applyFill="1" applyBorder="1" applyAlignment="1" applyProtection="1">
      <alignment horizontal="center" vertical="center" wrapText="1"/>
      <protection locked="0"/>
    </xf>
    <xf numFmtId="0" fontId="51" fillId="0" borderId="4" xfId="2" applyFont="1" applyFill="1" applyBorder="1" applyAlignment="1" applyProtection="1">
      <alignment horizontal="center" vertical="center" wrapText="1"/>
      <protection locked="0"/>
    </xf>
    <xf numFmtId="1" fontId="20" fillId="0" borderId="5" xfId="2" applyNumberFormat="1" applyFont="1" applyFill="1" applyBorder="1" applyAlignment="1" applyProtection="1">
      <alignment horizontal="center" vertical="center" wrapText="1"/>
    </xf>
    <xf numFmtId="0" fontId="20" fillId="0" borderId="3" xfId="2" applyFont="1" applyFill="1" applyBorder="1" applyAlignment="1" applyProtection="1">
      <alignment horizontal="left" vertical="center" wrapText="1"/>
    </xf>
    <xf numFmtId="0" fontId="20" fillId="0" borderId="0" xfId="2" applyFont="1" applyFill="1" applyBorder="1" applyAlignment="1" applyProtection="1">
      <alignment horizontal="left" vertical="center" wrapText="1"/>
    </xf>
    <xf numFmtId="0" fontId="20" fillId="0" borderId="4" xfId="2" applyFont="1" applyFill="1" applyBorder="1" applyAlignment="1" applyProtection="1">
      <alignment horizontal="left" vertical="center" wrapText="1"/>
    </xf>
    <xf numFmtId="0" fontId="51" fillId="0" borderId="3" xfId="2" applyFont="1" applyFill="1" applyBorder="1" applyAlignment="1" applyProtection="1">
      <alignment horizontal="left" vertical="center" wrapText="1"/>
    </xf>
    <xf numFmtId="0" fontId="51" fillId="0" borderId="0" xfId="2" applyFont="1" applyFill="1" applyBorder="1" applyAlignment="1" applyProtection="1">
      <alignment horizontal="left" vertical="center" wrapText="1"/>
    </xf>
    <xf numFmtId="0" fontId="51" fillId="0" borderId="4" xfId="2" applyFont="1" applyFill="1" applyBorder="1" applyAlignment="1" applyProtection="1">
      <alignment horizontal="left" vertical="center" wrapText="1"/>
    </xf>
    <xf numFmtId="178" fontId="51" fillId="0" borderId="3" xfId="2" applyNumberFormat="1" applyFont="1" applyFill="1" applyBorder="1" applyAlignment="1" applyProtection="1">
      <alignment horizontal="right" vertical="center" wrapText="1"/>
    </xf>
    <xf numFmtId="178" fontId="51" fillId="0" borderId="0" xfId="2" applyNumberFormat="1" applyFont="1" applyFill="1" applyBorder="1" applyAlignment="1" applyProtection="1">
      <alignment horizontal="right" vertical="center" wrapText="1"/>
    </xf>
    <xf numFmtId="178" fontId="51" fillId="0" borderId="4" xfId="2" applyNumberFormat="1" applyFont="1" applyFill="1" applyBorder="1" applyAlignment="1" applyProtection="1">
      <alignment horizontal="right" vertical="center" wrapText="1"/>
    </xf>
    <xf numFmtId="0" fontId="48" fillId="30" borderId="34" xfId="3" applyFont="1" applyFill="1" applyBorder="1" applyAlignment="1" applyProtection="1">
      <alignment horizontal="center" vertical="center" wrapText="1"/>
      <protection locked="0"/>
    </xf>
    <xf numFmtId="0" fontId="48" fillId="30" borderId="37" xfId="3" applyFont="1" applyFill="1" applyBorder="1" applyAlignment="1" applyProtection="1">
      <alignment horizontal="center" vertical="center" wrapText="1"/>
      <protection locked="0"/>
    </xf>
    <xf numFmtId="0" fontId="48" fillId="30" borderId="35" xfId="3" applyFont="1" applyFill="1" applyBorder="1" applyAlignment="1" applyProtection="1">
      <alignment horizontal="center" vertical="center" wrapText="1"/>
      <protection locked="0"/>
    </xf>
    <xf numFmtId="0" fontId="48" fillId="30" borderId="5" xfId="3" applyFont="1" applyFill="1" applyBorder="1" applyAlignment="1" applyProtection="1">
      <alignment horizontal="center" vertical="center"/>
      <protection locked="0"/>
    </xf>
    <xf numFmtId="0" fontId="48" fillId="30" borderId="44" xfId="3" applyFont="1" applyFill="1" applyBorder="1" applyAlignment="1" applyProtection="1">
      <alignment horizontal="center" vertical="center"/>
      <protection locked="0"/>
    </xf>
    <xf numFmtId="0" fontId="48" fillId="30" borderId="3" xfId="2" applyFont="1" applyFill="1" applyBorder="1" applyAlignment="1" applyProtection="1">
      <alignment horizontal="center" vertical="center" wrapText="1"/>
      <protection locked="0"/>
    </xf>
    <xf numFmtId="0" fontId="48" fillId="30" borderId="0" xfId="2" applyFont="1" applyFill="1" applyBorder="1" applyAlignment="1" applyProtection="1">
      <alignment horizontal="center" vertical="center"/>
      <protection locked="0"/>
    </xf>
    <xf numFmtId="0" fontId="48" fillId="30" borderId="4" xfId="2" applyFont="1" applyFill="1" applyBorder="1" applyAlignment="1" applyProtection="1">
      <alignment horizontal="center" vertical="center"/>
      <protection locked="0"/>
    </xf>
    <xf numFmtId="0" fontId="48" fillId="30" borderId="3" xfId="2" applyFont="1" applyFill="1" applyBorder="1" applyAlignment="1">
      <alignment horizontal="right" vertical="center"/>
    </xf>
    <xf numFmtId="0" fontId="48" fillId="30" borderId="0" xfId="2" applyFont="1" applyFill="1" applyBorder="1" applyAlignment="1">
      <alignment horizontal="right" vertical="center"/>
    </xf>
    <xf numFmtId="0" fontId="48" fillId="30" borderId="0" xfId="2" applyFont="1" applyFill="1" applyBorder="1" applyAlignment="1" applyProtection="1">
      <alignment horizontal="center" vertical="center" wrapText="1"/>
      <protection locked="0"/>
    </xf>
    <xf numFmtId="0" fontId="48" fillId="30" borderId="4" xfId="2" applyFont="1" applyFill="1" applyBorder="1" applyAlignment="1" applyProtection="1">
      <alignment horizontal="center" vertical="center" wrapText="1"/>
      <protection locked="0"/>
    </xf>
    <xf numFmtId="0" fontId="71" fillId="30" borderId="3" xfId="2" applyFont="1" applyFill="1" applyBorder="1" applyAlignment="1">
      <alignment horizontal="center" vertical="center"/>
    </xf>
    <xf numFmtId="0" fontId="71" fillId="30" borderId="0" xfId="2" applyFont="1" applyFill="1" applyBorder="1" applyAlignment="1">
      <alignment horizontal="center" vertical="center"/>
    </xf>
    <xf numFmtId="0" fontId="71" fillId="30" borderId="4" xfId="2" applyFont="1" applyFill="1" applyBorder="1" applyAlignment="1">
      <alignment horizontal="center" vertical="center"/>
    </xf>
    <xf numFmtId="0" fontId="48" fillId="30" borderId="3" xfId="2" applyFont="1" applyFill="1" applyBorder="1" applyAlignment="1" applyProtection="1">
      <alignment horizontal="center" vertical="center" wrapText="1"/>
    </xf>
    <xf numFmtId="0" fontId="48" fillId="30" borderId="0" xfId="2" applyFont="1" applyFill="1" applyBorder="1" applyAlignment="1" applyProtection="1">
      <alignment horizontal="center" vertical="center" wrapText="1"/>
    </xf>
    <xf numFmtId="0" fontId="48" fillId="30" borderId="4" xfId="2" applyFont="1" applyFill="1" applyBorder="1" applyAlignment="1" applyProtection="1">
      <alignment horizontal="center" vertical="center" wrapText="1"/>
    </xf>
    <xf numFmtId="0" fontId="48" fillId="30" borderId="6" xfId="2" applyFont="1" applyFill="1" applyBorder="1" applyAlignment="1" applyProtection="1">
      <alignment horizontal="center" vertical="center" wrapText="1"/>
    </xf>
    <xf numFmtId="0" fontId="48" fillId="30" borderId="2" xfId="2" applyFont="1" applyFill="1" applyBorder="1" applyAlignment="1" applyProtection="1">
      <alignment horizontal="center" vertical="center" wrapText="1"/>
    </xf>
    <xf numFmtId="0" fontId="48" fillId="30" borderId="7" xfId="2" applyFont="1" applyFill="1" applyBorder="1" applyAlignment="1" applyProtection="1">
      <alignment horizontal="center" vertical="center" wrapText="1"/>
    </xf>
    <xf numFmtId="0" fontId="48" fillId="30" borderId="6" xfId="2" applyFont="1" applyFill="1" applyBorder="1" applyAlignment="1">
      <alignment horizontal="right" vertical="center"/>
    </xf>
    <xf numFmtId="0" fontId="48" fillId="30" borderId="2" xfId="2" applyFont="1" applyFill="1" applyBorder="1" applyAlignment="1">
      <alignment horizontal="right" vertical="center"/>
    </xf>
    <xf numFmtId="0" fontId="48" fillId="30" borderId="36" xfId="3" applyFont="1" applyFill="1" applyBorder="1" applyAlignment="1" applyProtection="1">
      <alignment horizontal="center" vertical="center"/>
      <protection locked="0"/>
    </xf>
    <xf numFmtId="0" fontId="48" fillId="30" borderId="39" xfId="2" applyFont="1" applyFill="1" applyBorder="1" applyAlignment="1" applyProtection="1">
      <alignment horizontal="center" vertical="center"/>
      <protection locked="0"/>
    </xf>
    <xf numFmtId="0" fontId="48" fillId="30" borderId="40" xfId="2" applyFont="1" applyFill="1" applyBorder="1" applyAlignment="1" applyProtection="1">
      <alignment horizontal="center" vertical="center"/>
      <protection locked="0"/>
    </xf>
    <xf numFmtId="0" fontId="48" fillId="30" borderId="38" xfId="2" applyFont="1" applyFill="1" applyBorder="1" applyAlignment="1" applyProtection="1">
      <alignment horizontal="center" vertical="center"/>
      <protection locked="0"/>
    </xf>
    <xf numFmtId="0" fontId="71" fillId="30" borderId="39" xfId="2" applyFont="1" applyFill="1" applyBorder="1" applyAlignment="1">
      <alignment horizontal="center" vertical="center"/>
    </xf>
    <xf numFmtId="0" fontId="71" fillId="30" borderId="40" xfId="2" applyFont="1" applyFill="1" applyBorder="1" applyAlignment="1">
      <alignment horizontal="center" vertical="center"/>
    </xf>
    <xf numFmtId="0" fontId="71" fillId="30" borderId="38" xfId="2" applyFont="1" applyFill="1" applyBorder="1" applyAlignment="1">
      <alignment horizontal="center" vertical="center"/>
    </xf>
    <xf numFmtId="0" fontId="48" fillId="30" borderId="3" xfId="3" applyFont="1" applyFill="1" applyBorder="1" applyAlignment="1" applyProtection="1">
      <alignment horizontal="center" vertical="center"/>
      <protection locked="0"/>
    </xf>
    <xf numFmtId="0" fontId="48" fillId="30" borderId="0" xfId="3" applyFont="1" applyFill="1" applyBorder="1" applyAlignment="1" applyProtection="1">
      <alignment horizontal="center" vertical="center"/>
      <protection locked="0"/>
    </xf>
    <xf numFmtId="0" fontId="48" fillId="30" borderId="4" xfId="3" applyFont="1" applyFill="1" applyBorder="1" applyAlignment="1" applyProtection="1">
      <alignment horizontal="center" vertical="center"/>
      <protection locked="0"/>
    </xf>
    <xf numFmtId="0" fontId="3" fillId="0" borderId="39" xfId="2" applyFont="1" applyFill="1" applyBorder="1" applyAlignment="1" applyProtection="1">
      <alignment horizontal="center" vertical="center" wrapText="1"/>
      <protection locked="0"/>
    </xf>
    <xf numFmtId="0" fontId="3" fillId="0" borderId="40" xfId="2" applyFont="1" applyFill="1" applyBorder="1" applyAlignment="1" applyProtection="1">
      <alignment horizontal="center" vertical="center" wrapText="1"/>
      <protection locked="0"/>
    </xf>
    <xf numFmtId="0" fontId="3" fillId="0" borderId="38" xfId="2" applyFont="1" applyFill="1" applyBorder="1" applyAlignment="1" applyProtection="1">
      <alignment horizontal="center" vertical="center" wrapText="1"/>
      <protection locked="0"/>
    </xf>
    <xf numFmtId="0" fontId="20" fillId="0" borderId="3" xfId="2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Fill="1" applyBorder="1" applyAlignment="1" applyProtection="1">
      <alignment horizontal="center" vertical="center" wrapText="1"/>
      <protection locked="0"/>
    </xf>
    <xf numFmtId="0" fontId="20" fillId="0" borderId="4" xfId="2" applyFont="1" applyFill="1" applyBorder="1" applyAlignment="1" applyProtection="1">
      <alignment horizontal="center" vertical="center" wrapText="1"/>
      <protection locked="0"/>
    </xf>
    <xf numFmtId="178" fontId="20" fillId="0" borderId="3" xfId="2" applyNumberFormat="1" applyFont="1" applyFill="1" applyBorder="1" applyAlignment="1" applyProtection="1">
      <alignment horizontal="right" vertical="center" wrapText="1"/>
    </xf>
    <xf numFmtId="178" fontId="20" fillId="0" borderId="0" xfId="2" applyNumberFormat="1" applyFont="1" applyFill="1" applyBorder="1" applyAlignment="1" applyProtection="1">
      <alignment horizontal="right" vertical="center" wrapText="1"/>
    </xf>
    <xf numFmtId="178" fontId="20" fillId="0" borderId="4" xfId="2" applyNumberFormat="1" applyFont="1" applyFill="1" applyBorder="1" applyAlignment="1" applyProtection="1">
      <alignment horizontal="right" vertical="center" wrapText="1"/>
    </xf>
    <xf numFmtId="0" fontId="3" fillId="0" borderId="6" xfId="2" applyFont="1" applyFill="1" applyBorder="1" applyAlignment="1">
      <alignment horizontal="center" vertical="center" wrapText="1"/>
    </xf>
    <xf numFmtId="0" fontId="3" fillId="0" borderId="2" xfId="2" applyFont="1" applyFill="1" applyBorder="1" applyAlignment="1">
      <alignment horizontal="center" vertical="center" wrapText="1"/>
    </xf>
    <xf numFmtId="0" fontId="3" fillId="0" borderId="7" xfId="2" applyFont="1" applyFill="1" applyBorder="1" applyAlignment="1">
      <alignment horizontal="center" vertical="center" wrapText="1"/>
    </xf>
    <xf numFmtId="0" fontId="3" fillId="0" borderId="6" xfId="2" applyFont="1" applyFill="1" applyBorder="1" applyAlignment="1" applyProtection="1">
      <alignment horizontal="center" vertical="center" wrapText="1"/>
      <protection locked="0"/>
    </xf>
    <xf numFmtId="0" fontId="3" fillId="0" borderId="2" xfId="2" applyFont="1" applyFill="1" applyBorder="1" applyAlignment="1" applyProtection="1">
      <alignment horizontal="center" vertical="center" wrapText="1"/>
      <protection locked="0"/>
    </xf>
    <xf numFmtId="0" fontId="3" fillId="0" borderId="7" xfId="2" applyFont="1" applyFill="1" applyBorder="1" applyAlignment="1" applyProtection="1">
      <alignment horizontal="center" vertical="center" wrapText="1"/>
      <protection locked="0"/>
    </xf>
    <xf numFmtId="1" fontId="20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48" fillId="30" borderId="6" xfId="3" applyFont="1" applyFill="1" applyBorder="1" applyAlignment="1" applyProtection="1">
      <alignment horizontal="center" vertical="center" wrapText="1"/>
      <protection locked="0"/>
    </xf>
    <xf numFmtId="0" fontId="48" fillId="30" borderId="2" xfId="3" applyFont="1" applyFill="1" applyBorder="1" applyAlignment="1" applyProtection="1">
      <alignment horizontal="center" vertical="center" wrapText="1"/>
      <protection locked="0"/>
    </xf>
    <xf numFmtId="0" fontId="48" fillId="30" borderId="7" xfId="3" applyFont="1" applyFill="1" applyBorder="1" applyAlignment="1" applyProtection="1">
      <alignment horizontal="center" vertical="center" wrapText="1"/>
      <protection locked="0"/>
    </xf>
    <xf numFmtId="176" fontId="18" fillId="0" borderId="34" xfId="3" applyNumberFormat="1" applyFont="1" applyFill="1" applyBorder="1" applyAlignment="1">
      <alignment horizontal="center" vertical="center"/>
    </xf>
    <xf numFmtId="10" fontId="18" fillId="0" borderId="37" xfId="3" applyNumberFormat="1" applyFont="1" applyFill="1" applyBorder="1" applyAlignment="1">
      <alignment horizontal="center" vertical="center"/>
    </xf>
    <xf numFmtId="10" fontId="18" fillId="0" borderId="35" xfId="3" applyNumberFormat="1" applyFont="1" applyFill="1" applyBorder="1" applyAlignment="1">
      <alignment horizontal="center" vertical="center"/>
    </xf>
    <xf numFmtId="10" fontId="18" fillId="0" borderId="10" xfId="3" applyNumberFormat="1" applyFont="1" applyFill="1" applyBorder="1" applyAlignment="1">
      <alignment horizontal="center" vertical="center"/>
    </xf>
    <xf numFmtId="10" fontId="18" fillId="0" borderId="11" xfId="3" applyNumberFormat="1" applyFont="1" applyFill="1" applyBorder="1" applyAlignment="1">
      <alignment horizontal="center" vertical="center"/>
    </xf>
    <xf numFmtId="10" fontId="18" fillId="0" borderId="12" xfId="3" applyNumberFormat="1" applyFont="1" applyFill="1" applyBorder="1" applyAlignment="1">
      <alignment horizontal="center" vertical="center"/>
    </xf>
    <xf numFmtId="10" fontId="10" fillId="0" borderId="33" xfId="2229" applyNumberFormat="1" applyFont="1" applyFill="1" applyBorder="1" applyAlignment="1">
      <alignment horizontal="center" vertical="center"/>
    </xf>
    <xf numFmtId="176" fontId="18" fillId="0" borderId="9" xfId="2229" applyNumberFormat="1" applyFont="1" applyFill="1" applyBorder="1" applyAlignment="1">
      <alignment horizontal="center" vertical="center"/>
    </xf>
    <xf numFmtId="176" fontId="18" fillId="0" borderId="15" xfId="2229" applyNumberFormat="1" applyFont="1" applyFill="1" applyBorder="1" applyAlignment="1">
      <alignment horizontal="center" vertical="center"/>
    </xf>
    <xf numFmtId="176" fontId="18" fillId="0" borderId="14" xfId="2229" applyNumberFormat="1" applyFont="1" applyFill="1" applyBorder="1" applyAlignment="1">
      <alignment horizontal="center" vertical="center"/>
    </xf>
    <xf numFmtId="176" fontId="18" fillId="0" borderId="17" xfId="2229" applyNumberFormat="1" applyFont="1" applyFill="1" applyBorder="1" applyAlignment="1">
      <alignment horizontal="center" vertical="center"/>
    </xf>
    <xf numFmtId="10" fontId="18" fillId="0" borderId="18" xfId="2229" applyNumberFormat="1" applyFont="1" applyFill="1" applyBorder="1" applyAlignment="1">
      <alignment horizontal="center" vertical="center"/>
    </xf>
    <xf numFmtId="10" fontId="18" fillId="0" borderId="19" xfId="2229" applyNumberFormat="1" applyFont="1" applyFill="1" applyBorder="1" applyAlignment="1">
      <alignment horizontal="center" vertical="center"/>
    </xf>
    <xf numFmtId="10" fontId="18" fillId="0" borderId="34" xfId="2229" applyNumberFormat="1" applyFont="1" applyFill="1" applyBorder="1" applyAlignment="1">
      <alignment horizontal="center" vertical="center"/>
    </xf>
    <xf numFmtId="10" fontId="18" fillId="0" borderId="37" xfId="2229" applyNumberFormat="1" applyFont="1" applyFill="1" applyBorder="1" applyAlignment="1">
      <alignment horizontal="center" vertical="center"/>
    </xf>
    <xf numFmtId="10" fontId="18" fillId="0" borderId="35" xfId="2229" applyNumberFormat="1" applyFont="1" applyFill="1" applyBorder="1" applyAlignment="1">
      <alignment horizontal="center" vertical="center"/>
    </xf>
    <xf numFmtId="0" fontId="18" fillId="30" borderId="39" xfId="3" applyFont="1" applyFill="1" applyBorder="1" applyAlignment="1">
      <alignment horizontal="center" vertical="center"/>
    </xf>
    <xf numFmtId="0" fontId="18" fillId="30" borderId="40" xfId="3" applyFont="1" applyFill="1" applyBorder="1" applyAlignment="1">
      <alignment horizontal="center" vertical="center"/>
    </xf>
    <xf numFmtId="0" fontId="18" fillId="30" borderId="38" xfId="3" applyFont="1" applyFill="1" applyBorder="1" applyAlignment="1">
      <alignment horizontal="center" vertical="center"/>
    </xf>
    <xf numFmtId="0" fontId="18" fillId="30" borderId="6" xfId="3" applyFont="1" applyFill="1" applyBorder="1" applyAlignment="1">
      <alignment horizontal="center" vertical="center"/>
    </xf>
    <xf numFmtId="0" fontId="18" fillId="30" borderId="2" xfId="3" applyFont="1" applyFill="1" applyBorder="1" applyAlignment="1">
      <alignment horizontal="center" vertical="center"/>
    </xf>
    <xf numFmtId="0" fontId="18" fillId="30" borderId="7" xfId="3" applyFont="1" applyFill="1" applyBorder="1" applyAlignment="1">
      <alignment horizontal="center" vertical="center"/>
    </xf>
    <xf numFmtId="0" fontId="19" fillId="30" borderId="40" xfId="3" applyFont="1" applyFill="1" applyBorder="1" applyAlignment="1">
      <alignment horizontal="center" vertical="center"/>
    </xf>
    <xf numFmtId="0" fontId="18" fillId="0" borderId="36" xfId="3" applyFont="1" applyFill="1" applyBorder="1" applyAlignment="1">
      <alignment horizontal="center" vertical="center" wrapText="1"/>
    </xf>
    <xf numFmtId="0" fontId="18" fillId="0" borderId="5" xfId="3" applyFont="1" applyFill="1" applyBorder="1" applyAlignment="1">
      <alignment horizontal="center" vertical="center" wrapText="1"/>
    </xf>
    <xf numFmtId="0" fontId="18" fillId="0" borderId="8" xfId="3" applyFont="1" applyFill="1" applyBorder="1" applyAlignment="1">
      <alignment horizontal="center" vertical="center" wrapText="1"/>
    </xf>
    <xf numFmtId="0" fontId="18" fillId="0" borderId="39" xfId="3" applyFont="1" applyFill="1" applyBorder="1" applyAlignment="1">
      <alignment horizontal="center" vertical="center" wrapText="1"/>
    </xf>
    <xf numFmtId="0" fontId="18" fillId="0" borderId="3" xfId="3" applyFont="1" applyFill="1" applyBorder="1" applyAlignment="1">
      <alignment horizontal="center" vertical="center" wrapText="1"/>
    </xf>
    <xf numFmtId="0" fontId="18" fillId="0" borderId="9" xfId="3" applyFont="1" applyFill="1" applyBorder="1" applyAlignment="1">
      <alignment horizontal="center" vertical="center" wrapText="1"/>
    </xf>
    <xf numFmtId="0" fontId="18" fillId="0" borderId="39" xfId="3" quotePrefix="1" applyFont="1" applyFill="1" applyBorder="1" applyAlignment="1">
      <alignment horizontal="center" vertical="center"/>
    </xf>
    <xf numFmtId="0" fontId="18" fillId="0" borderId="40" xfId="3" quotePrefix="1" applyFont="1" applyFill="1" applyBorder="1" applyAlignment="1">
      <alignment horizontal="center" vertical="center"/>
    </xf>
    <xf numFmtId="0" fontId="18" fillId="0" borderId="38" xfId="3" quotePrefix="1" applyFont="1" applyFill="1" applyBorder="1" applyAlignment="1">
      <alignment horizontal="center" vertical="center"/>
    </xf>
    <xf numFmtId="0" fontId="18" fillId="0" borderId="6" xfId="3" quotePrefix="1" applyFont="1" applyFill="1" applyBorder="1" applyAlignment="1">
      <alignment horizontal="center" vertical="center"/>
    </xf>
    <xf numFmtId="0" fontId="18" fillId="0" borderId="2" xfId="3" quotePrefix="1" applyFont="1" applyFill="1" applyBorder="1" applyAlignment="1">
      <alignment horizontal="center" vertical="center"/>
    </xf>
    <xf numFmtId="0" fontId="18" fillId="0" borderId="7" xfId="3" quotePrefix="1" applyFont="1" applyFill="1" applyBorder="1" applyAlignment="1">
      <alignment horizontal="center" vertical="center"/>
    </xf>
    <xf numFmtId="0" fontId="18" fillId="0" borderId="33" xfId="3" applyFont="1" applyFill="1" applyBorder="1" applyAlignment="1">
      <alignment horizontal="center" vertical="center" wrapText="1"/>
    </xf>
    <xf numFmtId="0" fontId="18" fillId="0" borderId="13" xfId="3" applyFont="1" applyFill="1" applyBorder="1" applyAlignment="1">
      <alignment horizontal="center" vertical="center" wrapText="1"/>
    </xf>
    <xf numFmtId="0" fontId="18" fillId="0" borderId="10" xfId="3" applyFont="1" applyFill="1" applyBorder="1" applyAlignment="1">
      <alignment horizontal="center" vertical="center"/>
    </xf>
    <xf numFmtId="0" fontId="47" fillId="0" borderId="11" xfId="2528" applyFont="1" applyFill="1" applyBorder="1"/>
    <xf numFmtId="0" fontId="47" fillId="0" borderId="12" xfId="2528" applyFont="1" applyFill="1" applyBorder="1"/>
    <xf numFmtId="10" fontId="10" fillId="0" borderId="5" xfId="16" applyNumberFormat="1" applyFont="1" applyFill="1" applyBorder="1" applyAlignment="1">
      <alignment horizontal="center" vertical="center"/>
    </xf>
    <xf numFmtId="169" fontId="10" fillId="0" borderId="5" xfId="16" applyFont="1" applyFill="1" applyBorder="1" applyAlignment="1">
      <alignment horizontal="center" vertical="center"/>
    </xf>
    <xf numFmtId="169" fontId="10" fillId="0" borderId="44" xfId="16" applyFont="1" applyFill="1" applyBorder="1" applyAlignment="1">
      <alignment horizontal="center" vertical="center"/>
    </xf>
    <xf numFmtId="176" fontId="10" fillId="0" borderId="5" xfId="16" applyNumberFormat="1" applyFont="1" applyFill="1" applyBorder="1" applyAlignment="1">
      <alignment horizontal="center" vertical="center"/>
    </xf>
    <xf numFmtId="176" fontId="10" fillId="0" borderId="16" xfId="3" applyNumberFormat="1" applyFont="1" applyFill="1" applyBorder="1" applyAlignment="1">
      <alignment horizontal="center" vertical="center"/>
    </xf>
    <xf numFmtId="0" fontId="18" fillId="0" borderId="13" xfId="3" applyFont="1" applyFill="1" applyBorder="1" applyAlignment="1">
      <alignment horizontal="center" vertical="center"/>
    </xf>
    <xf numFmtId="0" fontId="18" fillId="0" borderId="33" xfId="3" applyFont="1" applyFill="1" applyBorder="1" applyAlignment="1">
      <alignment horizontal="center" vertical="center"/>
    </xf>
    <xf numFmtId="0" fontId="18" fillId="0" borderId="16" xfId="3" quotePrefix="1" applyFont="1" applyFill="1" applyBorder="1" applyAlignment="1">
      <alignment horizontal="center" vertical="center"/>
    </xf>
    <xf numFmtId="0" fontId="18" fillId="0" borderId="9" xfId="3" applyFont="1" applyFill="1" applyBorder="1" applyAlignment="1">
      <alignment horizontal="center" vertical="center"/>
    </xf>
    <xf numFmtId="0" fontId="18" fillId="0" borderId="14" xfId="3" applyFont="1" applyFill="1" applyBorder="1" applyAlignment="1">
      <alignment horizontal="center" vertical="center"/>
    </xf>
    <xf numFmtId="1" fontId="10" fillId="0" borderId="5" xfId="3" applyNumberFormat="1" applyFont="1" applyFill="1" applyBorder="1" applyAlignment="1">
      <alignment horizontal="center" vertical="center" wrapText="1"/>
    </xf>
    <xf numFmtId="1" fontId="10" fillId="0" borderId="44" xfId="3" applyNumberFormat="1" applyFont="1" applyFill="1" applyBorder="1" applyAlignment="1">
      <alignment horizontal="center" vertical="center" wrapText="1"/>
    </xf>
    <xf numFmtId="0" fontId="10" fillId="0" borderId="3" xfId="3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/>
    </xf>
    <xf numFmtId="0" fontId="70" fillId="37" borderId="0" xfId="1360" applyFont="1" applyFill="1" applyAlignment="1">
      <alignment horizontal="right" vertical="center"/>
    </xf>
    <xf numFmtId="0" fontId="70" fillId="37" borderId="4" xfId="1360" applyFont="1" applyFill="1" applyBorder="1" applyAlignment="1">
      <alignment horizontal="right" vertical="center"/>
    </xf>
    <xf numFmtId="0" fontId="68" fillId="34" borderId="2" xfId="1360" applyFont="1" applyFill="1" applyBorder="1" applyAlignment="1">
      <alignment horizontal="center" vertical="center"/>
    </xf>
    <xf numFmtId="0" fontId="65" fillId="0" borderId="36" xfId="1360" applyNumberFormat="1" applyFont="1" applyFill="1" applyBorder="1" applyAlignment="1">
      <alignment horizontal="center" vertical="center" wrapText="1"/>
    </xf>
    <xf numFmtId="0" fontId="65" fillId="0" borderId="5" xfId="1360" applyNumberFormat="1" applyFont="1" applyFill="1" applyBorder="1" applyAlignment="1">
      <alignment horizontal="center" vertical="center" wrapText="1"/>
    </xf>
    <xf numFmtId="0" fontId="65" fillId="0" borderId="44" xfId="1360" applyNumberFormat="1" applyFont="1" applyFill="1" applyBorder="1" applyAlignment="1">
      <alignment horizontal="center" vertical="center" wrapText="1"/>
    </xf>
    <xf numFmtId="0" fontId="10" fillId="30" borderId="36" xfId="1360" applyFont="1" applyFill="1" applyBorder="1" applyAlignment="1">
      <alignment horizontal="center" vertical="center" wrapText="1"/>
    </xf>
    <xf numFmtId="0" fontId="10" fillId="30" borderId="44" xfId="1360" applyFont="1" applyFill="1" applyBorder="1" applyAlignment="1">
      <alignment horizontal="center" vertical="center" wrapText="1"/>
    </xf>
    <xf numFmtId="0" fontId="10" fillId="30" borderId="53" xfId="1360" applyFont="1" applyFill="1" applyBorder="1" applyAlignment="1">
      <alignment horizontal="center" vertical="center" wrapText="1"/>
    </xf>
    <xf numFmtId="2" fontId="10" fillId="30" borderId="53" xfId="1360" applyNumberFormat="1" applyFont="1" applyFill="1" applyBorder="1" applyAlignment="1">
      <alignment horizontal="center" vertical="center" wrapText="1"/>
    </xf>
    <xf numFmtId="0" fontId="66" fillId="0" borderId="36" xfId="1360" applyFont="1" applyFill="1" applyBorder="1" applyAlignment="1">
      <alignment horizontal="center" vertical="center" wrapText="1"/>
    </xf>
    <xf numFmtId="0" fontId="66" fillId="0" borderId="5" xfId="1360" applyFont="1" applyFill="1" applyBorder="1" applyAlignment="1">
      <alignment horizontal="center" vertical="center" wrapText="1"/>
    </xf>
    <xf numFmtId="0" fontId="66" fillId="0" borderId="44" xfId="1360" applyFont="1" applyFill="1" applyBorder="1" applyAlignment="1">
      <alignment horizontal="center" vertical="center" wrapText="1"/>
    </xf>
    <xf numFmtId="0" fontId="65" fillId="0" borderId="36" xfId="1360" applyFont="1" applyFill="1" applyBorder="1" applyAlignment="1">
      <alignment horizontal="center" vertical="center" wrapText="1"/>
    </xf>
    <xf numFmtId="0" fontId="65" fillId="0" borderId="5" xfId="1360" applyFont="1" applyFill="1" applyBorder="1" applyAlignment="1">
      <alignment horizontal="center" vertical="center" wrapText="1"/>
    </xf>
    <xf numFmtId="0" fontId="65" fillId="0" borderId="44" xfId="1360" applyFont="1" applyFill="1" applyBorder="1" applyAlignment="1">
      <alignment horizontal="center" vertical="center" wrapText="1"/>
    </xf>
    <xf numFmtId="0" fontId="70" fillId="35" borderId="0" xfId="1360" applyFont="1" applyFill="1" applyAlignment="1">
      <alignment horizontal="right" vertical="center"/>
    </xf>
    <xf numFmtId="0" fontId="70" fillId="35" borderId="4" xfId="1360" applyFont="1" applyFill="1" applyBorder="1" applyAlignment="1">
      <alignment horizontal="right" vertical="center"/>
    </xf>
    <xf numFmtId="0" fontId="65" fillId="31" borderId="36" xfId="1360" applyFont="1" applyFill="1" applyBorder="1" applyAlignment="1">
      <alignment horizontal="center" vertical="center" wrapText="1"/>
    </xf>
    <xf numFmtId="0" fontId="65" fillId="31" borderId="44" xfId="1360" applyFont="1" applyFill="1" applyBorder="1" applyAlignment="1">
      <alignment horizontal="center" vertical="center" wrapText="1"/>
    </xf>
    <xf numFmtId="0" fontId="65" fillId="31" borderId="34" xfId="1360" applyFont="1" applyFill="1" applyBorder="1" applyAlignment="1">
      <alignment horizontal="center" vertical="center"/>
    </xf>
    <xf numFmtId="0" fontId="65" fillId="31" borderId="35" xfId="1360" applyFont="1" applyFill="1" applyBorder="1" applyAlignment="1">
      <alignment horizontal="center" vertical="center"/>
    </xf>
    <xf numFmtId="0" fontId="65" fillId="31" borderId="37" xfId="1360" applyFont="1" applyFill="1" applyBorder="1" applyAlignment="1">
      <alignment horizontal="center" vertical="center"/>
    </xf>
    <xf numFmtId="0" fontId="70" fillId="31" borderId="53" xfId="1360" applyFont="1" applyFill="1" applyBorder="1" applyAlignment="1">
      <alignment horizontal="center" vertical="center"/>
    </xf>
    <xf numFmtId="0" fontId="65" fillId="0" borderId="34" xfId="1360" applyFont="1" applyFill="1" applyBorder="1" applyAlignment="1">
      <alignment horizontal="center" vertical="center"/>
    </xf>
    <xf numFmtId="0" fontId="65" fillId="0" borderId="37" xfId="1360" applyFont="1" applyFill="1" applyBorder="1" applyAlignment="1">
      <alignment horizontal="center" vertical="center"/>
    </xf>
    <xf numFmtId="0" fontId="65" fillId="0" borderId="35" xfId="1360" applyFont="1" applyFill="1" applyBorder="1" applyAlignment="1">
      <alignment horizontal="center" vertical="center"/>
    </xf>
    <xf numFmtId="0" fontId="65" fillId="35" borderId="53" xfId="1360" applyFont="1" applyFill="1" applyBorder="1" applyAlignment="1">
      <alignment horizontal="center" vertical="center"/>
    </xf>
    <xf numFmtId="0" fontId="65" fillId="31" borderId="53" xfId="1360" applyFont="1" applyFill="1" applyBorder="1" applyAlignment="1">
      <alignment horizontal="center" vertical="center"/>
    </xf>
    <xf numFmtId="0" fontId="65" fillId="31" borderId="38" xfId="1360" applyFont="1" applyFill="1" applyBorder="1" applyAlignment="1">
      <alignment horizontal="center" vertical="center" wrapText="1"/>
    </xf>
    <xf numFmtId="0" fontId="65" fillId="31" borderId="7" xfId="1360" applyFont="1" applyFill="1" applyBorder="1" applyAlignment="1">
      <alignment horizontal="center" vertical="center" wrapText="1"/>
    </xf>
    <xf numFmtId="0" fontId="70" fillId="35" borderId="34" xfId="1360" applyFont="1" applyFill="1" applyBorder="1" applyAlignment="1">
      <alignment horizontal="center" vertical="center"/>
    </xf>
    <xf numFmtId="0" fontId="70" fillId="35" borderId="37" xfId="1360" applyFont="1" applyFill="1" applyBorder="1" applyAlignment="1">
      <alignment horizontal="center" vertical="center"/>
    </xf>
    <xf numFmtId="0" fontId="70" fillId="35" borderId="35" xfId="1360" applyFont="1" applyFill="1" applyBorder="1" applyAlignment="1">
      <alignment horizontal="center" vertical="center"/>
    </xf>
    <xf numFmtId="0" fontId="70" fillId="31" borderId="34" xfId="1360" applyFont="1" applyFill="1" applyBorder="1" applyAlignment="1">
      <alignment horizontal="center" vertical="center"/>
    </xf>
    <xf numFmtId="0" fontId="70" fillId="31" borderId="37" xfId="1360" applyFont="1" applyFill="1" applyBorder="1" applyAlignment="1">
      <alignment horizontal="center" vertical="center"/>
    </xf>
    <xf numFmtId="0" fontId="70" fillId="31" borderId="35" xfId="1360" applyFont="1" applyFill="1" applyBorder="1" applyAlignment="1">
      <alignment horizontal="center" vertical="center"/>
    </xf>
    <xf numFmtId="0" fontId="65" fillId="0" borderId="53" xfId="1360" applyFont="1" applyFill="1" applyBorder="1" applyAlignment="1">
      <alignment horizontal="center" vertical="center"/>
    </xf>
    <xf numFmtId="0" fontId="65" fillId="35" borderId="53" xfId="1360" applyFont="1" applyFill="1" applyBorder="1" applyAlignment="1">
      <alignment horizontal="center" vertical="center" wrapText="1"/>
    </xf>
    <xf numFmtId="0" fontId="65" fillId="35" borderId="36" xfId="1360" applyFont="1" applyFill="1" applyBorder="1" applyAlignment="1">
      <alignment horizontal="center" vertical="center" wrapText="1"/>
    </xf>
    <xf numFmtId="0" fontId="65" fillId="35" borderId="44" xfId="1360" applyFont="1" applyFill="1" applyBorder="1" applyAlignment="1">
      <alignment horizontal="center" vertical="center" wrapText="1"/>
    </xf>
    <xf numFmtId="0" fontId="69" fillId="34" borderId="0" xfId="1360" applyFont="1" applyFill="1" applyAlignment="1">
      <alignment horizontal="left" vertical="center" indent="1"/>
    </xf>
    <xf numFmtId="0" fontId="69" fillId="30" borderId="0" xfId="1360" applyFont="1" applyFill="1" applyAlignment="1">
      <alignment horizontal="left" vertical="center" indent="1"/>
    </xf>
    <xf numFmtId="0" fontId="69" fillId="0" borderId="0" xfId="1360" applyFont="1" applyFill="1" applyAlignment="1">
      <alignment horizontal="left" vertical="center" indent="1"/>
    </xf>
    <xf numFmtId="188" fontId="69" fillId="0" borderId="0" xfId="1360" applyNumberFormat="1" applyFont="1" applyFill="1" applyBorder="1" applyAlignment="1">
      <alignment horizontal="center" vertical="center" wrapText="1"/>
    </xf>
    <xf numFmtId="0" fontId="10" fillId="30" borderId="5" xfId="1360" applyFont="1" applyFill="1" applyBorder="1" applyAlignment="1">
      <alignment horizontal="center" vertical="center" wrapText="1"/>
    </xf>
    <xf numFmtId="0" fontId="10" fillId="30" borderId="34" xfId="1360" applyFont="1" applyFill="1" applyBorder="1" applyAlignment="1">
      <alignment horizontal="center" vertical="center" wrapText="1"/>
    </xf>
    <xf numFmtId="0" fontId="10" fillId="30" borderId="37" xfId="1360" applyFont="1" applyFill="1" applyBorder="1" applyAlignment="1">
      <alignment horizontal="center" vertical="center" wrapText="1"/>
    </xf>
    <xf numFmtId="0" fontId="10" fillId="30" borderId="35" xfId="1360" applyFont="1" applyFill="1" applyBorder="1" applyAlignment="1">
      <alignment horizontal="center" vertical="center" wrapText="1"/>
    </xf>
    <xf numFmtId="2" fontId="10" fillId="30" borderId="36" xfId="1360" applyNumberFormat="1" applyFont="1" applyFill="1" applyBorder="1" applyAlignment="1">
      <alignment horizontal="center" vertical="center" wrapText="1"/>
    </xf>
    <xf numFmtId="2" fontId="10" fillId="30" borderId="5" xfId="1360" applyNumberFormat="1" applyFont="1" applyFill="1" applyBorder="1" applyAlignment="1">
      <alignment horizontal="center" vertical="center" wrapText="1"/>
    </xf>
    <xf numFmtId="2" fontId="10" fillId="30" borderId="44" xfId="1360" applyNumberFormat="1" applyFont="1" applyFill="1" applyBorder="1" applyAlignment="1">
      <alignment horizontal="center" vertical="center" wrapText="1"/>
    </xf>
    <xf numFmtId="2" fontId="10" fillId="30" borderId="34" xfId="1360" applyNumberFormat="1" applyFont="1" applyFill="1" applyBorder="1" applyAlignment="1">
      <alignment horizontal="center" vertical="center" wrapText="1"/>
    </xf>
    <xf numFmtId="2" fontId="10" fillId="30" borderId="37" xfId="1360" applyNumberFormat="1" applyFont="1" applyFill="1" applyBorder="1" applyAlignment="1">
      <alignment horizontal="center" vertical="center" wrapText="1"/>
    </xf>
    <xf numFmtId="2" fontId="10" fillId="30" borderId="35" xfId="1360" applyNumberFormat="1" applyFont="1" applyFill="1" applyBorder="1" applyAlignment="1">
      <alignment horizontal="center" vertical="center" wrapText="1"/>
    </xf>
    <xf numFmtId="0" fontId="10" fillId="30" borderId="36" xfId="1360" applyFont="1" applyFill="1" applyBorder="1" applyAlignment="1">
      <alignment horizontal="center" vertical="center"/>
    </xf>
    <xf numFmtId="0" fontId="10" fillId="30" borderId="44" xfId="1360" applyFont="1" applyFill="1" applyBorder="1" applyAlignment="1">
      <alignment horizontal="center" vertical="center"/>
    </xf>
    <xf numFmtId="9" fontId="10" fillId="30" borderId="36" xfId="2227" applyFont="1" applyFill="1" applyBorder="1" applyAlignment="1">
      <alignment horizontal="center" vertical="center" wrapText="1"/>
    </xf>
    <xf numFmtId="9" fontId="10" fillId="30" borderId="5" xfId="2227" applyFont="1" applyFill="1" applyBorder="1" applyAlignment="1">
      <alignment horizontal="center" vertical="center" wrapText="1"/>
    </xf>
    <xf numFmtId="9" fontId="10" fillId="30" borderId="44" xfId="2227" applyFont="1" applyFill="1" applyBorder="1" applyAlignment="1">
      <alignment horizontal="center" vertical="center" wrapText="1"/>
    </xf>
    <xf numFmtId="0" fontId="10" fillId="30" borderId="34" xfId="1360" applyFont="1" applyFill="1" applyBorder="1" applyAlignment="1">
      <alignment horizontal="center" vertical="center"/>
    </xf>
    <xf numFmtId="0" fontId="10" fillId="30" borderId="37" xfId="1360" applyFont="1" applyFill="1" applyBorder="1" applyAlignment="1">
      <alignment horizontal="center" vertical="center"/>
    </xf>
    <xf numFmtId="0" fontId="10" fillId="30" borderId="35" xfId="1360" applyFont="1" applyFill="1" applyBorder="1" applyAlignment="1">
      <alignment horizontal="center" vertical="center"/>
    </xf>
    <xf numFmtId="0" fontId="10" fillId="30" borderId="39" xfId="1360" applyFont="1" applyFill="1" applyBorder="1" applyAlignment="1">
      <alignment horizontal="center" vertical="center"/>
    </xf>
    <xf numFmtId="0" fontId="2" fillId="30" borderId="38" xfId="1360" applyFont="1" applyFill="1" applyBorder="1" applyAlignment="1">
      <alignment vertical="center"/>
    </xf>
    <xf numFmtId="0" fontId="2" fillId="30" borderId="3" xfId="1360" applyFont="1" applyFill="1" applyBorder="1" applyAlignment="1">
      <alignment vertical="center"/>
    </xf>
    <xf numFmtId="0" fontId="2" fillId="30" borderId="4" xfId="1360" applyFont="1" applyFill="1" applyBorder="1" applyAlignment="1">
      <alignment vertical="center"/>
    </xf>
    <xf numFmtId="0" fontId="2" fillId="30" borderId="6" xfId="1360" applyFont="1" applyFill="1" applyBorder="1" applyAlignment="1">
      <alignment vertical="center"/>
    </xf>
    <xf numFmtId="0" fontId="2" fillId="30" borderId="7" xfId="1360" applyFont="1" applyFill="1" applyBorder="1" applyAlignment="1">
      <alignment vertical="center"/>
    </xf>
    <xf numFmtId="0" fontId="10" fillId="30" borderId="5" xfId="1360" applyFont="1" applyFill="1" applyBorder="1" applyAlignment="1">
      <alignment horizontal="center" vertical="center"/>
    </xf>
    <xf numFmtId="0" fontId="11" fillId="0" borderId="0" xfId="1284" applyFont="1" applyFill="1" applyAlignment="1">
      <alignment horizontal="center" vertical="center" wrapText="1"/>
    </xf>
    <xf numFmtId="0" fontId="13" fillId="0" borderId="0" xfId="1284" applyFont="1" applyFill="1" applyAlignment="1">
      <alignment horizontal="center" vertical="center" wrapText="1"/>
    </xf>
    <xf numFmtId="0" fontId="65" fillId="0" borderId="6" xfId="1360" applyFont="1" applyFill="1" applyBorder="1" applyAlignment="1">
      <alignment horizontal="center" vertical="center"/>
    </xf>
    <xf numFmtId="0" fontId="65" fillId="0" borderId="7" xfId="1360" applyFont="1" applyFill="1" applyBorder="1" applyAlignment="1">
      <alignment horizontal="center" vertical="center"/>
    </xf>
    <xf numFmtId="0" fontId="65" fillId="0" borderId="6" xfId="1360" applyNumberFormat="1" applyFont="1" applyFill="1" applyBorder="1" applyAlignment="1">
      <alignment horizontal="center" vertical="center"/>
    </xf>
    <xf numFmtId="0" fontId="65" fillId="0" borderId="7" xfId="1360" applyNumberFormat="1" applyFont="1" applyFill="1" applyBorder="1" applyAlignment="1">
      <alignment horizontal="center" vertical="center"/>
    </xf>
    <xf numFmtId="0" fontId="65" fillId="0" borderId="3" xfId="1360" applyNumberFormat="1" applyFont="1" applyFill="1" applyBorder="1" applyAlignment="1">
      <alignment horizontal="center" vertical="center"/>
    </xf>
    <xf numFmtId="0" fontId="65" fillId="0" borderId="4" xfId="1360" applyNumberFormat="1" applyFont="1" applyFill="1" applyBorder="1" applyAlignment="1">
      <alignment horizontal="center" vertical="center"/>
    </xf>
    <xf numFmtId="0" fontId="65" fillId="0" borderId="39" xfId="1360" applyNumberFormat="1" applyFont="1" applyFill="1" applyBorder="1" applyAlignment="1">
      <alignment horizontal="center" vertical="center"/>
    </xf>
    <xf numFmtId="0" fontId="65" fillId="0" borderId="38" xfId="1360" applyNumberFormat="1" applyFont="1" applyFill="1" applyBorder="1" applyAlignment="1">
      <alignment horizontal="center" vertical="center"/>
    </xf>
    <xf numFmtId="0" fontId="65" fillId="0" borderId="39" xfId="1360" applyFont="1" applyFill="1" applyBorder="1" applyAlignment="1">
      <alignment horizontal="center" vertical="center"/>
    </xf>
    <xf numFmtId="0" fontId="65" fillId="0" borderId="38" xfId="1360" applyFont="1" applyFill="1" applyBorder="1" applyAlignment="1">
      <alignment horizontal="center" vertical="center"/>
    </xf>
    <xf numFmtId="2" fontId="65" fillId="0" borderId="3" xfId="1360" applyNumberFormat="1" applyFont="1" applyFill="1" applyBorder="1" applyAlignment="1">
      <alignment horizontal="center" vertical="center"/>
    </xf>
    <xf numFmtId="0" fontId="65" fillId="0" borderId="4" xfId="1360" applyFont="1" applyFill="1" applyBorder="1" applyAlignment="1">
      <alignment horizontal="center" vertical="center"/>
    </xf>
    <xf numFmtId="2" fontId="65" fillId="0" borderId="4" xfId="1360" applyNumberFormat="1" applyFont="1" applyFill="1" applyBorder="1" applyAlignment="1">
      <alignment horizontal="center" vertical="center"/>
    </xf>
    <xf numFmtId="2" fontId="69" fillId="0" borderId="0" xfId="1360" applyNumberFormat="1" applyFont="1" applyFill="1" applyAlignment="1">
      <alignment horizontal="right" vertical="center" indent="1"/>
    </xf>
    <xf numFmtId="0" fontId="69" fillId="0" borderId="0" xfId="1360" applyFont="1" applyFill="1" applyAlignment="1">
      <alignment horizontal="right" vertical="center" indent="1"/>
    </xf>
    <xf numFmtId="0" fontId="69" fillId="30" borderId="0" xfId="1360" applyFont="1" applyFill="1" applyAlignment="1">
      <alignment horizontal="right" vertical="center" indent="1"/>
    </xf>
    <xf numFmtId="0" fontId="13" fillId="0" borderId="0" xfId="1416" applyFont="1" applyFill="1" applyBorder="1" applyAlignment="1">
      <alignment horizontal="center" vertical="center"/>
    </xf>
    <xf numFmtId="0" fontId="56" fillId="0" borderId="0" xfId="424" applyFont="1" applyFill="1" applyBorder="1" applyAlignment="1">
      <alignment horizontal="justify" vertical="center" wrapText="1"/>
    </xf>
    <xf numFmtId="0" fontId="59" fillId="0" borderId="0" xfId="2553" applyFont="1" applyFill="1" applyBorder="1" applyAlignment="1">
      <alignment horizontal="center" vertical="center"/>
    </xf>
    <xf numFmtId="0" fontId="59" fillId="0" borderId="0" xfId="421" applyFont="1" applyFill="1" applyBorder="1" applyAlignment="1">
      <alignment horizontal="center" vertical="center"/>
    </xf>
    <xf numFmtId="0" fontId="61" fillId="30" borderId="10" xfId="1084" applyFont="1" applyFill="1" applyBorder="1" applyAlignment="1">
      <alignment horizontal="center" vertical="center"/>
    </xf>
    <xf numFmtId="0" fontId="61" fillId="30" borderId="11" xfId="1084" applyFont="1" applyFill="1" applyBorder="1" applyAlignment="1">
      <alignment horizontal="center" vertical="center"/>
    </xf>
    <xf numFmtId="0" fontId="61" fillId="30" borderId="12" xfId="1084" applyFont="1" applyFill="1" applyBorder="1" applyAlignment="1">
      <alignment horizontal="center" vertical="center"/>
    </xf>
  </cellXfs>
  <cellStyles count="2586">
    <cellStyle name="20% - Accent1" xfId="2444"/>
    <cellStyle name="20% - Accent2" xfId="2445"/>
    <cellStyle name="20% - Accent3" xfId="2446"/>
    <cellStyle name="20% - Accent4" xfId="2447"/>
    <cellStyle name="20% - Accent5" xfId="2448"/>
    <cellStyle name="20% - Accent6" xfId="2449"/>
    <cellStyle name="20% - Ênfase1 2" xfId="2450"/>
    <cellStyle name="20% - Ênfase2 2" xfId="2451"/>
    <cellStyle name="20% - Ênfase3 2" xfId="2452"/>
    <cellStyle name="20% - Ênfase4 2" xfId="2453"/>
    <cellStyle name="20% - Ênfase5 2" xfId="2454"/>
    <cellStyle name="20% - Ênfase6 2" xfId="2455"/>
    <cellStyle name="40% - Accent1" xfId="2456"/>
    <cellStyle name="40% - Accent2" xfId="2457"/>
    <cellStyle name="40% - Accent3" xfId="2458"/>
    <cellStyle name="40% - Accent4" xfId="2459"/>
    <cellStyle name="40% - Accent5" xfId="2460"/>
    <cellStyle name="40% - Accent6" xfId="2461"/>
    <cellStyle name="40% - Ênfase1 2" xfId="2462"/>
    <cellStyle name="40% - Ênfase2 2" xfId="2463"/>
    <cellStyle name="40% - Ênfase3 2" xfId="2464"/>
    <cellStyle name="40% - Ênfase4 2" xfId="2465"/>
    <cellStyle name="40% - Ênfase5 2" xfId="2466"/>
    <cellStyle name="40% - Ênfase6 2" xfId="2467"/>
    <cellStyle name="60% - Accent1" xfId="2468"/>
    <cellStyle name="60% - Accent2" xfId="2469"/>
    <cellStyle name="60% - Accent3" xfId="2470"/>
    <cellStyle name="60% - Accent4" xfId="2471"/>
    <cellStyle name="60% - Accent5" xfId="2472"/>
    <cellStyle name="60% - Accent6" xfId="2473"/>
    <cellStyle name="60% - Ênfase1 2" xfId="2474"/>
    <cellStyle name="60% - Ênfase2 2" xfId="2475"/>
    <cellStyle name="60% - Ênfase3 2" xfId="2476"/>
    <cellStyle name="60% - Ênfase4 2" xfId="2477"/>
    <cellStyle name="60% - Ênfase5 2" xfId="2478"/>
    <cellStyle name="60% - Ênfase6 2" xfId="2479"/>
    <cellStyle name="Accent1" xfId="2480"/>
    <cellStyle name="Accent2" xfId="2481"/>
    <cellStyle name="Accent3" xfId="2482"/>
    <cellStyle name="Accent4" xfId="2483"/>
    <cellStyle name="Accent5" xfId="2484"/>
    <cellStyle name="Accent6" xfId="2485"/>
    <cellStyle name="Bad" xfId="2486"/>
    <cellStyle name="Bom 2" xfId="2487"/>
    <cellStyle name="cabeçalho de tabela" xfId="2559"/>
    <cellStyle name="Calculation" xfId="2488"/>
    <cellStyle name="Calculation 2" xfId="2489"/>
    <cellStyle name="Calculation 3" xfId="2490"/>
    <cellStyle name="Cálculo 2" xfId="6"/>
    <cellStyle name="Cálculo 3" xfId="2491"/>
    <cellStyle name="Célula de Verificação 2" xfId="2492"/>
    <cellStyle name="Célula Vinculada 2" xfId="2493"/>
    <cellStyle name="Check Cell" xfId="2494"/>
    <cellStyle name="Ênfase1 2" xfId="2495"/>
    <cellStyle name="Ênfase2 2" xfId="2496"/>
    <cellStyle name="Ênfase3 2" xfId="2497"/>
    <cellStyle name="Ênfase4 2" xfId="2498"/>
    <cellStyle name="Ênfase5 2" xfId="2499"/>
    <cellStyle name="Ênfase6 2" xfId="2500"/>
    <cellStyle name="Entrada 2" xfId="2501"/>
    <cellStyle name="Entrada 3" xfId="2502"/>
    <cellStyle name="Euro" xfId="7"/>
    <cellStyle name="Explanatory Text" xfId="2503"/>
    <cellStyle name="Good" xfId="2504"/>
    <cellStyle name="Heading 1" xfId="2505"/>
    <cellStyle name="Heading 2" xfId="2506"/>
    <cellStyle name="Heading 3" xfId="2507"/>
    <cellStyle name="Heading 4" xfId="2508"/>
    <cellStyle name="Incorreto 2" xfId="2509"/>
    <cellStyle name="Input" xfId="2510"/>
    <cellStyle name="Input 2" xfId="2511"/>
    <cellStyle name="Input 3" xfId="2512"/>
    <cellStyle name="Linked Cell" xfId="2513"/>
    <cellStyle name="Moeda 2" xfId="8"/>
    <cellStyle name="Moeda 2 2" xfId="9"/>
    <cellStyle name="Moeda 3" xfId="10"/>
    <cellStyle name="Moeda 3 2" xfId="11"/>
    <cellStyle name="Moeda 3 3" xfId="12"/>
    <cellStyle name="Moeda 3 3 2" xfId="13"/>
    <cellStyle name="Moeda 3 3 2 2" xfId="14"/>
    <cellStyle name="Moeda 3 3 3" xfId="15"/>
    <cellStyle name="Moeda 4" xfId="16"/>
    <cellStyle name="Moeda 5" xfId="17"/>
    <cellStyle name="Moeda 5 2" xfId="18"/>
    <cellStyle name="Moeda 5 2 2" xfId="19"/>
    <cellStyle name="Moeda 5 3" xfId="20"/>
    <cellStyle name="Moeda 5 4" xfId="21"/>
    <cellStyle name="Moeda 6" xfId="22"/>
    <cellStyle name="Neutra 2" xfId="2514"/>
    <cellStyle name="Neutral" xfId="2515"/>
    <cellStyle name="Normal" xfId="0" builtinId="0"/>
    <cellStyle name="Normal 10" xfId="23"/>
    <cellStyle name="Normal 10 10" xfId="24"/>
    <cellStyle name="Normal 10 10 2" xfId="25"/>
    <cellStyle name="Normal 10 11" xfId="26"/>
    <cellStyle name="Normal 10 2" xfId="27"/>
    <cellStyle name="Normal 10 2 10" xfId="28"/>
    <cellStyle name="Normal 10 2 2" xfId="29"/>
    <cellStyle name="Normal 10 2 2 2" xfId="30"/>
    <cellStyle name="Normal 10 2 2 2 2" xfId="31"/>
    <cellStyle name="Normal 10 2 2 2 2 2" xfId="32"/>
    <cellStyle name="Normal 10 2 2 2 2 2 2" xfId="33"/>
    <cellStyle name="Normal 10 2 2 2 2 3" xfId="34"/>
    <cellStyle name="Normal 10 2 2 2 3" xfId="35"/>
    <cellStyle name="Normal 10 2 2 2 3 2" xfId="36"/>
    <cellStyle name="Normal 10 2 2 2 4" xfId="37"/>
    <cellStyle name="Normal 10 2 2 3" xfId="38"/>
    <cellStyle name="Normal 10 2 2 3 2" xfId="39"/>
    <cellStyle name="Normal 10 2 2 3 2 2" xfId="40"/>
    <cellStyle name="Normal 10 2 2 3 3" xfId="41"/>
    <cellStyle name="Normal 10 2 2 4" xfId="42"/>
    <cellStyle name="Normal 10 2 2 4 2" xfId="43"/>
    <cellStyle name="Normal 10 2 2 5" xfId="44"/>
    <cellStyle name="Normal 10 2 3" xfId="45"/>
    <cellStyle name="Normal 10 2 3 2" xfId="46"/>
    <cellStyle name="Normal 10 2 3 2 2" xfId="47"/>
    <cellStyle name="Normal 10 2 3 2 2 2" xfId="48"/>
    <cellStyle name="Normal 10 2 3 2 2 2 2" xfId="49"/>
    <cellStyle name="Normal 10 2 3 2 2 3" xfId="50"/>
    <cellStyle name="Normal 10 2 3 2 3" xfId="51"/>
    <cellStyle name="Normal 10 2 3 2 3 2" xfId="52"/>
    <cellStyle name="Normal 10 2 3 2 4" xfId="53"/>
    <cellStyle name="Normal 10 2 3 3" xfId="54"/>
    <cellStyle name="Normal 10 2 3 3 2" xfId="55"/>
    <cellStyle name="Normal 10 2 3 3 2 2" xfId="56"/>
    <cellStyle name="Normal 10 2 3 3 3" xfId="57"/>
    <cellStyle name="Normal 10 2 3 4" xfId="58"/>
    <cellStyle name="Normal 10 2 3 4 2" xfId="59"/>
    <cellStyle name="Normal 10 2 3 5" xfId="60"/>
    <cellStyle name="Normal 10 2 4" xfId="61"/>
    <cellStyle name="Normal 10 2 4 2" xfId="62"/>
    <cellStyle name="Normal 10 2 4 2 2" xfId="63"/>
    <cellStyle name="Normal 10 2 4 2 2 2" xfId="64"/>
    <cellStyle name="Normal 10 2 4 2 2 2 2" xfId="65"/>
    <cellStyle name="Normal 10 2 4 2 2 3" xfId="66"/>
    <cellStyle name="Normal 10 2 4 2 3" xfId="67"/>
    <cellStyle name="Normal 10 2 4 2 3 2" xfId="68"/>
    <cellStyle name="Normal 10 2 4 2 4" xfId="69"/>
    <cellStyle name="Normal 10 2 4 3" xfId="70"/>
    <cellStyle name="Normal 10 2 4 3 2" xfId="71"/>
    <cellStyle name="Normal 10 2 4 3 2 2" xfId="72"/>
    <cellStyle name="Normal 10 2 4 3 3" xfId="73"/>
    <cellStyle name="Normal 10 2 4 4" xfId="74"/>
    <cellStyle name="Normal 10 2 4 4 2" xfId="75"/>
    <cellStyle name="Normal 10 2 4 5" xfId="76"/>
    <cellStyle name="Normal 10 2 5" xfId="77"/>
    <cellStyle name="Normal 10 2 5 2" xfId="78"/>
    <cellStyle name="Normal 10 2 5 2 2" xfId="79"/>
    <cellStyle name="Normal 10 2 5 2 2 2" xfId="80"/>
    <cellStyle name="Normal 10 2 5 2 2 2 2" xfId="81"/>
    <cellStyle name="Normal 10 2 5 2 2 3" xfId="82"/>
    <cellStyle name="Normal 10 2 5 2 3" xfId="83"/>
    <cellStyle name="Normal 10 2 5 2 3 2" xfId="84"/>
    <cellStyle name="Normal 10 2 5 2 4" xfId="85"/>
    <cellStyle name="Normal 10 2 5 3" xfId="86"/>
    <cellStyle name="Normal 10 2 5 3 2" xfId="87"/>
    <cellStyle name="Normal 10 2 5 3 2 2" xfId="88"/>
    <cellStyle name="Normal 10 2 5 3 3" xfId="89"/>
    <cellStyle name="Normal 10 2 5 4" xfId="90"/>
    <cellStyle name="Normal 10 2 5 4 2" xfId="91"/>
    <cellStyle name="Normal 10 2 5 5" xfId="92"/>
    <cellStyle name="Normal 10 2 6" xfId="93"/>
    <cellStyle name="Normal 10 2 6 2" xfId="94"/>
    <cellStyle name="Normal 10 2 6 2 2" xfId="95"/>
    <cellStyle name="Normal 10 2 6 2 2 2" xfId="96"/>
    <cellStyle name="Normal 10 2 6 2 2 2 2" xfId="97"/>
    <cellStyle name="Normal 10 2 6 2 2 3" xfId="98"/>
    <cellStyle name="Normal 10 2 6 2 3" xfId="99"/>
    <cellStyle name="Normal 10 2 6 2 3 2" xfId="100"/>
    <cellStyle name="Normal 10 2 6 2 4" xfId="101"/>
    <cellStyle name="Normal 10 2 6 3" xfId="102"/>
    <cellStyle name="Normal 10 2 6 3 2" xfId="103"/>
    <cellStyle name="Normal 10 2 6 3 2 2" xfId="104"/>
    <cellStyle name="Normal 10 2 6 3 3" xfId="105"/>
    <cellStyle name="Normal 10 2 6 4" xfId="106"/>
    <cellStyle name="Normal 10 2 6 4 2" xfId="107"/>
    <cellStyle name="Normal 10 2 6 5" xfId="108"/>
    <cellStyle name="Normal 10 2 7" xfId="109"/>
    <cellStyle name="Normal 10 2 7 2" xfId="110"/>
    <cellStyle name="Normal 10 2 7 2 2" xfId="111"/>
    <cellStyle name="Normal 10 2 7 2 2 2" xfId="112"/>
    <cellStyle name="Normal 10 2 7 2 3" xfId="113"/>
    <cellStyle name="Normal 10 2 7 3" xfId="114"/>
    <cellStyle name="Normal 10 2 7 3 2" xfId="115"/>
    <cellStyle name="Normal 10 2 7 4" xfId="116"/>
    <cellStyle name="Normal 10 2 8" xfId="117"/>
    <cellStyle name="Normal 10 2 8 2" xfId="118"/>
    <cellStyle name="Normal 10 2 8 2 2" xfId="119"/>
    <cellStyle name="Normal 10 2 8 3" xfId="120"/>
    <cellStyle name="Normal 10 2 9" xfId="121"/>
    <cellStyle name="Normal 10 2 9 2" xfId="122"/>
    <cellStyle name="Normal 10 3" xfId="123"/>
    <cellStyle name="Normal 10 3 2" xfId="124"/>
    <cellStyle name="Normal 10 3 2 2" xfId="125"/>
    <cellStyle name="Normal 10 3 2 2 2" xfId="126"/>
    <cellStyle name="Normal 10 3 2 2 2 2" xfId="127"/>
    <cellStyle name="Normal 10 3 2 2 3" xfId="128"/>
    <cellStyle name="Normal 10 3 2 3" xfId="129"/>
    <cellStyle name="Normal 10 3 2 3 2" xfId="130"/>
    <cellStyle name="Normal 10 3 2 4" xfId="131"/>
    <cellStyle name="Normal 10 3 3" xfId="132"/>
    <cellStyle name="Normal 10 3 3 2" xfId="133"/>
    <cellStyle name="Normal 10 3 3 2 2" xfId="134"/>
    <cellStyle name="Normal 10 3 3 3" xfId="135"/>
    <cellStyle name="Normal 10 3 4" xfId="136"/>
    <cellStyle name="Normal 10 3 4 2" xfId="137"/>
    <cellStyle name="Normal 10 3 5" xfId="138"/>
    <cellStyle name="Normal 10 4" xfId="139"/>
    <cellStyle name="Normal 10 4 2" xfId="140"/>
    <cellStyle name="Normal 10 4 2 2" xfId="141"/>
    <cellStyle name="Normal 10 4 2 2 2" xfId="142"/>
    <cellStyle name="Normal 10 4 2 2 2 2" xfId="143"/>
    <cellStyle name="Normal 10 4 2 2 3" xfId="144"/>
    <cellStyle name="Normal 10 4 2 3" xfId="145"/>
    <cellStyle name="Normal 10 4 2 3 2" xfId="146"/>
    <cellStyle name="Normal 10 4 2 4" xfId="147"/>
    <cellStyle name="Normal 10 4 3" xfId="148"/>
    <cellStyle name="Normal 10 4 3 2" xfId="149"/>
    <cellStyle name="Normal 10 4 3 2 2" xfId="150"/>
    <cellStyle name="Normal 10 4 3 3" xfId="151"/>
    <cellStyle name="Normal 10 4 4" xfId="152"/>
    <cellStyle name="Normal 10 4 4 2" xfId="153"/>
    <cellStyle name="Normal 10 4 5" xfId="154"/>
    <cellStyle name="Normal 10 5" xfId="155"/>
    <cellStyle name="Normal 10 5 2" xfId="156"/>
    <cellStyle name="Normal 10 5 2 2" xfId="157"/>
    <cellStyle name="Normal 10 5 2 2 2" xfId="158"/>
    <cellStyle name="Normal 10 5 2 2 2 2" xfId="159"/>
    <cellStyle name="Normal 10 5 2 2 3" xfId="160"/>
    <cellStyle name="Normal 10 5 2 3" xfId="161"/>
    <cellStyle name="Normal 10 5 2 3 2" xfId="162"/>
    <cellStyle name="Normal 10 5 2 4" xfId="163"/>
    <cellStyle name="Normal 10 5 3" xfId="164"/>
    <cellStyle name="Normal 10 5 3 2" xfId="165"/>
    <cellStyle name="Normal 10 5 3 2 2" xfId="166"/>
    <cellStyle name="Normal 10 5 3 3" xfId="167"/>
    <cellStyle name="Normal 10 5 4" xfId="168"/>
    <cellStyle name="Normal 10 5 4 2" xfId="169"/>
    <cellStyle name="Normal 10 5 5" xfId="170"/>
    <cellStyle name="Normal 10 6" xfId="171"/>
    <cellStyle name="Normal 10 6 2" xfId="172"/>
    <cellStyle name="Normal 10 6 2 2" xfId="173"/>
    <cellStyle name="Normal 10 6 2 2 2" xfId="174"/>
    <cellStyle name="Normal 10 6 2 2 2 2" xfId="175"/>
    <cellStyle name="Normal 10 6 2 2 3" xfId="176"/>
    <cellStyle name="Normal 10 6 2 3" xfId="177"/>
    <cellStyle name="Normal 10 6 2 3 2" xfId="178"/>
    <cellStyle name="Normal 10 6 2 4" xfId="179"/>
    <cellStyle name="Normal 10 6 3" xfId="180"/>
    <cellStyle name="Normal 10 6 3 2" xfId="181"/>
    <cellStyle name="Normal 10 6 3 2 2" xfId="182"/>
    <cellStyle name="Normal 10 6 3 3" xfId="183"/>
    <cellStyle name="Normal 10 6 4" xfId="184"/>
    <cellStyle name="Normal 10 6 4 2" xfId="185"/>
    <cellStyle name="Normal 10 6 5" xfId="186"/>
    <cellStyle name="Normal 10 7" xfId="187"/>
    <cellStyle name="Normal 10 7 2" xfId="188"/>
    <cellStyle name="Normal 10 7 2 2" xfId="189"/>
    <cellStyle name="Normal 10 7 2 2 2" xfId="190"/>
    <cellStyle name="Normal 10 7 2 2 2 2" xfId="191"/>
    <cellStyle name="Normal 10 7 2 2 3" xfId="192"/>
    <cellStyle name="Normal 10 7 2 3" xfId="193"/>
    <cellStyle name="Normal 10 7 2 3 2" xfId="194"/>
    <cellStyle name="Normal 10 7 2 4" xfId="195"/>
    <cellStyle name="Normal 10 7 3" xfId="196"/>
    <cellStyle name="Normal 10 7 3 2" xfId="197"/>
    <cellStyle name="Normal 10 7 3 2 2" xfId="198"/>
    <cellStyle name="Normal 10 7 3 3" xfId="199"/>
    <cellStyle name="Normal 10 7 4" xfId="200"/>
    <cellStyle name="Normal 10 7 4 2" xfId="201"/>
    <cellStyle name="Normal 10 7 5" xfId="202"/>
    <cellStyle name="Normal 10 8" xfId="203"/>
    <cellStyle name="Normal 10 8 2" xfId="204"/>
    <cellStyle name="Normal 10 8 2 2" xfId="205"/>
    <cellStyle name="Normal 10 8 2 2 2" xfId="206"/>
    <cellStyle name="Normal 10 8 2 3" xfId="207"/>
    <cellStyle name="Normal 10 8 3" xfId="208"/>
    <cellStyle name="Normal 10 8 3 2" xfId="209"/>
    <cellStyle name="Normal 10 8 4" xfId="210"/>
    <cellStyle name="Normal 10 9" xfId="211"/>
    <cellStyle name="Normal 10 9 2" xfId="212"/>
    <cellStyle name="Normal 10 9 2 2" xfId="213"/>
    <cellStyle name="Normal 10 9 3" xfId="214"/>
    <cellStyle name="Normal 11" xfId="215"/>
    <cellStyle name="Normal 11 10" xfId="216"/>
    <cellStyle name="Normal 11 10 2" xfId="217"/>
    <cellStyle name="Normal 11 10 2 2" xfId="218"/>
    <cellStyle name="Normal 11 10 2 2 2" xfId="219"/>
    <cellStyle name="Normal 11 10 2 2 2 2" xfId="220"/>
    <cellStyle name="Normal 11 10 2 2 3" xfId="221"/>
    <cellStyle name="Normal 11 10 2 3" xfId="222"/>
    <cellStyle name="Normal 11 10 2 3 2" xfId="223"/>
    <cellStyle name="Normal 11 10 2 4" xfId="224"/>
    <cellStyle name="Normal 11 10 3" xfId="225"/>
    <cellStyle name="Normal 11 10 3 2" xfId="226"/>
    <cellStyle name="Normal 11 10 3 2 2" xfId="227"/>
    <cellStyle name="Normal 11 10 3 3" xfId="228"/>
    <cellStyle name="Normal 11 10 4" xfId="229"/>
    <cellStyle name="Normal 11 10 4 2" xfId="230"/>
    <cellStyle name="Normal 11 10 5" xfId="231"/>
    <cellStyle name="Normal 11 11" xfId="232"/>
    <cellStyle name="Normal 11 11 2" xfId="233"/>
    <cellStyle name="Normal 11 11 2 2" xfId="234"/>
    <cellStyle name="Normal 11 11 2 2 2" xfId="235"/>
    <cellStyle name="Normal 11 11 2 2 2 2" xfId="236"/>
    <cellStyle name="Normal 11 11 2 2 3" xfId="237"/>
    <cellStyle name="Normal 11 11 2 3" xfId="238"/>
    <cellStyle name="Normal 11 11 2 3 2" xfId="239"/>
    <cellStyle name="Normal 11 11 2 4" xfId="240"/>
    <cellStyle name="Normal 11 11 3" xfId="241"/>
    <cellStyle name="Normal 11 11 3 2" xfId="242"/>
    <cellStyle name="Normal 11 11 3 2 2" xfId="243"/>
    <cellStyle name="Normal 11 11 3 3" xfId="244"/>
    <cellStyle name="Normal 11 11 4" xfId="245"/>
    <cellStyle name="Normal 11 11 4 2" xfId="246"/>
    <cellStyle name="Normal 11 11 5" xfId="247"/>
    <cellStyle name="Normal 11 12" xfId="248"/>
    <cellStyle name="Normal 11 12 10" xfId="249"/>
    <cellStyle name="Normal 11 12 10 2" xfId="250"/>
    <cellStyle name="Normal 11 12 10 2 2" xfId="251"/>
    <cellStyle name="Normal 11 12 10 3" xfId="252"/>
    <cellStyle name="Normal 11 12 11" xfId="253"/>
    <cellStyle name="Normal 11 12 11 2" xfId="254"/>
    <cellStyle name="Normal 11 12 11 2 2" xfId="255"/>
    <cellStyle name="Normal 11 12 11 2 3" xfId="256"/>
    <cellStyle name="Normal 11 12 11 3" xfId="257"/>
    <cellStyle name="Normal 11 12 11 4" xfId="258"/>
    <cellStyle name="Normal 11 12 11 4 2" xfId="259"/>
    <cellStyle name="Normal 11 12 11 4 2 2" xfId="260"/>
    <cellStyle name="Normal 11 12 11 4 2 2 2" xfId="261"/>
    <cellStyle name="Normal 11 12 12" xfId="262"/>
    <cellStyle name="Normal 11 12 13" xfId="263"/>
    <cellStyle name="Normal 11 12 2" xfId="264"/>
    <cellStyle name="Normal 11 12 2 2" xfId="265"/>
    <cellStyle name="Normal 11 12 2 2 2" xfId="266"/>
    <cellStyle name="Normal 11 12 2 2 2 2" xfId="267"/>
    <cellStyle name="Normal 11 12 2 2 2 2 2" xfId="268"/>
    <cellStyle name="Normal 11 12 2 2 2 3" xfId="269"/>
    <cellStyle name="Normal 11 12 2 2 3" xfId="270"/>
    <cellStyle name="Normal 11 12 2 2 3 2" xfId="271"/>
    <cellStyle name="Normal 11 12 2 2 4" xfId="272"/>
    <cellStyle name="Normal 11 12 2 3" xfId="273"/>
    <cellStyle name="Normal 11 12 2 3 2" xfId="274"/>
    <cellStyle name="Normal 11 12 2 3 2 2" xfId="275"/>
    <cellStyle name="Normal 11 12 2 3 3" xfId="276"/>
    <cellStyle name="Normal 11 12 2 4" xfId="277"/>
    <cellStyle name="Normal 11 12 2 4 2" xfId="278"/>
    <cellStyle name="Normal 11 12 2 5" xfId="279"/>
    <cellStyle name="Normal 11 12 3" xfId="280"/>
    <cellStyle name="Normal 11 12 3 2" xfId="281"/>
    <cellStyle name="Normal 11 12 3 2 2" xfId="282"/>
    <cellStyle name="Normal 11 12 3 2 2 2" xfId="283"/>
    <cellStyle name="Normal 11 12 3 2 3" xfId="284"/>
    <cellStyle name="Normal 11 12 3 2 4" xfId="285"/>
    <cellStyle name="Normal 11 12 3 2 5" xfId="2560"/>
    <cellStyle name="Normal 11 12 3 3" xfId="286"/>
    <cellStyle name="Normal 11 12 3 3 2" xfId="287"/>
    <cellStyle name="Normal 11 12 3 4" xfId="288"/>
    <cellStyle name="Normal 11 12 4" xfId="289"/>
    <cellStyle name="Normal 11 12 4 2" xfId="290"/>
    <cellStyle name="Normal 11 12 4 2 10" xfId="2561"/>
    <cellStyle name="Normal 11 12 4 2 11" xfId="2562"/>
    <cellStyle name="Normal 11 12 4 2 12" xfId="2582"/>
    <cellStyle name="Normal 11 12 4 2 2" xfId="291"/>
    <cellStyle name="Normal 11 12 4 2 2 2" xfId="292"/>
    <cellStyle name="Normal 11 12 4 2 3" xfId="293"/>
    <cellStyle name="Normal 11 12 4 2 3 2" xfId="2516"/>
    <cellStyle name="Normal 11 12 4 2 3 3" xfId="2517"/>
    <cellStyle name="Normal 11 12 4 2 4" xfId="294"/>
    <cellStyle name="Normal 11 12 4 2 4 2" xfId="295"/>
    <cellStyle name="Normal 11 12 4 2 4 3" xfId="296"/>
    <cellStyle name="Normal 11 12 4 2 4 4" xfId="297"/>
    <cellStyle name="Normal 11 12 4 2 5" xfId="298"/>
    <cellStyle name="Normal 11 12 4 2 6" xfId="299"/>
    <cellStyle name="Normal 11 12 4 2 6 2" xfId="300"/>
    <cellStyle name="Normal 11 12 4 2 6 2 2" xfId="2563"/>
    <cellStyle name="Normal 11 12 4 2 7" xfId="301"/>
    <cellStyle name="Normal 11 12 4 2 8" xfId="302"/>
    <cellStyle name="Normal 11 12 4 2 9" xfId="2552"/>
    <cellStyle name="Normal 11 12 4 3" xfId="303"/>
    <cellStyle name="Normal 11 12 4 3 2" xfId="304"/>
    <cellStyle name="Normal 11 12 4 3 2 2" xfId="305"/>
    <cellStyle name="Normal 11 12 4 3 3" xfId="306"/>
    <cellStyle name="Normal 11 12 4 4" xfId="307"/>
    <cellStyle name="Normal 11 12 4 4 2" xfId="308"/>
    <cellStyle name="Normal 11 12 4 5" xfId="309"/>
    <cellStyle name="Normal 11 12 5" xfId="310"/>
    <cellStyle name="Normal 11 12 5 2" xfId="311"/>
    <cellStyle name="Normal 11 12 5 2 2" xfId="312"/>
    <cellStyle name="Normal 11 12 5 3" xfId="313"/>
    <cellStyle name="Normal 11 12 6" xfId="314"/>
    <cellStyle name="Normal 11 12 6 2" xfId="315"/>
    <cellStyle name="Normal 11 12 6 2 2" xfId="316"/>
    <cellStyle name="Normal 11 12 6 2 2 2" xfId="317"/>
    <cellStyle name="Normal 11 12 6 2 3" xfId="318"/>
    <cellStyle name="Normal 11 12 6 2 4" xfId="319"/>
    <cellStyle name="Normal 11 12 6 2 4 2" xfId="320"/>
    <cellStyle name="Normal 11 12 6 2 4 3" xfId="321"/>
    <cellStyle name="Normal 11 12 6 2 4 4" xfId="322"/>
    <cellStyle name="Normal 11 12 6 3" xfId="323"/>
    <cellStyle name="Normal 11 12 6 3 2" xfId="324"/>
    <cellStyle name="Normal 11 12 6 4" xfId="325"/>
    <cellStyle name="Normal 11 12 7" xfId="326"/>
    <cellStyle name="Normal 11 12 7 2" xfId="327"/>
    <cellStyle name="Normal 11 12 7 2 2" xfId="328"/>
    <cellStyle name="Normal 11 12 7 3" xfId="329"/>
    <cellStyle name="Normal 11 12 8" xfId="330"/>
    <cellStyle name="Normal 11 12 8 2" xfId="331"/>
    <cellStyle name="Normal 11 12 9" xfId="332"/>
    <cellStyle name="Normal 11 12 9 2" xfId="333"/>
    <cellStyle name="Normal 11 13" xfId="334"/>
    <cellStyle name="Normal 11 13 10" xfId="335"/>
    <cellStyle name="Normal 11 13 2" xfId="336"/>
    <cellStyle name="Normal 11 13 2 2" xfId="337"/>
    <cellStyle name="Normal 11 13 2 2 10" xfId="2564"/>
    <cellStyle name="Normal 11 13 2 2 11" xfId="2565"/>
    <cellStyle name="Normal 11 13 2 2 2" xfId="338"/>
    <cellStyle name="Normal 11 13 2 2 2 2" xfId="339"/>
    <cellStyle name="Normal 11 13 2 2 2 2 2" xfId="340"/>
    <cellStyle name="Normal 11 13 2 2 2 2 2 2" xfId="341"/>
    <cellStyle name="Normal 11 13 2 2 2 2 2 2 2" xfId="342"/>
    <cellStyle name="Normal 11 13 2 2 2 2 2 2 2 2" xfId="343"/>
    <cellStyle name="Normal 11 13 2 2 2 2 2 2 2 3" xfId="344"/>
    <cellStyle name="Normal 11 13 2 2 2 2 2 2 3" xfId="345"/>
    <cellStyle name="Normal 11 13 2 2 2 2 2 3" xfId="346"/>
    <cellStyle name="Normal 11 13 2 2 2 2 3" xfId="347"/>
    <cellStyle name="Normal 11 13 2 2 2 3" xfId="348"/>
    <cellStyle name="Normal 11 13 2 2 2 3 2" xfId="349"/>
    <cellStyle name="Normal 11 13 2 2 2 4" xfId="350"/>
    <cellStyle name="Normal 11 13 2 2 2 4 2" xfId="351"/>
    <cellStyle name="Normal 11 13 2 2 2 4 2 2" xfId="352"/>
    <cellStyle name="Normal 11 13 2 2 2 4 3" xfId="353"/>
    <cellStyle name="Normal 11 13 2 2 2 5" xfId="354"/>
    <cellStyle name="Normal 11 13 2 2 2 6" xfId="355"/>
    <cellStyle name="Normal 11 13 2 2 3" xfId="356"/>
    <cellStyle name="Normal 11 13 2 2 3 2" xfId="357"/>
    <cellStyle name="Normal 11 13 2 2 4" xfId="358"/>
    <cellStyle name="Normal 11 13 2 2 4 2" xfId="359"/>
    <cellStyle name="Normal 11 13 2 2 4 3" xfId="360"/>
    <cellStyle name="Normal 11 13 2 2 4 4" xfId="361"/>
    <cellStyle name="Normal 11 13 2 2 5" xfId="362"/>
    <cellStyle name="Normal 11 13 2 2 6" xfId="363"/>
    <cellStyle name="Normal 11 13 2 2 7" xfId="364"/>
    <cellStyle name="Normal 11 13 2 2 8" xfId="365"/>
    <cellStyle name="Normal 11 13 2 2 9" xfId="2566"/>
    <cellStyle name="Normal 11 13 2 3" xfId="366"/>
    <cellStyle name="Normal 11 13 2 3 2" xfId="367"/>
    <cellStyle name="Normal 11 13 2 3 2 2" xfId="368"/>
    <cellStyle name="Normal 11 13 2 3 2 2 2" xfId="369"/>
    <cellStyle name="Normal 11 13 2 3 2 2 2 2" xfId="370"/>
    <cellStyle name="Normal 11 13 2 3 2 2 2 2 2" xfId="371"/>
    <cellStyle name="Normal 11 13 2 3 2 2 2 3" xfId="372"/>
    <cellStyle name="Normal 11 13 2 3 2 2 2 4" xfId="373"/>
    <cellStyle name="Normal 11 13 2 3 2 2 2 4 2" xfId="374"/>
    <cellStyle name="Normal 11 13 2 3 2 2 2 4 3" xfId="375"/>
    <cellStyle name="Normal 11 13 2 3 2 2 2 4 4" xfId="376"/>
    <cellStyle name="Normal 11 13 2 3 2 2 2 4 5" xfId="377"/>
    <cellStyle name="Normal 11 13 2 3 2 2 3" xfId="378"/>
    <cellStyle name="Normal 11 13 2 3 2 2 3 2" xfId="379"/>
    <cellStyle name="Normal 11 13 2 3 2 2 4" xfId="380"/>
    <cellStyle name="Normal 11 13 2 3 2 3" xfId="381"/>
    <cellStyle name="Normal 11 13 2 3 2 3 2" xfId="382"/>
    <cellStyle name="Normal 11 13 2 3 2 4" xfId="383"/>
    <cellStyle name="Normal 11 13 2 3 2 4 2" xfId="384"/>
    <cellStyle name="Normal 11 13 2 3 2 4 2 2" xfId="385"/>
    <cellStyle name="Normal 11 13 2 3 2 4 3" xfId="386"/>
    <cellStyle name="Normal 11 13 2 3 2 5" xfId="387"/>
    <cellStyle name="Normal 11 13 2 3 2 6" xfId="388"/>
    <cellStyle name="Normal 11 13 2 3 3" xfId="389"/>
    <cellStyle name="Normal 11 13 2 3 3 2" xfId="390"/>
    <cellStyle name="Normal 11 13 2 3 4" xfId="391"/>
    <cellStyle name="Normal 11 13 2 3 4 2" xfId="392"/>
    <cellStyle name="Normal 11 13 2 3 4 2 2" xfId="393"/>
    <cellStyle name="Normal 11 13 2 3 4 2 3" xfId="2518"/>
    <cellStyle name="Normal 11 13 2 3 4 3" xfId="394"/>
    <cellStyle name="Normal 11 13 2 3 5" xfId="395"/>
    <cellStyle name="Normal 11 13 2 4" xfId="396"/>
    <cellStyle name="Normal 11 13 2 4 2" xfId="397"/>
    <cellStyle name="Normal 11 13 2 5" xfId="398"/>
    <cellStyle name="Normal 11 13 3" xfId="399"/>
    <cellStyle name="Normal 11 13 3 2" xfId="400"/>
    <cellStyle name="Normal 11 13 3 2 2" xfId="401"/>
    <cellStyle name="Normal 11 13 3 2 2 2" xfId="402"/>
    <cellStyle name="Normal 11 13 3 2 2 2 2" xfId="403"/>
    <cellStyle name="Normal 11 13 3 2 2 3" xfId="404"/>
    <cellStyle name="Normal 11 13 3 2 3" xfId="405"/>
    <cellStyle name="Normal 11 13 3 2 3 2" xfId="406"/>
    <cellStyle name="Normal 11 13 3 2 4" xfId="407"/>
    <cellStyle name="Normal 11 13 3 2 4 2" xfId="408"/>
    <cellStyle name="Normal 11 13 3 2 5" xfId="409"/>
    <cellStyle name="Normal 11 13 3 2 5 2" xfId="410"/>
    <cellStyle name="Normal 11 13 3 2 5 2 2" xfId="411"/>
    <cellStyle name="Normal 11 13 3 2 5 2 3" xfId="412"/>
    <cellStyle name="Normal 11 13 3 2 5 3" xfId="413"/>
    <cellStyle name="Normal 11 13 3 2 6" xfId="414"/>
    <cellStyle name="Normal 11 13 3 3" xfId="415"/>
    <cellStyle name="Normal 11 13 3 3 2" xfId="416"/>
    <cellStyle name="Normal 11 13 3 3 2 2" xfId="417"/>
    <cellStyle name="Normal 11 13 3 3 3" xfId="418"/>
    <cellStyle name="Normal 11 13 3 4" xfId="419"/>
    <cellStyle name="Normal 11 13 3 4 2" xfId="420"/>
    <cellStyle name="Normal 11 13 3 4 2 2" xfId="421"/>
    <cellStyle name="Normal 11 13 3 4 2 2 2" xfId="422"/>
    <cellStyle name="Normal 11 13 3 4 2 2 3" xfId="2519"/>
    <cellStyle name="Normal 11 13 3 4 2 2 4" xfId="2553"/>
    <cellStyle name="Normal 11 13 3 4 2 3" xfId="423"/>
    <cellStyle name="Normal 11 13 3 4 2 3 2" xfId="2520"/>
    <cellStyle name="Normal 11 13 3 4 2 3 2 2" xfId="2521"/>
    <cellStyle name="Normal 11 13 3 4 2 3 3" xfId="424"/>
    <cellStyle name="Normal 11 13 3 4 2 3 3 2" xfId="2554"/>
    <cellStyle name="Normal 11 13 3 4 2 3 3 3" xfId="2583"/>
    <cellStyle name="Normal 11 13 3 4 2 4" xfId="2522"/>
    <cellStyle name="Normal 11 13 3 4 2 5" xfId="2523"/>
    <cellStyle name="Normal 11 13 3 4 2 6" xfId="2555"/>
    <cellStyle name="Normal 11 13 3 4 3" xfId="425"/>
    <cellStyle name="Normal 11 13 3 4 3 2" xfId="426"/>
    <cellStyle name="Normal 11 13 3 4 3 2 2" xfId="427"/>
    <cellStyle name="Normal 11 13 3 4 3 3" xfId="428"/>
    <cellStyle name="Normal 11 13 3 4 4" xfId="429"/>
    <cellStyle name="Normal 11 13 3 4 4 2" xfId="430"/>
    <cellStyle name="Normal 11 13 3 4 5" xfId="431"/>
    <cellStyle name="Normal 11 13 3 4 5 2" xfId="432"/>
    <cellStyle name="Normal 11 13 3 4 5 2 2" xfId="433"/>
    <cellStyle name="Normal 11 13 3 4 5 3" xfId="434"/>
    <cellStyle name="Normal 11 13 3 4 6" xfId="435"/>
    <cellStyle name="Normal 11 13 3 5" xfId="436"/>
    <cellStyle name="Normal 11 13 3 5 2" xfId="437"/>
    <cellStyle name="Normal 11 13 3 5 2 2" xfId="438"/>
    <cellStyle name="Normal 11 13 3 5 3" xfId="439"/>
    <cellStyle name="Normal 11 13 3 6" xfId="440"/>
    <cellStyle name="Normal 11 13 3 6 2" xfId="441"/>
    <cellStyle name="Normal 11 13 3 7" xfId="442"/>
    <cellStyle name="Normal 11 13 3 8" xfId="443"/>
    <cellStyle name="Normal 11 13 4" xfId="444"/>
    <cellStyle name="Normal 11 13 4 2" xfId="445"/>
    <cellStyle name="Normal 11 13 4 2 2" xfId="446"/>
    <cellStyle name="Normal 11 13 4 2 2 2" xfId="447"/>
    <cellStyle name="Normal 11 13 4 2 3" xfId="448"/>
    <cellStyle name="Normal 11 13 4 3" xfId="449"/>
    <cellStyle name="Normal 11 13 4 3 2" xfId="450"/>
    <cellStyle name="Normal 11 13 4 4" xfId="451"/>
    <cellStyle name="Normal 11 13 5" xfId="452"/>
    <cellStyle name="Normal 11 13 5 2" xfId="453"/>
    <cellStyle name="Normal 11 13 5 2 2" xfId="454"/>
    <cellStyle name="Normal 11 13 5 3" xfId="455"/>
    <cellStyle name="Normal 11 13 6" xfId="456"/>
    <cellStyle name="Normal 11 13 6 2" xfId="457"/>
    <cellStyle name="Normal 11 13 6 2 2" xfId="458"/>
    <cellStyle name="Normal 11 13 6 3" xfId="459"/>
    <cellStyle name="Normal 11 13 6 3 2" xfId="460"/>
    <cellStyle name="Normal 11 13 6 3 3" xfId="461"/>
    <cellStyle name="Normal 11 13 6 3 3 2" xfId="462"/>
    <cellStyle name="Normal 11 13 6 4" xfId="463"/>
    <cellStyle name="Normal 11 13 7" xfId="464"/>
    <cellStyle name="Normal 11 13 7 2" xfId="465"/>
    <cellStyle name="Normal 11 13 8" xfId="466"/>
    <cellStyle name="Normal 11 13 8 2" xfId="467"/>
    <cellStyle name="Normal 11 13 9" xfId="468"/>
    <cellStyle name="Normal 11 13 9 2" xfId="469"/>
    <cellStyle name="Normal 11 13 9 2 2" xfId="470"/>
    <cellStyle name="Normal 11 13 9 2 3" xfId="471"/>
    <cellStyle name="Normal 11 13 9 2 3 2" xfId="472"/>
    <cellStyle name="Normal 11 13 9 2 4" xfId="2556"/>
    <cellStyle name="Normal 11 13 9 3" xfId="473"/>
    <cellStyle name="Normal 11 14" xfId="474"/>
    <cellStyle name="Normal 11 14 2" xfId="475"/>
    <cellStyle name="Normal 11 14 2 2" xfId="476"/>
    <cellStyle name="Normal 11 14 2 2 2" xfId="477"/>
    <cellStyle name="Normal 11 14 2 2 2 2" xfId="478"/>
    <cellStyle name="Normal 11 14 2 2 3" xfId="479"/>
    <cellStyle name="Normal 11 14 2 3" xfId="480"/>
    <cellStyle name="Normal 11 14 2 3 2" xfId="481"/>
    <cellStyle name="Normal 11 14 2 4" xfId="482"/>
    <cellStyle name="Normal 11 14 3" xfId="483"/>
    <cellStyle name="Normal 11 14 3 2" xfId="484"/>
    <cellStyle name="Normal 11 14 3 2 2" xfId="485"/>
    <cellStyle name="Normal 11 14 3 3" xfId="486"/>
    <cellStyle name="Normal 11 14 4" xfId="487"/>
    <cellStyle name="Normal 11 14 4 2" xfId="488"/>
    <cellStyle name="Normal 11 14 5" xfId="489"/>
    <cellStyle name="Normal 11 15" xfId="490"/>
    <cellStyle name="Normal 11 15 2" xfId="491"/>
    <cellStyle name="Normal 11 15 2 2" xfId="492"/>
    <cellStyle name="Normal 11 15 2 2 2" xfId="493"/>
    <cellStyle name="Normal 11 15 2 3" xfId="494"/>
    <cellStyle name="Normal 11 15 3" xfId="495"/>
    <cellStyle name="Normal 11 15 3 2" xfId="496"/>
    <cellStyle name="Normal 11 15 4" xfId="497"/>
    <cellStyle name="Normal 11 16" xfId="498"/>
    <cellStyle name="Normal 11 16 2" xfId="499"/>
    <cellStyle name="Normal 11 16 2 2" xfId="500"/>
    <cellStyle name="Normal 11 16 3" xfId="501"/>
    <cellStyle name="Normal 11 17" xfId="502"/>
    <cellStyle name="Normal 11 17 2" xfId="503"/>
    <cellStyle name="Normal 11 18" xfId="504"/>
    <cellStyle name="Normal 11 2" xfId="505"/>
    <cellStyle name="Normal 11 2 10" xfId="506"/>
    <cellStyle name="Normal 11 2 2" xfId="507"/>
    <cellStyle name="Normal 11 2 2 2" xfId="508"/>
    <cellStyle name="Normal 11 2 2 2 2" xfId="509"/>
    <cellStyle name="Normal 11 2 2 2 2 2" xfId="510"/>
    <cellStyle name="Normal 11 2 2 2 2 2 2" xfId="511"/>
    <cellStyle name="Normal 11 2 2 2 2 3" xfId="512"/>
    <cellStyle name="Normal 11 2 2 2 3" xfId="513"/>
    <cellStyle name="Normal 11 2 2 2 3 2" xfId="514"/>
    <cellStyle name="Normal 11 2 2 2 4" xfId="515"/>
    <cellStyle name="Normal 11 2 2 3" xfId="516"/>
    <cellStyle name="Normal 11 2 2 3 2" xfId="517"/>
    <cellStyle name="Normal 11 2 2 3 2 2" xfId="518"/>
    <cellStyle name="Normal 11 2 2 3 3" xfId="519"/>
    <cellStyle name="Normal 11 2 2 4" xfId="520"/>
    <cellStyle name="Normal 11 2 2 4 2" xfId="521"/>
    <cellStyle name="Normal 11 2 2 5" xfId="522"/>
    <cellStyle name="Normal 11 2 3" xfId="523"/>
    <cellStyle name="Normal 11 2 3 2" xfId="524"/>
    <cellStyle name="Normal 11 2 3 2 2" xfId="525"/>
    <cellStyle name="Normal 11 2 3 2 2 2" xfId="526"/>
    <cellStyle name="Normal 11 2 3 2 2 2 2" xfId="527"/>
    <cellStyle name="Normal 11 2 3 2 2 3" xfId="528"/>
    <cellStyle name="Normal 11 2 3 2 3" xfId="529"/>
    <cellStyle name="Normal 11 2 3 2 3 2" xfId="530"/>
    <cellStyle name="Normal 11 2 3 2 4" xfId="531"/>
    <cellStyle name="Normal 11 2 3 3" xfId="532"/>
    <cellStyle name="Normal 11 2 3 3 2" xfId="533"/>
    <cellStyle name="Normal 11 2 3 3 2 2" xfId="534"/>
    <cellStyle name="Normal 11 2 3 3 3" xfId="535"/>
    <cellStyle name="Normal 11 2 3 4" xfId="536"/>
    <cellStyle name="Normal 11 2 3 4 2" xfId="537"/>
    <cellStyle name="Normal 11 2 3 5" xfId="538"/>
    <cellStyle name="Normal 11 2 4" xfId="539"/>
    <cellStyle name="Normal 11 2 4 2" xfId="540"/>
    <cellStyle name="Normal 11 2 4 2 2" xfId="541"/>
    <cellStyle name="Normal 11 2 4 2 2 2" xfId="542"/>
    <cellStyle name="Normal 11 2 4 2 2 2 2" xfId="543"/>
    <cellStyle name="Normal 11 2 4 2 2 3" xfId="544"/>
    <cellStyle name="Normal 11 2 4 2 3" xfId="545"/>
    <cellStyle name="Normal 11 2 4 2 3 2" xfId="546"/>
    <cellStyle name="Normal 11 2 4 2 4" xfId="547"/>
    <cellStyle name="Normal 11 2 4 3" xfId="548"/>
    <cellStyle name="Normal 11 2 4 3 2" xfId="549"/>
    <cellStyle name="Normal 11 2 4 3 2 2" xfId="550"/>
    <cellStyle name="Normal 11 2 4 3 3" xfId="551"/>
    <cellStyle name="Normal 11 2 4 4" xfId="552"/>
    <cellStyle name="Normal 11 2 4 4 2" xfId="553"/>
    <cellStyle name="Normal 11 2 4 5" xfId="554"/>
    <cellStyle name="Normal 11 2 5" xfId="555"/>
    <cellStyle name="Normal 11 2 5 2" xfId="556"/>
    <cellStyle name="Normal 11 2 5 2 2" xfId="557"/>
    <cellStyle name="Normal 11 2 5 2 2 2" xfId="558"/>
    <cellStyle name="Normal 11 2 5 2 2 2 2" xfId="559"/>
    <cellStyle name="Normal 11 2 5 2 2 3" xfId="560"/>
    <cellStyle name="Normal 11 2 5 2 3" xfId="561"/>
    <cellStyle name="Normal 11 2 5 2 3 2" xfId="562"/>
    <cellStyle name="Normal 11 2 5 2 4" xfId="563"/>
    <cellStyle name="Normal 11 2 5 3" xfId="564"/>
    <cellStyle name="Normal 11 2 5 3 2" xfId="565"/>
    <cellStyle name="Normal 11 2 5 3 2 2" xfId="566"/>
    <cellStyle name="Normal 11 2 5 3 3" xfId="567"/>
    <cellStyle name="Normal 11 2 5 4" xfId="568"/>
    <cellStyle name="Normal 11 2 5 4 2" xfId="569"/>
    <cellStyle name="Normal 11 2 5 5" xfId="570"/>
    <cellStyle name="Normal 11 2 6" xfId="571"/>
    <cellStyle name="Normal 11 2 6 2" xfId="572"/>
    <cellStyle name="Normal 11 2 6 2 2" xfId="573"/>
    <cellStyle name="Normal 11 2 6 2 2 2" xfId="574"/>
    <cellStyle name="Normal 11 2 6 2 2 2 2" xfId="575"/>
    <cellStyle name="Normal 11 2 6 2 2 3" xfId="576"/>
    <cellStyle name="Normal 11 2 6 2 3" xfId="577"/>
    <cellStyle name="Normal 11 2 6 2 3 2" xfId="578"/>
    <cellStyle name="Normal 11 2 6 2 4" xfId="579"/>
    <cellStyle name="Normal 11 2 6 3" xfId="580"/>
    <cellStyle name="Normal 11 2 6 3 2" xfId="581"/>
    <cellStyle name="Normal 11 2 6 3 2 2" xfId="582"/>
    <cellStyle name="Normal 11 2 6 3 3" xfId="583"/>
    <cellStyle name="Normal 11 2 6 4" xfId="584"/>
    <cellStyle name="Normal 11 2 6 4 2" xfId="585"/>
    <cellStyle name="Normal 11 2 6 5" xfId="586"/>
    <cellStyle name="Normal 11 2 7" xfId="587"/>
    <cellStyle name="Normal 11 2 7 2" xfId="588"/>
    <cellStyle name="Normal 11 2 7 2 2" xfId="589"/>
    <cellStyle name="Normal 11 2 7 2 2 2" xfId="590"/>
    <cellStyle name="Normal 11 2 7 2 3" xfId="591"/>
    <cellStyle name="Normal 11 2 7 3" xfId="592"/>
    <cellStyle name="Normal 11 2 7 3 2" xfId="593"/>
    <cellStyle name="Normal 11 2 7 4" xfId="594"/>
    <cellStyle name="Normal 11 2 8" xfId="595"/>
    <cellStyle name="Normal 11 2 8 2" xfId="596"/>
    <cellStyle name="Normal 11 2 8 2 2" xfId="597"/>
    <cellStyle name="Normal 11 2 8 3" xfId="598"/>
    <cellStyle name="Normal 11 2 9" xfId="599"/>
    <cellStyle name="Normal 11 2 9 2" xfId="600"/>
    <cellStyle name="Normal 11 3" xfId="601"/>
    <cellStyle name="Normal 11 3 10" xfId="602"/>
    <cellStyle name="Normal 11 3 2" xfId="603"/>
    <cellStyle name="Normal 11 3 2 2" xfId="604"/>
    <cellStyle name="Normal 11 3 2 2 2" xfId="605"/>
    <cellStyle name="Normal 11 3 2 2 2 2" xfId="606"/>
    <cellStyle name="Normal 11 3 2 2 2 2 2" xfId="607"/>
    <cellStyle name="Normal 11 3 2 2 2 3" xfId="608"/>
    <cellStyle name="Normal 11 3 2 2 3" xfId="609"/>
    <cellStyle name="Normal 11 3 2 2 3 2" xfId="610"/>
    <cellStyle name="Normal 11 3 2 2 4" xfId="611"/>
    <cellStyle name="Normal 11 3 2 3" xfId="612"/>
    <cellStyle name="Normal 11 3 2 3 2" xfId="613"/>
    <cellStyle name="Normal 11 3 2 3 2 2" xfId="614"/>
    <cellStyle name="Normal 11 3 2 3 3" xfId="615"/>
    <cellStyle name="Normal 11 3 2 4" xfId="616"/>
    <cellStyle name="Normal 11 3 2 4 2" xfId="617"/>
    <cellStyle name="Normal 11 3 2 5" xfId="618"/>
    <cellStyle name="Normal 11 3 3" xfId="619"/>
    <cellStyle name="Normal 11 3 3 2" xfId="620"/>
    <cellStyle name="Normal 11 3 3 2 2" xfId="621"/>
    <cellStyle name="Normal 11 3 3 2 2 2" xfId="622"/>
    <cellStyle name="Normal 11 3 3 2 2 2 2" xfId="623"/>
    <cellStyle name="Normal 11 3 3 2 2 3" xfId="624"/>
    <cellStyle name="Normal 11 3 3 2 3" xfId="625"/>
    <cellStyle name="Normal 11 3 3 2 3 2" xfId="626"/>
    <cellStyle name="Normal 11 3 3 2 4" xfId="627"/>
    <cellStyle name="Normal 11 3 3 3" xfId="628"/>
    <cellStyle name="Normal 11 3 3 3 2" xfId="629"/>
    <cellStyle name="Normal 11 3 3 3 2 2" xfId="630"/>
    <cellStyle name="Normal 11 3 3 3 3" xfId="631"/>
    <cellStyle name="Normal 11 3 3 4" xfId="632"/>
    <cellStyle name="Normal 11 3 3 4 2" xfId="633"/>
    <cellStyle name="Normal 11 3 3 5" xfId="634"/>
    <cellStyle name="Normal 11 3 4" xfId="635"/>
    <cellStyle name="Normal 11 3 4 2" xfId="636"/>
    <cellStyle name="Normal 11 3 4 2 2" xfId="637"/>
    <cellStyle name="Normal 11 3 4 2 2 2" xfId="638"/>
    <cellStyle name="Normal 11 3 4 2 2 2 2" xfId="639"/>
    <cellStyle name="Normal 11 3 4 2 2 3" xfId="640"/>
    <cellStyle name="Normal 11 3 4 2 3" xfId="641"/>
    <cellStyle name="Normal 11 3 4 2 3 2" xfId="642"/>
    <cellStyle name="Normal 11 3 4 2 4" xfId="643"/>
    <cellStyle name="Normal 11 3 4 3" xfId="644"/>
    <cellStyle name="Normal 11 3 4 3 2" xfId="645"/>
    <cellStyle name="Normal 11 3 4 3 2 2" xfId="646"/>
    <cellStyle name="Normal 11 3 4 3 3" xfId="647"/>
    <cellStyle name="Normal 11 3 4 4" xfId="648"/>
    <cellStyle name="Normal 11 3 4 4 2" xfId="649"/>
    <cellStyle name="Normal 11 3 4 5" xfId="650"/>
    <cellStyle name="Normal 11 3 5" xfId="651"/>
    <cellStyle name="Normal 11 3 5 2" xfId="652"/>
    <cellStyle name="Normal 11 3 5 2 2" xfId="653"/>
    <cellStyle name="Normal 11 3 5 2 2 2" xfId="654"/>
    <cellStyle name="Normal 11 3 5 2 2 2 2" xfId="655"/>
    <cellStyle name="Normal 11 3 5 2 2 3" xfId="656"/>
    <cellStyle name="Normal 11 3 5 2 3" xfId="657"/>
    <cellStyle name="Normal 11 3 5 2 3 2" xfId="658"/>
    <cellStyle name="Normal 11 3 5 2 4" xfId="659"/>
    <cellStyle name="Normal 11 3 5 3" xfId="660"/>
    <cellStyle name="Normal 11 3 5 3 2" xfId="661"/>
    <cellStyle name="Normal 11 3 5 3 2 2" xfId="662"/>
    <cellStyle name="Normal 11 3 5 3 3" xfId="663"/>
    <cellStyle name="Normal 11 3 5 4" xfId="664"/>
    <cellStyle name="Normal 11 3 5 4 2" xfId="665"/>
    <cellStyle name="Normal 11 3 5 5" xfId="666"/>
    <cellStyle name="Normal 11 3 6" xfId="667"/>
    <cellStyle name="Normal 11 3 6 2" xfId="668"/>
    <cellStyle name="Normal 11 3 6 2 2" xfId="669"/>
    <cellStyle name="Normal 11 3 6 2 2 2" xfId="670"/>
    <cellStyle name="Normal 11 3 6 2 2 2 2" xfId="671"/>
    <cellStyle name="Normal 11 3 6 2 2 3" xfId="672"/>
    <cellStyle name="Normal 11 3 6 2 3" xfId="673"/>
    <cellStyle name="Normal 11 3 6 2 3 2" xfId="674"/>
    <cellStyle name="Normal 11 3 6 2 4" xfId="675"/>
    <cellStyle name="Normal 11 3 6 3" xfId="676"/>
    <cellStyle name="Normal 11 3 6 3 2" xfId="677"/>
    <cellStyle name="Normal 11 3 6 3 2 2" xfId="678"/>
    <cellStyle name="Normal 11 3 6 3 3" xfId="679"/>
    <cellStyle name="Normal 11 3 6 4" xfId="680"/>
    <cellStyle name="Normal 11 3 6 4 2" xfId="681"/>
    <cellStyle name="Normal 11 3 6 5" xfId="682"/>
    <cellStyle name="Normal 11 3 7" xfId="683"/>
    <cellStyle name="Normal 11 3 7 2" xfId="684"/>
    <cellStyle name="Normal 11 3 7 2 2" xfId="685"/>
    <cellStyle name="Normal 11 3 7 2 2 2" xfId="686"/>
    <cellStyle name="Normal 11 3 7 2 3" xfId="687"/>
    <cellStyle name="Normal 11 3 7 3" xfId="688"/>
    <cellStyle name="Normal 11 3 7 3 2" xfId="689"/>
    <cellStyle name="Normal 11 3 7 4" xfId="690"/>
    <cellStyle name="Normal 11 3 8" xfId="691"/>
    <cellStyle name="Normal 11 3 8 2" xfId="692"/>
    <cellStyle name="Normal 11 3 8 2 2" xfId="693"/>
    <cellStyle name="Normal 11 3 8 3" xfId="694"/>
    <cellStyle name="Normal 11 3 9" xfId="695"/>
    <cellStyle name="Normal 11 3 9 2" xfId="696"/>
    <cellStyle name="Normal 11 4" xfId="697"/>
    <cellStyle name="Normal 11 4 10" xfId="698"/>
    <cellStyle name="Normal 11 4 10 2" xfId="699"/>
    <cellStyle name="Normal 11 4 10 2 2" xfId="700"/>
    <cellStyle name="Normal 11 4 10 3" xfId="701"/>
    <cellStyle name="Normal 11 4 11" xfId="702"/>
    <cellStyle name="Normal 11 4 11 2" xfId="703"/>
    <cellStyle name="Normal 11 4 12" xfId="704"/>
    <cellStyle name="Normal 11 4 2" xfId="705"/>
    <cellStyle name="Normal 11 4 2 2" xfId="706"/>
    <cellStyle name="Normal 11 4 2 2 2" xfId="707"/>
    <cellStyle name="Normal 11 4 2 2 2 2" xfId="708"/>
    <cellStyle name="Normal 11 4 2 2 2 2 2" xfId="709"/>
    <cellStyle name="Normal 11 4 2 2 2 3" xfId="710"/>
    <cellStyle name="Normal 11 4 2 2 3" xfId="711"/>
    <cellStyle name="Normal 11 4 2 2 3 2" xfId="712"/>
    <cellStyle name="Normal 11 4 2 2 4" xfId="713"/>
    <cellStyle name="Normal 11 4 2 3" xfId="714"/>
    <cellStyle name="Normal 11 4 2 3 2" xfId="715"/>
    <cellStyle name="Normal 11 4 2 3 2 2" xfId="716"/>
    <cellStyle name="Normal 11 4 2 3 3" xfId="717"/>
    <cellStyle name="Normal 11 4 2 4" xfId="718"/>
    <cellStyle name="Normal 11 4 2 4 2" xfId="719"/>
    <cellStyle name="Normal 11 4 2 5" xfId="720"/>
    <cellStyle name="Normal 11 4 3" xfId="721"/>
    <cellStyle name="Normal 11 4 3 2" xfId="722"/>
    <cellStyle name="Normal 11 4 3 2 2" xfId="723"/>
    <cellStyle name="Normal 11 4 3 2 2 2" xfId="724"/>
    <cellStyle name="Normal 11 4 3 2 2 2 2" xfId="725"/>
    <cellStyle name="Normal 11 4 3 2 2 3" xfId="726"/>
    <cellStyle name="Normal 11 4 3 2 3" xfId="727"/>
    <cellStyle name="Normal 11 4 3 2 3 2" xfId="728"/>
    <cellStyle name="Normal 11 4 3 2 4" xfId="729"/>
    <cellStyle name="Normal 11 4 3 3" xfId="730"/>
    <cellStyle name="Normal 11 4 3 3 2" xfId="731"/>
    <cellStyle name="Normal 11 4 3 3 2 2" xfId="732"/>
    <cellStyle name="Normal 11 4 3 3 3" xfId="733"/>
    <cellStyle name="Normal 11 4 3 4" xfId="734"/>
    <cellStyle name="Normal 11 4 3 4 2" xfId="735"/>
    <cellStyle name="Normal 11 4 3 5" xfId="736"/>
    <cellStyle name="Normal 11 4 4" xfId="737"/>
    <cellStyle name="Normal 11 4 4 2" xfId="738"/>
    <cellStyle name="Normal 11 4 4 2 2" xfId="739"/>
    <cellStyle name="Normal 11 4 4 2 2 2" xfId="740"/>
    <cellStyle name="Normal 11 4 4 2 2 2 2" xfId="741"/>
    <cellStyle name="Normal 11 4 4 2 2 3" xfId="742"/>
    <cellStyle name="Normal 11 4 4 2 3" xfId="743"/>
    <cellStyle name="Normal 11 4 4 2 3 2" xfId="744"/>
    <cellStyle name="Normal 11 4 4 2 4" xfId="745"/>
    <cellStyle name="Normal 11 4 4 3" xfId="746"/>
    <cellStyle name="Normal 11 4 4 3 2" xfId="747"/>
    <cellStyle name="Normal 11 4 4 3 2 2" xfId="748"/>
    <cellStyle name="Normal 11 4 4 3 3" xfId="749"/>
    <cellStyle name="Normal 11 4 4 4" xfId="750"/>
    <cellStyle name="Normal 11 4 4 4 2" xfId="751"/>
    <cellStyle name="Normal 11 4 4 5" xfId="752"/>
    <cellStyle name="Normal 11 4 5" xfId="753"/>
    <cellStyle name="Normal 11 4 5 2" xfId="754"/>
    <cellStyle name="Normal 11 4 5 2 2" xfId="755"/>
    <cellStyle name="Normal 11 4 5 2 2 2" xfId="756"/>
    <cellStyle name="Normal 11 4 5 2 2 2 2" xfId="757"/>
    <cellStyle name="Normal 11 4 5 2 2 3" xfId="758"/>
    <cellStyle name="Normal 11 4 5 2 3" xfId="759"/>
    <cellStyle name="Normal 11 4 5 2 3 2" xfId="760"/>
    <cellStyle name="Normal 11 4 5 2 4" xfId="761"/>
    <cellStyle name="Normal 11 4 5 3" xfId="762"/>
    <cellStyle name="Normal 11 4 5 3 2" xfId="763"/>
    <cellStyle name="Normal 11 4 5 3 2 2" xfId="764"/>
    <cellStyle name="Normal 11 4 5 3 3" xfId="765"/>
    <cellStyle name="Normal 11 4 5 4" xfId="766"/>
    <cellStyle name="Normal 11 4 5 4 2" xfId="767"/>
    <cellStyle name="Normal 11 4 5 5" xfId="768"/>
    <cellStyle name="Normal 11 4 6" xfId="769"/>
    <cellStyle name="Normal 11 4 6 2" xfId="770"/>
    <cellStyle name="Normal 11 4 6 2 2" xfId="771"/>
    <cellStyle name="Normal 11 4 6 2 2 2" xfId="772"/>
    <cellStyle name="Normal 11 4 6 2 2 2 2" xfId="773"/>
    <cellStyle name="Normal 11 4 6 2 2 3" xfId="774"/>
    <cellStyle name="Normal 11 4 6 2 3" xfId="775"/>
    <cellStyle name="Normal 11 4 6 2 3 2" xfId="776"/>
    <cellStyle name="Normal 11 4 6 2 4" xfId="777"/>
    <cellStyle name="Normal 11 4 6 3" xfId="778"/>
    <cellStyle name="Normal 11 4 6 3 2" xfId="779"/>
    <cellStyle name="Normal 11 4 6 3 2 2" xfId="780"/>
    <cellStyle name="Normal 11 4 6 3 3" xfId="781"/>
    <cellStyle name="Normal 11 4 6 4" xfId="782"/>
    <cellStyle name="Normal 11 4 6 4 2" xfId="783"/>
    <cellStyle name="Normal 11 4 6 5" xfId="784"/>
    <cellStyle name="Normal 11 4 7" xfId="785"/>
    <cellStyle name="Normal 11 4 7 2" xfId="786"/>
    <cellStyle name="Normal 11 4 7 2 2" xfId="787"/>
    <cellStyle name="Normal 11 4 7 2 2 2" xfId="788"/>
    <cellStyle name="Normal 11 4 7 2 2 2 2" xfId="789"/>
    <cellStyle name="Normal 11 4 7 2 2 3" xfId="790"/>
    <cellStyle name="Normal 11 4 7 2 3" xfId="791"/>
    <cellStyle name="Normal 11 4 7 2 3 2" xfId="792"/>
    <cellStyle name="Normal 11 4 7 2 4" xfId="793"/>
    <cellStyle name="Normal 11 4 7 3" xfId="794"/>
    <cellStyle name="Normal 11 4 7 3 2" xfId="795"/>
    <cellStyle name="Normal 11 4 7 3 2 2" xfId="796"/>
    <cellStyle name="Normal 11 4 7 3 3" xfId="797"/>
    <cellStyle name="Normal 11 4 7 4" xfId="798"/>
    <cellStyle name="Normal 11 4 7 4 2" xfId="799"/>
    <cellStyle name="Normal 11 4 7 5" xfId="800"/>
    <cellStyle name="Normal 11 4 7 6" xfId="801"/>
    <cellStyle name="Normal 11 4 8" xfId="802"/>
    <cellStyle name="Normal 11 4 8 10" xfId="803"/>
    <cellStyle name="Normal 11 4 8 10 2" xfId="804"/>
    <cellStyle name="Normal 11 4 8 10 2 2" xfId="805"/>
    <cellStyle name="Normal 11 4 8 10 2 3" xfId="806"/>
    <cellStyle name="Normal 11 4 8 10 3" xfId="807"/>
    <cellStyle name="Normal 11 4 8 11" xfId="808"/>
    <cellStyle name="Normal 11 4 8 12" xfId="809"/>
    <cellStyle name="Normal 11 4 8 13" xfId="810"/>
    <cellStyle name="Normal 11 4 8 2" xfId="811"/>
    <cellStyle name="Normal 11 4 8 2 2" xfId="812"/>
    <cellStyle name="Normal 11 4 8 2 2 10" xfId="813"/>
    <cellStyle name="Normal 11 4 8 2 2 11" xfId="2557"/>
    <cellStyle name="Normal 11 4 8 2 2 12" xfId="2567"/>
    <cellStyle name="Normal 11 4 8 2 2 13" xfId="2568"/>
    <cellStyle name="Normal 11 4 8 2 2 14" xfId="2584"/>
    <cellStyle name="Normal 11 4 8 2 2 2" xfId="814"/>
    <cellStyle name="Normal 11 4 8 2 2 2 2" xfId="815"/>
    <cellStyle name="Normal 11 4 8 2 2 2 2 2" xfId="816"/>
    <cellStyle name="Normal 11 4 8 2 2 2 2 2 2" xfId="817"/>
    <cellStyle name="Normal 11 4 8 2 2 2 2 2 2 2" xfId="818"/>
    <cellStyle name="Normal 11 4 8 2 2 2 2 2 2 2 2" xfId="819"/>
    <cellStyle name="Normal 11 4 8 2 2 2 2 2 2 2 3" xfId="820"/>
    <cellStyle name="Normal 11 4 8 2 2 2 2 2 2 3" xfId="821"/>
    <cellStyle name="Normal 11 4 8 2 2 2 2 2 3" xfId="822"/>
    <cellStyle name="Normal 11 4 8 2 2 2 2 3" xfId="823"/>
    <cellStyle name="Normal 11 4 8 2 2 2 3" xfId="824"/>
    <cellStyle name="Normal 11 4 8 2 2 2 3 2" xfId="825"/>
    <cellStyle name="Normal 11 4 8 2 2 2 3 2 2" xfId="826"/>
    <cellStyle name="Normal 11 4 8 2 2 2 3 2 2 2" xfId="827"/>
    <cellStyle name="Normal 11 4 8 2 2 2 3 2 3" xfId="828"/>
    <cellStyle name="Normal 11 4 8 2 2 2 3 2 4" xfId="829"/>
    <cellStyle name="Normal 11 4 8 2 2 2 3 2 4 2" xfId="830"/>
    <cellStyle name="Normal 11 4 8 2 2 2 3 2 4 3" xfId="831"/>
    <cellStyle name="Normal 11 4 8 2 2 2 3 3" xfId="832"/>
    <cellStyle name="Normal 11 4 8 2 2 2 3 3 2" xfId="833"/>
    <cellStyle name="Normal 11 4 8 2 2 2 3 4" xfId="834"/>
    <cellStyle name="Normal 11 4 8 2 2 2 4" xfId="835"/>
    <cellStyle name="Normal 11 4 8 2 2 2 4 2" xfId="836"/>
    <cellStyle name="Normal 11 4 8 2 2 2 5" xfId="837"/>
    <cellStyle name="Normal 11 4 8 2 2 2 5 2" xfId="838"/>
    <cellStyle name="Normal 11 4 8 2 2 2 5 2 2" xfId="839"/>
    <cellStyle name="Normal 11 4 8 2 2 2 5 3" xfId="840"/>
    <cellStyle name="Normal 11 4 8 2 2 2 6" xfId="841"/>
    <cellStyle name="Normal 11 4 8 2 2 2 7" xfId="842"/>
    <cellStyle name="Normal 11 4 8 2 2 3" xfId="843"/>
    <cellStyle name="Normal 11 4 8 2 2 3 2" xfId="844"/>
    <cellStyle name="Normal 11 4 8 2 2 3 3" xfId="2524"/>
    <cellStyle name="Normal 11 4 8 2 2 3 3 2" xfId="2525"/>
    <cellStyle name="Normal 11 4 8 2 2 3 4" xfId="2526"/>
    <cellStyle name="Normal 11 4 8 2 2 4" xfId="845"/>
    <cellStyle name="Normal 11 4 8 2 2 4 2" xfId="846"/>
    <cellStyle name="Normal 11 4 8 2 2 4 3" xfId="847"/>
    <cellStyle name="Normal 11 4 8 2 2 4 3 2" xfId="848"/>
    <cellStyle name="Normal 11 4 8 2 2 5" xfId="849"/>
    <cellStyle name="Normal 11 4 8 2 2 6" xfId="850"/>
    <cellStyle name="Normal 11 4 8 2 2 6 2" xfId="851"/>
    <cellStyle name="Normal 11 4 8 2 2 6 2 2" xfId="2569"/>
    <cellStyle name="Normal 11 4 8 2 2 7" xfId="852"/>
    <cellStyle name="Normal 11 4 8 2 2 7 2" xfId="853"/>
    <cellStyle name="Normal 11 4 8 2 2 8" xfId="854"/>
    <cellStyle name="Normal 11 4 8 2 2 9" xfId="855"/>
    <cellStyle name="Normal 11 4 8 2 3" xfId="856"/>
    <cellStyle name="Normal 11 4 8 2 3 2" xfId="857"/>
    <cellStyle name="Normal 11 4 8 2 3 2 2" xfId="858"/>
    <cellStyle name="Normal 11 4 8 2 3 3" xfId="859"/>
    <cellStyle name="Normal 11 4 8 2 4" xfId="860"/>
    <cellStyle name="Normal 11 4 8 2 4 2" xfId="861"/>
    <cellStyle name="Normal 11 4 8 2 4 2 2" xfId="862"/>
    <cellStyle name="Normal 11 4 8 2 4 2 2 2" xfId="863"/>
    <cellStyle name="Normal 11 4 8 2 4 2 2 2 2" xfId="864"/>
    <cellStyle name="Normal 11 4 8 2 4 2 2 2 2 2" xfId="865"/>
    <cellStyle name="Normal 11 4 8 2 4 2 2 2 3" xfId="866"/>
    <cellStyle name="Normal 11 4 8 2 4 2 2 2 4" xfId="867"/>
    <cellStyle name="Normal 11 4 8 2 4 2 2 2 4 2" xfId="868"/>
    <cellStyle name="Normal 11 4 8 2 4 2 2 2 4 3" xfId="869"/>
    <cellStyle name="Normal 11 4 8 2 4 2 2 2 4 4" xfId="870"/>
    <cellStyle name="Normal 11 4 8 2 4 2 2 3" xfId="871"/>
    <cellStyle name="Normal 11 4 8 2 4 2 2 3 2" xfId="872"/>
    <cellStyle name="Normal 11 4 8 2 4 2 2 4" xfId="873"/>
    <cellStyle name="Normal 11 4 8 2 4 2 3" xfId="874"/>
    <cellStyle name="Normal 11 4 8 2 4 2 3 2" xfId="875"/>
    <cellStyle name="Normal 11 4 8 2 4 2 4" xfId="876"/>
    <cellStyle name="Normal 11 4 8 2 4 2 4 2" xfId="877"/>
    <cellStyle name="Normal 11 4 8 2 4 2 4 2 2" xfId="878"/>
    <cellStyle name="Normal 11 4 8 2 4 2 4 3" xfId="879"/>
    <cellStyle name="Normal 11 4 8 2 4 2 5" xfId="880"/>
    <cellStyle name="Normal 11 4 8 2 4 2 6" xfId="881"/>
    <cellStyle name="Normal 11 4 8 2 4 3" xfId="882"/>
    <cellStyle name="Normal 11 4 8 2 4 3 2" xfId="883"/>
    <cellStyle name="Normal 11 4 8 2 4 4" xfId="884"/>
    <cellStyle name="Normal 11 4 8 2 4 4 2" xfId="885"/>
    <cellStyle name="Normal 11 4 8 2 4 4 2 2" xfId="886"/>
    <cellStyle name="Normal 11 4 8 2 4 4 3" xfId="887"/>
    <cellStyle name="Normal 11 4 8 2 4 5" xfId="888"/>
    <cellStyle name="Normal 11 4 8 2 5" xfId="889"/>
    <cellStyle name="Normal 11 4 8 2 5 2" xfId="890"/>
    <cellStyle name="Normal 11 4 8 2 5 2 2" xfId="891"/>
    <cellStyle name="Normal 11 4 8 2 5 3" xfId="892"/>
    <cellStyle name="Normal 11 4 8 2 5 4" xfId="893"/>
    <cellStyle name="Normal 11 4 8 2 6" xfId="894"/>
    <cellStyle name="Normal 11 4 8 2 6 2" xfId="895"/>
    <cellStyle name="Normal 11 4 8 2 7" xfId="896"/>
    <cellStyle name="Normal 11 4 8 2 8" xfId="897"/>
    <cellStyle name="Normal 11 4 8 3" xfId="898"/>
    <cellStyle name="Normal 11 4 8 3 2" xfId="899"/>
    <cellStyle name="Normal 11 4 8 3 2 2" xfId="900"/>
    <cellStyle name="Normal 11 4 8 3 2 2 2" xfId="901"/>
    <cellStyle name="Normal 11 4 8 3 2 3" xfId="902"/>
    <cellStyle name="Normal 11 4 8 3 3" xfId="903"/>
    <cellStyle name="Normal 11 4 8 3 3 2" xfId="904"/>
    <cellStyle name="Normal 11 4 8 3 4" xfId="905"/>
    <cellStyle name="Normal 11 4 8 3 4 2" xfId="906"/>
    <cellStyle name="Normal 11 4 8 3 4 3" xfId="2527"/>
    <cellStyle name="Normal 11 4 8 3 5" xfId="907"/>
    <cellStyle name="Normal 11 4 8 4" xfId="908"/>
    <cellStyle name="Normal 11 4 8 4 2" xfId="909"/>
    <cellStyle name="Normal 11 4 8 4 2 2" xfId="910"/>
    <cellStyle name="Normal 11 4 8 4 2 2 2" xfId="911"/>
    <cellStyle name="Normal 11 4 8 4 2 2 2 2" xfId="912"/>
    <cellStyle name="Normal 11 4 8 4 2 2 2 3" xfId="913"/>
    <cellStyle name="Normal 11 4 8 4 2 2 3" xfId="914"/>
    <cellStyle name="Normal 11 4 8 4 2 3" xfId="915"/>
    <cellStyle name="Normal 11 4 8 4 3" xfId="916"/>
    <cellStyle name="Normal 11 4 8 5" xfId="917"/>
    <cellStyle name="Normal 11 4 8 5 2" xfId="918"/>
    <cellStyle name="Normal 11 4 8 5 2 2" xfId="919"/>
    <cellStyle name="Normal 11 4 8 5 2 2 2" xfId="920"/>
    <cellStyle name="Normal 11 4 8 5 2 3" xfId="921"/>
    <cellStyle name="Normal 11 4 8 5 2 4" xfId="922"/>
    <cellStyle name="Normal 11 4 8 5 2 4 2" xfId="923"/>
    <cellStyle name="Normal 11 4 8 5 2 4 3" xfId="924"/>
    <cellStyle name="Normal 11 4 8 5 2 4 4" xfId="925"/>
    <cellStyle name="Normal 11 4 8 5 3" xfId="926"/>
    <cellStyle name="Normal 11 4 8 5 3 2" xfId="927"/>
    <cellStyle name="Normal 11 4 8 5 4" xfId="928"/>
    <cellStyle name="Normal 11 4 8 6" xfId="929"/>
    <cellStyle name="Normal 11 4 8 6 2" xfId="930"/>
    <cellStyle name="Normal 11 4 8 6 2 2" xfId="931"/>
    <cellStyle name="Normal 11 4 8 6 3" xfId="932"/>
    <cellStyle name="Normal 11 4 8 7" xfId="933"/>
    <cellStyle name="Normal 11 4 8 7 2" xfId="934"/>
    <cellStyle name="Normal 11 4 8 8" xfId="935"/>
    <cellStyle name="Normal 11 4 8 8 2" xfId="936"/>
    <cellStyle name="Normal 11 4 8 9" xfId="937"/>
    <cellStyle name="Normal 11 4 8 9 2" xfId="938"/>
    <cellStyle name="Normal 11 4 8 9 2 2" xfId="939"/>
    <cellStyle name="Normal 11 4 8 9 3" xfId="940"/>
    <cellStyle name="Normal 11 4 9" xfId="941"/>
    <cellStyle name="Normal 11 4 9 2" xfId="942"/>
    <cellStyle name="Normal 11 4 9 2 2" xfId="943"/>
    <cellStyle name="Normal 11 4 9 2 2 2" xfId="944"/>
    <cellStyle name="Normal 11 4 9 2 3" xfId="945"/>
    <cellStyle name="Normal 11 4 9 3" xfId="946"/>
    <cellStyle name="Normal 11 4 9 3 2" xfId="947"/>
    <cellStyle name="Normal 11 4 9 4" xfId="948"/>
    <cellStyle name="Normal 11 5" xfId="949"/>
    <cellStyle name="Normal 11 5 2" xfId="950"/>
    <cellStyle name="Normal 11 5 2 2" xfId="951"/>
    <cellStyle name="Normal 11 5 2 2 2" xfId="952"/>
    <cellStyle name="Normal 11 5 2 2 2 2" xfId="953"/>
    <cellStyle name="Normal 11 5 2 2 2 2 2" xfId="954"/>
    <cellStyle name="Normal 11 5 2 2 2 3" xfId="955"/>
    <cellStyle name="Normal 11 5 2 2 3" xfId="956"/>
    <cellStyle name="Normal 11 5 2 2 3 2" xfId="957"/>
    <cellStyle name="Normal 11 5 2 2 4" xfId="958"/>
    <cellStyle name="Normal 11 5 2 3" xfId="959"/>
    <cellStyle name="Normal 11 5 2 3 2" xfId="960"/>
    <cellStyle name="Normal 11 5 2 3 2 2" xfId="961"/>
    <cellStyle name="Normal 11 5 2 3 3" xfId="962"/>
    <cellStyle name="Normal 11 5 2 4" xfId="963"/>
    <cellStyle name="Normal 11 5 2 4 2" xfId="964"/>
    <cellStyle name="Normal 11 5 2 5" xfId="965"/>
    <cellStyle name="Normal 11 5 3" xfId="966"/>
    <cellStyle name="Normal 11 5 3 2" xfId="967"/>
    <cellStyle name="Normal 11 5 3 2 2" xfId="968"/>
    <cellStyle name="Normal 11 5 3 2 2 2" xfId="969"/>
    <cellStyle name="Normal 11 5 3 2 2 2 2" xfId="970"/>
    <cellStyle name="Normal 11 5 3 2 2 3" xfId="971"/>
    <cellStyle name="Normal 11 5 3 2 3" xfId="972"/>
    <cellStyle name="Normal 11 5 3 2 3 2" xfId="973"/>
    <cellStyle name="Normal 11 5 3 2 4" xfId="974"/>
    <cellStyle name="Normal 11 5 3 3" xfId="975"/>
    <cellStyle name="Normal 11 5 3 3 2" xfId="976"/>
    <cellStyle name="Normal 11 5 3 3 2 2" xfId="977"/>
    <cellStyle name="Normal 11 5 3 3 3" xfId="978"/>
    <cellStyle name="Normal 11 5 3 4" xfId="979"/>
    <cellStyle name="Normal 11 5 3 4 2" xfId="980"/>
    <cellStyle name="Normal 11 5 3 4 2 2" xfId="981"/>
    <cellStyle name="Normal 11 5 3 4 2 3" xfId="982"/>
    <cellStyle name="Normal 11 5 3 4 3" xfId="983"/>
    <cellStyle name="Normal 11 5 3 4 4" xfId="984"/>
    <cellStyle name="Normal 11 5 3 4 4 2" xfId="2570"/>
    <cellStyle name="Normal 11 5 3 4 4 2 2" xfId="2571"/>
    <cellStyle name="Normal 11 5 3 5" xfId="985"/>
    <cellStyle name="Normal 11 5 3 5 2" xfId="986"/>
    <cellStyle name="Normal 11 5 3 6" xfId="987"/>
    <cellStyle name="Normal 11 5 4" xfId="988"/>
    <cellStyle name="Normal 11 5 4 2" xfId="989"/>
    <cellStyle name="Normal 11 5 4 2 2" xfId="990"/>
    <cellStyle name="Normal 11 5 4 2 2 2" xfId="991"/>
    <cellStyle name="Normal 11 5 4 2 3" xfId="992"/>
    <cellStyle name="Normal 11 5 4 3" xfId="993"/>
    <cellStyle name="Normal 11 5 4 3 2" xfId="994"/>
    <cellStyle name="Normal 11 5 4 3 2 2" xfId="995"/>
    <cellStyle name="Normal 11 5 4 3 2 3" xfId="2572"/>
    <cellStyle name="Normal 11 5 4 3 3" xfId="996"/>
    <cellStyle name="Normal 11 5 4 3 3 2" xfId="997"/>
    <cellStyle name="Normal 11 5 4 3 4" xfId="998"/>
    <cellStyle name="Normal 11 5 4 3 5" xfId="999"/>
    <cellStyle name="Normal 11 5 4 3 5 2" xfId="1000"/>
    <cellStyle name="Normal 11 5 4 3 5 3" xfId="1001"/>
    <cellStyle name="Normal 11 5 4 4" xfId="1002"/>
    <cellStyle name="Normal 11 5 4 4 2" xfId="1003"/>
    <cellStyle name="Normal 11 5 4 5" xfId="1004"/>
    <cellStyle name="Normal 11 5 5" xfId="1005"/>
    <cellStyle name="Normal 11 5 5 2" xfId="1006"/>
    <cellStyle name="Normal 11 5 5 2 2" xfId="1007"/>
    <cellStyle name="Normal 11 5 5 3" xfId="1008"/>
    <cellStyle name="Normal 11 5 6" xfId="1009"/>
    <cellStyle name="Normal 11 5 6 2" xfId="1010"/>
    <cellStyle name="Normal 11 5 6 2 2" xfId="1011"/>
    <cellStyle name="Normal 11 5 6 3" xfId="1012"/>
    <cellStyle name="Normal 11 5 7" xfId="1013"/>
    <cellStyle name="Normal 11 5 7 2" xfId="1014"/>
    <cellStyle name="Normal 11 5 8" xfId="1015"/>
    <cellStyle name="Normal 11 6" xfId="1016"/>
    <cellStyle name="Normal 11 6 2" xfId="1017"/>
    <cellStyle name="Normal 11 6 2 2" xfId="1018"/>
    <cellStyle name="Normal 11 6 2 2 2" xfId="1019"/>
    <cellStyle name="Normal 11 6 2 2 2 2" xfId="1020"/>
    <cellStyle name="Normal 11 6 2 2 3" xfId="1021"/>
    <cellStyle name="Normal 11 6 2 3" xfId="1022"/>
    <cellStyle name="Normal 11 6 2 3 2" xfId="1023"/>
    <cellStyle name="Normal 11 6 2 3 3" xfId="1024"/>
    <cellStyle name="Normal 11 6 2 3 4" xfId="1025"/>
    <cellStyle name="Normal 11 6 2 4" xfId="1026"/>
    <cellStyle name="Normal 11 6 2 5" xfId="1027"/>
    <cellStyle name="Normal 11 6 2 6" xfId="1028"/>
    <cellStyle name="Normal 11 6 2 7" xfId="2573"/>
    <cellStyle name="Normal 11 6 2 8" xfId="2574"/>
    <cellStyle name="Normal 11 6 3" xfId="1029"/>
    <cellStyle name="Normal 11 6 3 2" xfId="1030"/>
    <cellStyle name="Normal 11 6 3 2 2" xfId="1031"/>
    <cellStyle name="Normal 11 6 3 3" xfId="1032"/>
    <cellStyle name="Normal 11 6 4" xfId="1033"/>
    <cellStyle name="Normal 11 6 4 2" xfId="1034"/>
    <cellStyle name="Normal 11 6 5" xfId="1035"/>
    <cellStyle name="Normal 11 7" xfId="1036"/>
    <cellStyle name="Normal 11 7 2" xfId="1037"/>
    <cellStyle name="Normal 11 7 2 2" xfId="1038"/>
    <cellStyle name="Normal 11 7 2 2 2" xfId="1039"/>
    <cellStyle name="Normal 11 7 2 2 2 2" xfId="1040"/>
    <cellStyle name="Normal 11 7 2 2 3" xfId="1041"/>
    <cellStyle name="Normal 11 7 2 3" xfId="1042"/>
    <cellStyle name="Normal 11 7 2 3 2" xfId="1043"/>
    <cellStyle name="Normal 11 7 2 4" xfId="1044"/>
    <cellStyle name="Normal 11 7 3" xfId="1045"/>
    <cellStyle name="Normal 11 7 3 2" xfId="1046"/>
    <cellStyle name="Normal 11 7 3 2 2" xfId="1047"/>
    <cellStyle name="Normal 11 7 3 3" xfId="1048"/>
    <cellStyle name="Normal 11 7 4" xfId="1049"/>
    <cellStyle name="Normal 11 7 4 2" xfId="1050"/>
    <cellStyle name="Normal 11 7 5" xfId="1051"/>
    <cellStyle name="Normal 11 8" xfId="1052"/>
    <cellStyle name="Normal 11 8 2" xfId="1053"/>
    <cellStyle name="Normal 11 8 2 2" xfId="1054"/>
    <cellStyle name="Normal 11 8 2 2 2" xfId="1055"/>
    <cellStyle name="Normal 11 8 2 2 2 2" xfId="1056"/>
    <cellStyle name="Normal 11 8 2 2 3" xfId="1057"/>
    <cellStyle name="Normal 11 8 2 3" xfId="1058"/>
    <cellStyle name="Normal 11 8 2 3 2" xfId="1059"/>
    <cellStyle name="Normal 11 8 2 4" xfId="1060"/>
    <cellStyle name="Normal 11 8 3" xfId="1061"/>
    <cellStyle name="Normal 11 8 3 2" xfId="1062"/>
    <cellStyle name="Normal 11 8 3 2 2" xfId="1063"/>
    <cellStyle name="Normal 11 8 3 3" xfId="1064"/>
    <cellStyle name="Normal 11 8 4" xfId="1065"/>
    <cellStyle name="Normal 11 8 4 2" xfId="1066"/>
    <cellStyle name="Normal 11 8 5" xfId="1067"/>
    <cellStyle name="Normal 11 9" xfId="1068"/>
    <cellStyle name="Normal 11 9 2" xfId="1069"/>
    <cellStyle name="Normal 11 9 2 2" xfId="1070"/>
    <cellStyle name="Normal 11 9 2 2 2" xfId="1071"/>
    <cellStyle name="Normal 11 9 2 2 2 2" xfId="1072"/>
    <cellStyle name="Normal 11 9 2 2 3" xfId="1073"/>
    <cellStyle name="Normal 11 9 2 3" xfId="1074"/>
    <cellStyle name="Normal 11 9 2 3 2" xfId="1075"/>
    <cellStyle name="Normal 11 9 2 4" xfId="1076"/>
    <cellStyle name="Normal 11 9 3" xfId="1077"/>
    <cellStyle name="Normal 11 9 3 2" xfId="1078"/>
    <cellStyle name="Normal 11 9 3 2 2" xfId="1079"/>
    <cellStyle name="Normal 11 9 3 3" xfId="1080"/>
    <cellStyle name="Normal 11 9 4" xfId="1081"/>
    <cellStyle name="Normal 11 9 4 2" xfId="1082"/>
    <cellStyle name="Normal 11 9 5" xfId="1083"/>
    <cellStyle name="Normal 12" xfId="1084"/>
    <cellStyle name="Normal 13" xfId="1085"/>
    <cellStyle name="Normal 13 10" xfId="1086"/>
    <cellStyle name="Normal 13 2" xfId="1087"/>
    <cellStyle name="Normal 13 2 2" xfId="1088"/>
    <cellStyle name="Normal 13 2 2 2" xfId="1089"/>
    <cellStyle name="Normal 13 2 2 2 2" xfId="1090"/>
    <cellStyle name="Normal 13 2 2 2 2 2" xfId="1091"/>
    <cellStyle name="Normal 13 2 2 2 3" xfId="1092"/>
    <cellStyle name="Normal 13 2 2 3" xfId="1093"/>
    <cellStyle name="Normal 13 2 2 3 2" xfId="1094"/>
    <cellStyle name="Normal 13 2 2 4" xfId="1095"/>
    <cellStyle name="Normal 13 2 3" xfId="1096"/>
    <cellStyle name="Normal 13 2 3 2" xfId="1097"/>
    <cellStyle name="Normal 13 2 3 2 2" xfId="1098"/>
    <cellStyle name="Normal 13 2 3 3" xfId="1099"/>
    <cellStyle name="Normal 13 2 4" xfId="1100"/>
    <cellStyle name="Normal 13 2 4 2" xfId="1101"/>
    <cellStyle name="Normal 13 2 5" xfId="1102"/>
    <cellStyle name="Normal 13 3" xfId="1103"/>
    <cellStyle name="Normal 13 3 2" xfId="1104"/>
    <cellStyle name="Normal 13 3 2 2" xfId="1105"/>
    <cellStyle name="Normal 13 3 2 2 2" xfId="1106"/>
    <cellStyle name="Normal 13 3 2 2 2 2" xfId="1107"/>
    <cellStyle name="Normal 13 3 2 2 3" xfId="1108"/>
    <cellStyle name="Normal 13 3 2 3" xfId="1109"/>
    <cellStyle name="Normal 13 3 2 3 2" xfId="1110"/>
    <cellStyle name="Normal 13 3 2 4" xfId="1111"/>
    <cellStyle name="Normal 13 3 3" xfId="1112"/>
    <cellStyle name="Normal 13 3 3 2" xfId="1113"/>
    <cellStyle name="Normal 13 3 3 2 2" xfId="1114"/>
    <cellStyle name="Normal 13 3 3 3" xfId="1115"/>
    <cellStyle name="Normal 13 3 4" xfId="1116"/>
    <cellStyle name="Normal 13 3 4 2" xfId="1117"/>
    <cellStyle name="Normal 13 3 5" xfId="1118"/>
    <cellStyle name="Normal 13 4" xfId="1119"/>
    <cellStyle name="Normal 13 4 2" xfId="1120"/>
    <cellStyle name="Normal 13 4 2 2" xfId="1121"/>
    <cellStyle name="Normal 13 4 2 2 2" xfId="1122"/>
    <cellStyle name="Normal 13 4 2 2 2 2" xfId="1123"/>
    <cellStyle name="Normal 13 4 2 2 3" xfId="1124"/>
    <cellStyle name="Normal 13 4 2 3" xfId="1125"/>
    <cellStyle name="Normal 13 4 2 3 2" xfId="1126"/>
    <cellStyle name="Normal 13 4 2 4" xfId="1127"/>
    <cellStyle name="Normal 13 4 3" xfId="1128"/>
    <cellStyle name="Normal 13 4 3 2" xfId="1129"/>
    <cellStyle name="Normal 13 4 3 2 2" xfId="1130"/>
    <cellStyle name="Normal 13 4 3 3" xfId="1131"/>
    <cellStyle name="Normal 13 4 4" xfId="1132"/>
    <cellStyle name="Normal 13 4 4 2" xfId="1133"/>
    <cellStyle name="Normal 13 4 5" xfId="1134"/>
    <cellStyle name="Normal 13 5" xfId="1135"/>
    <cellStyle name="Normal 13 5 2" xfId="1136"/>
    <cellStyle name="Normal 13 5 2 2" xfId="1137"/>
    <cellStyle name="Normal 13 5 2 2 2" xfId="1138"/>
    <cellStyle name="Normal 13 5 2 2 2 2" xfId="1139"/>
    <cellStyle name="Normal 13 5 2 2 3" xfId="1140"/>
    <cellStyle name="Normal 13 5 2 3" xfId="1141"/>
    <cellStyle name="Normal 13 5 2 3 2" xfId="1142"/>
    <cellStyle name="Normal 13 5 2 4" xfId="1143"/>
    <cellStyle name="Normal 13 5 3" xfId="1144"/>
    <cellStyle name="Normal 13 5 3 2" xfId="1145"/>
    <cellStyle name="Normal 13 5 3 2 2" xfId="1146"/>
    <cellStyle name="Normal 13 5 3 3" xfId="1147"/>
    <cellStyle name="Normal 13 5 4" xfId="1148"/>
    <cellStyle name="Normal 13 5 4 2" xfId="1149"/>
    <cellStyle name="Normal 13 5 5" xfId="1150"/>
    <cellStyle name="Normal 13 6" xfId="1151"/>
    <cellStyle name="Normal 13 6 2" xfId="1152"/>
    <cellStyle name="Normal 13 6 2 2" xfId="1153"/>
    <cellStyle name="Normal 13 6 2 2 2" xfId="1154"/>
    <cellStyle name="Normal 13 6 2 2 2 2" xfId="1155"/>
    <cellStyle name="Normal 13 6 2 2 3" xfId="1156"/>
    <cellStyle name="Normal 13 6 2 3" xfId="1157"/>
    <cellStyle name="Normal 13 6 2 3 2" xfId="1158"/>
    <cellStyle name="Normal 13 6 2 4" xfId="1159"/>
    <cellStyle name="Normal 13 6 3" xfId="1160"/>
    <cellStyle name="Normal 13 6 3 2" xfId="1161"/>
    <cellStyle name="Normal 13 6 3 2 2" xfId="1162"/>
    <cellStyle name="Normal 13 6 3 3" xfId="1163"/>
    <cellStyle name="Normal 13 6 4" xfId="1164"/>
    <cellStyle name="Normal 13 6 4 2" xfId="1165"/>
    <cellStyle name="Normal 13 6 5" xfId="1166"/>
    <cellStyle name="Normal 13 7" xfId="1167"/>
    <cellStyle name="Normal 13 7 2" xfId="1168"/>
    <cellStyle name="Normal 13 7 2 2" xfId="1169"/>
    <cellStyle name="Normal 13 7 2 2 2" xfId="1170"/>
    <cellStyle name="Normal 13 7 2 3" xfId="1171"/>
    <cellStyle name="Normal 13 7 3" xfId="1172"/>
    <cellStyle name="Normal 13 7 3 2" xfId="1173"/>
    <cellStyle name="Normal 13 7 4" xfId="1174"/>
    <cellStyle name="Normal 13 8" xfId="1175"/>
    <cellStyle name="Normal 13 8 2" xfId="1176"/>
    <cellStyle name="Normal 13 8 2 2" xfId="1177"/>
    <cellStyle name="Normal 13 8 3" xfId="1178"/>
    <cellStyle name="Normal 13 9" xfId="1179"/>
    <cellStyle name="Normal 13 9 2" xfId="1180"/>
    <cellStyle name="Normal 14" xfId="1181"/>
    <cellStyle name="Normal 14 10" xfId="1182"/>
    <cellStyle name="Normal 14 2" xfId="1183"/>
    <cellStyle name="Normal 14 2 2" xfId="1184"/>
    <cellStyle name="Normal 14 2 2 2" xfId="1185"/>
    <cellStyle name="Normal 14 2 2 2 2" xfId="1186"/>
    <cellStyle name="Normal 14 2 2 2 2 2" xfId="1187"/>
    <cellStyle name="Normal 14 2 2 2 3" xfId="1188"/>
    <cellStyle name="Normal 14 2 2 3" xfId="1189"/>
    <cellStyle name="Normal 14 2 2 3 2" xfId="1190"/>
    <cellStyle name="Normal 14 2 2 4" xfId="1191"/>
    <cellStyle name="Normal 14 2 3" xfId="1192"/>
    <cellStyle name="Normal 14 2 3 2" xfId="1193"/>
    <cellStyle name="Normal 14 2 3 2 2" xfId="1194"/>
    <cellStyle name="Normal 14 2 3 3" xfId="1195"/>
    <cellStyle name="Normal 14 2 4" xfId="1196"/>
    <cellStyle name="Normal 14 2 4 2" xfId="1197"/>
    <cellStyle name="Normal 14 2 5" xfId="1198"/>
    <cellStyle name="Normal 14 3" xfId="1199"/>
    <cellStyle name="Normal 14 3 2" xfId="1200"/>
    <cellStyle name="Normal 14 3 2 2" xfId="1201"/>
    <cellStyle name="Normal 14 3 2 2 2" xfId="1202"/>
    <cellStyle name="Normal 14 3 2 2 2 2" xfId="1203"/>
    <cellStyle name="Normal 14 3 2 2 3" xfId="1204"/>
    <cellStyle name="Normal 14 3 2 3" xfId="1205"/>
    <cellStyle name="Normal 14 3 2 3 2" xfId="1206"/>
    <cellStyle name="Normal 14 3 2 4" xfId="1207"/>
    <cellStyle name="Normal 14 3 3" xfId="1208"/>
    <cellStyle name="Normal 14 3 3 2" xfId="1209"/>
    <cellStyle name="Normal 14 3 3 2 2" xfId="1210"/>
    <cellStyle name="Normal 14 3 3 3" xfId="1211"/>
    <cellStyle name="Normal 14 3 4" xfId="1212"/>
    <cellStyle name="Normal 14 3 4 2" xfId="1213"/>
    <cellStyle name="Normal 14 3 5" xfId="1214"/>
    <cellStyle name="Normal 14 4" xfId="1215"/>
    <cellStyle name="Normal 14 4 2" xfId="1216"/>
    <cellStyle name="Normal 14 4 2 2" xfId="1217"/>
    <cellStyle name="Normal 14 4 2 2 2" xfId="1218"/>
    <cellStyle name="Normal 14 4 2 2 2 2" xfId="1219"/>
    <cellStyle name="Normal 14 4 2 2 3" xfId="1220"/>
    <cellStyle name="Normal 14 4 2 3" xfId="1221"/>
    <cellStyle name="Normal 14 4 2 3 2" xfId="1222"/>
    <cellStyle name="Normal 14 4 2 4" xfId="1223"/>
    <cellStyle name="Normal 14 4 3" xfId="1224"/>
    <cellStyle name="Normal 14 4 3 2" xfId="1225"/>
    <cellStyle name="Normal 14 4 3 2 2" xfId="1226"/>
    <cellStyle name="Normal 14 4 3 3" xfId="1227"/>
    <cellStyle name="Normal 14 4 4" xfId="1228"/>
    <cellStyle name="Normal 14 4 4 2" xfId="1229"/>
    <cellStyle name="Normal 14 4 5" xfId="1230"/>
    <cellStyle name="Normal 14 5" xfId="1231"/>
    <cellStyle name="Normal 14 5 2" xfId="1232"/>
    <cellStyle name="Normal 14 5 2 2" xfId="1233"/>
    <cellStyle name="Normal 14 5 2 2 2" xfId="1234"/>
    <cellStyle name="Normal 14 5 2 2 2 2" xfId="1235"/>
    <cellStyle name="Normal 14 5 2 2 3" xfId="1236"/>
    <cellStyle name="Normal 14 5 2 3" xfId="1237"/>
    <cellStyle name="Normal 14 5 2 3 2" xfId="1238"/>
    <cellStyle name="Normal 14 5 2 4" xfId="1239"/>
    <cellStyle name="Normal 14 5 3" xfId="1240"/>
    <cellStyle name="Normal 14 5 3 2" xfId="1241"/>
    <cellStyle name="Normal 14 5 3 2 2" xfId="1242"/>
    <cellStyle name="Normal 14 5 3 3" xfId="1243"/>
    <cellStyle name="Normal 14 5 4" xfId="1244"/>
    <cellStyle name="Normal 14 5 4 2" xfId="1245"/>
    <cellStyle name="Normal 14 5 5" xfId="1246"/>
    <cellStyle name="Normal 14 6" xfId="1247"/>
    <cellStyle name="Normal 14 6 2" xfId="1248"/>
    <cellStyle name="Normal 14 6 2 2" xfId="1249"/>
    <cellStyle name="Normal 14 6 2 2 2" xfId="1250"/>
    <cellStyle name="Normal 14 6 2 2 2 2" xfId="1251"/>
    <cellStyle name="Normal 14 6 2 2 3" xfId="1252"/>
    <cellStyle name="Normal 14 6 2 3" xfId="1253"/>
    <cellStyle name="Normal 14 6 2 3 2" xfId="1254"/>
    <cellStyle name="Normal 14 6 2 4" xfId="1255"/>
    <cellStyle name="Normal 14 6 3" xfId="1256"/>
    <cellStyle name="Normal 14 6 3 2" xfId="1257"/>
    <cellStyle name="Normal 14 6 3 2 2" xfId="1258"/>
    <cellStyle name="Normal 14 6 3 3" xfId="1259"/>
    <cellStyle name="Normal 14 6 4" xfId="1260"/>
    <cellStyle name="Normal 14 6 4 2" xfId="1261"/>
    <cellStyle name="Normal 14 6 5" xfId="1262"/>
    <cellStyle name="Normal 14 7" xfId="1263"/>
    <cellStyle name="Normal 14 7 2" xfId="1264"/>
    <cellStyle name="Normal 14 7 2 2" xfId="1265"/>
    <cellStyle name="Normal 14 7 2 2 2" xfId="1266"/>
    <cellStyle name="Normal 14 7 2 3" xfId="1267"/>
    <cellStyle name="Normal 14 7 3" xfId="1268"/>
    <cellStyle name="Normal 14 7 3 2" xfId="1269"/>
    <cellStyle name="Normal 14 7 4" xfId="1270"/>
    <cellStyle name="Normal 14 8" xfId="1271"/>
    <cellStyle name="Normal 14 8 2" xfId="1272"/>
    <cellStyle name="Normal 14 8 2 2" xfId="1273"/>
    <cellStyle name="Normal 14 8 3" xfId="1274"/>
    <cellStyle name="Normal 14 9" xfId="1275"/>
    <cellStyle name="Normal 14 9 2" xfId="1276"/>
    <cellStyle name="Normal 15" xfId="1"/>
    <cellStyle name="Normal 15 2" xfId="1277"/>
    <cellStyle name="Normal 15 3" xfId="1278"/>
    <cellStyle name="Normal 15 4" xfId="1279"/>
    <cellStyle name="Normal 15 5" xfId="1280"/>
    <cellStyle name="Normal 15 6" xfId="1281"/>
    <cellStyle name="Normal 15 7" xfId="1282"/>
    <cellStyle name="Normal 16" xfId="1283"/>
    <cellStyle name="Normal 16 2" xfId="1284"/>
    <cellStyle name="Normal 16 3" xfId="1285"/>
    <cellStyle name="Normal 16 3 2" xfId="1286"/>
    <cellStyle name="Normal 16 4" xfId="1287"/>
    <cellStyle name="Normal 17" xfId="1288"/>
    <cellStyle name="Normal 17 2" xfId="1289"/>
    <cellStyle name="Normal 17 2 2" xfId="1290"/>
    <cellStyle name="Normal 17 2 2 2" xfId="1291"/>
    <cellStyle name="Normal 17 2 2 2 2" xfId="1292"/>
    <cellStyle name="Normal 17 2 2 3" xfId="1293"/>
    <cellStyle name="Normal 17 2 3" xfId="1294"/>
    <cellStyle name="Normal 17 2 3 2" xfId="1295"/>
    <cellStyle name="Normal 17 2 4" xfId="1296"/>
    <cellStyle name="Normal 17 2 4 2" xfId="1297"/>
    <cellStyle name="Normal 17 2 5" xfId="1298"/>
    <cellStyle name="Normal 17 3" xfId="1299"/>
    <cellStyle name="Normal 17 3 2" xfId="1300"/>
    <cellStyle name="Normal 17 3 2 2" xfId="1301"/>
    <cellStyle name="Normal 17 3 3" xfId="1302"/>
    <cellStyle name="Normal 17 4" xfId="1303"/>
    <cellStyle name="Normal 17 4 2" xfId="1304"/>
    <cellStyle name="Normal 17 5" xfId="1305"/>
    <cellStyle name="Normal 18" xfId="1306"/>
    <cellStyle name="Normal 18 2" xfId="1307"/>
    <cellStyle name="Normal 18 2 2" xfId="1308"/>
    <cellStyle name="Normal 18 2 2 2" xfId="1309"/>
    <cellStyle name="Normal 18 2 2 2 2" xfId="1310"/>
    <cellStyle name="Normal 18 2 2 2 2 2" xfId="1311"/>
    <cellStyle name="Normal 18 2 2 2 3" xfId="1312"/>
    <cellStyle name="Normal 18 2 2 3" xfId="1313"/>
    <cellStyle name="Normal 18 2 2 3 2" xfId="1314"/>
    <cellStyle name="Normal 18 2 2 4" xfId="1315"/>
    <cellStyle name="Normal 18 2 3" xfId="1316"/>
    <cellStyle name="Normal 18 2 3 2" xfId="1317"/>
    <cellStyle name="Normal 18 2 3 2 2" xfId="1318"/>
    <cellStyle name="Normal 18 2 3 3" xfId="1319"/>
    <cellStyle name="Normal 18 2 4" xfId="1320"/>
    <cellStyle name="Normal 18 2 4 2" xfId="1321"/>
    <cellStyle name="Normal 18 2 5" xfId="1322"/>
    <cellStyle name="Normal 18 3" xfId="1323"/>
    <cellStyle name="Normal 18 3 2" xfId="1324"/>
    <cellStyle name="Normal 18 3 2 2" xfId="1325"/>
    <cellStyle name="Normal 18 3 2 2 2" xfId="1326"/>
    <cellStyle name="Normal 18 3 2 2 2 2" xfId="1327"/>
    <cellStyle name="Normal 18 3 2 2 3" xfId="1328"/>
    <cellStyle name="Normal 18 3 2 3" xfId="1329"/>
    <cellStyle name="Normal 18 3 2 3 2" xfId="1330"/>
    <cellStyle name="Normal 18 3 2 4" xfId="1331"/>
    <cellStyle name="Normal 18 3 3" xfId="1332"/>
    <cellStyle name="Normal 18 3 3 2" xfId="1333"/>
    <cellStyle name="Normal 18 3 3 2 2" xfId="1334"/>
    <cellStyle name="Normal 18 3 3 3" xfId="1335"/>
    <cellStyle name="Normal 18 3 4" xfId="1336"/>
    <cellStyle name="Normal 18 3 4 2" xfId="1337"/>
    <cellStyle name="Normal 18 3 5" xfId="1338"/>
    <cellStyle name="Normal 18 4" xfId="1339"/>
    <cellStyle name="Normal 18 4 2" xfId="1340"/>
    <cellStyle name="Normal 18 4 2 2" xfId="1341"/>
    <cellStyle name="Normal 18 4 2 2 2" xfId="1342"/>
    <cellStyle name="Normal 18 4 2 3" xfId="1343"/>
    <cellStyle name="Normal 18 4 3" xfId="1344"/>
    <cellStyle name="Normal 18 4 3 2" xfId="1345"/>
    <cellStyle name="Normal 18 4 4" xfId="1346"/>
    <cellStyle name="Normal 18 5" xfId="1347"/>
    <cellStyle name="Normal 18 5 2" xfId="1348"/>
    <cellStyle name="Normal 18 5 2 2" xfId="1349"/>
    <cellStyle name="Normal 18 5 3" xfId="1350"/>
    <cellStyle name="Normal 18 6" xfId="1351"/>
    <cellStyle name="Normal 18 6 2" xfId="1352"/>
    <cellStyle name="Normal 18 7" xfId="1353"/>
    <cellStyle name="Normal 19" xfId="1354"/>
    <cellStyle name="Normal 19 2" xfId="1355"/>
    <cellStyle name="Normal 19 2 2" xfId="1356"/>
    <cellStyle name="Normal 19 3" xfId="1357"/>
    <cellStyle name="Normal 2" xfId="1358"/>
    <cellStyle name="Normal 2 10" xfId="1359"/>
    <cellStyle name="Normal 2 2" xfId="1360"/>
    <cellStyle name="Normal 2 2 2" xfId="3"/>
    <cellStyle name="Normal 2 2 2 2" xfId="1361"/>
    <cellStyle name="Normal 2 2 2 3" xfId="1362"/>
    <cellStyle name="Normal 2 2 2 4" xfId="1363"/>
    <cellStyle name="Normal 2 2 2 5" xfId="1364"/>
    <cellStyle name="Normal 2 2 2 6" xfId="1365"/>
    <cellStyle name="Normal 2 2 3" xfId="1366"/>
    <cellStyle name="Normal 2 2 4" xfId="1367"/>
    <cellStyle name="Normal 2 2 5" xfId="1368"/>
    <cellStyle name="Normal 2 2 6" xfId="1369"/>
    <cellStyle name="Normal 2 3" xfId="1370"/>
    <cellStyle name="Normal 2 4" xfId="5"/>
    <cellStyle name="Normal 2 5" xfId="1371"/>
    <cellStyle name="Normal 2 6" xfId="1372"/>
    <cellStyle name="Normal 2 7" xfId="1373"/>
    <cellStyle name="Normal 2 8" xfId="2528"/>
    <cellStyle name="Normal 20" xfId="1374"/>
    <cellStyle name="Normal 20 2" xfId="1375"/>
    <cellStyle name="Normal 20 2 2" xfId="1376"/>
    <cellStyle name="Normal 20 2 2 2" xfId="1377"/>
    <cellStyle name="Normal 20 2 3" xfId="1378"/>
    <cellStyle name="Normal 20 3" xfId="1379"/>
    <cellStyle name="Normal 20 3 2" xfId="1380"/>
    <cellStyle name="Normal 20 4" xfId="1381"/>
    <cellStyle name="Normal 20 5" xfId="2575"/>
    <cellStyle name="Normal 20 5 2" xfId="2576"/>
    <cellStyle name="Normal 21" xfId="1382"/>
    <cellStyle name="Normal 21 2" xfId="1383"/>
    <cellStyle name="Normal 21 2 2" xfId="1384"/>
    <cellStyle name="Normal 21 2 2 2" xfId="1385"/>
    <cellStyle name="Normal 21 3" xfId="1386"/>
    <cellStyle name="Normal 21 3 2" xfId="1387"/>
    <cellStyle name="Normal 21 4" xfId="1388"/>
    <cellStyle name="Normal 21 4 2" xfId="1389"/>
    <cellStyle name="Normal 21 4 2 2" xfId="2577"/>
    <cellStyle name="Normal 21 5" xfId="1390"/>
    <cellStyle name="Normal 21 6" xfId="1391"/>
    <cellStyle name="Normal 21 7" xfId="2578"/>
    <cellStyle name="Normal 21 8" xfId="2579"/>
    <cellStyle name="Normal 22" xfId="1392"/>
    <cellStyle name="Normal 22 2" xfId="1393"/>
    <cellStyle name="Normal 23" xfId="1394"/>
    <cellStyle name="Normal 23 2" xfId="1395"/>
    <cellStyle name="Normal 23 2 2" xfId="2580"/>
    <cellStyle name="Normal 23 3" xfId="1396"/>
    <cellStyle name="Normal 23 4" xfId="1397"/>
    <cellStyle name="Normal 23 4 2" xfId="1398"/>
    <cellStyle name="Normal 23 4 2 2" xfId="1399"/>
    <cellStyle name="Normal 23 5" xfId="1400"/>
    <cellStyle name="Normal 23 6" xfId="1401"/>
    <cellStyle name="Normal 24" xfId="1402"/>
    <cellStyle name="Normal 24 2" xfId="1403"/>
    <cellStyle name="Normal 24 3" xfId="1404"/>
    <cellStyle name="Normal 24 4" xfId="1405"/>
    <cellStyle name="Normal 25" xfId="1406"/>
    <cellStyle name="Normal 25 2" xfId="1407"/>
    <cellStyle name="Normal 25 3" xfId="1408"/>
    <cellStyle name="Normal 26" xfId="1409"/>
    <cellStyle name="Normal 26 2" xfId="1410"/>
    <cellStyle name="Normal 27" xfId="1411"/>
    <cellStyle name="Normal 28" xfId="1412"/>
    <cellStyle name="Normal 28 2" xfId="1413"/>
    <cellStyle name="Normal 28 2 2" xfId="1414"/>
    <cellStyle name="Normal 29" xfId="1415"/>
    <cellStyle name="Normal 3" xfId="1416"/>
    <cellStyle name="Normal 3 2" xfId="2"/>
    <cellStyle name="Normal 3 3" xfId="1417"/>
    <cellStyle name="Normal 30" xfId="2581"/>
    <cellStyle name="Normal 4" xfId="1418"/>
    <cellStyle name="Normal 5" xfId="1419"/>
    <cellStyle name="Normal 5 10" xfId="1420"/>
    <cellStyle name="Normal 5 2" xfId="1421"/>
    <cellStyle name="Normal 5 2 2" xfId="1422"/>
    <cellStyle name="Normal 5 2 2 2" xfId="1423"/>
    <cellStyle name="Normal 5 2 2 2 2" xfId="1424"/>
    <cellStyle name="Normal 5 2 2 2 2 2" xfId="1425"/>
    <cellStyle name="Normal 5 2 2 2 3" xfId="1426"/>
    <cellStyle name="Normal 5 2 2 3" xfId="1427"/>
    <cellStyle name="Normal 5 2 2 3 2" xfId="1428"/>
    <cellStyle name="Normal 5 2 2 4" xfId="1429"/>
    <cellStyle name="Normal 5 2 3" xfId="1430"/>
    <cellStyle name="Normal 5 2 3 2" xfId="1431"/>
    <cellStyle name="Normal 5 2 3 2 2" xfId="1432"/>
    <cellStyle name="Normal 5 2 3 3" xfId="1433"/>
    <cellStyle name="Normal 5 2 4" xfId="1434"/>
    <cellStyle name="Normal 5 2 4 2" xfId="1435"/>
    <cellStyle name="Normal 5 2 5" xfId="1436"/>
    <cellStyle name="Normal 5 3" xfId="1437"/>
    <cellStyle name="Normal 5 3 2" xfId="1438"/>
    <cellStyle name="Normal 5 3 2 2" xfId="1439"/>
    <cellStyle name="Normal 5 3 2 2 2" xfId="1440"/>
    <cellStyle name="Normal 5 3 2 2 2 2" xfId="1441"/>
    <cellStyle name="Normal 5 3 2 2 3" xfId="1442"/>
    <cellStyle name="Normal 5 3 2 3" xfId="1443"/>
    <cellStyle name="Normal 5 3 2 3 2" xfId="1444"/>
    <cellStyle name="Normal 5 3 2 4" xfId="1445"/>
    <cellStyle name="Normal 5 3 3" xfId="1446"/>
    <cellStyle name="Normal 5 3 3 2" xfId="1447"/>
    <cellStyle name="Normal 5 3 3 2 2" xfId="1448"/>
    <cellStyle name="Normal 5 3 3 3" xfId="1449"/>
    <cellStyle name="Normal 5 3 4" xfId="1450"/>
    <cellStyle name="Normal 5 3 4 2" xfId="1451"/>
    <cellStyle name="Normal 5 3 5" xfId="1452"/>
    <cellStyle name="Normal 5 4" xfId="1453"/>
    <cellStyle name="Normal 5 4 2" xfId="1454"/>
    <cellStyle name="Normal 5 4 2 2" xfId="1455"/>
    <cellStyle name="Normal 5 4 2 2 2" xfId="1456"/>
    <cellStyle name="Normal 5 4 2 2 2 2" xfId="1457"/>
    <cellStyle name="Normal 5 4 2 2 3" xfId="1458"/>
    <cellStyle name="Normal 5 4 2 3" xfId="1459"/>
    <cellStyle name="Normal 5 4 2 3 2" xfId="1460"/>
    <cellStyle name="Normal 5 4 2 4" xfId="1461"/>
    <cellStyle name="Normal 5 4 3" xfId="1462"/>
    <cellStyle name="Normal 5 4 3 2" xfId="1463"/>
    <cellStyle name="Normal 5 4 3 2 2" xfId="1464"/>
    <cellStyle name="Normal 5 4 3 3" xfId="1465"/>
    <cellStyle name="Normal 5 4 4" xfId="1466"/>
    <cellStyle name="Normal 5 4 4 2" xfId="1467"/>
    <cellStyle name="Normal 5 4 5" xfId="1468"/>
    <cellStyle name="Normal 5 5" xfId="1469"/>
    <cellStyle name="Normal 5 5 2" xfId="1470"/>
    <cellStyle name="Normal 5 5 2 2" xfId="1471"/>
    <cellStyle name="Normal 5 5 2 2 2" xfId="1472"/>
    <cellStyle name="Normal 5 5 2 2 2 2" xfId="1473"/>
    <cellStyle name="Normal 5 5 2 2 3" xfId="1474"/>
    <cellStyle name="Normal 5 5 2 3" xfId="1475"/>
    <cellStyle name="Normal 5 5 2 3 2" xfId="1476"/>
    <cellStyle name="Normal 5 5 2 4" xfId="1477"/>
    <cellStyle name="Normal 5 5 3" xfId="1478"/>
    <cellStyle name="Normal 5 5 3 2" xfId="1479"/>
    <cellStyle name="Normal 5 5 3 2 2" xfId="1480"/>
    <cellStyle name="Normal 5 5 3 3" xfId="1481"/>
    <cellStyle name="Normal 5 5 4" xfId="1482"/>
    <cellStyle name="Normal 5 5 4 2" xfId="1483"/>
    <cellStyle name="Normal 5 5 5" xfId="1484"/>
    <cellStyle name="Normal 5 6" xfId="1485"/>
    <cellStyle name="Normal 5 6 2" xfId="1486"/>
    <cellStyle name="Normal 5 6 2 2" xfId="1487"/>
    <cellStyle name="Normal 5 6 2 2 2" xfId="1488"/>
    <cellStyle name="Normal 5 6 2 2 2 2" xfId="1489"/>
    <cellStyle name="Normal 5 6 2 2 3" xfId="1490"/>
    <cellStyle name="Normal 5 6 2 3" xfId="1491"/>
    <cellStyle name="Normal 5 6 2 3 2" xfId="1492"/>
    <cellStyle name="Normal 5 6 2 4" xfId="1493"/>
    <cellStyle name="Normal 5 6 3" xfId="1494"/>
    <cellStyle name="Normal 5 6 3 2" xfId="1495"/>
    <cellStyle name="Normal 5 6 3 2 2" xfId="1496"/>
    <cellStyle name="Normal 5 6 3 3" xfId="1497"/>
    <cellStyle name="Normal 5 6 4" xfId="1498"/>
    <cellStyle name="Normal 5 6 4 2" xfId="1499"/>
    <cellStyle name="Normal 5 6 5" xfId="1500"/>
    <cellStyle name="Normal 5 7" xfId="1501"/>
    <cellStyle name="Normal 5 7 2" xfId="1502"/>
    <cellStyle name="Normal 5 7 2 2" xfId="1503"/>
    <cellStyle name="Normal 5 7 2 2 2" xfId="1504"/>
    <cellStyle name="Normal 5 7 2 3" xfId="1505"/>
    <cellStyle name="Normal 5 7 3" xfId="1506"/>
    <cellStyle name="Normal 5 7 3 2" xfId="1507"/>
    <cellStyle name="Normal 5 7 4" xfId="1508"/>
    <cellStyle name="Normal 5 8" xfId="1509"/>
    <cellStyle name="Normal 5 8 2" xfId="1510"/>
    <cellStyle name="Normal 5 8 2 2" xfId="1511"/>
    <cellStyle name="Normal 5 8 3" xfId="1512"/>
    <cellStyle name="Normal 5 9" xfId="1513"/>
    <cellStyle name="Normal 5 9 2" xfId="1514"/>
    <cellStyle name="Normal 6" xfId="1515"/>
    <cellStyle name="Normal 6 2" xfId="1516"/>
    <cellStyle name="Normal 6 2 10" xfId="1517"/>
    <cellStyle name="Normal 6 2 2" xfId="1518"/>
    <cellStyle name="Normal 6 2 2 2" xfId="1519"/>
    <cellStyle name="Normal 6 2 2 2 2" xfId="1520"/>
    <cellStyle name="Normal 6 2 2 2 2 2" xfId="1521"/>
    <cellStyle name="Normal 6 2 2 2 2 2 2" xfId="1522"/>
    <cellStyle name="Normal 6 2 2 2 2 3" xfId="1523"/>
    <cellStyle name="Normal 6 2 2 2 3" xfId="1524"/>
    <cellStyle name="Normal 6 2 2 2 3 2" xfId="1525"/>
    <cellStyle name="Normal 6 2 2 2 4" xfId="1526"/>
    <cellStyle name="Normal 6 2 2 3" xfId="1527"/>
    <cellStyle name="Normal 6 2 2 3 2" xfId="1528"/>
    <cellStyle name="Normal 6 2 2 3 2 2" xfId="1529"/>
    <cellStyle name="Normal 6 2 2 3 3" xfId="1530"/>
    <cellStyle name="Normal 6 2 2 4" xfId="1531"/>
    <cellStyle name="Normal 6 2 2 4 2" xfId="1532"/>
    <cellStyle name="Normal 6 2 2 5" xfId="1533"/>
    <cellStyle name="Normal 6 2 3" xfId="1534"/>
    <cellStyle name="Normal 6 2 3 2" xfId="1535"/>
    <cellStyle name="Normal 6 2 3 2 2" xfId="1536"/>
    <cellStyle name="Normal 6 2 3 2 2 2" xfId="1537"/>
    <cellStyle name="Normal 6 2 3 2 2 2 2" xfId="1538"/>
    <cellStyle name="Normal 6 2 3 2 2 3" xfId="1539"/>
    <cellStyle name="Normal 6 2 3 2 3" xfId="1540"/>
    <cellStyle name="Normal 6 2 3 2 3 2" xfId="1541"/>
    <cellStyle name="Normal 6 2 3 2 4" xfId="1542"/>
    <cellStyle name="Normal 6 2 3 3" xfId="1543"/>
    <cellStyle name="Normal 6 2 3 3 2" xfId="1544"/>
    <cellStyle name="Normal 6 2 3 3 2 2" xfId="1545"/>
    <cellStyle name="Normal 6 2 3 3 3" xfId="1546"/>
    <cellStyle name="Normal 6 2 3 4" xfId="1547"/>
    <cellStyle name="Normal 6 2 3 4 2" xfId="1548"/>
    <cellStyle name="Normal 6 2 3 5" xfId="1549"/>
    <cellStyle name="Normal 6 2 4" xfId="1550"/>
    <cellStyle name="Normal 6 2 4 2" xfId="1551"/>
    <cellStyle name="Normal 6 2 4 2 2" xfId="1552"/>
    <cellStyle name="Normal 6 2 4 2 2 2" xfId="1553"/>
    <cellStyle name="Normal 6 2 4 2 2 2 2" xfId="1554"/>
    <cellStyle name="Normal 6 2 4 2 2 3" xfId="1555"/>
    <cellStyle name="Normal 6 2 4 2 3" xfId="1556"/>
    <cellStyle name="Normal 6 2 4 2 3 2" xfId="1557"/>
    <cellStyle name="Normal 6 2 4 2 4" xfId="1558"/>
    <cellStyle name="Normal 6 2 4 3" xfId="1559"/>
    <cellStyle name="Normal 6 2 4 3 2" xfId="1560"/>
    <cellStyle name="Normal 6 2 4 3 2 2" xfId="1561"/>
    <cellStyle name="Normal 6 2 4 3 3" xfId="1562"/>
    <cellStyle name="Normal 6 2 4 4" xfId="1563"/>
    <cellStyle name="Normal 6 2 4 4 2" xfId="1564"/>
    <cellStyle name="Normal 6 2 4 5" xfId="1565"/>
    <cellStyle name="Normal 6 2 5" xfId="1566"/>
    <cellStyle name="Normal 6 2 5 2" xfId="1567"/>
    <cellStyle name="Normal 6 2 5 2 2" xfId="1568"/>
    <cellStyle name="Normal 6 2 5 2 2 2" xfId="1569"/>
    <cellStyle name="Normal 6 2 5 2 2 2 2" xfId="1570"/>
    <cellStyle name="Normal 6 2 5 2 2 3" xfId="1571"/>
    <cellStyle name="Normal 6 2 5 2 3" xfId="1572"/>
    <cellStyle name="Normal 6 2 5 2 3 2" xfId="1573"/>
    <cellStyle name="Normal 6 2 5 2 4" xfId="1574"/>
    <cellStyle name="Normal 6 2 5 3" xfId="1575"/>
    <cellStyle name="Normal 6 2 5 3 2" xfId="1576"/>
    <cellStyle name="Normal 6 2 5 3 2 2" xfId="1577"/>
    <cellStyle name="Normal 6 2 5 3 3" xfId="1578"/>
    <cellStyle name="Normal 6 2 5 4" xfId="1579"/>
    <cellStyle name="Normal 6 2 5 4 2" xfId="1580"/>
    <cellStyle name="Normal 6 2 5 5" xfId="1581"/>
    <cellStyle name="Normal 6 2 6" xfId="1582"/>
    <cellStyle name="Normal 6 2 6 2" xfId="1583"/>
    <cellStyle name="Normal 6 2 6 2 2" xfId="1584"/>
    <cellStyle name="Normal 6 2 6 2 2 2" xfId="1585"/>
    <cellStyle name="Normal 6 2 6 2 2 2 2" xfId="1586"/>
    <cellStyle name="Normal 6 2 6 2 2 3" xfId="1587"/>
    <cellStyle name="Normal 6 2 6 2 3" xfId="1588"/>
    <cellStyle name="Normal 6 2 6 2 3 2" xfId="1589"/>
    <cellStyle name="Normal 6 2 6 2 4" xfId="1590"/>
    <cellStyle name="Normal 6 2 6 3" xfId="1591"/>
    <cellStyle name="Normal 6 2 6 3 2" xfId="1592"/>
    <cellStyle name="Normal 6 2 6 3 2 2" xfId="1593"/>
    <cellStyle name="Normal 6 2 6 3 3" xfId="1594"/>
    <cellStyle name="Normal 6 2 6 4" xfId="1595"/>
    <cellStyle name="Normal 6 2 6 4 2" xfId="1596"/>
    <cellStyle name="Normal 6 2 6 5" xfId="1597"/>
    <cellStyle name="Normal 6 2 7" xfId="1598"/>
    <cellStyle name="Normal 6 2 7 2" xfId="1599"/>
    <cellStyle name="Normal 6 2 7 2 2" xfId="1600"/>
    <cellStyle name="Normal 6 2 7 2 2 2" xfId="1601"/>
    <cellStyle name="Normal 6 2 7 2 3" xfId="1602"/>
    <cellStyle name="Normal 6 2 7 3" xfId="1603"/>
    <cellStyle name="Normal 6 2 7 3 2" xfId="1604"/>
    <cellStyle name="Normal 6 2 7 4" xfId="1605"/>
    <cellStyle name="Normal 6 2 8" xfId="1606"/>
    <cellStyle name="Normal 6 2 8 2" xfId="1607"/>
    <cellStyle name="Normal 6 2 8 2 2" xfId="1608"/>
    <cellStyle name="Normal 6 2 8 3" xfId="1609"/>
    <cellStyle name="Normal 6 2 9" xfId="1610"/>
    <cellStyle name="Normal 6 2 9 2" xfId="1611"/>
    <cellStyle name="Normal 6 3" xfId="1612"/>
    <cellStyle name="Normal 6 3 10" xfId="1613"/>
    <cellStyle name="Normal 6 3 10 2" xfId="1614"/>
    <cellStyle name="Normal 6 3 10 2 2" xfId="1615"/>
    <cellStyle name="Normal 6 3 10 3" xfId="1616"/>
    <cellStyle name="Normal 6 3 11" xfId="1617"/>
    <cellStyle name="Normal 6 3 11 2" xfId="1618"/>
    <cellStyle name="Normal 6 3 12" xfId="1619"/>
    <cellStyle name="Normal 6 3 2" xfId="1620"/>
    <cellStyle name="Normal 6 3 2 10" xfId="1621"/>
    <cellStyle name="Normal 6 3 2 2" xfId="1622"/>
    <cellStyle name="Normal 6 3 2 2 2" xfId="1623"/>
    <cellStyle name="Normal 6 3 2 2 2 2" xfId="1624"/>
    <cellStyle name="Normal 6 3 2 2 2 2 2" xfId="1625"/>
    <cellStyle name="Normal 6 3 2 2 2 2 2 2" xfId="1626"/>
    <cellStyle name="Normal 6 3 2 2 2 2 3" xfId="1627"/>
    <cellStyle name="Normal 6 3 2 2 2 3" xfId="1628"/>
    <cellStyle name="Normal 6 3 2 2 2 3 2" xfId="1629"/>
    <cellStyle name="Normal 6 3 2 2 2 4" xfId="1630"/>
    <cellStyle name="Normal 6 3 2 2 3" xfId="1631"/>
    <cellStyle name="Normal 6 3 2 2 3 2" xfId="1632"/>
    <cellStyle name="Normal 6 3 2 2 3 2 2" xfId="1633"/>
    <cellStyle name="Normal 6 3 2 2 3 3" xfId="1634"/>
    <cellStyle name="Normal 6 3 2 2 4" xfId="1635"/>
    <cellStyle name="Normal 6 3 2 2 4 2" xfId="1636"/>
    <cellStyle name="Normal 6 3 2 2 5" xfId="1637"/>
    <cellStyle name="Normal 6 3 2 3" xfId="1638"/>
    <cellStyle name="Normal 6 3 2 3 2" xfId="1639"/>
    <cellStyle name="Normal 6 3 2 3 2 2" xfId="1640"/>
    <cellStyle name="Normal 6 3 2 3 2 2 2" xfId="1641"/>
    <cellStyle name="Normal 6 3 2 3 2 2 2 2" xfId="1642"/>
    <cellStyle name="Normal 6 3 2 3 2 2 3" xfId="1643"/>
    <cellStyle name="Normal 6 3 2 3 2 3" xfId="1644"/>
    <cellStyle name="Normal 6 3 2 3 2 3 2" xfId="1645"/>
    <cellStyle name="Normal 6 3 2 3 2 4" xfId="1646"/>
    <cellStyle name="Normal 6 3 2 3 3" xfId="1647"/>
    <cellStyle name="Normal 6 3 2 3 3 2" xfId="1648"/>
    <cellStyle name="Normal 6 3 2 3 3 2 2" xfId="1649"/>
    <cellStyle name="Normal 6 3 2 3 3 3" xfId="1650"/>
    <cellStyle name="Normal 6 3 2 3 4" xfId="1651"/>
    <cellStyle name="Normal 6 3 2 3 4 2" xfId="1652"/>
    <cellStyle name="Normal 6 3 2 3 5" xfId="1653"/>
    <cellStyle name="Normal 6 3 2 4" xfId="1654"/>
    <cellStyle name="Normal 6 3 2 4 2" xfId="1655"/>
    <cellStyle name="Normal 6 3 2 4 2 2" xfId="1656"/>
    <cellStyle name="Normal 6 3 2 4 2 2 2" xfId="1657"/>
    <cellStyle name="Normal 6 3 2 4 2 2 2 2" xfId="1658"/>
    <cellStyle name="Normal 6 3 2 4 2 2 3" xfId="1659"/>
    <cellStyle name="Normal 6 3 2 4 2 3" xfId="1660"/>
    <cellStyle name="Normal 6 3 2 4 2 3 2" xfId="1661"/>
    <cellStyle name="Normal 6 3 2 4 2 4" xfId="1662"/>
    <cellStyle name="Normal 6 3 2 4 3" xfId="1663"/>
    <cellStyle name="Normal 6 3 2 4 3 2" xfId="1664"/>
    <cellStyle name="Normal 6 3 2 4 3 2 2" xfId="1665"/>
    <cellStyle name="Normal 6 3 2 4 3 3" xfId="1666"/>
    <cellStyle name="Normal 6 3 2 4 4" xfId="1667"/>
    <cellStyle name="Normal 6 3 2 4 4 2" xfId="1668"/>
    <cellStyle name="Normal 6 3 2 4 5" xfId="1669"/>
    <cellStyle name="Normal 6 3 2 5" xfId="1670"/>
    <cellStyle name="Normal 6 3 2 5 2" xfId="1671"/>
    <cellStyle name="Normal 6 3 2 5 2 2" xfId="1672"/>
    <cellStyle name="Normal 6 3 2 5 2 2 2" xfId="1673"/>
    <cellStyle name="Normal 6 3 2 5 2 2 2 2" xfId="1674"/>
    <cellStyle name="Normal 6 3 2 5 2 2 3" xfId="1675"/>
    <cellStyle name="Normal 6 3 2 5 2 3" xfId="1676"/>
    <cellStyle name="Normal 6 3 2 5 2 3 2" xfId="1677"/>
    <cellStyle name="Normal 6 3 2 5 2 4" xfId="1678"/>
    <cellStyle name="Normal 6 3 2 5 3" xfId="1679"/>
    <cellStyle name="Normal 6 3 2 5 3 2" xfId="1680"/>
    <cellStyle name="Normal 6 3 2 5 3 2 2" xfId="1681"/>
    <cellStyle name="Normal 6 3 2 5 3 3" xfId="1682"/>
    <cellStyle name="Normal 6 3 2 5 4" xfId="1683"/>
    <cellStyle name="Normal 6 3 2 5 4 2" xfId="1684"/>
    <cellStyle name="Normal 6 3 2 5 5" xfId="1685"/>
    <cellStyle name="Normal 6 3 2 6" xfId="1686"/>
    <cellStyle name="Normal 6 3 2 6 2" xfId="1687"/>
    <cellStyle name="Normal 6 3 2 6 2 2" xfId="1688"/>
    <cellStyle name="Normal 6 3 2 6 2 2 2" xfId="1689"/>
    <cellStyle name="Normal 6 3 2 6 2 2 2 2" xfId="1690"/>
    <cellStyle name="Normal 6 3 2 6 2 2 3" xfId="1691"/>
    <cellStyle name="Normal 6 3 2 6 2 3" xfId="1692"/>
    <cellStyle name="Normal 6 3 2 6 2 3 2" xfId="1693"/>
    <cellStyle name="Normal 6 3 2 6 2 4" xfId="1694"/>
    <cellStyle name="Normal 6 3 2 6 3" xfId="1695"/>
    <cellStyle name="Normal 6 3 2 6 3 2" xfId="1696"/>
    <cellStyle name="Normal 6 3 2 6 3 2 2" xfId="1697"/>
    <cellStyle name="Normal 6 3 2 6 3 3" xfId="1698"/>
    <cellStyle name="Normal 6 3 2 6 4" xfId="1699"/>
    <cellStyle name="Normal 6 3 2 6 4 2" xfId="1700"/>
    <cellStyle name="Normal 6 3 2 6 5" xfId="1701"/>
    <cellStyle name="Normal 6 3 2 7" xfId="1702"/>
    <cellStyle name="Normal 6 3 2 7 2" xfId="1703"/>
    <cellStyle name="Normal 6 3 2 7 2 2" xfId="1704"/>
    <cellStyle name="Normal 6 3 2 7 2 2 2" xfId="1705"/>
    <cellStyle name="Normal 6 3 2 7 2 3" xfId="1706"/>
    <cellStyle name="Normal 6 3 2 7 3" xfId="1707"/>
    <cellStyle name="Normal 6 3 2 7 3 2" xfId="1708"/>
    <cellStyle name="Normal 6 3 2 7 4" xfId="1709"/>
    <cellStyle name="Normal 6 3 2 8" xfId="1710"/>
    <cellStyle name="Normal 6 3 2 8 2" xfId="1711"/>
    <cellStyle name="Normal 6 3 2 8 2 2" xfId="1712"/>
    <cellStyle name="Normal 6 3 2 8 3" xfId="1713"/>
    <cellStyle name="Normal 6 3 2 9" xfId="1714"/>
    <cellStyle name="Normal 6 3 2 9 2" xfId="1715"/>
    <cellStyle name="Normal 6 3 3" xfId="1716"/>
    <cellStyle name="Normal 6 3 3 2" xfId="1717"/>
    <cellStyle name="Normal 6 3 3 2 2" xfId="1718"/>
    <cellStyle name="Normal 6 3 3 2 2 2" xfId="1719"/>
    <cellStyle name="Normal 6 3 3 2 2 2 2" xfId="1720"/>
    <cellStyle name="Normal 6 3 3 2 2 3" xfId="1721"/>
    <cellStyle name="Normal 6 3 3 2 3" xfId="1722"/>
    <cellStyle name="Normal 6 3 3 2 3 2" xfId="1723"/>
    <cellStyle name="Normal 6 3 3 2 4" xfId="1724"/>
    <cellStyle name="Normal 6 3 3 3" xfId="1725"/>
    <cellStyle name="Normal 6 3 3 3 2" xfId="1726"/>
    <cellStyle name="Normal 6 3 3 3 2 2" xfId="1727"/>
    <cellStyle name="Normal 6 3 3 3 3" xfId="1728"/>
    <cellStyle name="Normal 6 3 3 4" xfId="1729"/>
    <cellStyle name="Normal 6 3 3 4 2" xfId="1730"/>
    <cellStyle name="Normal 6 3 3 5" xfId="1731"/>
    <cellStyle name="Normal 6 3 4" xfId="1732"/>
    <cellStyle name="Normal 6 3 4 2" xfId="1733"/>
    <cellStyle name="Normal 6 3 4 2 2" xfId="1734"/>
    <cellStyle name="Normal 6 3 4 2 2 2" xfId="1735"/>
    <cellStyle name="Normal 6 3 4 2 2 2 2" xfId="1736"/>
    <cellStyle name="Normal 6 3 4 2 2 3" xfId="1737"/>
    <cellStyle name="Normal 6 3 4 2 3" xfId="1738"/>
    <cellStyle name="Normal 6 3 4 2 3 2" xfId="1739"/>
    <cellStyle name="Normal 6 3 4 2 4" xfId="1740"/>
    <cellStyle name="Normal 6 3 4 3" xfId="1741"/>
    <cellStyle name="Normal 6 3 4 3 2" xfId="1742"/>
    <cellStyle name="Normal 6 3 4 3 2 2" xfId="1743"/>
    <cellStyle name="Normal 6 3 4 3 3" xfId="1744"/>
    <cellStyle name="Normal 6 3 4 4" xfId="1745"/>
    <cellStyle name="Normal 6 3 4 4 2" xfId="1746"/>
    <cellStyle name="Normal 6 3 4 5" xfId="1747"/>
    <cellStyle name="Normal 6 3 5" xfId="1748"/>
    <cellStyle name="Normal 6 3 5 2" xfId="1749"/>
    <cellStyle name="Normal 6 3 5 2 2" xfId="1750"/>
    <cellStyle name="Normal 6 3 5 2 2 2" xfId="1751"/>
    <cellStyle name="Normal 6 3 5 2 2 2 2" xfId="1752"/>
    <cellStyle name="Normal 6 3 5 2 2 3" xfId="1753"/>
    <cellStyle name="Normal 6 3 5 2 3" xfId="1754"/>
    <cellStyle name="Normal 6 3 5 2 3 2" xfId="1755"/>
    <cellStyle name="Normal 6 3 5 2 4" xfId="1756"/>
    <cellStyle name="Normal 6 3 5 3" xfId="1757"/>
    <cellStyle name="Normal 6 3 5 3 2" xfId="1758"/>
    <cellStyle name="Normal 6 3 5 3 2 2" xfId="1759"/>
    <cellStyle name="Normal 6 3 5 3 3" xfId="1760"/>
    <cellStyle name="Normal 6 3 5 4" xfId="1761"/>
    <cellStyle name="Normal 6 3 5 4 2" xfId="1762"/>
    <cellStyle name="Normal 6 3 5 5" xfId="1763"/>
    <cellStyle name="Normal 6 3 6" xfId="1764"/>
    <cellStyle name="Normal 6 3 6 2" xfId="1765"/>
    <cellStyle name="Normal 6 3 6 2 2" xfId="1766"/>
    <cellStyle name="Normal 6 3 6 2 2 2" xfId="1767"/>
    <cellStyle name="Normal 6 3 6 2 2 2 2" xfId="1768"/>
    <cellStyle name="Normal 6 3 6 2 2 3" xfId="1769"/>
    <cellStyle name="Normal 6 3 6 2 3" xfId="1770"/>
    <cellStyle name="Normal 6 3 6 2 3 2" xfId="1771"/>
    <cellStyle name="Normal 6 3 6 2 4" xfId="1772"/>
    <cellStyle name="Normal 6 3 6 3" xfId="1773"/>
    <cellStyle name="Normal 6 3 6 3 2" xfId="1774"/>
    <cellStyle name="Normal 6 3 6 3 2 2" xfId="1775"/>
    <cellStyle name="Normal 6 3 6 3 3" xfId="1776"/>
    <cellStyle name="Normal 6 3 6 4" xfId="1777"/>
    <cellStyle name="Normal 6 3 6 4 2" xfId="1778"/>
    <cellStyle name="Normal 6 3 6 5" xfId="1779"/>
    <cellStyle name="Normal 6 3 7" xfId="1780"/>
    <cellStyle name="Normal 6 3 7 2" xfId="1781"/>
    <cellStyle name="Normal 6 3 7 2 2" xfId="1782"/>
    <cellStyle name="Normal 6 3 7 2 2 2" xfId="1783"/>
    <cellStyle name="Normal 6 3 7 2 2 2 2" xfId="1784"/>
    <cellStyle name="Normal 6 3 7 2 2 3" xfId="1785"/>
    <cellStyle name="Normal 6 3 7 2 3" xfId="1786"/>
    <cellStyle name="Normal 6 3 7 2 3 2" xfId="1787"/>
    <cellStyle name="Normal 6 3 7 2 4" xfId="1788"/>
    <cellStyle name="Normal 6 3 7 3" xfId="1789"/>
    <cellStyle name="Normal 6 3 7 3 2" xfId="1790"/>
    <cellStyle name="Normal 6 3 7 3 2 2" xfId="1791"/>
    <cellStyle name="Normal 6 3 7 3 3" xfId="1792"/>
    <cellStyle name="Normal 6 3 7 4" xfId="1793"/>
    <cellStyle name="Normal 6 3 7 4 2" xfId="1794"/>
    <cellStyle name="Normal 6 3 7 5" xfId="1795"/>
    <cellStyle name="Normal 6 3 8" xfId="1796"/>
    <cellStyle name="Normal 6 3 8 2" xfId="1797"/>
    <cellStyle name="Normal 6 3 8 2 2" xfId="1798"/>
    <cellStyle name="Normal 6 3 8 2 2 2" xfId="1799"/>
    <cellStyle name="Normal 6 3 8 2 2 2 2" xfId="1800"/>
    <cellStyle name="Normal 6 3 8 2 2 3" xfId="1801"/>
    <cellStyle name="Normal 6 3 8 2 3" xfId="1802"/>
    <cellStyle name="Normal 6 3 8 2 3 2" xfId="1803"/>
    <cellStyle name="Normal 6 3 8 2 4" xfId="1804"/>
    <cellStyle name="Normal 6 3 8 3" xfId="1805"/>
    <cellStyle name="Normal 6 3 8 3 2" xfId="1806"/>
    <cellStyle name="Normal 6 3 8 3 2 2" xfId="1807"/>
    <cellStyle name="Normal 6 3 8 3 3" xfId="1808"/>
    <cellStyle name="Normal 6 3 8 4" xfId="1809"/>
    <cellStyle name="Normal 6 3 8 4 2" xfId="1810"/>
    <cellStyle name="Normal 6 3 8 5" xfId="1811"/>
    <cellStyle name="Normal 6 3 9" xfId="1812"/>
    <cellStyle name="Normal 6 3 9 2" xfId="1813"/>
    <cellStyle name="Normal 6 3 9 2 2" xfId="1814"/>
    <cellStyle name="Normal 6 3 9 2 2 2" xfId="1815"/>
    <cellStyle name="Normal 6 3 9 2 3" xfId="1816"/>
    <cellStyle name="Normal 6 3 9 3" xfId="1817"/>
    <cellStyle name="Normal 6 3 9 3 2" xfId="1818"/>
    <cellStyle name="Normal 6 3 9 4" xfId="1819"/>
    <cellStyle name="Normal 6 4" xfId="1820"/>
    <cellStyle name="Normal 6 4 2" xfId="1821"/>
    <cellStyle name="Normal 6 4 2 2" xfId="1822"/>
    <cellStyle name="Normal 6 4 3" xfId="1823"/>
    <cellStyle name="Normal 7" xfId="1824"/>
    <cellStyle name="Normal 7 10" xfId="1825"/>
    <cellStyle name="Normal 7 2" xfId="1826"/>
    <cellStyle name="Normal 7 2 2" xfId="1827"/>
    <cellStyle name="Normal 7 2 2 2" xfId="1828"/>
    <cellStyle name="Normal 7 2 2 2 2" xfId="1829"/>
    <cellStyle name="Normal 7 2 2 2 2 2" xfId="1830"/>
    <cellStyle name="Normal 7 2 2 2 3" xfId="1831"/>
    <cellStyle name="Normal 7 2 2 3" xfId="1832"/>
    <cellStyle name="Normal 7 2 2 3 2" xfId="1833"/>
    <cellStyle name="Normal 7 2 2 4" xfId="1834"/>
    <cellStyle name="Normal 7 2 3" xfId="1835"/>
    <cellStyle name="Normal 7 2 3 2" xfId="1836"/>
    <cellStyle name="Normal 7 2 3 2 2" xfId="1837"/>
    <cellStyle name="Normal 7 2 3 3" xfId="1838"/>
    <cellStyle name="Normal 7 2 4" xfId="1839"/>
    <cellStyle name="Normal 7 2 4 2" xfId="1840"/>
    <cellStyle name="Normal 7 2 5" xfId="1841"/>
    <cellStyle name="Normal 7 3" xfId="1842"/>
    <cellStyle name="Normal 7 3 2" xfId="1843"/>
    <cellStyle name="Normal 7 3 2 2" xfId="1844"/>
    <cellStyle name="Normal 7 3 2 2 2" xfId="1845"/>
    <cellStyle name="Normal 7 3 2 2 2 2" xfId="1846"/>
    <cellStyle name="Normal 7 3 2 2 3" xfId="1847"/>
    <cellStyle name="Normal 7 3 2 3" xfId="1848"/>
    <cellStyle name="Normal 7 3 2 3 2" xfId="1849"/>
    <cellStyle name="Normal 7 3 2 4" xfId="1850"/>
    <cellStyle name="Normal 7 3 3" xfId="1851"/>
    <cellStyle name="Normal 7 3 3 2" xfId="1852"/>
    <cellStyle name="Normal 7 3 3 2 2" xfId="1853"/>
    <cellStyle name="Normal 7 3 3 3" xfId="1854"/>
    <cellStyle name="Normal 7 3 4" xfId="1855"/>
    <cellStyle name="Normal 7 3 4 2" xfId="1856"/>
    <cellStyle name="Normal 7 3 5" xfId="1857"/>
    <cellStyle name="Normal 7 4" xfId="1858"/>
    <cellStyle name="Normal 7 4 2" xfId="1859"/>
    <cellStyle name="Normal 7 4 2 2" xfId="1860"/>
    <cellStyle name="Normal 7 4 2 2 2" xfId="1861"/>
    <cellStyle name="Normal 7 4 2 2 2 2" xfId="1862"/>
    <cellStyle name="Normal 7 4 2 2 3" xfId="1863"/>
    <cellStyle name="Normal 7 4 2 3" xfId="1864"/>
    <cellStyle name="Normal 7 4 2 3 2" xfId="1865"/>
    <cellStyle name="Normal 7 4 2 4" xfId="1866"/>
    <cellStyle name="Normal 7 4 3" xfId="1867"/>
    <cellStyle name="Normal 7 4 3 2" xfId="1868"/>
    <cellStyle name="Normal 7 4 3 2 2" xfId="1869"/>
    <cellStyle name="Normal 7 4 3 3" xfId="1870"/>
    <cellStyle name="Normal 7 4 4" xfId="1871"/>
    <cellStyle name="Normal 7 4 4 2" xfId="1872"/>
    <cellStyle name="Normal 7 4 5" xfId="1873"/>
    <cellStyle name="Normal 7 5" xfId="1874"/>
    <cellStyle name="Normal 7 5 2" xfId="1875"/>
    <cellStyle name="Normal 7 5 2 2" xfId="1876"/>
    <cellStyle name="Normal 7 5 2 2 2" xfId="1877"/>
    <cellStyle name="Normal 7 5 2 2 2 2" xfId="1878"/>
    <cellStyle name="Normal 7 5 2 2 3" xfId="1879"/>
    <cellStyle name="Normal 7 5 2 3" xfId="1880"/>
    <cellStyle name="Normal 7 5 2 3 2" xfId="1881"/>
    <cellStyle name="Normal 7 5 2 4" xfId="1882"/>
    <cellStyle name="Normal 7 5 3" xfId="1883"/>
    <cellStyle name="Normal 7 5 3 2" xfId="1884"/>
    <cellStyle name="Normal 7 5 3 2 2" xfId="1885"/>
    <cellStyle name="Normal 7 5 3 3" xfId="1886"/>
    <cellStyle name="Normal 7 5 4" xfId="1887"/>
    <cellStyle name="Normal 7 5 4 2" xfId="1888"/>
    <cellStyle name="Normal 7 5 5" xfId="1889"/>
    <cellStyle name="Normal 7 6" xfId="1890"/>
    <cellStyle name="Normal 7 6 2" xfId="1891"/>
    <cellStyle name="Normal 7 6 2 2" xfId="1892"/>
    <cellStyle name="Normal 7 6 2 2 2" xfId="1893"/>
    <cellStyle name="Normal 7 6 2 2 2 2" xfId="1894"/>
    <cellStyle name="Normal 7 6 2 2 3" xfId="1895"/>
    <cellStyle name="Normal 7 6 2 3" xfId="1896"/>
    <cellStyle name="Normal 7 6 2 3 2" xfId="1897"/>
    <cellStyle name="Normal 7 6 2 4" xfId="1898"/>
    <cellStyle name="Normal 7 6 3" xfId="1899"/>
    <cellStyle name="Normal 7 6 3 2" xfId="1900"/>
    <cellStyle name="Normal 7 6 3 2 2" xfId="1901"/>
    <cellStyle name="Normal 7 6 3 3" xfId="1902"/>
    <cellStyle name="Normal 7 6 4" xfId="1903"/>
    <cellStyle name="Normal 7 6 4 2" xfId="1904"/>
    <cellStyle name="Normal 7 6 5" xfId="1905"/>
    <cellStyle name="Normal 7 7" xfId="1906"/>
    <cellStyle name="Normal 7 7 2" xfId="1907"/>
    <cellStyle name="Normal 7 7 2 2" xfId="1908"/>
    <cellStyle name="Normal 7 7 2 2 2" xfId="1909"/>
    <cellStyle name="Normal 7 7 2 3" xfId="1910"/>
    <cellStyle name="Normal 7 7 3" xfId="1911"/>
    <cellStyle name="Normal 7 7 3 2" xfId="1912"/>
    <cellStyle name="Normal 7 7 4" xfId="1913"/>
    <cellStyle name="Normal 7 8" xfId="1914"/>
    <cellStyle name="Normal 7 8 2" xfId="1915"/>
    <cellStyle name="Normal 7 8 2 2" xfId="1916"/>
    <cellStyle name="Normal 7 8 3" xfId="1917"/>
    <cellStyle name="Normal 7 9" xfId="1918"/>
    <cellStyle name="Normal 7 9 2" xfId="1919"/>
    <cellStyle name="Normal 8" xfId="1920"/>
    <cellStyle name="Normal 8 10" xfId="1921"/>
    <cellStyle name="Normal 8 11" xfId="1922"/>
    <cellStyle name="Normal 8 11 2" xfId="1923"/>
    <cellStyle name="Normal 8 11 3" xfId="1924"/>
    <cellStyle name="Normal 8 2" xfId="1925"/>
    <cellStyle name="Normal 8 2 2" xfId="1926"/>
    <cellStyle name="Normal 8 2 2 2" xfId="1927"/>
    <cellStyle name="Normal 8 2 2 2 2" xfId="1928"/>
    <cellStyle name="Normal 8 2 2 2 2 2" xfId="1929"/>
    <cellStyle name="Normal 8 2 2 2 3" xfId="1930"/>
    <cellStyle name="Normal 8 2 2 3" xfId="1931"/>
    <cellStyle name="Normal 8 2 2 3 2" xfId="1932"/>
    <cellStyle name="Normal 8 2 2 4" xfId="1933"/>
    <cellStyle name="Normal 8 2 3" xfId="1934"/>
    <cellStyle name="Normal 8 2 3 2" xfId="1935"/>
    <cellStyle name="Normal 8 2 3 2 2" xfId="1936"/>
    <cellStyle name="Normal 8 2 3 3" xfId="1937"/>
    <cellStyle name="Normal 8 2 4" xfId="1938"/>
    <cellStyle name="Normal 8 2 4 2" xfId="1939"/>
    <cellStyle name="Normal 8 2 5" xfId="1940"/>
    <cellStyle name="Normal 8 3" xfId="1941"/>
    <cellStyle name="Normal 8 3 2" xfId="1942"/>
    <cellStyle name="Normal 8 3 2 2" xfId="1943"/>
    <cellStyle name="Normal 8 3 2 2 2" xfId="1944"/>
    <cellStyle name="Normal 8 3 2 2 2 2" xfId="1945"/>
    <cellStyle name="Normal 8 3 2 2 3" xfId="1946"/>
    <cellStyle name="Normal 8 3 2 3" xfId="1947"/>
    <cellStyle name="Normal 8 3 2 3 2" xfId="1948"/>
    <cellStyle name="Normal 8 3 2 4" xfId="1949"/>
    <cellStyle name="Normal 8 3 3" xfId="1950"/>
    <cellStyle name="Normal 8 3 3 2" xfId="1951"/>
    <cellStyle name="Normal 8 3 3 2 2" xfId="1952"/>
    <cellStyle name="Normal 8 3 3 3" xfId="1953"/>
    <cellStyle name="Normal 8 3 4" xfId="1954"/>
    <cellStyle name="Normal 8 3 4 2" xfId="1955"/>
    <cellStyle name="Normal 8 3 5" xfId="1956"/>
    <cellStyle name="Normal 8 4" xfId="1957"/>
    <cellStyle name="Normal 8 4 2" xfId="1958"/>
    <cellStyle name="Normal 8 4 2 2" xfId="1959"/>
    <cellStyle name="Normal 8 4 2 2 2" xfId="1960"/>
    <cellStyle name="Normal 8 4 2 2 2 2" xfId="1961"/>
    <cellStyle name="Normal 8 4 2 2 3" xfId="1962"/>
    <cellStyle name="Normal 8 4 2 3" xfId="1963"/>
    <cellStyle name="Normal 8 4 2 3 2" xfId="1964"/>
    <cellStyle name="Normal 8 4 2 4" xfId="1965"/>
    <cellStyle name="Normal 8 4 3" xfId="1966"/>
    <cellStyle name="Normal 8 4 3 2" xfId="1967"/>
    <cellStyle name="Normal 8 4 3 2 2" xfId="1968"/>
    <cellStyle name="Normal 8 4 3 3" xfId="1969"/>
    <cellStyle name="Normal 8 4 4" xfId="1970"/>
    <cellStyle name="Normal 8 4 4 2" xfId="1971"/>
    <cellStyle name="Normal 8 4 5" xfId="1972"/>
    <cellStyle name="Normal 8 5" xfId="1973"/>
    <cellStyle name="Normal 8 5 2" xfId="1974"/>
    <cellStyle name="Normal 8 5 2 2" xfId="1975"/>
    <cellStyle name="Normal 8 5 2 2 2" xfId="1976"/>
    <cellStyle name="Normal 8 5 2 2 2 2" xfId="1977"/>
    <cellStyle name="Normal 8 5 2 2 3" xfId="1978"/>
    <cellStyle name="Normal 8 5 2 3" xfId="1979"/>
    <cellStyle name="Normal 8 5 2 3 2" xfId="1980"/>
    <cellStyle name="Normal 8 5 2 4" xfId="1981"/>
    <cellStyle name="Normal 8 5 3" xfId="1982"/>
    <cellStyle name="Normal 8 5 3 2" xfId="1983"/>
    <cellStyle name="Normal 8 5 3 2 2" xfId="1984"/>
    <cellStyle name="Normal 8 5 3 3" xfId="1985"/>
    <cellStyle name="Normal 8 5 4" xfId="1986"/>
    <cellStyle name="Normal 8 5 4 2" xfId="1987"/>
    <cellStyle name="Normal 8 5 5" xfId="1988"/>
    <cellStyle name="Normal 8 6" xfId="1989"/>
    <cellStyle name="Normal 8 6 2" xfId="1990"/>
    <cellStyle name="Normal 8 6 2 2" xfId="1991"/>
    <cellStyle name="Normal 8 6 2 2 2" xfId="1992"/>
    <cellStyle name="Normal 8 6 2 2 2 2" xfId="1993"/>
    <cellStyle name="Normal 8 6 2 2 3" xfId="1994"/>
    <cellStyle name="Normal 8 6 2 3" xfId="1995"/>
    <cellStyle name="Normal 8 6 2 3 2" xfId="1996"/>
    <cellStyle name="Normal 8 6 2 4" xfId="1997"/>
    <cellStyle name="Normal 8 6 3" xfId="1998"/>
    <cellStyle name="Normal 8 6 3 2" xfId="1999"/>
    <cellStyle name="Normal 8 6 3 2 2" xfId="2000"/>
    <cellStyle name="Normal 8 6 3 3" xfId="2001"/>
    <cellStyle name="Normal 8 6 4" xfId="2002"/>
    <cellStyle name="Normal 8 6 4 2" xfId="2003"/>
    <cellStyle name="Normal 8 6 5" xfId="2004"/>
    <cellStyle name="Normal 8 7" xfId="2005"/>
    <cellStyle name="Normal 8 7 2" xfId="2006"/>
    <cellStyle name="Normal 8 7 2 2" xfId="2007"/>
    <cellStyle name="Normal 8 7 2 2 2" xfId="2008"/>
    <cellStyle name="Normal 8 7 2 3" xfId="2009"/>
    <cellStyle name="Normal 8 7 3" xfId="2010"/>
    <cellStyle name="Normal 8 7 3 2" xfId="2011"/>
    <cellStyle name="Normal 8 7 4" xfId="2012"/>
    <cellStyle name="Normal 8 8" xfId="2013"/>
    <cellStyle name="Normal 8 8 2" xfId="2014"/>
    <cellStyle name="Normal 8 8 2 2" xfId="2015"/>
    <cellStyle name="Normal 8 8 3" xfId="2016"/>
    <cellStyle name="Normal 8 9" xfId="2017"/>
    <cellStyle name="Normal 8 9 2" xfId="2018"/>
    <cellStyle name="Normal 9" xfId="2019"/>
    <cellStyle name="Normal 9 10" xfId="2020"/>
    <cellStyle name="Normal 9 10 2" xfId="2021"/>
    <cellStyle name="Normal 9 10 2 2" xfId="2022"/>
    <cellStyle name="Normal 9 10 3" xfId="2023"/>
    <cellStyle name="Normal 9 11" xfId="2024"/>
    <cellStyle name="Normal 9 11 2" xfId="2025"/>
    <cellStyle name="Normal 9 12" xfId="2026"/>
    <cellStyle name="Normal 9 2" xfId="2027"/>
    <cellStyle name="Normal 9 2 10" xfId="2028"/>
    <cellStyle name="Normal 9 2 2" xfId="2029"/>
    <cellStyle name="Normal 9 2 2 2" xfId="2030"/>
    <cellStyle name="Normal 9 2 2 2 2" xfId="2031"/>
    <cellStyle name="Normal 9 2 2 2 2 2" xfId="2032"/>
    <cellStyle name="Normal 9 2 2 2 2 2 2" xfId="2033"/>
    <cellStyle name="Normal 9 2 2 2 2 3" xfId="2034"/>
    <cellStyle name="Normal 9 2 2 2 3" xfId="2035"/>
    <cellStyle name="Normal 9 2 2 2 3 2" xfId="2036"/>
    <cellStyle name="Normal 9 2 2 2 4" xfId="2037"/>
    <cellStyle name="Normal 9 2 2 3" xfId="2038"/>
    <cellStyle name="Normal 9 2 2 3 2" xfId="2039"/>
    <cellStyle name="Normal 9 2 2 3 2 2" xfId="2040"/>
    <cellStyle name="Normal 9 2 2 3 3" xfId="2041"/>
    <cellStyle name="Normal 9 2 2 4" xfId="2042"/>
    <cellStyle name="Normal 9 2 2 4 2" xfId="2043"/>
    <cellStyle name="Normal 9 2 2 5" xfId="2044"/>
    <cellStyle name="Normal 9 2 3" xfId="2045"/>
    <cellStyle name="Normal 9 2 3 2" xfId="2046"/>
    <cellStyle name="Normal 9 2 3 2 2" xfId="2047"/>
    <cellStyle name="Normal 9 2 3 2 2 2" xfId="2048"/>
    <cellStyle name="Normal 9 2 3 2 2 2 2" xfId="2049"/>
    <cellStyle name="Normal 9 2 3 2 2 3" xfId="2050"/>
    <cellStyle name="Normal 9 2 3 2 3" xfId="2051"/>
    <cellStyle name="Normal 9 2 3 2 3 2" xfId="2052"/>
    <cellStyle name="Normal 9 2 3 2 4" xfId="2053"/>
    <cellStyle name="Normal 9 2 3 3" xfId="2054"/>
    <cellStyle name="Normal 9 2 3 3 2" xfId="2055"/>
    <cellStyle name="Normal 9 2 3 3 2 2" xfId="2056"/>
    <cellStyle name="Normal 9 2 3 3 3" xfId="2057"/>
    <cellStyle name="Normal 9 2 3 4" xfId="2058"/>
    <cellStyle name="Normal 9 2 3 4 2" xfId="2059"/>
    <cellStyle name="Normal 9 2 3 5" xfId="2060"/>
    <cellStyle name="Normal 9 2 4" xfId="2061"/>
    <cellStyle name="Normal 9 2 4 2" xfId="2062"/>
    <cellStyle name="Normal 9 2 4 2 2" xfId="2063"/>
    <cellStyle name="Normal 9 2 4 2 2 2" xfId="2064"/>
    <cellStyle name="Normal 9 2 4 2 2 2 2" xfId="2065"/>
    <cellStyle name="Normal 9 2 4 2 2 3" xfId="2066"/>
    <cellStyle name="Normal 9 2 4 2 3" xfId="2067"/>
    <cellStyle name="Normal 9 2 4 2 3 2" xfId="2068"/>
    <cellStyle name="Normal 9 2 4 2 4" xfId="2069"/>
    <cellStyle name="Normal 9 2 4 3" xfId="2070"/>
    <cellStyle name="Normal 9 2 4 3 2" xfId="2071"/>
    <cellStyle name="Normal 9 2 4 3 2 2" xfId="2072"/>
    <cellStyle name="Normal 9 2 4 3 3" xfId="2073"/>
    <cellStyle name="Normal 9 2 4 4" xfId="2074"/>
    <cellStyle name="Normal 9 2 4 4 2" xfId="2075"/>
    <cellStyle name="Normal 9 2 4 5" xfId="2076"/>
    <cellStyle name="Normal 9 2 5" xfId="2077"/>
    <cellStyle name="Normal 9 2 5 2" xfId="2078"/>
    <cellStyle name="Normal 9 2 5 2 2" xfId="2079"/>
    <cellStyle name="Normal 9 2 5 2 2 2" xfId="2080"/>
    <cellStyle name="Normal 9 2 5 2 2 2 2" xfId="2081"/>
    <cellStyle name="Normal 9 2 5 2 2 3" xfId="2082"/>
    <cellStyle name="Normal 9 2 5 2 3" xfId="2083"/>
    <cellStyle name="Normal 9 2 5 2 3 2" xfId="2084"/>
    <cellStyle name="Normal 9 2 5 2 4" xfId="2085"/>
    <cellStyle name="Normal 9 2 5 3" xfId="2086"/>
    <cellStyle name="Normal 9 2 5 3 2" xfId="2087"/>
    <cellStyle name="Normal 9 2 5 3 2 2" xfId="2088"/>
    <cellStyle name="Normal 9 2 5 3 3" xfId="2089"/>
    <cellStyle name="Normal 9 2 5 4" xfId="2090"/>
    <cellStyle name="Normal 9 2 5 4 2" xfId="2091"/>
    <cellStyle name="Normal 9 2 5 5" xfId="2092"/>
    <cellStyle name="Normal 9 2 6" xfId="2093"/>
    <cellStyle name="Normal 9 2 6 2" xfId="2094"/>
    <cellStyle name="Normal 9 2 6 2 2" xfId="2095"/>
    <cellStyle name="Normal 9 2 6 2 2 2" xfId="2096"/>
    <cellStyle name="Normal 9 2 6 2 2 2 2" xfId="2097"/>
    <cellStyle name="Normal 9 2 6 2 2 3" xfId="2098"/>
    <cellStyle name="Normal 9 2 6 2 3" xfId="2099"/>
    <cellStyle name="Normal 9 2 6 2 3 2" xfId="2100"/>
    <cellStyle name="Normal 9 2 6 2 4" xfId="2101"/>
    <cellStyle name="Normal 9 2 6 3" xfId="2102"/>
    <cellStyle name="Normal 9 2 6 3 2" xfId="2103"/>
    <cellStyle name="Normal 9 2 6 3 2 2" xfId="2104"/>
    <cellStyle name="Normal 9 2 6 3 3" xfId="2105"/>
    <cellStyle name="Normal 9 2 6 4" xfId="2106"/>
    <cellStyle name="Normal 9 2 6 4 2" xfId="2107"/>
    <cellStyle name="Normal 9 2 6 5" xfId="2108"/>
    <cellStyle name="Normal 9 2 7" xfId="2109"/>
    <cellStyle name="Normal 9 2 7 2" xfId="2110"/>
    <cellStyle name="Normal 9 2 7 2 2" xfId="2111"/>
    <cellStyle name="Normal 9 2 7 2 2 2" xfId="2112"/>
    <cellStyle name="Normal 9 2 7 2 3" xfId="2113"/>
    <cellStyle name="Normal 9 2 7 3" xfId="2114"/>
    <cellStyle name="Normal 9 2 7 3 2" xfId="2115"/>
    <cellStyle name="Normal 9 2 7 4" xfId="2116"/>
    <cellStyle name="Normal 9 2 8" xfId="2117"/>
    <cellStyle name="Normal 9 2 8 2" xfId="2118"/>
    <cellStyle name="Normal 9 2 8 2 2" xfId="2119"/>
    <cellStyle name="Normal 9 2 8 3" xfId="2120"/>
    <cellStyle name="Normal 9 2 9" xfId="2121"/>
    <cellStyle name="Normal 9 2 9 2" xfId="2122"/>
    <cellStyle name="Normal 9 3" xfId="2123"/>
    <cellStyle name="Normal 9 3 2" xfId="2124"/>
    <cellStyle name="Normal 9 3 2 2" xfId="2125"/>
    <cellStyle name="Normal 9 3 2 2 2" xfId="2126"/>
    <cellStyle name="Normal 9 3 2 2 2 2" xfId="2127"/>
    <cellStyle name="Normal 9 3 2 2 3" xfId="2128"/>
    <cellStyle name="Normal 9 3 2 3" xfId="2129"/>
    <cellStyle name="Normal 9 3 2 3 2" xfId="2130"/>
    <cellStyle name="Normal 9 3 2 4" xfId="2131"/>
    <cellStyle name="Normal 9 3 3" xfId="2132"/>
    <cellStyle name="Normal 9 3 3 2" xfId="2133"/>
    <cellStyle name="Normal 9 3 3 2 2" xfId="2134"/>
    <cellStyle name="Normal 9 3 3 3" xfId="2135"/>
    <cellStyle name="Normal 9 3 4" xfId="2136"/>
    <cellStyle name="Normal 9 3 4 2" xfId="2137"/>
    <cellStyle name="Normal 9 3 5" xfId="2138"/>
    <cellStyle name="Normal 9 4" xfId="2139"/>
    <cellStyle name="Normal 9 4 2" xfId="2140"/>
    <cellStyle name="Normal 9 4 2 2" xfId="2141"/>
    <cellStyle name="Normal 9 4 2 2 2" xfId="2142"/>
    <cellStyle name="Normal 9 4 2 2 2 2" xfId="2143"/>
    <cellStyle name="Normal 9 4 2 2 3" xfId="2144"/>
    <cellStyle name="Normal 9 4 2 3" xfId="2145"/>
    <cellStyle name="Normal 9 4 2 3 2" xfId="2146"/>
    <cellStyle name="Normal 9 4 2 4" xfId="2147"/>
    <cellStyle name="Normal 9 4 3" xfId="2148"/>
    <cellStyle name="Normal 9 4 3 2" xfId="2149"/>
    <cellStyle name="Normal 9 4 3 2 2" xfId="2150"/>
    <cellStyle name="Normal 9 4 3 3" xfId="2151"/>
    <cellStyle name="Normal 9 4 4" xfId="2152"/>
    <cellStyle name="Normal 9 4 4 2" xfId="2153"/>
    <cellStyle name="Normal 9 4 5" xfId="2154"/>
    <cellStyle name="Normal 9 5" xfId="2155"/>
    <cellStyle name="Normal 9 5 2" xfId="2156"/>
    <cellStyle name="Normal 9 5 2 2" xfId="2157"/>
    <cellStyle name="Normal 9 5 2 2 2" xfId="2158"/>
    <cellStyle name="Normal 9 5 2 2 2 2" xfId="2159"/>
    <cellStyle name="Normal 9 5 2 2 3" xfId="2160"/>
    <cellStyle name="Normal 9 5 2 3" xfId="2161"/>
    <cellStyle name="Normal 9 5 2 3 2" xfId="2162"/>
    <cellStyle name="Normal 9 5 2 4" xfId="2163"/>
    <cellStyle name="Normal 9 5 3" xfId="2164"/>
    <cellStyle name="Normal 9 5 3 2" xfId="2165"/>
    <cellStyle name="Normal 9 5 3 2 2" xfId="2166"/>
    <cellStyle name="Normal 9 5 3 3" xfId="2167"/>
    <cellStyle name="Normal 9 5 4" xfId="2168"/>
    <cellStyle name="Normal 9 5 4 2" xfId="2169"/>
    <cellStyle name="Normal 9 5 5" xfId="2170"/>
    <cellStyle name="Normal 9 6" xfId="2171"/>
    <cellStyle name="Normal 9 6 2" xfId="2172"/>
    <cellStyle name="Normal 9 6 2 2" xfId="2173"/>
    <cellStyle name="Normal 9 6 2 2 2" xfId="2174"/>
    <cellStyle name="Normal 9 6 2 2 2 2" xfId="2175"/>
    <cellStyle name="Normal 9 6 2 2 3" xfId="2176"/>
    <cellStyle name="Normal 9 6 2 3" xfId="2177"/>
    <cellStyle name="Normal 9 6 2 3 2" xfId="2178"/>
    <cellStyle name="Normal 9 6 2 4" xfId="2179"/>
    <cellStyle name="Normal 9 6 3" xfId="2180"/>
    <cellStyle name="Normal 9 6 3 2" xfId="2181"/>
    <cellStyle name="Normal 9 6 3 2 2" xfId="2182"/>
    <cellStyle name="Normal 9 6 3 3" xfId="2183"/>
    <cellStyle name="Normal 9 6 4" xfId="2184"/>
    <cellStyle name="Normal 9 6 4 2" xfId="2185"/>
    <cellStyle name="Normal 9 6 5" xfId="2186"/>
    <cellStyle name="Normal 9 7" xfId="2187"/>
    <cellStyle name="Normal 9 7 2" xfId="2188"/>
    <cellStyle name="Normal 9 7 2 2" xfId="2189"/>
    <cellStyle name="Normal 9 7 2 2 2" xfId="2190"/>
    <cellStyle name="Normal 9 7 2 2 2 2" xfId="2191"/>
    <cellStyle name="Normal 9 7 2 2 3" xfId="2192"/>
    <cellStyle name="Normal 9 7 2 3" xfId="2193"/>
    <cellStyle name="Normal 9 7 2 3 2" xfId="2194"/>
    <cellStyle name="Normal 9 7 2 4" xfId="2195"/>
    <cellStyle name="Normal 9 7 3" xfId="2196"/>
    <cellStyle name="Normal 9 7 3 2" xfId="2197"/>
    <cellStyle name="Normal 9 7 3 2 2" xfId="2198"/>
    <cellStyle name="Normal 9 7 3 3" xfId="2199"/>
    <cellStyle name="Normal 9 7 4" xfId="2200"/>
    <cellStyle name="Normal 9 7 4 2" xfId="2201"/>
    <cellStyle name="Normal 9 7 5" xfId="2202"/>
    <cellStyle name="Normal 9 8" xfId="2203"/>
    <cellStyle name="Normal 9 8 2" xfId="2204"/>
    <cellStyle name="Normal 9 8 2 2" xfId="2205"/>
    <cellStyle name="Normal 9 8 2 2 2" xfId="2206"/>
    <cellStyle name="Normal 9 8 2 2 2 2" xfId="2207"/>
    <cellStyle name="Normal 9 8 2 2 3" xfId="2208"/>
    <cellStyle name="Normal 9 8 2 3" xfId="2209"/>
    <cellStyle name="Normal 9 8 2 3 2" xfId="2210"/>
    <cellStyle name="Normal 9 8 2 4" xfId="2211"/>
    <cellStyle name="Normal 9 8 3" xfId="2212"/>
    <cellStyle name="Normal 9 8 3 2" xfId="2213"/>
    <cellStyle name="Normal 9 8 3 2 2" xfId="2214"/>
    <cellStyle name="Normal 9 8 3 3" xfId="2215"/>
    <cellStyle name="Normal 9 8 4" xfId="2216"/>
    <cellStyle name="Normal 9 8 4 2" xfId="2217"/>
    <cellStyle name="Normal 9 8 5" xfId="2218"/>
    <cellStyle name="Normal 9 9" xfId="2219"/>
    <cellStyle name="Normal 9 9 2" xfId="2220"/>
    <cellStyle name="Normal 9 9 2 2" xfId="2221"/>
    <cellStyle name="Normal 9 9 2 2 2" xfId="2222"/>
    <cellStyle name="Normal 9 9 2 3" xfId="2223"/>
    <cellStyle name="Normal 9 9 3" xfId="2224"/>
    <cellStyle name="Normal 9 9 3 2" xfId="2225"/>
    <cellStyle name="Normal 9 9 4" xfId="2226"/>
    <cellStyle name="Normal_Pesquisa no referencial 10 de maio de 2013" xfId="2585"/>
    <cellStyle name="Nota 2" xfId="2529"/>
    <cellStyle name="Nota 3" xfId="2530"/>
    <cellStyle name="Nota 4" xfId="2531"/>
    <cellStyle name="Nota 5" xfId="2532"/>
    <cellStyle name="Note" xfId="2533"/>
    <cellStyle name="Note 2" xfId="2534"/>
    <cellStyle name="Note 3" xfId="2535"/>
    <cellStyle name="Output" xfId="2536"/>
    <cellStyle name="Output 2" xfId="2537"/>
    <cellStyle name="Porcentagem 2" xfId="2227"/>
    <cellStyle name="Porcentagem 2 2" xfId="2228"/>
    <cellStyle name="Porcentagem 3" xfId="2229"/>
    <cellStyle name="Porcentagem 4" xfId="2230"/>
    <cellStyle name="Porcentagem 4 10" xfId="2231"/>
    <cellStyle name="Porcentagem 4 2" xfId="2232"/>
    <cellStyle name="Porcentagem 4 2 2" xfId="2233"/>
    <cellStyle name="Porcentagem 4 2 2 2" xfId="2234"/>
    <cellStyle name="Porcentagem 4 2 2 2 2" xfId="2235"/>
    <cellStyle name="Porcentagem 4 2 2 2 2 2" xfId="2236"/>
    <cellStyle name="Porcentagem 4 2 2 2 3" xfId="2237"/>
    <cellStyle name="Porcentagem 4 2 2 3" xfId="2238"/>
    <cellStyle name="Porcentagem 4 2 2 3 2" xfId="2239"/>
    <cellStyle name="Porcentagem 4 2 2 4" xfId="2240"/>
    <cellStyle name="Porcentagem 4 2 3" xfId="2241"/>
    <cellStyle name="Porcentagem 4 2 3 2" xfId="2242"/>
    <cellStyle name="Porcentagem 4 2 3 2 2" xfId="2243"/>
    <cellStyle name="Porcentagem 4 2 3 3" xfId="2244"/>
    <cellStyle name="Porcentagem 4 2 4" xfId="2245"/>
    <cellStyle name="Porcentagem 4 2 4 2" xfId="2246"/>
    <cellStyle name="Porcentagem 4 2 5" xfId="2247"/>
    <cellStyle name="Porcentagem 4 3" xfId="2248"/>
    <cellStyle name="Porcentagem 4 3 2" xfId="2249"/>
    <cellStyle name="Porcentagem 4 3 2 2" xfId="2250"/>
    <cellStyle name="Porcentagem 4 3 2 2 2" xfId="2251"/>
    <cellStyle name="Porcentagem 4 3 2 2 2 2" xfId="2252"/>
    <cellStyle name="Porcentagem 4 3 2 2 3" xfId="2253"/>
    <cellStyle name="Porcentagem 4 3 2 3" xfId="2254"/>
    <cellStyle name="Porcentagem 4 3 2 3 2" xfId="2255"/>
    <cellStyle name="Porcentagem 4 3 2 4" xfId="2256"/>
    <cellStyle name="Porcentagem 4 3 3" xfId="2257"/>
    <cellStyle name="Porcentagem 4 3 3 2" xfId="2258"/>
    <cellStyle name="Porcentagem 4 3 3 2 2" xfId="2259"/>
    <cellStyle name="Porcentagem 4 3 3 3" xfId="2260"/>
    <cellStyle name="Porcentagem 4 3 4" xfId="2261"/>
    <cellStyle name="Porcentagem 4 3 4 2" xfId="2262"/>
    <cellStyle name="Porcentagem 4 3 5" xfId="2263"/>
    <cellStyle name="Porcentagem 4 4" xfId="2264"/>
    <cellStyle name="Porcentagem 4 4 2" xfId="2265"/>
    <cellStyle name="Porcentagem 4 4 2 2" xfId="2266"/>
    <cellStyle name="Porcentagem 4 4 2 2 2" xfId="2267"/>
    <cellStyle name="Porcentagem 4 4 2 2 2 2" xfId="2268"/>
    <cellStyle name="Porcentagem 4 4 2 2 3" xfId="2269"/>
    <cellStyle name="Porcentagem 4 4 2 3" xfId="2270"/>
    <cellStyle name="Porcentagem 4 4 2 3 2" xfId="2271"/>
    <cellStyle name="Porcentagem 4 4 2 4" xfId="2272"/>
    <cellStyle name="Porcentagem 4 4 3" xfId="2273"/>
    <cellStyle name="Porcentagem 4 4 3 2" xfId="2274"/>
    <cellStyle name="Porcentagem 4 4 3 2 2" xfId="2275"/>
    <cellStyle name="Porcentagem 4 4 3 3" xfId="2276"/>
    <cellStyle name="Porcentagem 4 4 4" xfId="2277"/>
    <cellStyle name="Porcentagem 4 4 4 2" xfId="2278"/>
    <cellStyle name="Porcentagem 4 4 5" xfId="2279"/>
    <cellStyle name="Porcentagem 4 5" xfId="2280"/>
    <cellStyle name="Porcentagem 4 5 2" xfId="2281"/>
    <cellStyle name="Porcentagem 4 5 2 2" xfId="2282"/>
    <cellStyle name="Porcentagem 4 5 2 2 2" xfId="2283"/>
    <cellStyle name="Porcentagem 4 5 2 2 2 2" xfId="2284"/>
    <cellStyle name="Porcentagem 4 5 2 2 3" xfId="2285"/>
    <cellStyle name="Porcentagem 4 5 2 3" xfId="2286"/>
    <cellStyle name="Porcentagem 4 5 2 3 2" xfId="2287"/>
    <cellStyle name="Porcentagem 4 5 2 4" xfId="2288"/>
    <cellStyle name="Porcentagem 4 5 3" xfId="2289"/>
    <cellStyle name="Porcentagem 4 5 3 2" xfId="2290"/>
    <cellStyle name="Porcentagem 4 5 3 2 2" xfId="2291"/>
    <cellStyle name="Porcentagem 4 5 3 3" xfId="2292"/>
    <cellStyle name="Porcentagem 4 5 4" xfId="2293"/>
    <cellStyle name="Porcentagem 4 5 4 2" xfId="2294"/>
    <cellStyle name="Porcentagem 4 5 5" xfId="2295"/>
    <cellStyle name="Porcentagem 4 6" xfId="2296"/>
    <cellStyle name="Porcentagem 4 6 2" xfId="2297"/>
    <cellStyle name="Porcentagem 4 6 2 2" xfId="2298"/>
    <cellStyle name="Porcentagem 4 6 2 2 2" xfId="2299"/>
    <cellStyle name="Porcentagem 4 6 2 2 2 2" xfId="2300"/>
    <cellStyle name="Porcentagem 4 6 2 2 3" xfId="2301"/>
    <cellStyle name="Porcentagem 4 6 2 3" xfId="2302"/>
    <cellStyle name="Porcentagem 4 6 2 3 2" xfId="2303"/>
    <cellStyle name="Porcentagem 4 6 2 4" xfId="2304"/>
    <cellStyle name="Porcentagem 4 6 3" xfId="2305"/>
    <cellStyle name="Porcentagem 4 6 3 2" xfId="2306"/>
    <cellStyle name="Porcentagem 4 6 3 2 2" xfId="2307"/>
    <cellStyle name="Porcentagem 4 6 3 3" xfId="2308"/>
    <cellStyle name="Porcentagem 4 6 4" xfId="2309"/>
    <cellStyle name="Porcentagem 4 6 4 2" xfId="2310"/>
    <cellStyle name="Porcentagem 4 6 5" xfId="2311"/>
    <cellStyle name="Porcentagem 4 7" xfId="2312"/>
    <cellStyle name="Porcentagem 4 7 2" xfId="2313"/>
    <cellStyle name="Porcentagem 4 7 2 2" xfId="2314"/>
    <cellStyle name="Porcentagem 4 7 2 2 2" xfId="2315"/>
    <cellStyle name="Porcentagem 4 7 2 3" xfId="2316"/>
    <cellStyle name="Porcentagem 4 7 3" xfId="2317"/>
    <cellStyle name="Porcentagem 4 7 3 2" xfId="2318"/>
    <cellStyle name="Porcentagem 4 7 4" xfId="2319"/>
    <cellStyle name="Porcentagem 4 8" xfId="2320"/>
    <cellStyle name="Porcentagem 4 8 2" xfId="2321"/>
    <cellStyle name="Porcentagem 4 8 2 2" xfId="2322"/>
    <cellStyle name="Porcentagem 4 8 3" xfId="2323"/>
    <cellStyle name="Porcentagem 4 9" xfId="2324"/>
    <cellStyle name="Porcentagem 4 9 2" xfId="2325"/>
    <cellStyle name="Porcentagem 5" xfId="2326"/>
    <cellStyle name="Porcentagem 5 2" xfId="2327"/>
    <cellStyle name="Porcentagem 5 2 2" xfId="2328"/>
    <cellStyle name="Porcentagem 5 2 2 2" xfId="2329"/>
    <cellStyle name="Porcentagem 5 2 2 2 2" xfId="2330"/>
    <cellStyle name="Porcentagem 5 2 2 2 2 2" xfId="2331"/>
    <cellStyle name="Porcentagem 5 2 2 2 3" xfId="2332"/>
    <cellStyle name="Porcentagem 5 2 2 3" xfId="2333"/>
    <cellStyle name="Porcentagem 5 2 2 3 2" xfId="2334"/>
    <cellStyle name="Porcentagem 5 2 2 4" xfId="2335"/>
    <cellStyle name="Porcentagem 5 2 3" xfId="2336"/>
    <cellStyle name="Porcentagem 5 2 3 2" xfId="2337"/>
    <cellStyle name="Porcentagem 5 2 3 2 2" xfId="2338"/>
    <cellStyle name="Porcentagem 5 2 3 3" xfId="2339"/>
    <cellStyle name="Porcentagem 5 2 4" xfId="2340"/>
    <cellStyle name="Porcentagem 5 2 4 2" xfId="2341"/>
    <cellStyle name="Porcentagem 5 2 5" xfId="2342"/>
    <cellStyle name="Porcentagem 5 3" xfId="2343"/>
    <cellStyle name="Porcentagem 5 3 2" xfId="2344"/>
    <cellStyle name="Porcentagem 5 3 2 2" xfId="2345"/>
    <cellStyle name="Porcentagem 5 3 2 2 2" xfId="2346"/>
    <cellStyle name="Porcentagem 5 3 2 2 2 2" xfId="2347"/>
    <cellStyle name="Porcentagem 5 3 2 2 3" xfId="2348"/>
    <cellStyle name="Porcentagem 5 3 2 3" xfId="2349"/>
    <cellStyle name="Porcentagem 5 3 2 3 2" xfId="2350"/>
    <cellStyle name="Porcentagem 5 3 2 4" xfId="2351"/>
    <cellStyle name="Porcentagem 5 3 3" xfId="2352"/>
    <cellStyle name="Porcentagem 5 3 3 2" xfId="2353"/>
    <cellStyle name="Porcentagem 5 3 3 2 2" xfId="2354"/>
    <cellStyle name="Porcentagem 5 3 3 3" xfId="2355"/>
    <cellStyle name="Porcentagem 5 3 4" xfId="2356"/>
    <cellStyle name="Porcentagem 5 3 4 2" xfId="2357"/>
    <cellStyle name="Porcentagem 5 3 5" xfId="2358"/>
    <cellStyle name="Porcentagem 5 4" xfId="2359"/>
    <cellStyle name="Porcentagem 5 4 2" xfId="2360"/>
    <cellStyle name="Porcentagem 5 4 2 2" xfId="2361"/>
    <cellStyle name="Porcentagem 5 4 2 2 2" xfId="2362"/>
    <cellStyle name="Porcentagem 5 4 2 3" xfId="2363"/>
    <cellStyle name="Porcentagem 5 4 3" xfId="2364"/>
    <cellStyle name="Porcentagem 5 4 3 2" xfId="2365"/>
    <cellStyle name="Porcentagem 5 4 4" xfId="2366"/>
    <cellStyle name="Porcentagem 5 5" xfId="2367"/>
    <cellStyle name="Porcentagem 5 5 2" xfId="2368"/>
    <cellStyle name="Porcentagem 5 5 2 2" xfId="2369"/>
    <cellStyle name="Porcentagem 5 5 3" xfId="2370"/>
    <cellStyle name="Porcentagem 5 6" xfId="2371"/>
    <cellStyle name="Porcentagem 5 6 2" xfId="2372"/>
    <cellStyle name="Porcentagem 5 7" xfId="2373"/>
    <cellStyle name="Porcentagem 6" xfId="2374"/>
    <cellStyle name="Porcentagem 6 2" xfId="2375"/>
    <cellStyle name="Porcentagem 6 2 2" xfId="2376"/>
    <cellStyle name="Porcentagem 6 3" xfId="2377"/>
    <cellStyle name="Porcentagem 7" xfId="2378"/>
    <cellStyle name="Porcentagem 7 2" xfId="2379"/>
    <cellStyle name="Saída 2" xfId="2538"/>
    <cellStyle name="Saída 3" xfId="2539"/>
    <cellStyle name="Saída 4" xfId="2540"/>
    <cellStyle name="Separador de milhares" xfId="2558" builtinId="3"/>
    <cellStyle name="Separador de milhares 10" xfId="2380"/>
    <cellStyle name="Separador de milhares 11" xfId="2381"/>
    <cellStyle name="Separador de milhares 12" xfId="2382"/>
    <cellStyle name="Separador de milhares 13" xfId="2383"/>
    <cellStyle name="Separador de milhares 14" xfId="2384"/>
    <cellStyle name="Separador de milhares 15" xfId="2385"/>
    <cellStyle name="Separador de milhares 16" xfId="2386"/>
    <cellStyle name="Separador de milhares 17" xfId="2387"/>
    <cellStyle name="Separador de milhares 18" xfId="2388"/>
    <cellStyle name="Separador de milhares 19" xfId="2389"/>
    <cellStyle name="Separador de milhares 2" xfId="2390"/>
    <cellStyle name="Separador de milhares 2 2" xfId="2391"/>
    <cellStyle name="Separador de milhares 20" xfId="2392"/>
    <cellStyle name="Separador de milhares 21" xfId="2393"/>
    <cellStyle name="Separador de milhares 22" xfId="2394"/>
    <cellStyle name="Separador de milhares 23" xfId="2395"/>
    <cellStyle name="Separador de milhares 24" xfId="2396"/>
    <cellStyle name="Separador de milhares 25" xfId="2397"/>
    <cellStyle name="Separador de milhares 26" xfId="2398"/>
    <cellStyle name="Separador de milhares 27" xfId="2399"/>
    <cellStyle name="Separador de milhares 28" xfId="2400"/>
    <cellStyle name="Separador de milhares 29" xfId="2401"/>
    <cellStyle name="Separador de milhares 3" xfId="2402"/>
    <cellStyle name="Separador de milhares 30" xfId="2403"/>
    <cellStyle name="Separador de milhares 31" xfId="2404"/>
    <cellStyle name="Separador de milhares 32" xfId="2405"/>
    <cellStyle name="Separador de milhares 33" xfId="2406"/>
    <cellStyle name="Separador de milhares 34" xfId="2407"/>
    <cellStyle name="Separador de milhares 35" xfId="2408"/>
    <cellStyle name="Separador de milhares 36" xfId="2409"/>
    <cellStyle name="Separador de milhares 37" xfId="2410"/>
    <cellStyle name="Separador de milhares 38" xfId="2411"/>
    <cellStyle name="Separador de milhares 39" xfId="2412"/>
    <cellStyle name="Separador de milhares 4" xfId="2413"/>
    <cellStyle name="Separador de milhares 4 2" xfId="2414"/>
    <cellStyle name="Separador de milhares 4 2 10" xfId="2415"/>
    <cellStyle name="Separador de milhares 4 2 11" xfId="2442"/>
    <cellStyle name="Separador de milhares 4 2 2" xfId="2416"/>
    <cellStyle name="Separador de milhares 4 2 3" xfId="2417"/>
    <cellStyle name="Separador de milhares 4 2 4" xfId="2418"/>
    <cellStyle name="Separador de milhares 4 2 5" xfId="2419"/>
    <cellStyle name="Separador de milhares 4 2 6" xfId="2420"/>
    <cellStyle name="Separador de milhares 4 2 7" xfId="2421"/>
    <cellStyle name="Separador de milhares 4 2 8" xfId="2422"/>
    <cellStyle name="Separador de milhares 4 2 9" xfId="2423"/>
    <cellStyle name="Separador de milhares 40" xfId="4"/>
    <cellStyle name="Separador de milhares 40 2" xfId="2443"/>
    <cellStyle name="Separador de milhares 41" xfId="2424"/>
    <cellStyle name="Separador de milhares 41 2" xfId="2425"/>
    <cellStyle name="Separador de milhares 5" xfId="2426"/>
    <cellStyle name="Separador de milhares 5 2" xfId="2427"/>
    <cellStyle name="Separador de milhares 5 2 2" xfId="2428"/>
    <cellStyle name="Separador de milhares 5 2 2 2" xfId="2429"/>
    <cellStyle name="Separador de milhares 5 2 2 3" xfId="2430"/>
    <cellStyle name="Separador de milhares 5 2 2 4" xfId="2431"/>
    <cellStyle name="Separador de milhares 5 2 3" xfId="2432"/>
    <cellStyle name="Separador de milhares 5 2 4" xfId="2433"/>
    <cellStyle name="Separador de milhares 5 2 5" xfId="2434"/>
    <cellStyle name="Separador de milhares 6" xfId="2435"/>
    <cellStyle name="Separador de milhares 7" xfId="2436"/>
    <cellStyle name="Separador de milhares 8" xfId="2437"/>
    <cellStyle name="Separador de milhares 9" xfId="2438"/>
    <cellStyle name="Texto de Aviso 2" xfId="2541"/>
    <cellStyle name="Texto Explicativo 2" xfId="2542"/>
    <cellStyle name="Title" xfId="2543"/>
    <cellStyle name="Título 1 2" xfId="2544"/>
    <cellStyle name="Título 2 2" xfId="2545"/>
    <cellStyle name="Título 3 2" xfId="2546"/>
    <cellStyle name="Título 4 2" xfId="2547"/>
    <cellStyle name="Título 5" xfId="2548"/>
    <cellStyle name="Total 2" xfId="2549"/>
    <cellStyle name="Total 3" xfId="2550"/>
    <cellStyle name="Vírgula 2" xfId="2439"/>
    <cellStyle name="Vírgula 2 2" xfId="2440"/>
    <cellStyle name="Vírgula 3" xfId="2441"/>
    <cellStyle name="Warning Text" xfId="2551"/>
  </cellStyles>
  <dxfs count="197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8" tint="0.59996337778862885"/>
      </font>
      <fill>
        <patternFill>
          <bgColor theme="8" tint="0.59996337778862885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CCCC"/>
      <color rgb="FFCCFFCC"/>
      <color rgb="FFFF66FF"/>
      <color rgb="FFFFCCFF"/>
      <color rgb="FFFFFFCC"/>
      <color rgb="FFCCCCFF"/>
      <color rgb="FF00FFCC"/>
      <color rgb="FF66FFFF"/>
      <color rgb="FF9999FF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4.xml"/><Relationship Id="rId40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oesplan/AppData/Roaming/Microsoft/Excel/Users/Proesplan/AppData/Roaming/Microsoft/Excel/CTR/268%20-%20ETA%20Cordeir&#243;polis/Revis&#227;o%20or&#231;amento/268%20-%20Or&#231;amento%20Civil%20e%20hidromec&#226;nico%20-%20Rev7%20-Tania%20-%20Alter%20Ruben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4B9B914\268%20-%20Or&#231;amento%20Civil%20e%20hidromec&#226;nico%20-%20Rev7%20-Tania%20-%20Alter%20Ruben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ro-12\d\Users\Proesplan\AppData\Roaming\Microsoft\Excel\Users\Proesplan\AppData\Roaming\Microsoft\Excel\CTR\268%20-%20ETA%20Cordeir&#243;polis\Revis&#227;o%20or&#231;amento\268%20-%20Or&#231;amento%20Civil%20e%20hidromec&#226;nico%20-%20Rev7%20-Tania%20-%20Alter%20Ruben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Proesplan\AppData\Roaming\Microsoft\Excel\Users\Proesplan\AppData\Roaming\Microsoft\Excel\CTR\268%20-%20ETA%20Cordeir&#243;polis\Revis&#227;o%20or&#231;amento\268%20-%20Or&#231;amento%20Civil%20e%20hidromec&#226;nico%20-%20Rev7%20-Tania%20-%20Alter%20Ruben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ronograma"/>
      <sheetName val="Orçamento Resumo"/>
      <sheetName val="OS - Obras Gerais"/>
      <sheetName val="OSE - Distribuição Geral"/>
      <sheetName val="MEE - Distribuição Geral"/>
      <sheetName val="OSE - Poste de Entrada"/>
      <sheetName val="MEE - Poste de Entrada"/>
      <sheetName val="OS - Caixa do Medidor de Vazão"/>
      <sheetName val="ME - Caixa do medidor de Vazão"/>
      <sheetName val="OS - Estrutura de Entrada"/>
      <sheetName val="ME - Estrutura de Entrada"/>
      <sheetName val="OS - Floculadores "/>
      <sheetName val="ME - Floculadores "/>
      <sheetName val="OS - Decantadores"/>
      <sheetName val="ME - Decantadores"/>
      <sheetName val="OS - Filtros"/>
      <sheetName val="ME - Filtros"/>
      <sheetName val="OSE - Módulo de Tratamento"/>
      <sheetName val="MEE - Módulo de Tratamento"/>
      <sheetName val="OS - Reservatório Pulmão"/>
      <sheetName val="OSE - Res. Pulmão"/>
      <sheetName val="ME - Reservatório - Pulmão"/>
      <sheetName val="MEE - Res. Pulmão"/>
      <sheetName val="OS - EE para processo da ETA"/>
      <sheetName val="ME - EE para processo da ETA"/>
      <sheetName val="OS - Casa de Química"/>
      <sheetName val="OSE - Casa de Química ELE"/>
      <sheetName val="ME - Casa de Química"/>
      <sheetName val="MEE - Casa de Química ELE"/>
      <sheetName val="OS - Casa de Cloração"/>
      <sheetName val="OSE - Casa de Cloração ELE"/>
      <sheetName val="ME - Casa de Cloração"/>
      <sheetName val="MEE - Casa de Cloração ELE"/>
      <sheetName val="OS - Reservatório Elevado"/>
      <sheetName val="OSE - RESE Processos"/>
      <sheetName val="ME - Reservatório Elevado"/>
      <sheetName val="MEE - RESE Processos"/>
      <sheetName val="OS - Poço de Manobra"/>
      <sheetName val="OS - Tanque de Equalização"/>
      <sheetName val="ME - Tanque de Equalização"/>
      <sheetName val="OS - EE de Recirculação"/>
      <sheetName val="OSE - EE de Retorno"/>
      <sheetName val="ME - EE de Recirculação"/>
      <sheetName val="MEE - EE de Recirculação"/>
      <sheetName val="OS - EE de Lodo"/>
      <sheetName val="OSE - EE de Desc. Lodo"/>
      <sheetName val="ME - EE de Lodo"/>
      <sheetName val="MEE - EE de Desc. Lodo"/>
      <sheetName val="OS - Desidratação Mec de Lodo"/>
      <sheetName val="OSE - SDL"/>
      <sheetName val="ME - Desidratação Mec de Lodo"/>
      <sheetName val="MEE - SDL"/>
      <sheetName val="OS - Interligações"/>
      <sheetName val="ME - Interligações"/>
      <sheetName val="OS - EE Lavagem dos Filtros"/>
      <sheetName val="OSE - EELF"/>
      <sheetName val="ME - EE Lavagem dos Filtros"/>
      <sheetName val="MEE - EELF"/>
      <sheetName val="OS - Portaria"/>
      <sheetName val="OSE - Portaria ELE"/>
      <sheetName val="ME - Portaria"/>
      <sheetName val="MEE - Portaria ELE"/>
      <sheetName val="OS - Sala do QDG"/>
      <sheetName val="OSE - Sala de Painéis"/>
      <sheetName val="MEE - Sala de Painéis"/>
      <sheetName val="OS - Rede de Esgoto"/>
      <sheetName val="ME - Rede de esgoto"/>
      <sheetName val="OS - Rede de distribuição"/>
      <sheetName val="ME - Rede de distribuição"/>
      <sheetName val="Q - Obras Gerais"/>
      <sheetName val="Q - Caixa do medidor de vazão"/>
      <sheetName val="Q - Estrutura de Entrada"/>
      <sheetName val="Q - Floculadores "/>
      <sheetName val="Q - Decantadores "/>
      <sheetName val="Q - Filtros "/>
      <sheetName val="Q - Reservatório"/>
      <sheetName val="Q -EE para processo da ETA"/>
      <sheetName val="Q - Casa de Química"/>
      <sheetName val="Q - Casa de Cloração"/>
      <sheetName val="Q - Reservatório Elevado"/>
      <sheetName val="Q - Poço de Manobra"/>
      <sheetName val="Q - Tanque de Equalização"/>
      <sheetName val="Q - EE de Recirculação"/>
      <sheetName val="Q - EE de Lodo"/>
      <sheetName val="Q - Desidratação Mec de Lodo"/>
      <sheetName val="Q - EE Lavagem dos Filtros"/>
      <sheetName val="Q - Interligações"/>
      <sheetName val="Q-interligações-2"/>
      <sheetName val="Q - Portaria"/>
      <sheetName val="Q- Sala do QDG"/>
      <sheetName val="Q - Rede de Esgoto"/>
      <sheetName val="Q - Rede de distribuição"/>
      <sheetName val="C_268-001"/>
      <sheetName val="C_268-004"/>
      <sheetName val="C_2682-005"/>
      <sheetName val="C_268-008"/>
      <sheetName val="C_268-010"/>
      <sheetName val="C_268-013"/>
      <sheetName val="C_268-014"/>
      <sheetName val="C_268-015"/>
      <sheetName val="C_268_016"/>
      <sheetName val="C_268_017"/>
      <sheetName val="C_268_018"/>
      <sheetName val="C_268_019"/>
      <sheetName val="C_268_020"/>
      <sheetName val="C_268_021"/>
      <sheetName val="C_268-022"/>
      <sheetName val="C_268_023"/>
      <sheetName val="C_268-024"/>
      <sheetName val="C_268-025"/>
      <sheetName val="C_268-026"/>
      <sheetName val="C_268-027"/>
      <sheetName val="C_268-028"/>
      <sheetName val="C_268-029"/>
      <sheetName val="C_268-030"/>
      <sheetName val="C_268-031"/>
      <sheetName val="C_268-032"/>
      <sheetName val="C_268-033"/>
      <sheetName val="C_268-034"/>
      <sheetName val="C_268-035"/>
      <sheetName val="C_268-036"/>
      <sheetName val="C_268-037"/>
      <sheetName val="C_268-038"/>
      <sheetName val="E-001"/>
      <sheetName val="E-002"/>
      <sheetName val="E-003"/>
      <sheetName val="E-004"/>
      <sheetName val="E-005"/>
      <sheetName val="E-006"/>
      <sheetName val="E-007"/>
      <sheetName val="E-008"/>
      <sheetName val="E-009"/>
      <sheetName val="E-010"/>
      <sheetName val="E-011"/>
      <sheetName val="E-012"/>
      <sheetName val="E-013"/>
      <sheetName val="E-014"/>
      <sheetName val="E-015"/>
      <sheetName val="E-016"/>
      <sheetName val="E-017"/>
      <sheetName val="E-018"/>
      <sheetName val="E-019"/>
      <sheetName val="E-020"/>
      <sheetName val="E-021"/>
      <sheetName val="E-022"/>
      <sheetName val="E-023"/>
      <sheetName val="E-024"/>
      <sheetName val="E-025"/>
      <sheetName val="E-026"/>
      <sheetName val="E-027"/>
      <sheetName val="E-028"/>
      <sheetName val="E-029"/>
      <sheetName val="E-030"/>
      <sheetName val="E-031"/>
      <sheetName val="E-032"/>
      <sheetName val="E-033"/>
      <sheetName val="E-034"/>
      <sheetName val="E-035"/>
      <sheetName val="E-036"/>
      <sheetName val="E-037"/>
      <sheetName val="E-038"/>
      <sheetName val="E-039"/>
      <sheetName val="E-040"/>
      <sheetName val="Resumo das Cotações - H "/>
      <sheetName val="Resumo das Cotações - E"/>
      <sheetName val="BDI Com"/>
      <sheetName val="BDI Sem"/>
      <sheetName val="Resumo das Composições - E"/>
      <sheetName val="C_268-002"/>
      <sheetName val="C_268-003"/>
      <sheetName val="C_268-009"/>
      <sheetName val="C_268-011"/>
      <sheetName val="C_268-012"/>
      <sheetName val="ALCH-0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>
        <row r="17">
          <cell r="H17">
            <v>6.66</v>
          </cell>
        </row>
      </sheetData>
      <sheetData sheetId="123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>
        <row r="44">
          <cell r="C44">
            <v>27.58</v>
          </cell>
        </row>
      </sheetData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Cronograma"/>
      <sheetName val="Orçamento Resumo"/>
      <sheetName val="OS - Obras Gerais"/>
      <sheetName val="OSE - Distribuição Geral"/>
      <sheetName val="MEE - Distribuição Geral"/>
      <sheetName val="OSE - Poste de Entrada"/>
      <sheetName val="MEE - Poste de Entrada"/>
      <sheetName val="OS - Caixa do Medidor de Vazão"/>
      <sheetName val="ME - Caixa do medidor de Vazão"/>
      <sheetName val="OS - Estrutura de Entrada"/>
      <sheetName val="ME - Estrutura de Entrada"/>
      <sheetName val="OS - Floculadores "/>
      <sheetName val="ME - Floculadores "/>
      <sheetName val="OS - Decantadores"/>
      <sheetName val="ME - Decantadores"/>
      <sheetName val="OS - Filtros"/>
      <sheetName val="ME - Filtros"/>
      <sheetName val="OSE - Módulo de Tratamento"/>
      <sheetName val="MEE - Módulo de Tratamento"/>
      <sheetName val="OS - Reservatório Pulmão"/>
      <sheetName val="OSE - Res. Pulmão"/>
      <sheetName val="ME - Reservatório - Pulmão"/>
      <sheetName val="MEE - Res. Pulmão"/>
      <sheetName val="OS - EE para processo da ETA"/>
      <sheetName val="ME - EE para processo da ETA"/>
      <sheetName val="OS - Casa de Química"/>
      <sheetName val="OSE - Casa de Química ELE"/>
      <sheetName val="ME - Casa de Química"/>
      <sheetName val="MEE - Casa de Química ELE"/>
      <sheetName val="OS - Casa de Cloração"/>
      <sheetName val="OSE - Casa de Cloração ELE"/>
      <sheetName val="ME - Casa de Cloração"/>
      <sheetName val="MEE - Casa de Cloração ELE"/>
      <sheetName val="OS - Reservatório Elevado"/>
      <sheetName val="OSE - RESE Processos"/>
      <sheetName val="ME - Reservatório Elevado"/>
      <sheetName val="MEE - RESE Processos"/>
      <sheetName val="OS - Poço de Manobra"/>
      <sheetName val="OS - Tanque de Equalização"/>
      <sheetName val="ME - Tanque de Equalização"/>
      <sheetName val="OS - EE de Recirculação"/>
      <sheetName val="OSE - EE de Retorno"/>
      <sheetName val="ME - EE de Recirculação"/>
      <sheetName val="MEE - EE de Recirculação"/>
      <sheetName val="OS - EE de Lodo"/>
      <sheetName val="OSE - EE de Desc. Lodo"/>
      <sheetName val="ME - EE de Lodo"/>
      <sheetName val="MEE - EE de Desc. Lodo"/>
      <sheetName val="OS - Desidratação Mec de Lodo"/>
      <sheetName val="OSE - SDL"/>
      <sheetName val="ME - Desidratação Mec de Lodo"/>
      <sheetName val="MEE - SDL"/>
      <sheetName val="OS - Interligações"/>
      <sheetName val="ME - Interligações"/>
      <sheetName val="OS - EE Lavagem dos Filtros"/>
      <sheetName val="OSE - EELF"/>
      <sheetName val="ME - EE Lavagem dos Filtros"/>
      <sheetName val="MEE - EELF"/>
      <sheetName val="OS - Portaria"/>
      <sheetName val="OSE - Portaria ELE"/>
      <sheetName val="ME - Portaria"/>
      <sheetName val="MEE - Portaria ELE"/>
      <sheetName val="OS - Sala do QDG"/>
      <sheetName val="OSE - Sala de Painéis"/>
      <sheetName val="MEE - Sala de Painéis"/>
      <sheetName val="OS - Rede de Esgoto"/>
      <sheetName val="ME - Rede de esgoto"/>
      <sheetName val="OS - Rede de distribuição"/>
      <sheetName val="ME - Rede de distribuição"/>
      <sheetName val="Q - Obras Gerais"/>
      <sheetName val="Q - Caixa do medidor de vazão"/>
      <sheetName val="Q - Estrutura de Entrada"/>
      <sheetName val="Q - Floculadores "/>
      <sheetName val="Q - Decantadores "/>
      <sheetName val="Q - Filtros "/>
      <sheetName val="Q - Reservatório"/>
      <sheetName val="Q -EE para processo da ETA"/>
      <sheetName val="Q - Casa de Química"/>
      <sheetName val="Q - Casa de Cloração"/>
      <sheetName val="Q - Reservatório Elevado"/>
      <sheetName val="Q - Poço de Manobra"/>
      <sheetName val="Q - Tanque de Equalização"/>
      <sheetName val="Q - EE de Recirculação"/>
      <sheetName val="Q - EE de Lodo"/>
      <sheetName val="Q - Desidratação Mec de Lodo"/>
      <sheetName val="Q - EE Lavagem dos Filtros"/>
      <sheetName val="Q - Interligações"/>
      <sheetName val="Q-interligações-2"/>
      <sheetName val="Q - Portaria"/>
      <sheetName val="Q- Sala do QDG"/>
      <sheetName val="Q - Rede de Esgoto"/>
      <sheetName val="Q - Rede de distribuição"/>
      <sheetName val="C_268-001"/>
      <sheetName val="C_268-004"/>
      <sheetName val="C_2682-005"/>
      <sheetName val="C_268-008"/>
      <sheetName val="C_268-010"/>
      <sheetName val="C_268-013"/>
      <sheetName val="C_268-014"/>
      <sheetName val="C_268-015"/>
      <sheetName val="C_268_016"/>
      <sheetName val="C_268_017"/>
      <sheetName val="C_268_018"/>
      <sheetName val="C_268_019"/>
      <sheetName val="C_268_020"/>
      <sheetName val="C_268_021"/>
      <sheetName val="C_268-022"/>
      <sheetName val="C_268_023"/>
      <sheetName val="C_268-024"/>
      <sheetName val="C_268-025"/>
      <sheetName val="C_268-026"/>
      <sheetName val="C_268-027"/>
      <sheetName val="C_268-028"/>
      <sheetName val="C_268-029"/>
      <sheetName val="C_268-030"/>
      <sheetName val="C_268-031"/>
      <sheetName val="C_268-032"/>
      <sheetName val="C_268-033"/>
      <sheetName val="C_268-034"/>
      <sheetName val="C_268-035"/>
      <sheetName val="C_268-036"/>
      <sheetName val="C_268-037"/>
      <sheetName val="C_268-038"/>
      <sheetName val="E-001"/>
      <sheetName val="E-002"/>
      <sheetName val="E-003"/>
      <sheetName val="E-004"/>
      <sheetName val="E-005"/>
      <sheetName val="E-006"/>
      <sheetName val="E-007"/>
      <sheetName val="E-008"/>
      <sheetName val="E-009"/>
      <sheetName val="E-010"/>
      <sheetName val="E-011"/>
      <sheetName val="E-012"/>
      <sheetName val="E-013"/>
      <sheetName val="E-014"/>
      <sheetName val="E-015"/>
      <sheetName val="E-016"/>
      <sheetName val="E-017"/>
      <sheetName val="E-018"/>
      <sheetName val="E-019"/>
      <sheetName val="E-020"/>
      <sheetName val="E-021"/>
      <sheetName val="E-022"/>
      <sheetName val="E-023"/>
      <sheetName val="E-024"/>
      <sheetName val="E-025"/>
      <sheetName val="E-026"/>
      <sheetName val="E-027"/>
      <sheetName val="E-028"/>
      <sheetName val="E-029"/>
      <sheetName val="E-030"/>
      <sheetName val="E-031"/>
      <sheetName val="E-032"/>
      <sheetName val="E-033"/>
      <sheetName val="E-034"/>
      <sheetName val="E-035"/>
      <sheetName val="E-036"/>
      <sheetName val="E-037"/>
      <sheetName val="E-038"/>
      <sheetName val="E-039"/>
      <sheetName val="E-040"/>
      <sheetName val="Resumo das Cotações - H "/>
      <sheetName val="Resumo das Cotações - E"/>
      <sheetName val="BDI Com"/>
      <sheetName val="BDI Sem"/>
      <sheetName val="Resumo das Composições - E"/>
      <sheetName val="C_268-002"/>
      <sheetName val="C_268-003"/>
      <sheetName val="C_268-009"/>
      <sheetName val="C_268-011"/>
      <sheetName val="C_268-012"/>
      <sheetName val="ALCH-0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>
        <row r="17">
          <cell r="H17">
            <v>6.66</v>
          </cell>
        </row>
      </sheetData>
      <sheetData sheetId="123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>
        <row r="44">
          <cell r="C44">
            <v>27.58</v>
          </cell>
        </row>
      </sheetData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Cronograma"/>
      <sheetName val="Orçamento Resumo"/>
      <sheetName val="OS - Obras Gerais"/>
      <sheetName val="OSE - Distribuição Geral"/>
      <sheetName val="MEE - Distribuição Geral"/>
      <sheetName val="OSE - Poste de Entrada"/>
      <sheetName val="MEE - Poste de Entrada"/>
      <sheetName val="OS - Caixa do Medidor de Vazão"/>
      <sheetName val="ME - Caixa do medidor de Vazão"/>
      <sheetName val="OS - Estrutura de Entrada"/>
      <sheetName val="ME - Estrutura de Entrada"/>
      <sheetName val="OS - Floculadores "/>
      <sheetName val="ME - Floculadores "/>
      <sheetName val="OS - Decantadores"/>
      <sheetName val="ME - Decantadores"/>
      <sheetName val="OS - Filtros"/>
      <sheetName val="ME - Filtros"/>
      <sheetName val="OSE - Módulo de Tratamento"/>
      <sheetName val="MEE - Módulo de Tratamento"/>
      <sheetName val="OS - Reservatório Pulmão"/>
      <sheetName val="OSE - Res. Pulmão"/>
      <sheetName val="ME - Reservatório - Pulmão"/>
      <sheetName val="MEE - Res. Pulmão"/>
      <sheetName val="OS - EE para processo da ETA"/>
      <sheetName val="ME - EE para processo da ETA"/>
      <sheetName val="OS - Casa de Química"/>
      <sheetName val="OSE - Casa de Química ELE"/>
      <sheetName val="ME - Casa de Química"/>
      <sheetName val="MEE - Casa de Química ELE"/>
      <sheetName val="OS - Casa de Cloração"/>
      <sheetName val="OSE - Casa de Cloração ELE"/>
      <sheetName val="ME - Casa de Cloração"/>
      <sheetName val="MEE - Casa de Cloração ELE"/>
      <sheetName val="OS - Reservatório Elevado"/>
      <sheetName val="OSE - RESE Processos"/>
      <sheetName val="ME - Reservatório Elevado"/>
      <sheetName val="MEE - RESE Processos"/>
      <sheetName val="OS - Poço de Manobra"/>
      <sheetName val="OS - Tanque de Equalização"/>
      <sheetName val="ME - Tanque de Equalização"/>
      <sheetName val="OS - EE de Recirculação"/>
      <sheetName val="OSE - EE de Retorno"/>
      <sheetName val="ME - EE de Recirculação"/>
      <sheetName val="MEE - EE de Recirculação"/>
      <sheetName val="OS - EE de Lodo"/>
      <sheetName val="OSE - EE de Desc. Lodo"/>
      <sheetName val="ME - EE de Lodo"/>
      <sheetName val="MEE - EE de Desc. Lodo"/>
      <sheetName val="OS - Desidratação Mec de Lodo"/>
      <sheetName val="OSE - SDL"/>
      <sheetName val="ME - Desidratação Mec de Lodo"/>
      <sheetName val="MEE - SDL"/>
      <sheetName val="OS - Interligações"/>
      <sheetName val="ME - Interligações"/>
      <sheetName val="OS - EE Lavagem dos Filtros"/>
      <sheetName val="OSE - EELF"/>
      <sheetName val="ME - EE Lavagem dos Filtros"/>
      <sheetName val="MEE - EELF"/>
      <sheetName val="OS - Portaria"/>
      <sheetName val="OSE - Portaria ELE"/>
      <sheetName val="ME - Portaria"/>
      <sheetName val="MEE - Portaria ELE"/>
      <sheetName val="OS - Sala do QDG"/>
      <sheetName val="OSE - Sala de Painéis"/>
      <sheetName val="MEE - Sala de Painéis"/>
      <sheetName val="OS - Rede de Esgoto"/>
      <sheetName val="ME - Rede de esgoto"/>
      <sheetName val="OS - Rede de distribuição"/>
      <sheetName val="ME - Rede de distribuição"/>
      <sheetName val="Q - Obras Gerais"/>
      <sheetName val="Q - Caixa do medidor de vazão"/>
      <sheetName val="Q - Estrutura de Entrada"/>
      <sheetName val="Q - Floculadores "/>
      <sheetName val="Q - Decantadores "/>
      <sheetName val="Q - Filtros "/>
      <sheetName val="Q - Reservatório"/>
      <sheetName val="Q -EE para processo da ETA"/>
      <sheetName val="Q - Casa de Química"/>
      <sheetName val="Q - Casa de Cloração"/>
      <sheetName val="Q - Reservatório Elevado"/>
      <sheetName val="Q - Poço de Manobra"/>
      <sheetName val="Q - Tanque de Equalização"/>
      <sheetName val="Q - EE de Recirculação"/>
      <sheetName val="Q - EE de Lodo"/>
      <sheetName val="Q - Desidratação Mec de Lodo"/>
      <sheetName val="Q - EE Lavagem dos Filtros"/>
      <sheetName val="Q - Interligações"/>
      <sheetName val="Q-interligações-2"/>
      <sheetName val="Q - Portaria"/>
      <sheetName val="Q- Sala do QDG"/>
      <sheetName val="Q - Rede de Esgoto"/>
      <sheetName val="Q - Rede de distribuição"/>
      <sheetName val="C_268-001"/>
      <sheetName val="C_268-004"/>
      <sheetName val="C_2682-005"/>
      <sheetName val="C_268-008"/>
      <sheetName val="C_268-010"/>
      <sheetName val="C_268-013"/>
      <sheetName val="C_268-014"/>
      <sheetName val="C_268-015"/>
      <sheetName val="C_268_016"/>
      <sheetName val="C_268_017"/>
      <sheetName val="C_268_018"/>
      <sheetName val="C_268_019"/>
      <sheetName val="C_268_020"/>
      <sheetName val="C_268_021"/>
      <sheetName val="C_268-022"/>
      <sheetName val="C_268_023"/>
      <sheetName val="C_268-024"/>
      <sheetName val="C_268-025"/>
      <sheetName val="C_268-026"/>
      <sheetName val="C_268-027"/>
      <sheetName val="C_268-028"/>
      <sheetName val="C_268-029"/>
      <sheetName val="C_268-030"/>
      <sheetName val="C_268-031"/>
      <sheetName val="C_268-032"/>
      <sheetName val="C_268-033"/>
      <sheetName val="C_268-034"/>
      <sheetName val="C_268-035"/>
      <sheetName val="C_268-036"/>
      <sheetName val="C_268-037"/>
      <sheetName val="C_268-038"/>
      <sheetName val="E-001"/>
      <sheetName val="E-002"/>
      <sheetName val="E-003"/>
      <sheetName val="E-004"/>
      <sheetName val="E-005"/>
      <sheetName val="E-006"/>
      <sheetName val="E-007"/>
      <sheetName val="E-008"/>
      <sheetName val="E-009"/>
      <sheetName val="E-010"/>
      <sheetName val="E-011"/>
      <sheetName val="E-012"/>
      <sheetName val="E-013"/>
      <sheetName val="E-014"/>
      <sheetName val="E-015"/>
      <sheetName val="E-016"/>
      <sheetName val="E-017"/>
      <sheetName val="E-018"/>
      <sheetName val="E-019"/>
      <sheetName val="E-020"/>
      <sheetName val="E-021"/>
      <sheetName val="E-022"/>
      <sheetName val="E-023"/>
      <sheetName val="E-024"/>
      <sheetName val="E-025"/>
      <sheetName val="E-026"/>
      <sheetName val="E-027"/>
      <sheetName val="E-028"/>
      <sheetName val="E-029"/>
      <sheetName val="E-030"/>
      <sheetName val="E-031"/>
      <sheetName val="E-032"/>
      <sheetName val="E-033"/>
      <sheetName val="E-034"/>
      <sheetName val="E-035"/>
      <sheetName val="E-036"/>
      <sheetName val="E-037"/>
      <sheetName val="E-038"/>
      <sheetName val="E-039"/>
      <sheetName val="E-040"/>
      <sheetName val="Resumo das Cotações - H "/>
      <sheetName val="Resumo das Cotações - E"/>
      <sheetName val="BDI Com"/>
      <sheetName val="BDI Sem"/>
      <sheetName val="Resumo das Composições - E"/>
      <sheetName val="C_268-002"/>
      <sheetName val="C_268-003"/>
      <sheetName val="C_268-009"/>
      <sheetName val="C_268-011"/>
      <sheetName val="C_268-012"/>
      <sheetName val="ALCH-0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>
        <row r="17">
          <cell r="H17">
            <v>6.66</v>
          </cell>
        </row>
      </sheetData>
      <sheetData sheetId="123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>
        <row r="44">
          <cell r="C44">
            <v>27.58</v>
          </cell>
        </row>
      </sheetData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Cronograma"/>
      <sheetName val="Orçamento Resumo"/>
      <sheetName val="OS - Obras Gerais"/>
      <sheetName val="OSE - Distribuição Geral"/>
      <sheetName val="MEE - Distribuição Geral"/>
      <sheetName val="OSE - Poste de Entrada"/>
      <sheetName val="MEE - Poste de Entrada"/>
      <sheetName val="OS - Caixa do Medidor de Vazão"/>
      <sheetName val="ME - Caixa do medidor de Vazão"/>
      <sheetName val="OS - Estrutura de Entrada"/>
      <sheetName val="ME - Estrutura de Entrada"/>
      <sheetName val="OS - Floculadores "/>
      <sheetName val="ME - Floculadores "/>
      <sheetName val="OS - Decantadores"/>
      <sheetName val="ME - Decantadores"/>
      <sheetName val="OS - Filtros"/>
      <sheetName val="ME - Filtros"/>
      <sheetName val="OSE - Módulo de Tratamento"/>
      <sheetName val="MEE - Módulo de Tratamento"/>
      <sheetName val="OS - Reservatório Pulmão"/>
      <sheetName val="OSE - Res. Pulmão"/>
      <sheetName val="ME - Reservatório - Pulmão"/>
      <sheetName val="MEE - Res. Pulmão"/>
      <sheetName val="OS - EE para processo da ETA"/>
      <sheetName val="ME - EE para processo da ETA"/>
      <sheetName val="OS - Casa de Química"/>
      <sheetName val="OSE - Casa de Química ELE"/>
      <sheetName val="ME - Casa de Química"/>
      <sheetName val="MEE - Casa de Química ELE"/>
      <sheetName val="OS - Casa de Cloração"/>
      <sheetName val="OSE - Casa de Cloração ELE"/>
      <sheetName val="ME - Casa de Cloração"/>
      <sheetName val="MEE - Casa de Cloração ELE"/>
      <sheetName val="OS - Reservatório Elevado"/>
      <sheetName val="OSE - RESE Processos"/>
      <sheetName val="ME - Reservatório Elevado"/>
      <sheetName val="MEE - RESE Processos"/>
      <sheetName val="OS - Poço de Manobra"/>
      <sheetName val="OS - Tanque de Equalização"/>
      <sheetName val="ME - Tanque de Equalização"/>
      <sheetName val="OS - EE de Recirculação"/>
      <sheetName val="OSE - EE de Retorno"/>
      <sheetName val="ME - EE de Recirculação"/>
      <sheetName val="MEE - EE de Recirculação"/>
      <sheetName val="OS - EE de Lodo"/>
      <sheetName val="OSE - EE de Desc. Lodo"/>
      <sheetName val="ME - EE de Lodo"/>
      <sheetName val="MEE - EE de Desc. Lodo"/>
      <sheetName val="OS - Desidratação Mec de Lodo"/>
      <sheetName val="OSE - SDL"/>
      <sheetName val="ME - Desidratação Mec de Lodo"/>
      <sheetName val="MEE - SDL"/>
      <sheetName val="OS - Interligações"/>
      <sheetName val="ME - Interligações"/>
      <sheetName val="OS - EE Lavagem dos Filtros"/>
      <sheetName val="OSE - EELF"/>
      <sheetName val="ME - EE Lavagem dos Filtros"/>
      <sheetName val="MEE - EELF"/>
      <sheetName val="OS - Portaria"/>
      <sheetName val="OSE - Portaria ELE"/>
      <sheetName val="ME - Portaria"/>
      <sheetName val="MEE - Portaria ELE"/>
      <sheetName val="OS - Sala do QDG"/>
      <sheetName val="OSE - Sala de Painéis"/>
      <sheetName val="MEE - Sala de Painéis"/>
      <sheetName val="OS - Rede de Esgoto"/>
      <sheetName val="ME - Rede de esgoto"/>
      <sheetName val="OS - Rede de distribuição"/>
      <sheetName val="ME - Rede de distribuição"/>
      <sheetName val="Q - Obras Gerais"/>
      <sheetName val="Q - Caixa do medidor de vazão"/>
      <sheetName val="Q - Estrutura de Entrada"/>
      <sheetName val="Q - Floculadores "/>
      <sheetName val="Q - Decantadores "/>
      <sheetName val="Q - Filtros "/>
      <sheetName val="Q - Reservatório"/>
      <sheetName val="Q -EE para processo da ETA"/>
      <sheetName val="Q - Casa de Química"/>
      <sheetName val="Q - Casa de Cloração"/>
      <sheetName val="Q - Reservatório Elevado"/>
      <sheetName val="Q - Poço de Manobra"/>
      <sheetName val="Q - Tanque de Equalização"/>
      <sheetName val="Q - EE de Recirculação"/>
      <sheetName val="Q - EE de Lodo"/>
      <sheetName val="Q - Desidratação Mec de Lodo"/>
      <sheetName val="Q - EE Lavagem dos Filtros"/>
      <sheetName val="Q - Interligações"/>
      <sheetName val="Q-interligações-2"/>
      <sheetName val="Q - Portaria"/>
      <sheetName val="Q- Sala do QDG"/>
      <sheetName val="Q - Rede de Esgoto"/>
      <sheetName val="Q - Rede de distribuição"/>
      <sheetName val="C_268-001"/>
      <sheetName val="C_268-004"/>
      <sheetName val="C_2682-005"/>
      <sheetName val="C_268-008"/>
      <sheetName val="C_268-010"/>
      <sheetName val="C_268-013"/>
      <sheetName val="C_268-014"/>
      <sheetName val="C_268-015"/>
      <sheetName val="C_268_016"/>
      <sheetName val="C_268_017"/>
      <sheetName val="C_268_018"/>
      <sheetName val="C_268_019"/>
      <sheetName val="C_268_020"/>
      <sheetName val="C_268_021"/>
      <sheetName val="C_268-022"/>
      <sheetName val="C_268_023"/>
      <sheetName val="C_268-024"/>
      <sheetName val="C_268-025"/>
      <sheetName val="C_268-026"/>
      <sheetName val="C_268-027"/>
      <sheetName val="C_268-028"/>
      <sheetName val="C_268-029"/>
      <sheetName val="C_268-030"/>
      <sheetName val="C_268-031"/>
      <sheetName val="C_268-032"/>
      <sheetName val="C_268-033"/>
      <sheetName val="C_268-034"/>
      <sheetName val="C_268-035"/>
      <sheetName val="C_268-036"/>
      <sheetName val="C_268-037"/>
      <sheetName val="C_268-038"/>
      <sheetName val="E-001"/>
      <sheetName val="E-002"/>
      <sheetName val="E-003"/>
      <sheetName val="E-004"/>
      <sheetName val="E-005"/>
      <sheetName val="E-006"/>
      <sheetName val="E-007"/>
      <sheetName val="E-008"/>
      <sheetName val="E-009"/>
      <sheetName val="E-010"/>
      <sheetName val="E-011"/>
      <sheetName val="E-012"/>
      <sheetName val="E-013"/>
      <sheetName val="E-014"/>
      <sheetName val="E-015"/>
      <sheetName val="E-016"/>
      <sheetName val="E-017"/>
      <sheetName val="E-018"/>
      <sheetName val="E-019"/>
      <sheetName val="E-020"/>
      <sheetName val="E-021"/>
      <sheetName val="E-022"/>
      <sheetName val="E-023"/>
      <sheetName val="E-024"/>
      <sheetName val="E-025"/>
      <sheetName val="E-026"/>
      <sheetName val="E-027"/>
      <sheetName val="E-028"/>
      <sheetName val="E-029"/>
      <sheetName val="E-030"/>
      <sheetName val="E-031"/>
      <sheetName val="E-032"/>
      <sheetName val="E-033"/>
      <sheetName val="E-034"/>
      <sheetName val="E-035"/>
      <sheetName val="E-036"/>
      <sheetName val="E-037"/>
      <sheetName val="E-038"/>
      <sheetName val="E-039"/>
      <sheetName val="E-040"/>
      <sheetName val="Resumo das Cotações - H "/>
      <sheetName val="Resumo das Cotações - E"/>
      <sheetName val="BDI Com"/>
      <sheetName val="BDI Sem"/>
      <sheetName val="Resumo das Composições - E"/>
      <sheetName val="C_268-002"/>
      <sheetName val="C_268-003"/>
      <sheetName val="C_268-009"/>
      <sheetName val="C_268-011"/>
      <sheetName val="C_268-012"/>
      <sheetName val="ALCH-06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>
        <row r="17">
          <cell r="H17">
            <v>6.66</v>
          </cell>
        </row>
      </sheetData>
      <sheetData sheetId="123"/>
      <sheetData sheetId="124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>
        <row r="44">
          <cell r="C44">
            <v>27.58</v>
          </cell>
        </row>
      </sheetData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2:O56"/>
  <sheetViews>
    <sheetView showGridLines="0" showZeros="0" tabSelected="1" zoomScaleNormal="100" zoomScaleSheetLayoutView="100" workbookViewId="0">
      <selection activeCell="C27" sqref="C27:G27"/>
    </sheetView>
  </sheetViews>
  <sheetFormatPr defaultColWidth="9.140625" defaultRowHeight="15.75"/>
  <cols>
    <col min="1" max="1" width="3.7109375" style="46" customWidth="1"/>
    <col min="2" max="2" width="8.7109375" style="79" customWidth="1"/>
    <col min="3" max="3" width="43.7109375" style="80" customWidth="1"/>
    <col min="4" max="5" width="9.85546875" style="80" customWidth="1"/>
    <col min="6" max="6" width="7.140625" style="81" customWidth="1"/>
    <col min="7" max="7" width="10.5703125" style="82" customWidth="1"/>
    <col min="8" max="8" width="12.7109375" style="81" customWidth="1"/>
    <col min="9" max="9" width="9.140625" style="81" customWidth="1"/>
    <col min="10" max="10" width="12.7109375" style="81" customWidth="1"/>
    <col min="11" max="11" width="15.85546875" style="81" customWidth="1"/>
    <col min="12" max="12" width="10.5703125" style="46" bestFit="1" customWidth="1"/>
    <col min="13" max="13" width="18.28515625" style="46" bestFit="1" customWidth="1"/>
    <col min="14" max="14" width="9.140625" style="46"/>
    <col min="15" max="15" width="15.5703125" style="46" bestFit="1" customWidth="1"/>
    <col min="16" max="16384" width="9.140625" style="46"/>
  </cols>
  <sheetData>
    <row r="2" spans="1:14" s="47" customFormat="1" ht="18" customHeight="1">
      <c r="A2" s="1"/>
      <c r="B2" s="741" t="s">
        <v>46</v>
      </c>
      <c r="C2" s="742" t="s">
        <v>47</v>
      </c>
      <c r="D2" s="743"/>
      <c r="E2" s="743"/>
      <c r="F2" s="743"/>
      <c r="G2" s="744"/>
      <c r="H2" s="745" t="s">
        <v>48</v>
      </c>
      <c r="I2" s="746"/>
      <c r="J2" s="746"/>
      <c r="K2" s="747"/>
    </row>
    <row r="3" spans="1:14" s="47" customFormat="1" ht="18" customHeight="1">
      <c r="A3" s="1"/>
      <c r="B3" s="721"/>
      <c r="C3" s="748" t="s">
        <v>49</v>
      </c>
      <c r="D3" s="749"/>
      <c r="E3" s="749"/>
      <c r="F3" s="749"/>
      <c r="G3" s="750"/>
      <c r="H3" s="726" t="s">
        <v>50</v>
      </c>
      <c r="I3" s="727"/>
      <c r="J3" s="727"/>
      <c r="K3" s="562" t="s">
        <v>907</v>
      </c>
    </row>
    <row r="4" spans="1:14" s="47" customFormat="1" ht="18" customHeight="1">
      <c r="A4" s="1"/>
      <c r="B4" s="721" t="s">
        <v>30</v>
      </c>
      <c r="C4" s="723" t="s">
        <v>901</v>
      </c>
      <c r="D4" s="724"/>
      <c r="E4" s="724"/>
      <c r="F4" s="724"/>
      <c r="G4" s="725"/>
      <c r="H4" s="726" t="s">
        <v>51</v>
      </c>
      <c r="I4" s="727"/>
      <c r="J4" s="727"/>
      <c r="K4" s="562" t="s">
        <v>908</v>
      </c>
    </row>
    <row r="5" spans="1:14" s="47" customFormat="1" ht="18" customHeight="1">
      <c r="A5" s="1"/>
      <c r="B5" s="721"/>
      <c r="C5" s="723" t="s">
        <v>122</v>
      </c>
      <c r="D5" s="728"/>
      <c r="E5" s="728"/>
      <c r="F5" s="728"/>
      <c r="G5" s="729"/>
      <c r="H5" s="730" t="s">
        <v>65</v>
      </c>
      <c r="I5" s="731"/>
      <c r="J5" s="731"/>
      <c r="K5" s="732"/>
      <c r="N5" s="696"/>
    </row>
    <row r="6" spans="1:14" s="47" customFormat="1" ht="18" customHeight="1">
      <c r="A6" s="1"/>
      <c r="B6" s="721"/>
      <c r="C6" s="733" t="s">
        <v>44</v>
      </c>
      <c r="D6" s="734"/>
      <c r="E6" s="734"/>
      <c r="F6" s="734"/>
      <c r="G6" s="735"/>
      <c r="H6" s="726" t="s">
        <v>52</v>
      </c>
      <c r="I6" s="727"/>
      <c r="J6" s="727"/>
      <c r="K6" s="563">
        <v>0.26979999999999998</v>
      </c>
    </row>
    <row r="7" spans="1:14" s="47" customFormat="1" ht="18" customHeight="1">
      <c r="A7" s="1"/>
      <c r="B7" s="722"/>
      <c r="C7" s="736"/>
      <c r="D7" s="737"/>
      <c r="E7" s="737"/>
      <c r="F7" s="737"/>
      <c r="G7" s="738"/>
      <c r="H7" s="739" t="s">
        <v>53</v>
      </c>
      <c r="I7" s="740"/>
      <c r="J7" s="740"/>
      <c r="K7" s="564">
        <v>0.16800000000000001</v>
      </c>
    </row>
    <row r="8" spans="1:14" s="47" customFormat="1" ht="47.25" customHeight="1">
      <c r="A8" s="1"/>
      <c r="B8" s="592" t="s">
        <v>25</v>
      </c>
      <c r="C8" s="718" t="s">
        <v>31</v>
      </c>
      <c r="D8" s="719"/>
      <c r="E8" s="719"/>
      <c r="F8" s="719"/>
      <c r="G8" s="720"/>
      <c r="H8" s="718" t="s">
        <v>33</v>
      </c>
      <c r="I8" s="719"/>
      <c r="J8" s="719"/>
      <c r="K8" s="720"/>
    </row>
    <row r="9" spans="1:14" s="52" customFormat="1">
      <c r="A9" s="47"/>
      <c r="B9" s="48"/>
      <c r="C9" s="751"/>
      <c r="D9" s="752"/>
      <c r="E9" s="752"/>
      <c r="F9" s="752"/>
      <c r="G9" s="753"/>
      <c r="H9" s="751"/>
      <c r="I9" s="752"/>
      <c r="J9" s="752"/>
      <c r="K9" s="753"/>
      <c r="L9" s="139"/>
      <c r="M9" s="139"/>
    </row>
    <row r="10" spans="1:14" s="52" customFormat="1">
      <c r="A10" s="47"/>
      <c r="B10" s="766">
        <v>1</v>
      </c>
      <c r="C10" s="709" t="str">
        <f>'OS-Reservatório'!$C$6</f>
        <v>RESERVATÓRIO METÁLICO</v>
      </c>
      <c r="D10" s="710"/>
      <c r="E10" s="710"/>
      <c r="F10" s="710"/>
      <c r="G10" s="711"/>
      <c r="H10" s="705"/>
      <c r="I10" s="706"/>
      <c r="J10" s="706"/>
      <c r="K10" s="707"/>
      <c r="L10" s="139"/>
      <c r="M10" s="139"/>
    </row>
    <row r="11" spans="1:14" s="52" customFormat="1">
      <c r="A11" s="47"/>
      <c r="B11" s="766"/>
      <c r="C11" s="712" t="str">
        <f>'OS-Reservatório'!$C$7</f>
        <v>OBRAS CIVIS E SERVIÇOS</v>
      </c>
      <c r="D11" s="713"/>
      <c r="E11" s="713"/>
      <c r="F11" s="713"/>
      <c r="G11" s="714"/>
      <c r="H11" s="715">
        <f>'OS-Reservatório'!$K$14</f>
        <v>26188.7</v>
      </c>
      <c r="I11" s="716"/>
      <c r="J11" s="716"/>
      <c r="K11" s="717"/>
      <c r="L11" s="140" t="s">
        <v>45</v>
      </c>
      <c r="M11" s="139"/>
    </row>
    <row r="12" spans="1:14" s="52" customFormat="1">
      <c r="A12" s="47"/>
      <c r="B12" s="135"/>
      <c r="C12" s="702"/>
      <c r="D12" s="703"/>
      <c r="E12" s="703"/>
      <c r="F12" s="703"/>
      <c r="G12" s="704"/>
      <c r="H12" s="705"/>
      <c r="I12" s="706"/>
      <c r="J12" s="706"/>
      <c r="K12" s="707"/>
      <c r="L12" s="139"/>
      <c r="M12" s="139"/>
    </row>
    <row r="13" spans="1:14" s="52" customFormat="1">
      <c r="A13" s="47"/>
      <c r="B13" s="708">
        <f>B10+1</f>
        <v>2</v>
      </c>
      <c r="C13" s="709" t="str">
        <f>'ME-Reservatório'!$C$6</f>
        <v>RESERVATÓRIO METÁLICO</v>
      </c>
      <c r="D13" s="710"/>
      <c r="E13" s="710"/>
      <c r="F13" s="710"/>
      <c r="G13" s="711"/>
      <c r="H13" s="705"/>
      <c r="I13" s="706"/>
      <c r="J13" s="706"/>
      <c r="K13" s="707"/>
      <c r="L13" s="139"/>
      <c r="M13" s="139"/>
    </row>
    <row r="14" spans="1:14" s="52" customFormat="1">
      <c r="A14" s="47"/>
      <c r="B14" s="708"/>
      <c r="C14" s="712" t="str">
        <f>'ME-Reservatório'!$C$7</f>
        <v>MATERIAIS E EQUIPAMENTOS</v>
      </c>
      <c r="D14" s="713"/>
      <c r="E14" s="713"/>
      <c r="F14" s="713"/>
      <c r="G14" s="714"/>
      <c r="H14" s="715">
        <f>'ME-Reservatório'!$K$14</f>
        <v>2563225</v>
      </c>
      <c r="I14" s="716"/>
      <c r="J14" s="716"/>
      <c r="K14" s="717"/>
      <c r="L14" s="140" t="s">
        <v>45</v>
      </c>
      <c r="M14" s="139"/>
    </row>
    <row r="15" spans="1:14" s="52" customFormat="1">
      <c r="A15" s="47"/>
      <c r="B15" s="135"/>
      <c r="C15" s="702"/>
      <c r="D15" s="703"/>
      <c r="E15" s="703"/>
      <c r="F15" s="703"/>
      <c r="G15" s="704"/>
      <c r="H15" s="705"/>
      <c r="I15" s="706"/>
      <c r="J15" s="706"/>
      <c r="K15" s="707"/>
      <c r="L15" s="139"/>
      <c r="M15" s="139"/>
    </row>
    <row r="16" spans="1:14" s="52" customFormat="1">
      <c r="A16" s="47"/>
      <c r="B16" s="708">
        <f>B13+1</f>
        <v>3</v>
      </c>
      <c r="C16" s="709" t="str">
        <f>'OS-Entrada'!$C$6</f>
        <v>INTERLIGAÇÃO DE ENTRADA DO RESERVATÓRIO</v>
      </c>
      <c r="D16" s="710"/>
      <c r="E16" s="710"/>
      <c r="F16" s="710"/>
      <c r="G16" s="711"/>
      <c r="H16" s="705"/>
      <c r="I16" s="706"/>
      <c r="J16" s="706"/>
      <c r="K16" s="707"/>
      <c r="L16" s="139"/>
      <c r="M16" s="139"/>
    </row>
    <row r="17" spans="1:13" s="52" customFormat="1">
      <c r="A17" s="47"/>
      <c r="B17" s="708"/>
      <c r="C17" s="712" t="str">
        <f>'OS-Entrada'!$C$7</f>
        <v>OBRAS CIVIS E SERVIÇOS</v>
      </c>
      <c r="D17" s="713"/>
      <c r="E17" s="713"/>
      <c r="F17" s="713"/>
      <c r="G17" s="714"/>
      <c r="H17" s="715">
        <f>'OS-Entrada'!$K$22</f>
        <v>66329.540000000008</v>
      </c>
      <c r="I17" s="716"/>
      <c r="J17" s="716"/>
      <c r="K17" s="717"/>
      <c r="L17" s="140" t="s">
        <v>45</v>
      </c>
      <c r="M17" s="139"/>
    </row>
    <row r="18" spans="1:13" s="52" customFormat="1">
      <c r="A18" s="47"/>
      <c r="B18" s="135"/>
      <c r="C18" s="702"/>
      <c r="D18" s="703"/>
      <c r="E18" s="703"/>
      <c r="F18" s="703"/>
      <c r="G18" s="704"/>
      <c r="H18" s="705"/>
      <c r="I18" s="706"/>
      <c r="J18" s="706"/>
      <c r="K18" s="707"/>
      <c r="L18" s="139"/>
      <c r="M18" s="139"/>
    </row>
    <row r="19" spans="1:13" s="52" customFormat="1">
      <c r="A19" s="47"/>
      <c r="B19" s="708">
        <f>B16+1</f>
        <v>4</v>
      </c>
      <c r="C19" s="709" t="str">
        <f>'ME-Entrada'!$C$6</f>
        <v>INTERLIGAÇÃO DE ENTRADA DO RESERVATÓRIO</v>
      </c>
      <c r="D19" s="710"/>
      <c r="E19" s="710"/>
      <c r="F19" s="710"/>
      <c r="G19" s="711"/>
      <c r="H19" s="705"/>
      <c r="I19" s="706"/>
      <c r="J19" s="706"/>
      <c r="K19" s="707"/>
      <c r="L19" s="139"/>
      <c r="M19" s="139"/>
    </row>
    <row r="20" spans="1:13" s="52" customFormat="1">
      <c r="A20" s="47"/>
      <c r="B20" s="708"/>
      <c r="C20" s="712" t="str">
        <f>'ME-Entrada'!$C$7</f>
        <v>MATERIAIS E EQUIPAMENTOS</v>
      </c>
      <c r="D20" s="713"/>
      <c r="E20" s="713"/>
      <c r="F20" s="713"/>
      <c r="G20" s="714"/>
      <c r="H20" s="715">
        <f>'ME-Entrada'!$K$12</f>
        <v>305332.56</v>
      </c>
      <c r="I20" s="716"/>
      <c r="J20" s="716"/>
      <c r="K20" s="717"/>
      <c r="L20" s="140" t="s">
        <v>45</v>
      </c>
      <c r="M20" s="139"/>
    </row>
    <row r="21" spans="1:13" s="52" customFormat="1">
      <c r="A21" s="47"/>
      <c r="B21" s="135"/>
      <c r="C21" s="702"/>
      <c r="D21" s="703"/>
      <c r="E21" s="703"/>
      <c r="F21" s="703"/>
      <c r="G21" s="704"/>
      <c r="H21" s="705"/>
      <c r="I21" s="706"/>
      <c r="J21" s="706"/>
      <c r="K21" s="707"/>
      <c r="L21" s="139"/>
      <c r="M21" s="139"/>
    </row>
    <row r="22" spans="1:13" s="52" customFormat="1">
      <c r="A22" s="47"/>
      <c r="B22" s="708">
        <f>B19+1</f>
        <v>5</v>
      </c>
      <c r="C22" s="709" t="str">
        <f>'OS-Extravasor'!$C$6</f>
        <v>INTERLIGAÇÃO DO EXTRAVASOR E DESCARGA</v>
      </c>
      <c r="D22" s="710"/>
      <c r="E22" s="710"/>
      <c r="F22" s="710"/>
      <c r="G22" s="711"/>
      <c r="H22" s="705"/>
      <c r="I22" s="706"/>
      <c r="J22" s="706"/>
      <c r="K22" s="707"/>
      <c r="L22" s="139"/>
      <c r="M22" s="139"/>
    </row>
    <row r="23" spans="1:13" s="52" customFormat="1">
      <c r="A23" s="47"/>
      <c r="B23" s="708"/>
      <c r="C23" s="712" t="str">
        <f>'OS-Extravasor'!$C$7</f>
        <v>OBRAS CIVIS E SERVIÇOS</v>
      </c>
      <c r="D23" s="713"/>
      <c r="E23" s="713"/>
      <c r="F23" s="713"/>
      <c r="G23" s="714"/>
      <c r="H23" s="715">
        <f>'OS-Extravasor'!$K$24</f>
        <v>34944.769999999997</v>
      </c>
      <c r="I23" s="716"/>
      <c r="J23" s="716"/>
      <c r="K23" s="717"/>
      <c r="L23" s="140" t="s">
        <v>45</v>
      </c>
      <c r="M23" s="139"/>
    </row>
    <row r="24" spans="1:13" s="52" customFormat="1">
      <c r="A24" s="47"/>
      <c r="B24" s="135"/>
      <c r="C24" s="702"/>
      <c r="D24" s="703"/>
      <c r="E24" s="703"/>
      <c r="F24" s="703"/>
      <c r="G24" s="704"/>
      <c r="H24" s="705"/>
      <c r="I24" s="706"/>
      <c r="J24" s="706"/>
      <c r="K24" s="707"/>
      <c r="L24" s="139"/>
      <c r="M24" s="139"/>
    </row>
    <row r="25" spans="1:13" s="52" customFormat="1">
      <c r="A25" s="47"/>
      <c r="B25" s="708">
        <f>B22+1</f>
        <v>6</v>
      </c>
      <c r="C25" s="709" t="str">
        <f>'ME-Extravasor'!$C$6</f>
        <v>INTERLIGAÇÃO DO EXTRAVASOR E DESCARGA</v>
      </c>
      <c r="D25" s="710"/>
      <c r="E25" s="710"/>
      <c r="F25" s="710"/>
      <c r="G25" s="711"/>
      <c r="H25" s="705"/>
      <c r="I25" s="706"/>
      <c r="J25" s="706"/>
      <c r="K25" s="707"/>
      <c r="L25" s="139"/>
      <c r="M25" s="139"/>
    </row>
    <row r="26" spans="1:13" s="52" customFormat="1">
      <c r="A26" s="47"/>
      <c r="B26" s="708"/>
      <c r="C26" s="712" t="str">
        <f>'ME-Extravasor'!$C$7</f>
        <v>MATERIAIS E EQUIPAMENTOS</v>
      </c>
      <c r="D26" s="713"/>
      <c r="E26" s="713"/>
      <c r="F26" s="713"/>
      <c r="G26" s="714"/>
      <c r="H26" s="715">
        <f>'ME-Extravasor'!$K$12</f>
        <v>131077.08999999997</v>
      </c>
      <c r="I26" s="716"/>
      <c r="J26" s="716"/>
      <c r="K26" s="717"/>
      <c r="L26" s="140" t="s">
        <v>45</v>
      </c>
      <c r="M26" s="139"/>
    </row>
    <row r="27" spans="1:13" s="52" customFormat="1">
      <c r="A27" s="47"/>
      <c r="B27" s="135"/>
      <c r="C27" s="702"/>
      <c r="D27" s="703"/>
      <c r="E27" s="703"/>
      <c r="F27" s="703"/>
      <c r="G27" s="704"/>
      <c r="H27" s="705"/>
      <c r="I27" s="706"/>
      <c r="J27" s="706"/>
      <c r="K27" s="707"/>
      <c r="L27" s="139"/>
      <c r="M27" s="139"/>
    </row>
    <row r="28" spans="1:13" s="52" customFormat="1">
      <c r="A28" s="47"/>
      <c r="B28" s="708">
        <f>B25+1</f>
        <v>7</v>
      </c>
      <c r="C28" s="709" t="str">
        <f>'OS-Saída'!$C$6</f>
        <v>INTERLIGAÇÃO DE SAÍDA DO RESERVATÓRIO</v>
      </c>
      <c r="D28" s="710"/>
      <c r="E28" s="710"/>
      <c r="F28" s="710"/>
      <c r="G28" s="711"/>
      <c r="H28" s="705"/>
      <c r="I28" s="706"/>
      <c r="J28" s="706"/>
      <c r="K28" s="707"/>
      <c r="L28" s="139"/>
      <c r="M28" s="139"/>
    </row>
    <row r="29" spans="1:13" s="52" customFormat="1">
      <c r="A29" s="47"/>
      <c r="B29" s="708"/>
      <c r="C29" s="712" t="str">
        <f>'OS-Saída'!$C$7</f>
        <v>OBRAS CIVIS E SERVIÇOS</v>
      </c>
      <c r="D29" s="713"/>
      <c r="E29" s="713"/>
      <c r="F29" s="713"/>
      <c r="G29" s="714"/>
      <c r="H29" s="715">
        <f>'OS-Saída'!$K$24</f>
        <v>32714.99</v>
      </c>
      <c r="I29" s="716"/>
      <c r="J29" s="716"/>
      <c r="K29" s="717"/>
      <c r="L29" s="140" t="s">
        <v>45</v>
      </c>
      <c r="M29" s="139"/>
    </row>
    <row r="30" spans="1:13" s="52" customFormat="1">
      <c r="A30" s="47"/>
      <c r="B30" s="135"/>
      <c r="C30" s="702"/>
      <c r="D30" s="703"/>
      <c r="E30" s="703"/>
      <c r="F30" s="703"/>
      <c r="G30" s="704"/>
      <c r="H30" s="705"/>
      <c r="I30" s="706"/>
      <c r="J30" s="706"/>
      <c r="K30" s="707"/>
      <c r="L30" s="139"/>
      <c r="M30" s="139"/>
    </row>
    <row r="31" spans="1:13" s="52" customFormat="1">
      <c r="A31" s="47"/>
      <c r="B31" s="708">
        <f>B28+1</f>
        <v>8</v>
      </c>
      <c r="C31" s="709" t="str">
        <f>'ME-Saída'!$C$6</f>
        <v>INTERLIGAÇÃO DE SAÍDA DO RESERVATÓRIO</v>
      </c>
      <c r="D31" s="710"/>
      <c r="E31" s="710"/>
      <c r="F31" s="710"/>
      <c r="G31" s="711"/>
      <c r="H31" s="705"/>
      <c r="I31" s="706"/>
      <c r="J31" s="706"/>
      <c r="K31" s="707"/>
      <c r="L31" s="139"/>
      <c r="M31" s="139"/>
    </row>
    <row r="32" spans="1:13" s="52" customFormat="1">
      <c r="A32" s="47"/>
      <c r="B32" s="708"/>
      <c r="C32" s="712" t="str">
        <f>'ME-Saída'!$C$7</f>
        <v>MATERIAIS E EQUIPAMENTOS</v>
      </c>
      <c r="D32" s="713"/>
      <c r="E32" s="713"/>
      <c r="F32" s="713"/>
      <c r="G32" s="714"/>
      <c r="H32" s="715">
        <f>'ME-Saída'!$K$12</f>
        <v>244873.85</v>
      </c>
      <c r="I32" s="716"/>
      <c r="J32" s="716"/>
      <c r="K32" s="717"/>
      <c r="L32" s="140" t="s">
        <v>45</v>
      </c>
      <c r="M32" s="139"/>
    </row>
    <row r="33" spans="1:15" s="52" customFormat="1">
      <c r="A33" s="47"/>
      <c r="B33" s="135"/>
      <c r="C33" s="702"/>
      <c r="D33" s="703"/>
      <c r="E33" s="703"/>
      <c r="F33" s="703"/>
      <c r="G33" s="704"/>
      <c r="H33" s="705"/>
      <c r="I33" s="706"/>
      <c r="J33" s="706"/>
      <c r="K33" s="707"/>
      <c r="L33" s="139"/>
      <c r="M33" s="139"/>
    </row>
    <row r="34" spans="1:15" s="52" customFormat="1">
      <c r="A34" s="47"/>
      <c r="B34" s="708">
        <f>B31+1</f>
        <v>9</v>
      </c>
      <c r="C34" s="709" t="str">
        <f>'OS-Respiro'!$C$6</f>
        <v>RESPIRO</v>
      </c>
      <c r="D34" s="710"/>
      <c r="E34" s="710"/>
      <c r="F34" s="710"/>
      <c r="G34" s="711"/>
      <c r="H34" s="705"/>
      <c r="I34" s="706"/>
      <c r="J34" s="706"/>
      <c r="K34" s="707"/>
      <c r="L34" s="139"/>
      <c r="M34" s="139"/>
    </row>
    <row r="35" spans="1:15" s="52" customFormat="1">
      <c r="A35" s="47"/>
      <c r="B35" s="708"/>
      <c r="C35" s="712" t="str">
        <f>'OS-Respiro'!$C$7</f>
        <v>OBRAS CIVIS E SERVIÇOS</v>
      </c>
      <c r="D35" s="713"/>
      <c r="E35" s="713"/>
      <c r="F35" s="713"/>
      <c r="G35" s="714"/>
      <c r="H35" s="715">
        <f>'OS-Respiro'!$K$12</f>
        <v>1734.3899999999999</v>
      </c>
      <c r="I35" s="716"/>
      <c r="J35" s="716"/>
      <c r="K35" s="717"/>
      <c r="L35" s="140" t="s">
        <v>45</v>
      </c>
      <c r="M35" s="139"/>
    </row>
    <row r="36" spans="1:15" s="52" customFormat="1">
      <c r="A36" s="47"/>
      <c r="B36" s="135"/>
      <c r="C36" s="702"/>
      <c r="D36" s="703"/>
      <c r="E36" s="703"/>
      <c r="F36" s="703"/>
      <c r="G36" s="704"/>
      <c r="H36" s="705"/>
      <c r="I36" s="706"/>
      <c r="J36" s="706"/>
      <c r="K36" s="707"/>
      <c r="L36" s="139"/>
      <c r="M36" s="139"/>
    </row>
    <row r="37" spans="1:15" s="52" customFormat="1">
      <c r="A37" s="47"/>
      <c r="B37" s="708">
        <f>B34+1</f>
        <v>10</v>
      </c>
      <c r="C37" s="709" t="str">
        <f>'ME-Respiro'!$C$6</f>
        <v>RESPIRO</v>
      </c>
      <c r="D37" s="710"/>
      <c r="E37" s="710"/>
      <c r="F37" s="710"/>
      <c r="G37" s="711"/>
      <c r="H37" s="705"/>
      <c r="I37" s="706"/>
      <c r="J37" s="706"/>
      <c r="K37" s="707"/>
      <c r="L37" s="139"/>
      <c r="M37" s="139"/>
    </row>
    <row r="38" spans="1:15" s="52" customFormat="1">
      <c r="A38" s="47"/>
      <c r="B38" s="708"/>
      <c r="C38" s="712" t="str">
        <f>'ME-Respiro'!$C$7</f>
        <v>MATERIAIS E EQUIPAMENTOS</v>
      </c>
      <c r="D38" s="713"/>
      <c r="E38" s="713"/>
      <c r="F38" s="713"/>
      <c r="G38" s="714"/>
      <c r="H38" s="715">
        <f>'ME-Respiro'!$K$12</f>
        <v>23335.760000000002</v>
      </c>
      <c r="I38" s="716"/>
      <c r="J38" s="716"/>
      <c r="K38" s="717"/>
      <c r="L38" s="140" t="s">
        <v>45</v>
      </c>
      <c r="M38" s="139"/>
    </row>
    <row r="39" spans="1:15" s="52" customFormat="1">
      <c r="A39" s="47"/>
      <c r="B39" s="135"/>
      <c r="C39" s="702"/>
      <c r="D39" s="703"/>
      <c r="E39" s="703"/>
      <c r="F39" s="703"/>
      <c r="G39" s="704"/>
      <c r="H39" s="705"/>
      <c r="I39" s="706"/>
      <c r="J39" s="706"/>
      <c r="K39" s="707"/>
      <c r="L39" s="139"/>
      <c r="M39" s="139"/>
    </row>
    <row r="40" spans="1:15" s="52" customFormat="1">
      <c r="A40" s="47"/>
      <c r="B40" s="708">
        <f>B37+1</f>
        <v>11</v>
      </c>
      <c r="C40" s="709" t="str">
        <f>'OS-Canteiro'!$C$6</f>
        <v>CANTEIRO DE OBRAS</v>
      </c>
      <c r="D40" s="710"/>
      <c r="E40" s="710"/>
      <c r="F40" s="710"/>
      <c r="G40" s="711"/>
      <c r="H40" s="705"/>
      <c r="I40" s="706"/>
      <c r="J40" s="706"/>
      <c r="K40" s="707"/>
      <c r="L40" s="139"/>
      <c r="M40" s="139"/>
    </row>
    <row r="41" spans="1:15" s="52" customFormat="1">
      <c r="A41" s="47"/>
      <c r="B41" s="708"/>
      <c r="C41" s="712" t="str">
        <f>'OS-Canteiro'!$C$7</f>
        <v>OBRAS CIVIS E SERVIÇOS</v>
      </c>
      <c r="D41" s="713"/>
      <c r="E41" s="713"/>
      <c r="F41" s="713"/>
      <c r="G41" s="714"/>
      <c r="H41" s="715">
        <f>'OS-Canteiro'!$K$14</f>
        <v>91515.829999999987</v>
      </c>
      <c r="I41" s="716"/>
      <c r="J41" s="716"/>
      <c r="K41" s="717"/>
      <c r="L41" s="140" t="s">
        <v>45</v>
      </c>
      <c r="M41" s="213">
        <f>H43*0.025</f>
        <v>88031.81200000002</v>
      </c>
    </row>
    <row r="42" spans="1:15" s="52" customFormat="1">
      <c r="A42" s="47"/>
      <c r="B42" s="135"/>
      <c r="C42" s="702"/>
      <c r="D42" s="703"/>
      <c r="E42" s="703"/>
      <c r="F42" s="703"/>
      <c r="G42" s="704"/>
      <c r="H42" s="705"/>
      <c r="I42" s="706"/>
      <c r="J42" s="706"/>
      <c r="K42" s="707"/>
      <c r="L42" s="139"/>
      <c r="M42" s="139"/>
    </row>
    <row r="43" spans="1:15" s="52" customFormat="1">
      <c r="A43" s="47"/>
      <c r="B43" s="136"/>
      <c r="C43" s="754" t="s">
        <v>34</v>
      </c>
      <c r="D43" s="755"/>
      <c r="E43" s="755"/>
      <c r="F43" s="755"/>
      <c r="G43" s="756"/>
      <c r="H43" s="757">
        <f>SUM(H9:K42)</f>
        <v>3521272.4800000004</v>
      </c>
      <c r="I43" s="758"/>
      <c r="J43" s="758"/>
      <c r="K43" s="759"/>
      <c r="L43" s="56"/>
      <c r="M43" s="666">
        <v>2969450.7499999995</v>
      </c>
      <c r="N43" s="667" t="s">
        <v>781</v>
      </c>
      <c r="O43" s="666">
        <f>H43-M43</f>
        <v>551821.73000000091</v>
      </c>
    </row>
    <row r="44" spans="1:15" s="52" customFormat="1">
      <c r="A44" s="47"/>
      <c r="B44" s="112"/>
      <c r="C44" s="760"/>
      <c r="D44" s="761"/>
      <c r="E44" s="761"/>
      <c r="F44" s="761"/>
      <c r="G44" s="762"/>
      <c r="H44" s="763"/>
      <c r="I44" s="764"/>
      <c r="J44" s="764"/>
      <c r="K44" s="765"/>
    </row>
    <row r="53" spans="11:11">
      <c r="K53" s="170"/>
    </row>
    <row r="54" spans="11:11">
      <c r="K54" s="170"/>
    </row>
    <row r="56" spans="11:11">
      <c r="K56" s="46"/>
    </row>
  </sheetData>
  <mergeCells count="98">
    <mergeCell ref="C15:G15"/>
    <mergeCell ref="H15:K15"/>
    <mergeCell ref="C12:G12"/>
    <mergeCell ref="H12:K12"/>
    <mergeCell ref="B13:B14"/>
    <mergeCell ref="C13:G13"/>
    <mergeCell ref="H13:K13"/>
    <mergeCell ref="C14:G14"/>
    <mergeCell ref="H14:K14"/>
    <mergeCell ref="B10:B11"/>
    <mergeCell ref="C10:G10"/>
    <mergeCell ref="H10:K10"/>
    <mergeCell ref="C11:G11"/>
    <mergeCell ref="H11:K11"/>
    <mergeCell ref="C9:G9"/>
    <mergeCell ref="C43:G43"/>
    <mergeCell ref="H43:K43"/>
    <mergeCell ref="C44:G44"/>
    <mergeCell ref="H44:K44"/>
    <mergeCell ref="C42:G42"/>
    <mergeCell ref="H42:K42"/>
    <mergeCell ref="C18:G18"/>
    <mergeCell ref="H18:K18"/>
    <mergeCell ref="H9:K9"/>
    <mergeCell ref="C21:G21"/>
    <mergeCell ref="H21:K21"/>
    <mergeCell ref="C24:G24"/>
    <mergeCell ref="H24:K24"/>
    <mergeCell ref="C27:G27"/>
    <mergeCell ref="H27:K27"/>
    <mergeCell ref="B16:B17"/>
    <mergeCell ref="C16:G16"/>
    <mergeCell ref="H16:K16"/>
    <mergeCell ref="C17:G17"/>
    <mergeCell ref="H17:K17"/>
    <mergeCell ref="B40:B41"/>
    <mergeCell ref="C40:G40"/>
    <mergeCell ref="H40:K40"/>
    <mergeCell ref="C41:G41"/>
    <mergeCell ref="H41:K41"/>
    <mergeCell ref="B2:B3"/>
    <mergeCell ref="C2:G2"/>
    <mergeCell ref="H2:K2"/>
    <mergeCell ref="C3:G3"/>
    <mergeCell ref="H3:J3"/>
    <mergeCell ref="C8:G8"/>
    <mergeCell ref="H8:K8"/>
    <mergeCell ref="B4:B7"/>
    <mergeCell ref="C4:G4"/>
    <mergeCell ref="H4:J4"/>
    <mergeCell ref="C5:G5"/>
    <mergeCell ref="H5:K5"/>
    <mergeCell ref="C6:G7"/>
    <mergeCell ref="H6:J6"/>
    <mergeCell ref="H7:J7"/>
    <mergeCell ref="B19:B20"/>
    <mergeCell ref="C19:G19"/>
    <mergeCell ref="H19:K19"/>
    <mergeCell ref="C20:G20"/>
    <mergeCell ref="H20:K20"/>
    <mergeCell ref="B22:B23"/>
    <mergeCell ref="C22:G22"/>
    <mergeCell ref="H22:K22"/>
    <mergeCell ref="C23:G23"/>
    <mergeCell ref="H23:K23"/>
    <mergeCell ref="B25:B26"/>
    <mergeCell ref="C25:G25"/>
    <mergeCell ref="H25:K25"/>
    <mergeCell ref="C26:G26"/>
    <mergeCell ref="H26:K26"/>
    <mergeCell ref="B28:B29"/>
    <mergeCell ref="C28:G28"/>
    <mergeCell ref="H28:K28"/>
    <mergeCell ref="C29:G29"/>
    <mergeCell ref="H29:K29"/>
    <mergeCell ref="C30:G30"/>
    <mergeCell ref="H30:K30"/>
    <mergeCell ref="B31:B32"/>
    <mergeCell ref="C31:G31"/>
    <mergeCell ref="H31:K31"/>
    <mergeCell ref="C32:G32"/>
    <mergeCell ref="H32:K32"/>
    <mergeCell ref="C33:G33"/>
    <mergeCell ref="H33:K33"/>
    <mergeCell ref="B34:B35"/>
    <mergeCell ref="C34:G34"/>
    <mergeCell ref="H34:K34"/>
    <mergeCell ref="C35:G35"/>
    <mergeCell ref="H35:K35"/>
    <mergeCell ref="C39:G39"/>
    <mergeCell ref="H39:K39"/>
    <mergeCell ref="C36:G36"/>
    <mergeCell ref="H36:K36"/>
    <mergeCell ref="B37:B38"/>
    <mergeCell ref="C37:G37"/>
    <mergeCell ref="H37:K37"/>
    <mergeCell ref="C38:G38"/>
    <mergeCell ref="H38:K38"/>
  </mergeCells>
  <printOptions horizontalCentered="1"/>
  <pageMargins left="0.59055118110236227" right="0.51181102362204722" top="0.98425196850393704" bottom="0.78740157480314965" header="0.39370078740157483" footer="0.39370078740157483"/>
  <pageSetup paperSize="9" scale="65" firstPageNumber="3" orientation="portrait" useFirstPageNumber="1" r:id="rId1"/>
  <headerFooter scaleWithDoc="0">
    <oddHeader>&amp;L&amp;"Arial,Itálico"&amp;10Rev-1&amp;R&amp;G</oddHeader>
    <oddFooter>&amp;L&amp;"Arial,Negrito"&amp;10CTR 477F&amp;C&amp;"Arial,Negrito"&amp;10 2.&amp;P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2:Q35"/>
  <sheetViews>
    <sheetView showGridLines="0" showZeros="0" zoomScaleNormal="100" zoomScaleSheetLayoutView="100" workbookViewId="0">
      <selection activeCell="B4" sqref="B4:W5"/>
    </sheetView>
  </sheetViews>
  <sheetFormatPr defaultColWidth="9.140625" defaultRowHeight="15.75"/>
  <cols>
    <col min="1" max="1" width="3.7109375" style="46" customWidth="1"/>
    <col min="2" max="2" width="8.7109375" style="79" customWidth="1"/>
    <col min="3" max="3" width="43.7109375" style="80" customWidth="1"/>
    <col min="4" max="5" width="9.85546875" style="80" customWidth="1"/>
    <col min="6" max="6" width="7.140625" style="81" customWidth="1"/>
    <col min="7" max="7" width="10.5703125" style="82" customWidth="1"/>
    <col min="8" max="8" width="12.7109375" style="81" customWidth="1"/>
    <col min="9" max="9" width="9.140625" style="81" customWidth="1"/>
    <col min="10" max="10" width="12.7109375" style="81" customWidth="1"/>
    <col min="11" max="11" width="15.85546875" style="81" customWidth="1"/>
    <col min="12" max="12" width="10.5703125" style="46" bestFit="1" customWidth="1"/>
    <col min="13" max="13" width="10.42578125" style="46" bestFit="1" customWidth="1"/>
    <col min="14" max="14" width="10.140625" style="46" bestFit="1" customWidth="1"/>
    <col min="15" max="15" width="9.28515625" style="46" bestFit="1" customWidth="1"/>
    <col min="16" max="16384" width="9.140625" style="46"/>
  </cols>
  <sheetData>
    <row r="2" spans="1:17" s="47" customFormat="1" ht="18" customHeight="1">
      <c r="A2" s="1"/>
      <c r="B2" s="741" t="s">
        <v>46</v>
      </c>
      <c r="C2" s="742" t="s">
        <v>47</v>
      </c>
      <c r="D2" s="743"/>
      <c r="E2" s="743"/>
      <c r="F2" s="743"/>
      <c r="G2" s="744"/>
      <c r="H2" s="745" t="s">
        <v>48</v>
      </c>
      <c r="I2" s="746"/>
      <c r="J2" s="746"/>
      <c r="K2" s="747"/>
    </row>
    <row r="3" spans="1:17" s="47" customFormat="1" ht="18" customHeight="1">
      <c r="A3" s="1"/>
      <c r="B3" s="721"/>
      <c r="C3" s="748" t="s">
        <v>49</v>
      </c>
      <c r="D3" s="749"/>
      <c r="E3" s="749"/>
      <c r="F3" s="749"/>
      <c r="G3" s="750"/>
      <c r="H3" s="726" t="s">
        <v>50</v>
      </c>
      <c r="I3" s="727"/>
      <c r="J3" s="727"/>
      <c r="K3" s="562" t="s">
        <v>908</v>
      </c>
    </row>
    <row r="4" spans="1:17" s="47" customFormat="1" ht="18" customHeight="1">
      <c r="A4" s="1"/>
      <c r="B4" s="721" t="s">
        <v>30</v>
      </c>
      <c r="C4" s="723" t="s">
        <v>901</v>
      </c>
      <c r="D4" s="724"/>
      <c r="E4" s="724"/>
      <c r="F4" s="724"/>
      <c r="G4" s="725"/>
      <c r="H4" s="726" t="s">
        <v>51</v>
      </c>
      <c r="I4" s="727"/>
      <c r="J4" s="727"/>
      <c r="K4" s="562" t="s">
        <v>908</v>
      </c>
    </row>
    <row r="5" spans="1:17" s="47" customFormat="1" ht="18" customHeight="1">
      <c r="A5" s="1"/>
      <c r="B5" s="721"/>
      <c r="C5" s="723" t="s">
        <v>122</v>
      </c>
      <c r="D5" s="728"/>
      <c r="E5" s="728"/>
      <c r="F5" s="728"/>
      <c r="G5" s="729"/>
      <c r="H5" s="730" t="s">
        <v>65</v>
      </c>
      <c r="I5" s="731"/>
      <c r="J5" s="731"/>
      <c r="K5" s="732"/>
      <c r="Q5" s="173"/>
    </row>
    <row r="6" spans="1:17" s="47" customFormat="1" ht="18" customHeight="1">
      <c r="A6" s="1"/>
      <c r="B6" s="721"/>
      <c r="C6" s="733" t="s">
        <v>768</v>
      </c>
      <c r="D6" s="734"/>
      <c r="E6" s="734"/>
      <c r="F6" s="734"/>
      <c r="G6" s="735"/>
      <c r="H6" s="726" t="s">
        <v>52</v>
      </c>
      <c r="I6" s="727"/>
      <c r="J6" s="727"/>
      <c r="K6" s="563">
        <v>0.26979999999999998</v>
      </c>
      <c r="L6" s="47">
        <v>0</v>
      </c>
    </row>
    <row r="7" spans="1:17" s="47" customFormat="1" ht="18" customHeight="1">
      <c r="A7" s="1"/>
      <c r="B7" s="722"/>
      <c r="C7" s="767" t="s">
        <v>3</v>
      </c>
      <c r="D7" s="768"/>
      <c r="E7" s="768"/>
      <c r="F7" s="768"/>
      <c r="G7" s="769"/>
      <c r="H7" s="739" t="s">
        <v>53</v>
      </c>
      <c r="I7" s="740"/>
      <c r="J7" s="740"/>
      <c r="K7" s="564">
        <v>0.16800000000000001</v>
      </c>
      <c r="L7" s="47">
        <v>1.28</v>
      </c>
    </row>
    <row r="8" spans="1:17" s="47" customFormat="1" ht="47.25" customHeight="1">
      <c r="A8" s="1"/>
      <c r="B8" s="592" t="s">
        <v>25</v>
      </c>
      <c r="C8" s="565" t="s">
        <v>31</v>
      </c>
      <c r="D8" s="566" t="s">
        <v>26</v>
      </c>
      <c r="E8" s="566" t="s">
        <v>54</v>
      </c>
      <c r="F8" s="565" t="s">
        <v>28</v>
      </c>
      <c r="G8" s="567" t="s">
        <v>27</v>
      </c>
      <c r="H8" s="565" t="s">
        <v>55</v>
      </c>
      <c r="I8" s="565" t="s">
        <v>56</v>
      </c>
      <c r="J8" s="565" t="s">
        <v>32</v>
      </c>
      <c r="K8" s="565" t="s">
        <v>33</v>
      </c>
    </row>
    <row r="9" spans="1:17" s="52" customFormat="1">
      <c r="A9" s="47"/>
      <c r="B9" s="53"/>
      <c r="C9" s="83"/>
      <c r="D9" s="83"/>
      <c r="E9" s="83"/>
      <c r="F9" s="54"/>
      <c r="G9" s="55"/>
      <c r="H9" s="54"/>
      <c r="I9" s="54"/>
      <c r="J9" s="54"/>
      <c r="K9" s="111"/>
      <c r="L9" s="139"/>
    </row>
    <row r="10" spans="1:17" s="52" customFormat="1" ht="31.5">
      <c r="A10" s="47"/>
      <c r="B10" s="552">
        <f>B16</f>
        <v>1</v>
      </c>
      <c r="C10" s="553" t="str">
        <f>UPPER(C16)</f>
        <v>MONTAGEM DE MATERIAIS E EQUIPAMENTOS ELÉTRICOS</v>
      </c>
      <c r="D10" s="83"/>
      <c r="E10" s="83"/>
      <c r="F10" s="54"/>
      <c r="G10" s="55"/>
      <c r="H10" s="54"/>
      <c r="I10" s="54"/>
      <c r="J10" s="54"/>
      <c r="K10" s="110">
        <f>K22</f>
        <v>19534.5</v>
      </c>
      <c r="L10" s="139"/>
    </row>
    <row r="11" spans="1:17" s="52" customFormat="1">
      <c r="A11" s="47"/>
      <c r="B11" s="53"/>
      <c r="C11" s="83"/>
      <c r="D11" s="83"/>
      <c r="E11" s="83"/>
      <c r="F11" s="54"/>
      <c r="G11" s="55"/>
      <c r="H11" s="54"/>
      <c r="I11" s="54"/>
      <c r="J11" s="54"/>
      <c r="K11" s="111"/>
      <c r="L11" s="139"/>
    </row>
    <row r="12" spans="1:17" s="52" customFormat="1">
      <c r="A12" s="47"/>
      <c r="B12" s="552">
        <f>B24</f>
        <v>2</v>
      </c>
      <c r="C12" s="553" t="str">
        <f>UPPER(C24)</f>
        <v>URBANIZAÇÃO</v>
      </c>
      <c r="D12" s="83"/>
      <c r="E12" s="83"/>
      <c r="F12" s="54"/>
      <c r="G12" s="55"/>
      <c r="H12" s="54"/>
      <c r="I12" s="54"/>
      <c r="J12" s="54"/>
      <c r="K12" s="110">
        <f>K27</f>
        <v>6654.2</v>
      </c>
      <c r="L12" s="139"/>
    </row>
    <row r="13" spans="1:17" s="52" customFormat="1">
      <c r="A13" s="47"/>
      <c r="B13" s="53"/>
      <c r="C13" s="83"/>
      <c r="D13" s="83"/>
      <c r="E13" s="83"/>
      <c r="F13" s="54"/>
      <c r="G13" s="55"/>
      <c r="H13" s="54"/>
      <c r="I13" s="54"/>
      <c r="J13" s="54"/>
      <c r="K13" s="111"/>
      <c r="L13" s="139"/>
    </row>
    <row r="14" spans="1:17" s="52" customFormat="1">
      <c r="A14" s="47"/>
      <c r="B14" s="668"/>
      <c r="C14" s="85" t="s">
        <v>34</v>
      </c>
      <c r="D14" s="85"/>
      <c r="E14" s="85"/>
      <c r="F14" s="85"/>
      <c r="G14" s="86"/>
      <c r="H14" s="85"/>
      <c r="I14" s="85"/>
      <c r="J14" s="85"/>
      <c r="K14" s="90">
        <f>SUM(K9:K13)</f>
        <v>26188.7</v>
      </c>
      <c r="L14" s="56"/>
    </row>
    <row r="15" spans="1:17" s="52" customFormat="1">
      <c r="A15" s="47"/>
      <c r="B15" s="112"/>
      <c r="C15" s="113"/>
      <c r="D15" s="113"/>
      <c r="E15" s="113"/>
      <c r="F15" s="114"/>
      <c r="G15" s="115"/>
      <c r="H15" s="116"/>
      <c r="I15" s="116"/>
      <c r="J15" s="116"/>
      <c r="K15" s="117"/>
    </row>
    <row r="16" spans="1:17" s="47" customFormat="1" ht="31.5">
      <c r="B16" s="87">
        <v>1</v>
      </c>
      <c r="C16" s="88" t="s">
        <v>769</v>
      </c>
      <c r="D16" s="118"/>
      <c r="E16" s="118"/>
      <c r="F16" s="59"/>
      <c r="G16" s="66"/>
      <c r="H16" s="67"/>
      <c r="I16" s="316"/>
      <c r="J16" s="73"/>
      <c r="K16" s="120"/>
    </row>
    <row r="17" spans="2:16" s="287" customFormat="1">
      <c r="B17" s="554" t="s">
        <v>35</v>
      </c>
      <c r="C17" s="556" t="str">
        <f>'E-001'!$C$8</f>
        <v>Montagem da entrada de energia</v>
      </c>
      <c r="D17" s="279" t="str">
        <f>'E-001'!$C$7</f>
        <v>E-001</v>
      </c>
      <c r="E17" s="118" t="str">
        <f>'E-001'!$C$6</f>
        <v>COMP.</v>
      </c>
      <c r="F17" s="59" t="str">
        <f>'E-001'!$C$10</f>
        <v>gb</v>
      </c>
      <c r="G17" s="89">
        <v>1</v>
      </c>
      <c r="H17" s="60">
        <f>ROUND('E-001'!$H$19,2)</f>
        <v>3759.68</v>
      </c>
      <c r="I17" s="119">
        <f>$K$6</f>
        <v>0.26979999999999998</v>
      </c>
      <c r="J17" s="60">
        <f>ROUND(H17*(I17+1),2)</f>
        <v>4774.04</v>
      </c>
      <c r="K17" s="120">
        <f>ROUND(J17*G17,2)</f>
        <v>4774.04</v>
      </c>
      <c r="M17" s="301"/>
      <c r="N17" s="301"/>
      <c r="O17" s="317"/>
      <c r="P17" s="301"/>
    </row>
    <row r="18" spans="2:16" s="287" customFormat="1">
      <c r="B18" s="554" t="s">
        <v>75</v>
      </c>
      <c r="C18" s="556" t="str">
        <f>'E-002'!$C$8</f>
        <v>Montagem do sistema de aterramento e SPDA</v>
      </c>
      <c r="D18" s="279" t="str">
        <f>'E-002'!$C$7</f>
        <v>E-002</v>
      </c>
      <c r="E18" s="118" t="str">
        <f>'E-002'!$C$6</f>
        <v>COMP.</v>
      </c>
      <c r="F18" s="59" t="str">
        <f>'E-002'!$C$10</f>
        <v>gb</v>
      </c>
      <c r="G18" s="89">
        <v>1</v>
      </c>
      <c r="H18" s="60">
        <f>ROUND('E-002'!$H$19,2)</f>
        <v>6127.44</v>
      </c>
      <c r="I18" s="119">
        <f t="shared" ref="I18:I20" si="0">$K$6</f>
        <v>0.26979999999999998</v>
      </c>
      <c r="J18" s="60">
        <f t="shared" ref="J18:J20" si="1">ROUND(H18*(I18+1),2)</f>
        <v>7780.62</v>
      </c>
      <c r="K18" s="120">
        <f t="shared" ref="K18:K20" si="2">ROUND(J18*G18,2)</f>
        <v>7780.62</v>
      </c>
      <c r="M18" s="301"/>
      <c r="N18" s="301"/>
      <c r="O18" s="317"/>
      <c r="P18" s="301"/>
    </row>
    <row r="19" spans="2:16" s="287" customFormat="1">
      <c r="B19" s="554" t="s">
        <v>76</v>
      </c>
      <c r="C19" s="556" t="str">
        <f>'E-003'!$C$8</f>
        <v>Transporte de materiais e equipamentos</v>
      </c>
      <c r="D19" s="279" t="str">
        <f>'E-003'!$C$7</f>
        <v>E-003</v>
      </c>
      <c r="E19" s="118" t="str">
        <f>'E-003'!$C$6</f>
        <v>COMP.</v>
      </c>
      <c r="F19" s="59" t="str">
        <f>'E-003'!$C$10</f>
        <v>gb</v>
      </c>
      <c r="G19" s="89">
        <v>1</v>
      </c>
      <c r="H19" s="60">
        <f>ROUND('E-003'!$H$17,2)</f>
        <v>1712.96</v>
      </c>
      <c r="I19" s="119">
        <f t="shared" si="0"/>
        <v>0.26979999999999998</v>
      </c>
      <c r="J19" s="60">
        <f t="shared" si="1"/>
        <v>2175.12</v>
      </c>
      <c r="K19" s="120">
        <f t="shared" si="2"/>
        <v>2175.12</v>
      </c>
      <c r="M19" s="301"/>
      <c r="N19" s="301"/>
      <c r="O19" s="317"/>
      <c r="P19" s="301"/>
    </row>
    <row r="20" spans="2:16" s="287" customFormat="1">
      <c r="B20" s="554" t="s">
        <v>77</v>
      </c>
      <c r="C20" s="556" t="str">
        <f>'E-004'!$C$8</f>
        <v>Instalação e comissionamento de instrumentos</v>
      </c>
      <c r="D20" s="279" t="str">
        <f>'E-004'!$C$7</f>
        <v>E-004</v>
      </c>
      <c r="E20" s="118" t="str">
        <f>'E-004'!$C$6</f>
        <v>COMP.</v>
      </c>
      <c r="F20" s="59" t="str">
        <f>'E-004'!$C$10</f>
        <v>gb</v>
      </c>
      <c r="G20" s="89">
        <v>1</v>
      </c>
      <c r="H20" s="60">
        <f>ROUND('E-004'!$H$18,2)</f>
        <v>3783.84</v>
      </c>
      <c r="I20" s="119">
        <f t="shared" si="0"/>
        <v>0.26979999999999998</v>
      </c>
      <c r="J20" s="60">
        <f t="shared" si="1"/>
        <v>4804.72</v>
      </c>
      <c r="K20" s="120">
        <f t="shared" si="2"/>
        <v>4804.72</v>
      </c>
      <c r="M20" s="301"/>
      <c r="N20" s="301"/>
      <c r="O20" s="317"/>
      <c r="P20" s="301"/>
    </row>
    <row r="21" spans="2:16" s="47" customFormat="1">
      <c r="B21" s="72"/>
      <c r="C21" s="307"/>
      <c r="D21" s="124"/>
      <c r="E21" s="124"/>
      <c r="F21" s="124"/>
      <c r="G21" s="318"/>
      <c r="H21" s="70"/>
      <c r="I21" s="70"/>
      <c r="J21" s="125"/>
      <c r="K21" s="126"/>
      <c r="N21" s="694"/>
    </row>
    <row r="22" spans="2:16" s="47" customFormat="1">
      <c r="B22" s="72"/>
      <c r="C22" s="63" t="s">
        <v>36</v>
      </c>
      <c r="D22" s="122"/>
      <c r="E22" s="74"/>
      <c r="F22" s="75"/>
      <c r="G22" s="315"/>
      <c r="H22" s="70"/>
      <c r="I22" s="316"/>
      <c r="J22" s="60">
        <f>ROUND(H22*(I22+1),2)</f>
        <v>0</v>
      </c>
      <c r="K22" s="123">
        <f>SUM(K17:K21)</f>
        <v>19534.5</v>
      </c>
      <c r="M22" s="694">
        <v>14516.54</v>
      </c>
      <c r="N22" s="695">
        <f>K22-M22</f>
        <v>5017.9599999999991</v>
      </c>
    </row>
    <row r="23" spans="2:16" s="47" customFormat="1">
      <c r="B23" s="72"/>
      <c r="C23" s="127"/>
      <c r="D23" s="124"/>
      <c r="E23" s="124"/>
      <c r="F23" s="124"/>
      <c r="G23" s="129"/>
      <c r="H23" s="73"/>
      <c r="I23" s="120"/>
      <c r="J23" s="125"/>
      <c r="K23" s="126"/>
    </row>
    <row r="24" spans="2:16" s="47" customFormat="1">
      <c r="B24" s="87">
        <v>2</v>
      </c>
      <c r="C24" s="88" t="s">
        <v>773</v>
      </c>
      <c r="D24" s="118"/>
      <c r="E24" s="118"/>
      <c r="F24" s="59"/>
      <c r="G24" s="559"/>
      <c r="H24" s="66"/>
      <c r="I24" s="316"/>
      <c r="J24" s="73"/>
      <c r="K24" s="120"/>
    </row>
    <row r="25" spans="2:16" s="47" customFormat="1">
      <c r="B25" s="72" t="s">
        <v>37</v>
      </c>
      <c r="C25" s="58" t="s">
        <v>774</v>
      </c>
      <c r="D25" s="560">
        <v>70150001</v>
      </c>
      <c r="E25" s="561" t="s">
        <v>5</v>
      </c>
      <c r="F25" s="59" t="s">
        <v>1</v>
      </c>
      <c r="G25" s="89">
        <v>10.8</v>
      </c>
      <c r="H25" s="73">
        <f>(621.08/L7)</f>
        <v>485.21875</v>
      </c>
      <c r="I25" s="119">
        <f t="shared" ref="I25" si="3">$K$6</f>
        <v>0.26979999999999998</v>
      </c>
      <c r="J25" s="60">
        <f>ROUND(H25*(I25+1),2)</f>
        <v>616.13</v>
      </c>
      <c r="K25" s="120">
        <f>ROUND(G25*J25,2)</f>
        <v>6654.2</v>
      </c>
    </row>
    <row r="26" spans="2:16" s="47" customFormat="1">
      <c r="B26" s="72"/>
      <c r="C26" s="307"/>
      <c r="D26" s="124"/>
      <c r="E26" s="124"/>
      <c r="F26" s="124"/>
      <c r="G26" s="318"/>
      <c r="H26" s="70"/>
      <c r="I26" s="70"/>
      <c r="J26" s="125"/>
      <c r="K26" s="126"/>
    </row>
    <row r="27" spans="2:16" s="47" customFormat="1">
      <c r="B27" s="72"/>
      <c r="C27" s="63" t="s">
        <v>39</v>
      </c>
      <c r="D27" s="122"/>
      <c r="E27" s="74"/>
      <c r="F27" s="75"/>
      <c r="G27" s="315"/>
      <c r="H27" s="70"/>
      <c r="I27" s="316"/>
      <c r="J27" s="60">
        <f t="shared" ref="J27" si="4">ROUND(H27*(I27+1),2)</f>
        <v>0</v>
      </c>
      <c r="K27" s="123">
        <f>SUM(K25:K26)</f>
        <v>6654.2</v>
      </c>
    </row>
    <row r="28" spans="2:16" s="47" customFormat="1">
      <c r="B28" s="72"/>
      <c r="C28" s="127"/>
      <c r="D28" s="124"/>
      <c r="E28" s="124"/>
      <c r="F28" s="124"/>
      <c r="G28" s="129"/>
      <c r="H28" s="73"/>
      <c r="I28" s="120"/>
      <c r="J28" s="125"/>
      <c r="K28" s="126"/>
    </row>
    <row r="29" spans="2:16" s="47" customFormat="1">
      <c r="B29" s="72"/>
      <c r="C29" s="127"/>
      <c r="D29" s="124"/>
      <c r="E29" s="124"/>
      <c r="F29" s="124"/>
      <c r="G29" s="59"/>
      <c r="H29" s="128"/>
      <c r="I29" s="120"/>
      <c r="J29" s="125"/>
      <c r="K29" s="126"/>
    </row>
    <row r="30" spans="2:16" s="47" customFormat="1">
      <c r="B30" s="62"/>
      <c r="C30" s="64" t="s">
        <v>34</v>
      </c>
      <c r="D30" s="130"/>
      <c r="E30" s="130"/>
      <c r="F30" s="76"/>
      <c r="G30" s="57"/>
      <c r="H30" s="77"/>
      <c r="I30" s="77"/>
      <c r="J30" s="77"/>
      <c r="K30" s="78">
        <f>SUM(K16:K29)/2</f>
        <v>26188.699999999997</v>
      </c>
    </row>
    <row r="31" spans="2:16" s="47" customFormat="1">
      <c r="B31" s="112"/>
      <c r="C31" s="131"/>
      <c r="D31" s="132"/>
      <c r="E31" s="132"/>
      <c r="F31" s="133"/>
      <c r="G31" s="115"/>
      <c r="H31" s="134"/>
      <c r="I31" s="134"/>
      <c r="J31" s="134"/>
      <c r="K31" s="116"/>
    </row>
    <row r="32" spans="2:16" s="47" customFormat="1">
      <c r="B32" s="285"/>
      <c r="C32" s="286"/>
      <c r="D32" s="286"/>
      <c r="E32" s="286"/>
      <c r="F32" s="287"/>
      <c r="G32" s="288"/>
      <c r="H32" s="287"/>
      <c r="I32" s="287"/>
      <c r="J32" s="287"/>
      <c r="K32" s="287"/>
    </row>
    <row r="33" spans="2:11" s="47" customFormat="1">
      <c r="B33" s="285"/>
      <c r="C33" s="286"/>
      <c r="D33" s="286"/>
      <c r="E33" s="286"/>
      <c r="F33" s="287"/>
      <c r="G33" s="288"/>
      <c r="H33" s="287"/>
      <c r="I33" s="287"/>
      <c r="J33" s="287"/>
      <c r="K33" s="287"/>
    </row>
    <row r="34" spans="2:11" s="47" customFormat="1">
      <c r="B34" s="285"/>
      <c r="C34" s="286"/>
      <c r="D34" s="286"/>
      <c r="E34" s="286"/>
      <c r="F34" s="287"/>
      <c r="G34" s="288"/>
      <c r="H34" s="287"/>
      <c r="I34" s="287"/>
      <c r="J34" s="287"/>
      <c r="K34" s="287"/>
    </row>
    <row r="35" spans="2:11" s="47" customFormat="1">
      <c r="B35" s="285"/>
      <c r="C35" s="286"/>
      <c r="D35" s="286"/>
      <c r="E35" s="286"/>
      <c r="F35" s="287"/>
      <c r="G35" s="288"/>
      <c r="H35" s="287"/>
      <c r="I35" s="287"/>
      <c r="J35" s="287"/>
      <c r="K35" s="287"/>
    </row>
  </sheetData>
  <mergeCells count="14">
    <mergeCell ref="C6:G6"/>
    <mergeCell ref="H6:J6"/>
    <mergeCell ref="C7:G7"/>
    <mergeCell ref="H7:J7"/>
    <mergeCell ref="B2:B3"/>
    <mergeCell ref="C2:G2"/>
    <mergeCell ref="H2:K2"/>
    <mergeCell ref="C3:G3"/>
    <mergeCell ref="H3:J3"/>
    <mergeCell ref="B4:B7"/>
    <mergeCell ref="C4:G4"/>
    <mergeCell ref="H4:J4"/>
    <mergeCell ref="C5:G5"/>
    <mergeCell ref="H5:K5"/>
  </mergeCells>
  <printOptions horizontalCentered="1"/>
  <pageMargins left="0.59055118110236227" right="0.51181102362204722" top="0.98425196850393704" bottom="0.78740157480314965" header="0.39370078740157483" footer="0.39370078740157483"/>
  <pageSetup paperSize="9" scale="65" firstPageNumber="4" orientation="portrait" r:id="rId1"/>
  <headerFooter scaleWithDoc="0">
    <oddHeader>&amp;L&amp;"Arial,Itálico"&amp;10Rev-1&amp;R&amp;G</oddHeader>
    <oddFooter>&amp;L&amp;"Arial,Negrito"&amp;10CTR 477F&amp;C&amp;"Arial,Negrito"&amp;10 2.&amp;P</oddFooter>
  </headerFooter>
  <rowBreaks count="1" manualBreakCount="1">
    <brk id="15" max="16383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2:Q77"/>
  <sheetViews>
    <sheetView showGridLines="0" showZeros="0" zoomScaleNormal="100" zoomScaleSheetLayoutView="100" workbookViewId="0">
      <selection activeCell="B4" sqref="B4:W5"/>
    </sheetView>
  </sheetViews>
  <sheetFormatPr defaultColWidth="9.140625" defaultRowHeight="15.75"/>
  <cols>
    <col min="1" max="1" width="3.7109375" style="46" customWidth="1"/>
    <col min="2" max="2" width="8.7109375" style="79" customWidth="1"/>
    <col min="3" max="3" width="43.7109375" style="80" customWidth="1"/>
    <col min="4" max="5" width="9.85546875" style="80" customWidth="1"/>
    <col min="6" max="6" width="7.140625" style="81" customWidth="1"/>
    <col min="7" max="7" width="10.5703125" style="82" customWidth="1"/>
    <col min="8" max="8" width="12.7109375" style="81" customWidth="1"/>
    <col min="9" max="9" width="9.140625" style="81" customWidth="1"/>
    <col min="10" max="10" width="12.7109375" style="81" customWidth="1"/>
    <col min="11" max="11" width="15.85546875" style="81" customWidth="1"/>
    <col min="12" max="12" width="10.5703125" style="46" bestFit="1" customWidth="1"/>
    <col min="13" max="13" width="11" style="46" bestFit="1" customWidth="1"/>
    <col min="14" max="14" width="10.140625" style="46" bestFit="1" customWidth="1"/>
    <col min="15" max="15" width="9.28515625" style="46" bestFit="1" customWidth="1"/>
    <col min="16" max="16384" width="9.140625" style="46"/>
  </cols>
  <sheetData>
    <row r="2" spans="1:17" s="47" customFormat="1" ht="18" customHeight="1">
      <c r="A2" s="1"/>
      <c r="B2" s="741" t="s">
        <v>46</v>
      </c>
      <c r="C2" s="742" t="s">
        <v>47</v>
      </c>
      <c r="D2" s="743"/>
      <c r="E2" s="743"/>
      <c r="F2" s="743"/>
      <c r="G2" s="744"/>
      <c r="H2" s="745" t="s">
        <v>48</v>
      </c>
      <c r="I2" s="746"/>
      <c r="J2" s="746"/>
      <c r="K2" s="747"/>
    </row>
    <row r="3" spans="1:17" s="47" customFormat="1" ht="18" customHeight="1">
      <c r="A3" s="1"/>
      <c r="B3" s="721"/>
      <c r="C3" s="748" t="s">
        <v>49</v>
      </c>
      <c r="D3" s="749"/>
      <c r="E3" s="749"/>
      <c r="F3" s="749"/>
      <c r="G3" s="750"/>
      <c r="H3" s="726" t="s">
        <v>50</v>
      </c>
      <c r="I3" s="727"/>
      <c r="J3" s="727"/>
      <c r="K3" s="562" t="s">
        <v>908</v>
      </c>
    </row>
    <row r="4" spans="1:17" s="47" customFormat="1" ht="18" customHeight="1">
      <c r="A4" s="1"/>
      <c r="B4" s="721" t="s">
        <v>30</v>
      </c>
      <c r="C4" s="723" t="s">
        <v>901</v>
      </c>
      <c r="D4" s="724"/>
      <c r="E4" s="724"/>
      <c r="F4" s="724"/>
      <c r="G4" s="725"/>
      <c r="H4" s="726" t="s">
        <v>51</v>
      </c>
      <c r="I4" s="727"/>
      <c r="J4" s="727"/>
      <c r="K4" s="562" t="s">
        <v>908</v>
      </c>
    </row>
    <row r="5" spans="1:17" s="47" customFormat="1" ht="18" customHeight="1">
      <c r="A5" s="1"/>
      <c r="B5" s="721"/>
      <c r="C5" s="723" t="s">
        <v>122</v>
      </c>
      <c r="D5" s="728"/>
      <c r="E5" s="728"/>
      <c r="F5" s="728"/>
      <c r="G5" s="729"/>
      <c r="H5" s="730" t="s">
        <v>65</v>
      </c>
      <c r="I5" s="731"/>
      <c r="J5" s="731"/>
      <c r="K5" s="732"/>
      <c r="Q5" s="173"/>
    </row>
    <row r="6" spans="1:17" s="47" customFormat="1" ht="18" customHeight="1">
      <c r="A6" s="1"/>
      <c r="B6" s="721"/>
      <c r="C6" s="733" t="s">
        <v>768</v>
      </c>
      <c r="D6" s="734"/>
      <c r="E6" s="734"/>
      <c r="F6" s="734"/>
      <c r="G6" s="735"/>
      <c r="H6" s="726" t="s">
        <v>52</v>
      </c>
      <c r="I6" s="727"/>
      <c r="J6" s="727"/>
      <c r="K6" s="563">
        <v>0.26979999999999998</v>
      </c>
      <c r="L6" s="47">
        <v>0</v>
      </c>
    </row>
    <row r="7" spans="1:17" s="47" customFormat="1" ht="18" customHeight="1">
      <c r="A7" s="1"/>
      <c r="B7" s="722"/>
      <c r="C7" s="767" t="s">
        <v>135</v>
      </c>
      <c r="D7" s="768"/>
      <c r="E7" s="768"/>
      <c r="F7" s="768"/>
      <c r="G7" s="769"/>
      <c r="H7" s="739" t="s">
        <v>53</v>
      </c>
      <c r="I7" s="740"/>
      <c r="J7" s="740"/>
      <c r="K7" s="564">
        <v>0.16800000000000001</v>
      </c>
    </row>
    <row r="8" spans="1:17" s="47" customFormat="1" ht="47.25" customHeight="1">
      <c r="A8" s="1"/>
      <c r="B8" s="592" t="s">
        <v>25</v>
      </c>
      <c r="C8" s="565" t="s">
        <v>31</v>
      </c>
      <c r="D8" s="566" t="s">
        <v>26</v>
      </c>
      <c r="E8" s="566" t="s">
        <v>54</v>
      </c>
      <c r="F8" s="565" t="s">
        <v>28</v>
      </c>
      <c r="G8" s="567" t="s">
        <v>27</v>
      </c>
      <c r="H8" s="565" t="s">
        <v>55</v>
      </c>
      <c r="I8" s="565" t="s">
        <v>56</v>
      </c>
      <c r="J8" s="565" t="s">
        <v>32</v>
      </c>
      <c r="K8" s="565" t="s">
        <v>33</v>
      </c>
    </row>
    <row r="9" spans="1:17" s="52" customFormat="1">
      <c r="A9" s="47"/>
      <c r="B9" s="53"/>
      <c r="C9" s="83"/>
      <c r="D9" s="83"/>
      <c r="E9" s="83"/>
      <c r="F9" s="54"/>
      <c r="G9" s="55"/>
      <c r="H9" s="54"/>
      <c r="I9" s="54"/>
      <c r="J9" s="54"/>
      <c r="K9" s="111"/>
      <c r="L9" s="139"/>
    </row>
    <row r="10" spans="1:17" s="52" customFormat="1" ht="31.5">
      <c r="A10" s="47"/>
      <c r="B10" s="552">
        <f>B16</f>
        <v>1</v>
      </c>
      <c r="C10" s="553" t="str">
        <f>UPPER(C16)</f>
        <v>FORNECIMENTO DE MATERIAIS E EQUIPAMENTOS HIDRÁULICOS</v>
      </c>
      <c r="D10" s="83"/>
      <c r="E10" s="83"/>
      <c r="F10" s="54"/>
      <c r="G10" s="55"/>
      <c r="H10" s="54"/>
      <c r="I10" s="54"/>
      <c r="J10" s="54"/>
      <c r="K10" s="110">
        <f>K19</f>
        <v>2546240</v>
      </c>
      <c r="L10" s="139"/>
    </row>
    <row r="11" spans="1:17" s="52" customFormat="1">
      <c r="A11" s="47"/>
      <c r="B11" s="53"/>
      <c r="C11" s="83"/>
      <c r="D11" s="83"/>
      <c r="E11" s="83"/>
      <c r="F11" s="54"/>
      <c r="G11" s="55"/>
      <c r="H11" s="54"/>
      <c r="I11" s="54"/>
      <c r="J11" s="54"/>
      <c r="K11" s="111"/>
      <c r="L11" s="139"/>
    </row>
    <row r="12" spans="1:17" s="52" customFormat="1" ht="31.5">
      <c r="A12" s="47"/>
      <c r="B12" s="552">
        <f>B21</f>
        <v>2</v>
      </c>
      <c r="C12" s="553" t="str">
        <f>UPPER(C21)</f>
        <v>FORNECIMENTO DE MATERIAIS E EQUIPAMENTOS ELÉTRICOS</v>
      </c>
      <c r="D12" s="83"/>
      <c r="E12" s="83"/>
      <c r="F12" s="54"/>
      <c r="G12" s="55"/>
      <c r="H12" s="54"/>
      <c r="I12" s="54"/>
      <c r="J12" s="54"/>
      <c r="K12" s="110">
        <f>K68</f>
        <v>16985</v>
      </c>
      <c r="L12" s="139"/>
    </row>
    <row r="13" spans="1:17" s="52" customFormat="1">
      <c r="A13" s="47"/>
      <c r="B13" s="53"/>
      <c r="C13" s="83"/>
      <c r="D13" s="83"/>
      <c r="E13" s="83"/>
      <c r="F13" s="54"/>
      <c r="G13" s="55"/>
      <c r="H13" s="54"/>
      <c r="I13" s="54"/>
      <c r="J13" s="54"/>
      <c r="K13" s="111"/>
      <c r="L13" s="139"/>
    </row>
    <row r="14" spans="1:17" s="52" customFormat="1">
      <c r="A14" s="47"/>
      <c r="B14" s="277"/>
      <c r="C14" s="85" t="s">
        <v>34</v>
      </c>
      <c r="D14" s="85"/>
      <c r="E14" s="85"/>
      <c r="F14" s="85"/>
      <c r="G14" s="86"/>
      <c r="H14" s="85"/>
      <c r="I14" s="85"/>
      <c r="J14" s="85"/>
      <c r="K14" s="90">
        <f>SUM(K9:K13)</f>
        <v>2563225</v>
      </c>
      <c r="L14" s="56"/>
    </row>
    <row r="15" spans="1:17" s="52" customFormat="1">
      <c r="A15" s="47"/>
      <c r="B15" s="112"/>
      <c r="C15" s="113"/>
      <c r="D15" s="113"/>
      <c r="E15" s="113"/>
      <c r="F15" s="114"/>
      <c r="G15" s="115"/>
      <c r="H15" s="116"/>
      <c r="I15" s="116"/>
      <c r="J15" s="116"/>
      <c r="K15" s="117"/>
    </row>
    <row r="16" spans="1:17" s="47" customFormat="1" ht="31.5">
      <c r="B16" s="87">
        <v>1</v>
      </c>
      <c r="C16" s="88" t="s">
        <v>771</v>
      </c>
      <c r="D16" s="118"/>
      <c r="E16" s="118"/>
      <c r="F16" s="59"/>
      <c r="G16" s="66"/>
      <c r="H16" s="67"/>
      <c r="I16" s="316"/>
      <c r="J16" s="73"/>
      <c r="K16" s="120"/>
    </row>
    <row r="17" spans="1:17" s="287" customFormat="1" ht="63">
      <c r="B17" s="554" t="s">
        <v>35</v>
      </c>
      <c r="C17" s="556" t="str">
        <f>'Resumo Preços'!$D$65</f>
        <v>Reservatório cilíndrico vertical apoiado, Ø 14,32m, H = 18,00m, V = 2.800m³, completo, incluso escada externa tipo marinheiro com guarda-corpo, em aço carbono</v>
      </c>
      <c r="D17" s="279" t="str">
        <f>'Resumo Preços'!$C$65</f>
        <v>RES-01</v>
      </c>
      <c r="E17" s="118" t="s">
        <v>227</v>
      </c>
      <c r="F17" s="59" t="str">
        <f>'Resumo Preços'!$E$65</f>
        <v>cj</v>
      </c>
      <c r="G17" s="89">
        <v>1</v>
      </c>
      <c r="H17" s="60">
        <f>ROUND('Resumo Preços'!$L$65,2)</f>
        <v>2180000</v>
      </c>
      <c r="I17" s="119">
        <f>$K$7</f>
        <v>0.16800000000000001</v>
      </c>
      <c r="J17" s="60">
        <f>ROUND(H17*(I17+1),2)</f>
        <v>2546240</v>
      </c>
      <c r="K17" s="120">
        <f>ROUND(J17*G17,2)</f>
        <v>2546240</v>
      </c>
      <c r="M17" s="301"/>
      <c r="N17" s="301"/>
      <c r="O17" s="317"/>
      <c r="P17" s="301"/>
    </row>
    <row r="18" spans="1:17" s="47" customFormat="1">
      <c r="B18" s="72"/>
      <c r="C18" s="307"/>
      <c r="D18" s="124"/>
      <c r="E18" s="124"/>
      <c r="F18" s="124"/>
      <c r="G18" s="318"/>
      <c r="H18" s="70"/>
      <c r="I18" s="70"/>
      <c r="J18" s="125"/>
      <c r="K18" s="126"/>
    </row>
    <row r="19" spans="1:17" s="47" customFormat="1">
      <c r="B19" s="72"/>
      <c r="C19" s="63" t="s">
        <v>36</v>
      </c>
      <c r="D19" s="122"/>
      <c r="E19" s="74"/>
      <c r="F19" s="75"/>
      <c r="G19" s="315"/>
      <c r="H19" s="70"/>
      <c r="I19" s="316"/>
      <c r="J19" s="60">
        <f>ROUND(H19*(I19+1),2)</f>
        <v>0</v>
      </c>
      <c r="K19" s="123">
        <f>SUM(K17:K18)</f>
        <v>2546240</v>
      </c>
    </row>
    <row r="20" spans="1:17" s="47" customFormat="1">
      <c r="B20" s="72"/>
      <c r="C20" s="127"/>
      <c r="D20" s="124"/>
      <c r="E20" s="124"/>
      <c r="F20" s="124"/>
      <c r="G20" s="129"/>
      <c r="H20" s="73"/>
      <c r="I20" s="120"/>
      <c r="J20" s="125"/>
      <c r="K20" s="126"/>
    </row>
    <row r="21" spans="1:17" s="47" customFormat="1" ht="31.5">
      <c r="B21" s="87">
        <v>2</v>
      </c>
      <c r="C21" s="88" t="s">
        <v>770</v>
      </c>
      <c r="D21" s="118"/>
      <c r="E21" s="118"/>
      <c r="F21" s="59"/>
      <c r="G21" s="66"/>
      <c r="H21" s="67"/>
      <c r="I21" s="316"/>
      <c r="J21" s="73"/>
      <c r="K21" s="120"/>
    </row>
    <row r="22" spans="1:17" s="52" customFormat="1">
      <c r="A22" s="47"/>
      <c r="B22" s="554" t="s">
        <v>37</v>
      </c>
      <c r="C22" s="685" t="s">
        <v>803</v>
      </c>
      <c r="D22" s="681"/>
      <c r="E22" s="59"/>
      <c r="F22" s="682"/>
      <c r="G22" s="60"/>
      <c r="H22" s="683"/>
      <c r="I22" s="77"/>
      <c r="J22" s="284"/>
      <c r="K22" s="693"/>
      <c r="L22" s="684"/>
      <c r="M22" s="684"/>
      <c r="N22" s="684"/>
      <c r="O22" s="684"/>
      <c r="P22" s="684"/>
      <c r="Q22" s="684"/>
    </row>
    <row r="23" spans="1:17" s="52" customFormat="1">
      <c r="A23" s="47"/>
      <c r="B23" s="554" t="s">
        <v>827</v>
      </c>
      <c r="C23" s="685" t="s">
        <v>804</v>
      </c>
      <c r="D23" s="279">
        <v>1091</v>
      </c>
      <c r="E23" s="118" t="s">
        <v>2</v>
      </c>
      <c r="F23" s="59" t="s">
        <v>8</v>
      </c>
      <c r="G23" s="682">
        <v>1</v>
      </c>
      <c r="H23" s="60">
        <v>25.12</v>
      </c>
      <c r="I23" s="119">
        <f>$K$7</f>
        <v>0.16800000000000001</v>
      </c>
      <c r="J23" s="60">
        <f>ROUND(H23*(I23+1),2)</f>
        <v>29.34</v>
      </c>
      <c r="K23" s="120">
        <f>ROUND(J23*G23,2)</f>
        <v>29.34</v>
      </c>
      <c r="L23" s="684"/>
      <c r="M23" s="684"/>
      <c r="N23" s="684"/>
      <c r="O23" s="684"/>
      <c r="P23" s="684"/>
      <c r="Q23" s="684"/>
    </row>
    <row r="24" spans="1:17" s="52" customFormat="1">
      <c r="A24" s="47"/>
      <c r="B24" s="554" t="s">
        <v>828</v>
      </c>
      <c r="C24" s="685" t="s">
        <v>805</v>
      </c>
      <c r="D24" s="279"/>
      <c r="E24" s="118"/>
      <c r="F24" s="59" t="s">
        <v>8</v>
      </c>
      <c r="G24" s="682">
        <v>1</v>
      </c>
      <c r="H24" s="60">
        <v>38.9</v>
      </c>
      <c r="I24" s="119">
        <f t="shared" ref="I24:I56" si="0">$K$7</f>
        <v>0.16800000000000001</v>
      </c>
      <c r="J24" s="60">
        <f t="shared" ref="J24:J46" si="1">ROUND(H24*(I24+1),2)</f>
        <v>45.44</v>
      </c>
      <c r="K24" s="120">
        <f t="shared" ref="K24:K46" si="2">ROUND(J24*G24,2)</f>
        <v>45.44</v>
      </c>
      <c r="L24" s="684"/>
      <c r="M24" s="684"/>
      <c r="N24" s="684"/>
      <c r="O24" s="684"/>
      <c r="P24" s="684"/>
      <c r="Q24" s="684"/>
    </row>
    <row r="25" spans="1:17" s="52" customFormat="1">
      <c r="A25" s="47"/>
      <c r="B25" s="554" t="s">
        <v>829</v>
      </c>
      <c r="C25" s="685" t="s">
        <v>806</v>
      </c>
      <c r="D25" s="279" t="s">
        <v>885</v>
      </c>
      <c r="E25" s="118" t="s">
        <v>5</v>
      </c>
      <c r="F25" s="59" t="s">
        <v>8</v>
      </c>
      <c r="G25" s="682">
        <v>1</v>
      </c>
      <c r="H25" s="60">
        <v>615</v>
      </c>
      <c r="I25" s="119">
        <f t="shared" si="0"/>
        <v>0.16800000000000001</v>
      </c>
      <c r="J25" s="60">
        <f t="shared" si="1"/>
        <v>718.32</v>
      </c>
      <c r="K25" s="120">
        <f t="shared" si="2"/>
        <v>718.32</v>
      </c>
      <c r="L25" s="684"/>
      <c r="M25" s="684"/>
      <c r="N25" s="684"/>
      <c r="O25" s="684"/>
      <c r="P25" s="684"/>
      <c r="Q25" s="684"/>
    </row>
    <row r="26" spans="1:17" s="52" customFormat="1">
      <c r="A26" s="47"/>
      <c r="B26" s="554" t="s">
        <v>830</v>
      </c>
      <c r="C26" s="685" t="s">
        <v>807</v>
      </c>
      <c r="D26" s="279">
        <v>2626</v>
      </c>
      <c r="E26" s="118" t="s">
        <v>2</v>
      </c>
      <c r="F26" s="59" t="s">
        <v>8</v>
      </c>
      <c r="G26" s="682">
        <v>1</v>
      </c>
      <c r="H26" s="60">
        <v>29.37</v>
      </c>
      <c r="I26" s="119">
        <f t="shared" si="0"/>
        <v>0.16800000000000001</v>
      </c>
      <c r="J26" s="60">
        <f t="shared" si="1"/>
        <v>34.299999999999997</v>
      </c>
      <c r="K26" s="120">
        <f t="shared" si="2"/>
        <v>34.299999999999997</v>
      </c>
      <c r="L26" s="684"/>
      <c r="M26" s="684"/>
      <c r="N26" s="684"/>
      <c r="O26" s="684"/>
      <c r="P26" s="684"/>
      <c r="Q26" s="684"/>
    </row>
    <row r="27" spans="1:17" s="52" customFormat="1">
      <c r="A27" s="47"/>
      <c r="B27" s="554" t="s">
        <v>831</v>
      </c>
      <c r="C27" s="685" t="s">
        <v>808</v>
      </c>
      <c r="D27" s="692">
        <v>2680</v>
      </c>
      <c r="E27" s="118" t="s">
        <v>2</v>
      </c>
      <c r="F27" s="59" t="s">
        <v>823</v>
      </c>
      <c r="G27" s="682">
        <v>2</v>
      </c>
      <c r="H27" s="60">
        <f>ROUND(10.8*3,2)</f>
        <v>32.4</v>
      </c>
      <c r="I27" s="119">
        <f t="shared" si="0"/>
        <v>0.16800000000000001</v>
      </c>
      <c r="J27" s="60">
        <f t="shared" si="1"/>
        <v>37.840000000000003</v>
      </c>
      <c r="K27" s="120">
        <f t="shared" si="2"/>
        <v>75.680000000000007</v>
      </c>
      <c r="L27" s="684"/>
      <c r="M27" s="684"/>
      <c r="N27" s="684"/>
      <c r="O27" s="684"/>
      <c r="P27" s="684"/>
      <c r="Q27" s="684"/>
    </row>
    <row r="28" spans="1:17" s="52" customFormat="1">
      <c r="A28" s="47"/>
      <c r="B28" s="554" t="s">
        <v>832</v>
      </c>
      <c r="C28" s="685" t="s">
        <v>809</v>
      </c>
      <c r="D28" s="692" t="s">
        <v>886</v>
      </c>
      <c r="E28" s="118" t="s">
        <v>5</v>
      </c>
      <c r="F28" s="59" t="s">
        <v>8</v>
      </c>
      <c r="G28" s="682">
        <v>11</v>
      </c>
      <c r="H28" s="60">
        <v>3.07</v>
      </c>
      <c r="I28" s="119">
        <f t="shared" si="0"/>
        <v>0.16800000000000001</v>
      </c>
      <c r="J28" s="60">
        <f t="shared" si="1"/>
        <v>3.59</v>
      </c>
      <c r="K28" s="120">
        <f t="shared" si="2"/>
        <v>39.49</v>
      </c>
      <c r="L28" s="684"/>
      <c r="M28" s="684"/>
      <c r="N28" s="684"/>
      <c r="O28" s="684"/>
      <c r="P28" s="684"/>
      <c r="Q28" s="684"/>
    </row>
    <row r="29" spans="1:17" s="52" customFormat="1">
      <c r="A29" s="47"/>
      <c r="B29" s="554" t="s">
        <v>833</v>
      </c>
      <c r="C29" s="685" t="s">
        <v>810</v>
      </c>
      <c r="D29" s="692">
        <v>39178</v>
      </c>
      <c r="E29" s="118" t="s">
        <v>2</v>
      </c>
      <c r="F29" s="59" t="s">
        <v>8</v>
      </c>
      <c r="G29" s="682">
        <v>5</v>
      </c>
      <c r="H29" s="60">
        <v>2.33</v>
      </c>
      <c r="I29" s="119">
        <f t="shared" si="0"/>
        <v>0.16800000000000001</v>
      </c>
      <c r="J29" s="60">
        <f t="shared" si="1"/>
        <v>2.72</v>
      </c>
      <c r="K29" s="120">
        <f t="shared" si="2"/>
        <v>13.6</v>
      </c>
      <c r="L29" s="684"/>
      <c r="M29" s="684"/>
      <c r="N29" s="684"/>
      <c r="O29" s="684"/>
      <c r="P29" s="684"/>
      <c r="Q29" s="684"/>
    </row>
    <row r="30" spans="1:17" s="52" customFormat="1">
      <c r="A30" s="47"/>
      <c r="B30" s="554" t="s">
        <v>834</v>
      </c>
      <c r="C30" s="685" t="s">
        <v>811</v>
      </c>
      <c r="D30" s="692">
        <v>39212</v>
      </c>
      <c r="E30" s="118" t="s">
        <v>2</v>
      </c>
      <c r="F30" s="59" t="s">
        <v>8</v>
      </c>
      <c r="G30" s="682">
        <v>4</v>
      </c>
      <c r="H30" s="60">
        <v>2.0499999999999998</v>
      </c>
      <c r="I30" s="119">
        <f t="shared" si="0"/>
        <v>0.16800000000000001</v>
      </c>
      <c r="J30" s="60">
        <f t="shared" si="1"/>
        <v>2.39</v>
      </c>
      <c r="K30" s="120">
        <f t="shared" si="2"/>
        <v>9.56</v>
      </c>
      <c r="L30" s="684"/>
      <c r="M30" s="684"/>
      <c r="N30" s="684"/>
      <c r="O30" s="684"/>
      <c r="P30" s="684"/>
      <c r="Q30" s="684"/>
    </row>
    <row r="31" spans="1:17" s="52" customFormat="1">
      <c r="A31" s="47"/>
      <c r="B31" s="554" t="s">
        <v>835</v>
      </c>
      <c r="C31" s="685" t="s">
        <v>812</v>
      </c>
      <c r="D31" s="692" t="s">
        <v>887</v>
      </c>
      <c r="E31" s="118" t="s">
        <v>5</v>
      </c>
      <c r="F31" s="59" t="s">
        <v>8</v>
      </c>
      <c r="G31" s="682">
        <v>4</v>
      </c>
      <c r="H31" s="60">
        <v>5.79</v>
      </c>
      <c r="I31" s="119">
        <f t="shared" si="0"/>
        <v>0.16800000000000001</v>
      </c>
      <c r="J31" s="60">
        <f t="shared" si="1"/>
        <v>6.76</v>
      </c>
      <c r="K31" s="120">
        <f t="shared" si="2"/>
        <v>27.04</v>
      </c>
      <c r="L31" s="684"/>
      <c r="M31" s="684"/>
      <c r="N31" s="684"/>
      <c r="O31" s="684"/>
      <c r="P31" s="684"/>
      <c r="Q31" s="684"/>
    </row>
    <row r="32" spans="1:17" s="52" customFormat="1">
      <c r="A32" s="47"/>
      <c r="B32" s="554" t="s">
        <v>836</v>
      </c>
      <c r="C32" s="685" t="s">
        <v>813</v>
      </c>
      <c r="D32" s="692">
        <v>2674</v>
      </c>
      <c r="E32" s="118" t="s">
        <v>2</v>
      </c>
      <c r="F32" s="59" t="s">
        <v>823</v>
      </c>
      <c r="G32" s="682">
        <v>1</v>
      </c>
      <c r="H32" s="60">
        <f>ROUND(4.39*3,2)</f>
        <v>13.17</v>
      </c>
      <c r="I32" s="119">
        <f t="shared" si="0"/>
        <v>0.16800000000000001</v>
      </c>
      <c r="J32" s="60">
        <f t="shared" si="1"/>
        <v>15.38</v>
      </c>
      <c r="K32" s="120">
        <f t="shared" si="2"/>
        <v>15.38</v>
      </c>
      <c r="L32" s="684"/>
      <c r="M32" s="684"/>
      <c r="N32" s="684"/>
      <c r="O32" s="684"/>
      <c r="P32" s="684"/>
      <c r="Q32" s="684"/>
    </row>
    <row r="33" spans="1:17" s="52" customFormat="1">
      <c r="A33" s="47"/>
      <c r="B33" s="554" t="s">
        <v>837</v>
      </c>
      <c r="C33" s="685" t="s">
        <v>814</v>
      </c>
      <c r="D33" s="692" t="s">
        <v>888</v>
      </c>
      <c r="E33" s="118" t="s">
        <v>5</v>
      </c>
      <c r="F33" s="59" t="s">
        <v>8</v>
      </c>
      <c r="G33" s="682">
        <v>1</v>
      </c>
      <c r="H33" s="60">
        <v>3.2</v>
      </c>
      <c r="I33" s="119">
        <f t="shared" si="0"/>
        <v>0.16800000000000001</v>
      </c>
      <c r="J33" s="60">
        <f t="shared" si="1"/>
        <v>3.74</v>
      </c>
      <c r="K33" s="120">
        <f t="shared" si="2"/>
        <v>3.74</v>
      </c>
      <c r="L33" s="684"/>
      <c r="M33" s="684"/>
      <c r="N33" s="684"/>
      <c r="O33" s="684"/>
      <c r="P33" s="684"/>
      <c r="Q33" s="684"/>
    </row>
    <row r="34" spans="1:17" s="52" customFormat="1">
      <c r="A34" s="47"/>
      <c r="B34" s="554" t="s">
        <v>838</v>
      </c>
      <c r="C34" s="685" t="s">
        <v>815</v>
      </c>
      <c r="D34" s="692" t="s">
        <v>889</v>
      </c>
      <c r="E34" s="118" t="s">
        <v>5</v>
      </c>
      <c r="F34" s="59" t="s">
        <v>8</v>
      </c>
      <c r="G34" s="682">
        <v>3</v>
      </c>
      <c r="H34" s="60">
        <v>0.99</v>
      </c>
      <c r="I34" s="119">
        <f t="shared" si="0"/>
        <v>0.16800000000000001</v>
      </c>
      <c r="J34" s="60">
        <f t="shared" si="1"/>
        <v>1.1599999999999999</v>
      </c>
      <c r="K34" s="120">
        <f t="shared" si="2"/>
        <v>3.48</v>
      </c>
      <c r="L34" s="684"/>
      <c r="M34" s="684"/>
      <c r="N34" s="684"/>
      <c r="O34" s="684"/>
      <c r="P34" s="684"/>
      <c r="Q34" s="684"/>
    </row>
    <row r="35" spans="1:17" s="52" customFormat="1">
      <c r="A35" s="47"/>
      <c r="B35" s="554" t="s">
        <v>839</v>
      </c>
      <c r="C35" s="685" t="s">
        <v>816</v>
      </c>
      <c r="D35" s="692">
        <v>39175</v>
      </c>
      <c r="E35" s="118" t="s">
        <v>2</v>
      </c>
      <c r="F35" s="59" t="s">
        <v>8</v>
      </c>
      <c r="G35" s="682">
        <v>1</v>
      </c>
      <c r="H35" s="60">
        <v>1.29</v>
      </c>
      <c r="I35" s="119">
        <f t="shared" si="0"/>
        <v>0.16800000000000001</v>
      </c>
      <c r="J35" s="60">
        <f t="shared" si="1"/>
        <v>1.51</v>
      </c>
      <c r="K35" s="120">
        <f t="shared" si="2"/>
        <v>1.51</v>
      </c>
      <c r="L35" s="684"/>
      <c r="M35" s="684"/>
      <c r="N35" s="684"/>
      <c r="O35" s="684"/>
      <c r="P35" s="684"/>
      <c r="Q35" s="684"/>
    </row>
    <row r="36" spans="1:17" s="52" customFormat="1">
      <c r="A36" s="47"/>
      <c r="B36" s="554" t="s">
        <v>840</v>
      </c>
      <c r="C36" s="685" t="s">
        <v>817</v>
      </c>
      <c r="D36" s="692">
        <v>39209</v>
      </c>
      <c r="E36" s="118" t="s">
        <v>2</v>
      </c>
      <c r="F36" s="59" t="s">
        <v>8</v>
      </c>
      <c r="G36" s="682">
        <v>1</v>
      </c>
      <c r="H36" s="60">
        <v>0.66</v>
      </c>
      <c r="I36" s="119">
        <f t="shared" si="0"/>
        <v>0.16800000000000001</v>
      </c>
      <c r="J36" s="60">
        <f t="shared" si="1"/>
        <v>0.77</v>
      </c>
      <c r="K36" s="120">
        <f t="shared" si="2"/>
        <v>0.77</v>
      </c>
      <c r="L36" s="684"/>
      <c r="M36" s="684"/>
      <c r="N36" s="684"/>
      <c r="O36" s="684"/>
      <c r="P36" s="684"/>
      <c r="Q36" s="684"/>
    </row>
    <row r="37" spans="1:17" s="52" customFormat="1" ht="31.5">
      <c r="A37" s="47"/>
      <c r="B37" s="554" t="s">
        <v>841</v>
      </c>
      <c r="C37" s="685" t="s">
        <v>873</v>
      </c>
      <c r="D37" s="692">
        <v>979</v>
      </c>
      <c r="E37" s="118" t="s">
        <v>2</v>
      </c>
      <c r="F37" s="59" t="s">
        <v>4</v>
      </c>
      <c r="G37" s="682">
        <v>25</v>
      </c>
      <c r="H37" s="60">
        <v>11.38</v>
      </c>
      <c r="I37" s="119">
        <f t="shared" si="0"/>
        <v>0.16800000000000001</v>
      </c>
      <c r="J37" s="60">
        <f t="shared" si="1"/>
        <v>13.29</v>
      </c>
      <c r="K37" s="120">
        <f t="shared" si="2"/>
        <v>332.25</v>
      </c>
      <c r="L37" s="684"/>
      <c r="M37" s="684"/>
      <c r="N37" s="684"/>
      <c r="O37" s="684"/>
      <c r="P37" s="684"/>
      <c r="Q37" s="684"/>
    </row>
    <row r="38" spans="1:17" s="52" customFormat="1" ht="31.5">
      <c r="A38" s="47"/>
      <c r="B38" s="554" t="s">
        <v>842</v>
      </c>
      <c r="C38" s="685" t="s">
        <v>874</v>
      </c>
      <c r="D38" s="692">
        <v>979</v>
      </c>
      <c r="E38" s="118" t="s">
        <v>2</v>
      </c>
      <c r="F38" s="59" t="s">
        <v>4</v>
      </c>
      <c r="G38" s="682">
        <v>10</v>
      </c>
      <c r="H38" s="60">
        <v>11.38</v>
      </c>
      <c r="I38" s="119">
        <f t="shared" si="0"/>
        <v>0.16800000000000001</v>
      </c>
      <c r="J38" s="60">
        <f t="shared" si="1"/>
        <v>13.29</v>
      </c>
      <c r="K38" s="120">
        <f t="shared" si="2"/>
        <v>132.9</v>
      </c>
      <c r="L38" s="684"/>
      <c r="M38" s="684"/>
      <c r="N38" s="684"/>
      <c r="O38" s="684"/>
      <c r="P38" s="684"/>
      <c r="Q38" s="684"/>
    </row>
    <row r="39" spans="1:17" s="52" customFormat="1">
      <c r="A39" s="47"/>
      <c r="B39" s="554" t="s">
        <v>843</v>
      </c>
      <c r="C39" s="685" t="s">
        <v>818</v>
      </c>
      <c r="D39" s="279"/>
      <c r="E39" s="118"/>
      <c r="F39" s="59" t="s">
        <v>8</v>
      </c>
      <c r="G39" s="682">
        <v>5</v>
      </c>
      <c r="H39" s="60">
        <v>72.3</v>
      </c>
      <c r="I39" s="119">
        <f t="shared" si="0"/>
        <v>0.16800000000000001</v>
      </c>
      <c r="J39" s="60">
        <f t="shared" si="1"/>
        <v>84.45</v>
      </c>
      <c r="K39" s="120">
        <f t="shared" si="2"/>
        <v>422.25</v>
      </c>
      <c r="L39" s="684"/>
      <c r="M39" s="684"/>
      <c r="N39" s="684"/>
      <c r="O39" s="684"/>
      <c r="P39" s="684"/>
      <c r="Q39" s="684"/>
    </row>
    <row r="40" spans="1:17" s="52" customFormat="1">
      <c r="A40" s="47"/>
      <c r="B40" s="554" t="s">
        <v>844</v>
      </c>
      <c r="C40" s="685" t="s">
        <v>875</v>
      </c>
      <c r="D40" s="692">
        <v>1575</v>
      </c>
      <c r="E40" s="118" t="s">
        <v>2</v>
      </c>
      <c r="F40" s="59" t="s">
        <v>8</v>
      </c>
      <c r="G40" s="682">
        <v>14</v>
      </c>
      <c r="H40" s="60">
        <v>1.96</v>
      </c>
      <c r="I40" s="119">
        <f t="shared" si="0"/>
        <v>0.16800000000000001</v>
      </c>
      <c r="J40" s="60">
        <f t="shared" si="1"/>
        <v>2.29</v>
      </c>
      <c r="K40" s="120">
        <f t="shared" si="2"/>
        <v>32.06</v>
      </c>
      <c r="L40" s="684"/>
      <c r="M40" s="684"/>
      <c r="N40" s="684"/>
      <c r="O40" s="684"/>
      <c r="P40" s="684"/>
      <c r="Q40" s="684"/>
    </row>
    <row r="41" spans="1:17" s="52" customFormat="1">
      <c r="A41" s="47"/>
      <c r="B41" s="554" t="s">
        <v>845</v>
      </c>
      <c r="C41" s="685" t="s">
        <v>876</v>
      </c>
      <c r="D41" s="692">
        <v>857</v>
      </c>
      <c r="E41" s="118" t="s">
        <v>2</v>
      </c>
      <c r="F41" s="59" t="s">
        <v>4</v>
      </c>
      <c r="G41" s="682">
        <v>5</v>
      </c>
      <c r="H41" s="60">
        <v>13.78</v>
      </c>
      <c r="I41" s="119">
        <f t="shared" si="0"/>
        <v>0.16800000000000001</v>
      </c>
      <c r="J41" s="60">
        <f t="shared" si="1"/>
        <v>16.100000000000001</v>
      </c>
      <c r="K41" s="120">
        <f t="shared" si="2"/>
        <v>80.5</v>
      </c>
      <c r="L41" s="684"/>
      <c r="M41" s="684"/>
      <c r="N41" s="684"/>
      <c r="O41" s="684"/>
      <c r="P41" s="684"/>
      <c r="Q41" s="684"/>
    </row>
    <row r="42" spans="1:17" s="52" customFormat="1">
      <c r="A42" s="47"/>
      <c r="B42" s="554" t="s">
        <v>846</v>
      </c>
      <c r="C42" s="685" t="s">
        <v>870</v>
      </c>
      <c r="D42" s="692">
        <v>2373</v>
      </c>
      <c r="E42" s="118" t="s">
        <v>2</v>
      </c>
      <c r="F42" s="59" t="s">
        <v>8</v>
      </c>
      <c r="G42" s="682">
        <v>1</v>
      </c>
      <c r="H42" s="60">
        <v>101.67</v>
      </c>
      <c r="I42" s="119">
        <f t="shared" si="0"/>
        <v>0.16800000000000001</v>
      </c>
      <c r="J42" s="60">
        <f t="shared" si="1"/>
        <v>118.75</v>
      </c>
      <c r="K42" s="120">
        <f t="shared" si="2"/>
        <v>118.75</v>
      </c>
      <c r="L42" s="684"/>
      <c r="M42" s="684"/>
      <c r="N42" s="684"/>
      <c r="O42" s="684"/>
      <c r="P42" s="684"/>
      <c r="Q42" s="684"/>
    </row>
    <row r="43" spans="1:17" s="52" customFormat="1" ht="31.5">
      <c r="A43" s="47"/>
      <c r="B43" s="554" t="s">
        <v>847</v>
      </c>
      <c r="C43" s="685" t="s">
        <v>871</v>
      </c>
      <c r="D43" s="692" t="s">
        <v>890</v>
      </c>
      <c r="E43" s="118" t="s">
        <v>5</v>
      </c>
      <c r="F43" s="59" t="s">
        <v>8</v>
      </c>
      <c r="G43" s="682">
        <v>1</v>
      </c>
      <c r="H43" s="60">
        <v>260.06</v>
      </c>
      <c r="I43" s="119">
        <f t="shared" si="0"/>
        <v>0.16800000000000001</v>
      </c>
      <c r="J43" s="60">
        <f t="shared" si="1"/>
        <v>303.75</v>
      </c>
      <c r="K43" s="120">
        <f t="shared" si="2"/>
        <v>303.75</v>
      </c>
      <c r="L43" s="684"/>
      <c r="M43" s="684"/>
      <c r="N43" s="684"/>
      <c r="O43" s="684"/>
      <c r="P43" s="684"/>
      <c r="Q43" s="684"/>
    </row>
    <row r="44" spans="1:17" s="52" customFormat="1" ht="31.5">
      <c r="A44" s="47"/>
      <c r="B44" s="554" t="s">
        <v>848</v>
      </c>
      <c r="C44" s="685" t="s">
        <v>877</v>
      </c>
      <c r="D44" s="692" t="s">
        <v>892</v>
      </c>
      <c r="E44" s="118" t="s">
        <v>5</v>
      </c>
      <c r="F44" s="59" t="s">
        <v>8</v>
      </c>
      <c r="G44" s="682">
        <v>1</v>
      </c>
      <c r="H44" s="60">
        <v>14.33</v>
      </c>
      <c r="I44" s="119">
        <f t="shared" si="0"/>
        <v>0.16800000000000001</v>
      </c>
      <c r="J44" s="60">
        <f t="shared" si="1"/>
        <v>16.739999999999998</v>
      </c>
      <c r="K44" s="120">
        <f t="shared" si="2"/>
        <v>16.739999999999998</v>
      </c>
      <c r="L44" s="684"/>
      <c r="M44" s="684"/>
      <c r="N44" s="684"/>
      <c r="O44" s="684"/>
      <c r="P44" s="684"/>
      <c r="Q44" s="684"/>
    </row>
    <row r="45" spans="1:17" s="52" customFormat="1" ht="31.5">
      <c r="A45" s="47"/>
      <c r="B45" s="554" t="s">
        <v>849</v>
      </c>
      <c r="C45" s="685" t="s">
        <v>819</v>
      </c>
      <c r="D45" s="692" t="s">
        <v>891</v>
      </c>
      <c r="E45" s="118" t="s">
        <v>5</v>
      </c>
      <c r="F45" s="59" t="s">
        <v>8</v>
      </c>
      <c r="G45" s="682">
        <v>1</v>
      </c>
      <c r="H45" s="60">
        <v>77.650000000000006</v>
      </c>
      <c r="I45" s="119">
        <f t="shared" si="0"/>
        <v>0.16800000000000001</v>
      </c>
      <c r="J45" s="60">
        <f t="shared" si="1"/>
        <v>90.7</v>
      </c>
      <c r="K45" s="120">
        <f t="shared" si="2"/>
        <v>90.7</v>
      </c>
      <c r="L45" s="684"/>
      <c r="M45" s="684"/>
      <c r="N45" s="684"/>
      <c r="O45" s="684"/>
      <c r="P45" s="684"/>
      <c r="Q45" s="684"/>
    </row>
    <row r="46" spans="1:17" s="52" customFormat="1">
      <c r="A46" s="47"/>
      <c r="B46" s="554" t="s">
        <v>850</v>
      </c>
      <c r="C46" s="685" t="s">
        <v>820</v>
      </c>
      <c r="D46" s="279"/>
      <c r="E46" s="118"/>
      <c r="F46" s="59" t="s">
        <v>61</v>
      </c>
      <c r="G46" s="682">
        <v>1</v>
      </c>
      <c r="H46" s="60">
        <v>75.7</v>
      </c>
      <c r="I46" s="119">
        <f t="shared" si="0"/>
        <v>0.16800000000000001</v>
      </c>
      <c r="J46" s="60">
        <f t="shared" si="1"/>
        <v>88.42</v>
      </c>
      <c r="K46" s="120">
        <f t="shared" si="2"/>
        <v>88.42</v>
      </c>
      <c r="L46" s="684"/>
      <c r="M46" s="684"/>
      <c r="N46" s="684"/>
      <c r="O46" s="684"/>
      <c r="P46" s="684"/>
      <c r="Q46" s="684"/>
    </row>
    <row r="47" spans="1:17" s="52" customFormat="1">
      <c r="A47" s="47"/>
      <c r="B47" s="554" t="s">
        <v>38</v>
      </c>
      <c r="C47" s="685" t="s">
        <v>821</v>
      </c>
      <c r="D47" s="279"/>
      <c r="E47" s="118"/>
      <c r="F47" s="59"/>
      <c r="G47" s="682"/>
      <c r="H47" s="60"/>
      <c r="I47" s="683"/>
      <c r="J47" s="77"/>
      <c r="K47" s="284"/>
      <c r="L47" s="684"/>
      <c r="M47" s="684"/>
      <c r="N47" s="684"/>
      <c r="O47" s="684"/>
      <c r="P47" s="684"/>
      <c r="Q47" s="684"/>
    </row>
    <row r="48" spans="1:17" s="52" customFormat="1" ht="63">
      <c r="A48" s="47"/>
      <c r="B48" s="554" t="s">
        <v>851</v>
      </c>
      <c r="C48" s="685" t="s">
        <v>878</v>
      </c>
      <c r="D48" s="692">
        <v>1022</v>
      </c>
      <c r="E48" s="118" t="s">
        <v>2</v>
      </c>
      <c r="F48" s="59" t="s">
        <v>4</v>
      </c>
      <c r="G48" s="682">
        <v>200</v>
      </c>
      <c r="H48" s="60">
        <v>2.0699999999999998</v>
      </c>
      <c r="I48" s="119">
        <f t="shared" si="0"/>
        <v>0.16800000000000001</v>
      </c>
      <c r="J48" s="60">
        <f>ROUND(H48*(I48+1),2)</f>
        <v>2.42</v>
      </c>
      <c r="K48" s="120">
        <f>ROUND(G48*J48,2)</f>
        <v>484</v>
      </c>
      <c r="L48" s="684"/>
      <c r="M48" s="684"/>
      <c r="N48" s="684"/>
      <c r="O48" s="684"/>
      <c r="P48" s="684"/>
      <c r="Q48" s="684"/>
    </row>
    <row r="49" spans="1:17" s="52" customFormat="1" ht="63">
      <c r="A49" s="47"/>
      <c r="B49" s="554" t="s">
        <v>852</v>
      </c>
      <c r="C49" s="685" t="s">
        <v>879</v>
      </c>
      <c r="D49" s="692">
        <v>1022</v>
      </c>
      <c r="E49" s="118" t="s">
        <v>2</v>
      </c>
      <c r="F49" s="59" t="s">
        <v>4</v>
      </c>
      <c r="G49" s="682">
        <v>100</v>
      </c>
      <c r="H49" s="60">
        <v>2.0699999999999998</v>
      </c>
      <c r="I49" s="119">
        <f t="shared" si="0"/>
        <v>0.16800000000000001</v>
      </c>
      <c r="J49" s="60">
        <f>ROUND(H49*(I49+1),2)</f>
        <v>2.42</v>
      </c>
      <c r="K49" s="120">
        <f t="shared" ref="K49:K50" si="3">ROUND(G49*J49,2)</f>
        <v>242</v>
      </c>
      <c r="L49" s="684"/>
      <c r="M49" s="684"/>
      <c r="N49" s="684"/>
      <c r="O49" s="684"/>
      <c r="P49" s="684"/>
      <c r="Q49" s="684"/>
    </row>
    <row r="50" spans="1:17" s="52" customFormat="1" ht="78.75">
      <c r="A50" s="47"/>
      <c r="B50" s="554" t="s">
        <v>853</v>
      </c>
      <c r="C50" s="685" t="s">
        <v>893</v>
      </c>
      <c r="D50" s="692">
        <v>993</v>
      </c>
      <c r="E50" s="118" t="s">
        <v>2</v>
      </c>
      <c r="F50" s="59" t="s">
        <v>4</v>
      </c>
      <c r="G50" s="682">
        <v>300</v>
      </c>
      <c r="H50" s="60">
        <v>1.49</v>
      </c>
      <c r="I50" s="119">
        <f t="shared" si="0"/>
        <v>0.16800000000000001</v>
      </c>
      <c r="J50" s="60">
        <f>ROUND(H50*(I50+1),2)</f>
        <v>1.74</v>
      </c>
      <c r="K50" s="120">
        <f t="shared" si="3"/>
        <v>522</v>
      </c>
      <c r="L50" s="684"/>
      <c r="M50" s="684"/>
      <c r="N50" s="684"/>
      <c r="O50" s="684"/>
      <c r="P50" s="684"/>
      <c r="Q50" s="684"/>
    </row>
    <row r="51" spans="1:17" s="52" customFormat="1">
      <c r="A51" s="47"/>
      <c r="B51" s="554" t="s">
        <v>854</v>
      </c>
      <c r="C51" s="685" t="s">
        <v>822</v>
      </c>
      <c r="D51" s="279"/>
      <c r="E51" s="118"/>
      <c r="F51" s="59"/>
      <c r="G51" s="682"/>
      <c r="H51" s="60"/>
      <c r="I51" s="683"/>
      <c r="J51" s="77"/>
      <c r="K51" s="284"/>
      <c r="L51" s="684"/>
      <c r="M51" s="684"/>
      <c r="N51" s="684"/>
      <c r="O51" s="684"/>
      <c r="P51" s="684"/>
      <c r="Q51" s="684"/>
    </row>
    <row r="52" spans="1:17" s="52" customFormat="1" ht="47.25">
      <c r="A52" s="47"/>
      <c r="B52" s="593" t="s">
        <v>855</v>
      </c>
      <c r="C52" s="697" t="s">
        <v>880</v>
      </c>
      <c r="D52" s="698">
        <v>2446</v>
      </c>
      <c r="E52" s="699" t="s">
        <v>2</v>
      </c>
      <c r="F52" s="700" t="s">
        <v>4</v>
      </c>
      <c r="G52" s="701">
        <v>100</v>
      </c>
      <c r="H52" s="305">
        <v>7.8</v>
      </c>
      <c r="I52" s="600">
        <f t="shared" si="0"/>
        <v>0.16800000000000001</v>
      </c>
      <c r="J52" s="305">
        <f>ROUND(H52*(I52+1),2)</f>
        <v>9.11</v>
      </c>
      <c r="K52" s="306">
        <f>ROUND(G52*J52,2)</f>
        <v>911</v>
      </c>
      <c r="L52" s="684"/>
      <c r="M52" s="684"/>
      <c r="N52" s="684"/>
      <c r="O52" s="684"/>
      <c r="P52" s="684"/>
      <c r="Q52" s="684"/>
    </row>
    <row r="53" spans="1:17" s="52" customFormat="1" ht="31.5">
      <c r="A53" s="47"/>
      <c r="B53" s="554" t="s">
        <v>856</v>
      </c>
      <c r="C53" s="685" t="s">
        <v>881</v>
      </c>
      <c r="D53" s="692">
        <v>21128</v>
      </c>
      <c r="E53" s="118" t="s">
        <v>2</v>
      </c>
      <c r="F53" s="59" t="s">
        <v>823</v>
      </c>
      <c r="G53" s="682">
        <v>8</v>
      </c>
      <c r="H53" s="60">
        <f>ROUND(9.67*3,2)</f>
        <v>29.01</v>
      </c>
      <c r="I53" s="119">
        <f t="shared" si="0"/>
        <v>0.16800000000000001</v>
      </c>
      <c r="J53" s="60">
        <f>ROUND(H53*(I53+1),2)</f>
        <v>33.880000000000003</v>
      </c>
      <c r="K53" s="120">
        <f t="shared" ref="K53:K56" si="4">ROUND(G53*J53,2)</f>
        <v>271.04000000000002</v>
      </c>
      <c r="L53" s="684"/>
      <c r="M53" s="684"/>
      <c r="N53" s="684"/>
      <c r="O53" s="684"/>
      <c r="P53" s="684"/>
      <c r="Q53" s="684"/>
    </row>
    <row r="54" spans="1:17" s="52" customFormat="1" ht="31.5">
      <c r="A54" s="47"/>
      <c r="B54" s="554" t="s">
        <v>857</v>
      </c>
      <c r="C54" s="685" t="s">
        <v>882</v>
      </c>
      <c r="D54" s="692">
        <v>2637</v>
      </c>
      <c r="E54" s="118" t="s">
        <v>2</v>
      </c>
      <c r="F54" s="59" t="s">
        <v>4</v>
      </c>
      <c r="G54" s="682">
        <v>12</v>
      </c>
      <c r="H54" s="60">
        <v>1.78</v>
      </c>
      <c r="I54" s="119">
        <f t="shared" si="0"/>
        <v>0.16800000000000001</v>
      </c>
      <c r="J54" s="60">
        <f>ROUND(H54*(I54+1),2)</f>
        <v>2.08</v>
      </c>
      <c r="K54" s="120">
        <f t="shared" si="4"/>
        <v>24.96</v>
      </c>
      <c r="L54" s="684"/>
      <c r="M54" s="684"/>
      <c r="N54" s="684"/>
      <c r="O54" s="684"/>
      <c r="P54" s="684"/>
      <c r="Q54" s="684"/>
    </row>
    <row r="55" spans="1:17" s="52" customFormat="1" ht="31.5">
      <c r="A55" s="47"/>
      <c r="B55" s="554" t="s">
        <v>858</v>
      </c>
      <c r="C55" s="685" t="s">
        <v>883</v>
      </c>
      <c r="D55" s="692" t="s">
        <v>894</v>
      </c>
      <c r="E55" s="118" t="s">
        <v>5</v>
      </c>
      <c r="F55" s="59" t="s">
        <v>8</v>
      </c>
      <c r="G55" s="682">
        <v>2</v>
      </c>
      <c r="H55" s="60">
        <v>5.73</v>
      </c>
      <c r="I55" s="119">
        <f t="shared" si="0"/>
        <v>0.16800000000000001</v>
      </c>
      <c r="J55" s="60">
        <f>ROUND(H55*(I55+1),2)</f>
        <v>6.69</v>
      </c>
      <c r="K55" s="120">
        <f t="shared" si="4"/>
        <v>13.38</v>
      </c>
      <c r="L55" s="684"/>
      <c r="M55" s="684"/>
      <c r="N55" s="684"/>
      <c r="O55" s="684"/>
      <c r="P55" s="684"/>
      <c r="Q55" s="684"/>
    </row>
    <row r="56" spans="1:17" s="52" customFormat="1" ht="31.5">
      <c r="A56" s="47"/>
      <c r="B56" s="554" t="s">
        <v>859</v>
      </c>
      <c r="C56" s="685" t="s">
        <v>884</v>
      </c>
      <c r="D56" s="692">
        <v>1599</v>
      </c>
      <c r="E56" s="118" t="s">
        <v>2</v>
      </c>
      <c r="F56" s="59" t="s">
        <v>8</v>
      </c>
      <c r="G56" s="682">
        <v>2</v>
      </c>
      <c r="H56" s="60">
        <v>14.86</v>
      </c>
      <c r="I56" s="119">
        <f t="shared" si="0"/>
        <v>0.16800000000000001</v>
      </c>
      <c r="J56" s="60">
        <f>ROUND(H56*(I56+1),2)</f>
        <v>17.36</v>
      </c>
      <c r="K56" s="120">
        <f t="shared" si="4"/>
        <v>34.72</v>
      </c>
      <c r="L56" s="684"/>
      <c r="M56" s="684"/>
      <c r="N56" s="684"/>
      <c r="O56" s="684"/>
      <c r="P56" s="684"/>
      <c r="Q56" s="684"/>
    </row>
    <row r="57" spans="1:17" s="52" customFormat="1">
      <c r="A57" s="47"/>
      <c r="B57" s="554" t="s">
        <v>860</v>
      </c>
      <c r="C57" s="685" t="s">
        <v>824</v>
      </c>
      <c r="D57" s="279"/>
      <c r="E57" s="118"/>
      <c r="F57" s="59"/>
      <c r="G57" s="682"/>
      <c r="H57" s="60"/>
      <c r="I57" s="686"/>
      <c r="J57" s="77"/>
      <c r="K57" s="284"/>
      <c r="L57" s="684"/>
      <c r="M57" s="684"/>
      <c r="N57" s="684"/>
      <c r="O57" s="684"/>
      <c r="P57" s="684"/>
      <c r="Q57" s="684"/>
    </row>
    <row r="58" spans="1:17" s="52" customFormat="1" ht="78.75">
      <c r="A58" s="47"/>
      <c r="B58" s="554" t="s">
        <v>861</v>
      </c>
      <c r="C58" s="685" t="str">
        <f>'Resumo Preços'!$D$66</f>
        <v>Transmissor de nível tipo piezostático (por pressão), alimentação 24 Vcc, sinalização 4-20 mA, com indicador local integral, conexão ao processo com rosca 1/2" NPT e apto para instalação ao tempo</v>
      </c>
      <c r="D58" s="279" t="str">
        <f>'Resumo Preços'!$C$66</f>
        <v>INST-01</v>
      </c>
      <c r="E58" s="118" t="str">
        <f>'Resumo Preços'!$B$66</f>
        <v>Cotação</v>
      </c>
      <c r="F58" s="59" t="str">
        <f>'Resumo Preços'!$E$66</f>
        <v>cj</v>
      </c>
      <c r="G58" s="682">
        <v>1</v>
      </c>
      <c r="H58" s="60">
        <f>ROUND('Resumo Preços'!$L$66,2)</f>
        <v>4382.72</v>
      </c>
      <c r="I58" s="119">
        <f t="shared" ref="I58:I61" si="5">$K$7</f>
        <v>0.16800000000000001</v>
      </c>
      <c r="J58" s="77">
        <f>ROUND(H58*(I58+1),2)</f>
        <v>5119.0200000000004</v>
      </c>
      <c r="K58" s="687">
        <f>ROUND(G58*J58,2)</f>
        <v>5119.0200000000004</v>
      </c>
      <c r="L58" s="684"/>
      <c r="M58" s="684"/>
      <c r="N58" s="684"/>
      <c r="O58" s="684"/>
      <c r="P58" s="684"/>
      <c r="Q58" s="684"/>
    </row>
    <row r="59" spans="1:17" s="52" customFormat="1">
      <c r="A59" s="47"/>
      <c r="B59" s="554" t="s">
        <v>862</v>
      </c>
      <c r="C59" s="685" t="s">
        <v>825</v>
      </c>
      <c r="D59" s="279"/>
      <c r="E59" s="118"/>
      <c r="F59" s="59"/>
      <c r="G59" s="682"/>
      <c r="H59" s="60"/>
      <c r="I59" s="686"/>
      <c r="J59" s="77"/>
      <c r="K59" s="284"/>
      <c r="L59" s="684"/>
      <c r="M59" s="684"/>
      <c r="N59" s="684"/>
      <c r="O59" s="684"/>
      <c r="P59" s="684"/>
      <c r="Q59" s="684"/>
    </row>
    <row r="60" spans="1:17" s="52" customFormat="1" ht="47.25">
      <c r="A60" s="47"/>
      <c r="B60" s="554" t="s">
        <v>863</v>
      </c>
      <c r="C60" s="685" t="s">
        <v>897</v>
      </c>
      <c r="D60" s="692"/>
      <c r="E60" s="118"/>
      <c r="F60" s="59" t="s">
        <v>161</v>
      </c>
      <c r="G60" s="682">
        <v>1</v>
      </c>
      <c r="H60" s="60">
        <v>165.34</v>
      </c>
      <c r="I60" s="119">
        <f t="shared" si="5"/>
        <v>0.16800000000000001</v>
      </c>
      <c r="J60" s="77">
        <f>ROUND(H60*(I60+1),2)</f>
        <v>193.12</v>
      </c>
      <c r="K60" s="687">
        <f>ROUND(G60*J60,2)</f>
        <v>193.12</v>
      </c>
      <c r="L60" s="684"/>
      <c r="M60" s="684"/>
      <c r="N60" s="684"/>
      <c r="O60" s="684"/>
      <c r="P60" s="684"/>
      <c r="Q60" s="684"/>
    </row>
    <row r="61" spans="1:17" s="52" customFormat="1" ht="31.5">
      <c r="A61" s="47"/>
      <c r="B61" s="554" t="s">
        <v>864</v>
      </c>
      <c r="C61" s="685" t="s">
        <v>898</v>
      </c>
      <c r="D61" s="692"/>
      <c r="E61" s="118"/>
      <c r="F61" s="59" t="s">
        <v>161</v>
      </c>
      <c r="G61" s="682">
        <v>2</v>
      </c>
      <c r="H61" s="60">
        <v>37.9</v>
      </c>
      <c r="I61" s="119">
        <f t="shared" si="5"/>
        <v>0.16800000000000001</v>
      </c>
      <c r="J61" s="77">
        <f>ROUND(H61*(I61+1),2)</f>
        <v>44.27</v>
      </c>
      <c r="K61" s="687">
        <f>ROUND(G61*J61,2)</f>
        <v>88.54</v>
      </c>
      <c r="L61" s="684"/>
      <c r="M61" s="684"/>
      <c r="N61" s="684"/>
      <c r="O61" s="684"/>
      <c r="P61" s="684"/>
      <c r="Q61" s="684"/>
    </row>
    <row r="62" spans="1:17" s="52" customFormat="1">
      <c r="A62" s="47"/>
      <c r="B62" s="554" t="s">
        <v>865</v>
      </c>
      <c r="C62" s="685" t="s">
        <v>826</v>
      </c>
      <c r="D62" s="279"/>
      <c r="E62" s="118"/>
      <c r="F62" s="59"/>
      <c r="G62" s="682"/>
      <c r="H62" s="60"/>
      <c r="I62" s="686"/>
      <c r="J62" s="77"/>
      <c r="K62" s="687"/>
      <c r="L62" s="684"/>
      <c r="M62" s="684"/>
      <c r="N62" s="684"/>
      <c r="O62" s="684"/>
      <c r="P62" s="684"/>
      <c r="Q62" s="684"/>
    </row>
    <row r="63" spans="1:17" s="52" customFormat="1" ht="31.5">
      <c r="A63" s="47"/>
      <c r="B63" s="554" t="s">
        <v>866</v>
      </c>
      <c r="C63" s="685" t="s">
        <v>872</v>
      </c>
      <c r="D63" s="692">
        <v>867</v>
      </c>
      <c r="E63" s="118" t="s">
        <v>2</v>
      </c>
      <c r="F63" s="59" t="s">
        <v>4</v>
      </c>
      <c r="G63" s="682">
        <v>100</v>
      </c>
      <c r="H63" s="60">
        <v>41.21</v>
      </c>
      <c r="I63" s="119">
        <f t="shared" ref="I63:I66" si="6">$K$7</f>
        <v>0.16800000000000001</v>
      </c>
      <c r="J63" s="60">
        <f>ROUND(H63*(I63+1),2)</f>
        <v>48.13</v>
      </c>
      <c r="K63" s="120">
        <f>ROUND(G63*J63,2)</f>
        <v>4813</v>
      </c>
      <c r="L63" s="684"/>
      <c r="M63" s="684"/>
      <c r="N63" s="684"/>
      <c r="O63" s="684"/>
      <c r="P63" s="684"/>
      <c r="Q63" s="684"/>
    </row>
    <row r="64" spans="1:17" s="52" customFormat="1" ht="31.5">
      <c r="A64" s="47"/>
      <c r="B64" s="554" t="s">
        <v>867</v>
      </c>
      <c r="C64" s="685" t="s">
        <v>871</v>
      </c>
      <c r="D64" s="692" t="s">
        <v>890</v>
      </c>
      <c r="E64" s="118" t="s">
        <v>5</v>
      </c>
      <c r="F64" s="59" t="s">
        <v>8</v>
      </c>
      <c r="G64" s="682">
        <v>4</v>
      </c>
      <c r="H64" s="60">
        <v>260.06</v>
      </c>
      <c r="I64" s="119">
        <f t="shared" si="6"/>
        <v>0.16800000000000001</v>
      </c>
      <c r="J64" s="60">
        <f t="shared" ref="J64:J66" si="7">ROUND(H64*(I64+1),2)</f>
        <v>303.75</v>
      </c>
      <c r="K64" s="120">
        <f t="shared" ref="K64:K66" si="8">ROUND(G64*J64,2)</f>
        <v>1215</v>
      </c>
      <c r="L64" s="688"/>
      <c r="M64" s="688"/>
      <c r="N64" s="688"/>
      <c r="O64" s="688"/>
      <c r="P64" s="688"/>
      <c r="Q64" s="688"/>
    </row>
    <row r="65" spans="1:17" s="52" customFormat="1" ht="31.5">
      <c r="A65" s="47"/>
      <c r="B65" s="554" t="s">
        <v>868</v>
      </c>
      <c r="C65" s="685" t="s">
        <v>819</v>
      </c>
      <c r="D65" s="692" t="s">
        <v>891</v>
      </c>
      <c r="E65" s="118" t="s">
        <v>5</v>
      </c>
      <c r="F65" s="59" t="s">
        <v>8</v>
      </c>
      <c r="G65" s="682">
        <v>1</v>
      </c>
      <c r="H65" s="60">
        <v>77.650000000000006</v>
      </c>
      <c r="I65" s="119">
        <f t="shared" si="6"/>
        <v>0.16800000000000001</v>
      </c>
      <c r="J65" s="60">
        <f t="shared" si="7"/>
        <v>90.7</v>
      </c>
      <c r="K65" s="120">
        <f t="shared" si="8"/>
        <v>90.7</v>
      </c>
      <c r="L65" s="684"/>
      <c r="M65" s="684"/>
      <c r="N65" s="684"/>
      <c r="O65" s="684"/>
      <c r="P65" s="684"/>
      <c r="Q65" s="684"/>
    </row>
    <row r="66" spans="1:17" s="52" customFormat="1" ht="31.5">
      <c r="A66" s="47"/>
      <c r="B66" s="554" t="s">
        <v>869</v>
      </c>
      <c r="C66" s="685" t="s">
        <v>896</v>
      </c>
      <c r="D66" s="692"/>
      <c r="E66" s="118"/>
      <c r="F66" s="59" t="s">
        <v>8</v>
      </c>
      <c r="G66" s="682">
        <v>15</v>
      </c>
      <c r="H66" s="60">
        <v>18.64</v>
      </c>
      <c r="I66" s="119">
        <f t="shared" si="6"/>
        <v>0.16800000000000001</v>
      </c>
      <c r="J66" s="60">
        <f t="shared" si="7"/>
        <v>21.77</v>
      </c>
      <c r="K66" s="120">
        <f t="shared" si="8"/>
        <v>326.55</v>
      </c>
      <c r="L66" s="684"/>
      <c r="M66" s="684"/>
      <c r="N66" s="684"/>
      <c r="O66" s="684"/>
      <c r="P66" s="684"/>
      <c r="Q66" s="684"/>
    </row>
    <row r="67" spans="1:17" s="47" customFormat="1">
      <c r="B67" s="72"/>
      <c r="C67" s="307"/>
      <c r="D67" s="279"/>
      <c r="E67" s="118"/>
      <c r="F67" s="124"/>
      <c r="G67" s="318"/>
      <c r="H67" s="70"/>
      <c r="I67" s="70"/>
      <c r="J67" s="125"/>
      <c r="K67" s="126"/>
    </row>
    <row r="68" spans="1:17" s="47" customFormat="1">
      <c r="B68" s="72"/>
      <c r="C68" s="63" t="s">
        <v>39</v>
      </c>
      <c r="D68" s="279"/>
      <c r="E68" s="74"/>
      <c r="F68" s="75"/>
      <c r="G68" s="315"/>
      <c r="H68" s="70"/>
      <c r="I68" s="316"/>
      <c r="J68" s="60">
        <f>ROUND(H68*(I68+1),2)</f>
        <v>0</v>
      </c>
      <c r="K68" s="123">
        <f>SUM(K22:K67)</f>
        <v>16985</v>
      </c>
      <c r="M68" s="694">
        <v>18732.939999999999</v>
      </c>
      <c r="N68" s="695">
        <f>K68-M68</f>
        <v>-1747.9399999999987</v>
      </c>
    </row>
    <row r="69" spans="1:17" s="47" customFormat="1">
      <c r="B69" s="72"/>
      <c r="C69" s="63"/>
      <c r="D69" s="122"/>
      <c r="E69" s="74"/>
      <c r="F69" s="75"/>
      <c r="G69" s="315"/>
      <c r="H69" s="315"/>
      <c r="I69" s="316"/>
      <c r="J69" s="60"/>
      <c r="K69" s="123"/>
    </row>
    <row r="70" spans="1:17" s="47" customFormat="1">
      <c r="B70" s="72"/>
      <c r="C70" s="127"/>
      <c r="D70" s="124"/>
      <c r="E70" s="124"/>
      <c r="F70" s="124"/>
      <c r="G70" s="59"/>
      <c r="H70" s="128"/>
      <c r="I70" s="120"/>
      <c r="J70" s="125"/>
      <c r="K70" s="126"/>
    </row>
    <row r="71" spans="1:17" s="47" customFormat="1">
      <c r="B71" s="62"/>
      <c r="C71" s="64" t="s">
        <v>34</v>
      </c>
      <c r="D71" s="130"/>
      <c r="E71" s="130"/>
      <c r="F71" s="76"/>
      <c r="G71" s="57"/>
      <c r="H71" s="77"/>
      <c r="I71" s="77"/>
      <c r="J71" s="77"/>
      <c r="K71" s="78">
        <f>SUM(K16:K70)/2</f>
        <v>2563224.9999999995</v>
      </c>
    </row>
    <row r="72" spans="1:17" s="47" customFormat="1">
      <c r="B72" s="112"/>
      <c r="C72" s="131"/>
      <c r="D72" s="132"/>
      <c r="E72" s="132"/>
      <c r="F72" s="133"/>
      <c r="G72" s="115"/>
      <c r="H72" s="134"/>
      <c r="I72" s="134"/>
      <c r="J72" s="134"/>
      <c r="K72" s="116"/>
    </row>
    <row r="73" spans="1:17" s="47" customFormat="1">
      <c r="B73" s="285"/>
      <c r="C73" s="286"/>
      <c r="D73" s="286"/>
      <c r="E73" s="286"/>
      <c r="F73" s="287"/>
      <c r="G73" s="288"/>
      <c r="H73" s="287"/>
      <c r="I73" s="287"/>
      <c r="J73" s="287"/>
      <c r="K73" s="287"/>
    </row>
    <row r="74" spans="1:17" s="47" customFormat="1">
      <c r="B74" s="285"/>
      <c r="C74" s="286"/>
      <c r="D74" s="286"/>
      <c r="E74" s="286"/>
      <c r="F74" s="287"/>
      <c r="G74" s="288"/>
      <c r="H74" s="287"/>
      <c r="I74" s="287"/>
      <c r="J74" s="287"/>
      <c r="K74" s="287"/>
    </row>
    <row r="75" spans="1:17" s="47" customFormat="1">
      <c r="B75" s="285"/>
      <c r="C75" s="286"/>
      <c r="D75" s="286"/>
      <c r="E75" s="286"/>
      <c r="F75" s="287"/>
      <c r="G75" s="288"/>
      <c r="H75" s="287"/>
      <c r="I75" s="287"/>
      <c r="J75" s="287"/>
      <c r="K75" s="287"/>
    </row>
    <row r="76" spans="1:17" s="47" customFormat="1">
      <c r="B76" s="285"/>
      <c r="C76" s="286"/>
      <c r="D76" s="286"/>
      <c r="E76" s="287"/>
      <c r="F76" s="288"/>
      <c r="G76" s="689"/>
      <c r="H76" s="689"/>
      <c r="I76" s="689"/>
      <c r="J76" s="287"/>
      <c r="K76" s="287"/>
    </row>
    <row r="77" spans="1:17">
      <c r="C77" s="286"/>
      <c r="D77" s="286"/>
      <c r="E77" s="287"/>
      <c r="F77" s="288"/>
      <c r="G77" s="689"/>
      <c r="H77" s="689"/>
      <c r="I77" s="689"/>
      <c r="J77" s="287"/>
    </row>
  </sheetData>
  <mergeCells count="14">
    <mergeCell ref="C6:G6"/>
    <mergeCell ref="H6:J6"/>
    <mergeCell ref="C7:G7"/>
    <mergeCell ref="H7:J7"/>
    <mergeCell ref="B2:B3"/>
    <mergeCell ref="C2:G2"/>
    <mergeCell ref="H2:K2"/>
    <mergeCell ref="C3:G3"/>
    <mergeCell ref="H3:J3"/>
    <mergeCell ref="B4:B7"/>
    <mergeCell ref="C4:G4"/>
    <mergeCell ref="H4:J4"/>
    <mergeCell ref="C5:G5"/>
    <mergeCell ref="H5:K5"/>
  </mergeCells>
  <printOptions horizontalCentered="1"/>
  <pageMargins left="0.59055118110236227" right="0.51181102362204722" top="0.98425196850393704" bottom="0.78740157480314965" header="0.39370078740157483" footer="0.39370078740157483"/>
  <pageSetup paperSize="9" scale="65" firstPageNumber="4" orientation="portrait" r:id="rId1"/>
  <headerFooter scaleWithDoc="0">
    <oddHeader>&amp;L&amp;"Arial,Itálico"&amp;10Rev-1&amp;R&amp;G</oddHeader>
    <oddFooter>&amp;L&amp;"Arial,Negrito"&amp;10CTR 477F&amp;C&amp;"Arial,Negrito"&amp;10 2.&amp;P</oddFooter>
  </headerFooter>
  <rowBreaks count="2" manualBreakCount="2">
    <brk id="15" max="16383" man="1"/>
    <brk id="52" max="16383" man="1"/>
  </row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2:P86"/>
  <sheetViews>
    <sheetView showGridLines="0" showZeros="0" topLeftCell="B1" zoomScaleNormal="100" zoomScaleSheetLayoutView="100" workbookViewId="0">
      <selection activeCell="B4" sqref="B4:W5"/>
    </sheetView>
  </sheetViews>
  <sheetFormatPr defaultColWidth="9.140625" defaultRowHeight="15.75"/>
  <cols>
    <col min="1" max="1" width="3.7109375" style="46" customWidth="1"/>
    <col min="2" max="2" width="8.7109375" style="79" customWidth="1"/>
    <col min="3" max="3" width="43.7109375" style="80" customWidth="1"/>
    <col min="4" max="5" width="9.85546875" style="80" customWidth="1"/>
    <col min="6" max="6" width="7.140625" style="81" customWidth="1"/>
    <col min="7" max="7" width="10.5703125" style="82" customWidth="1"/>
    <col min="8" max="8" width="12.7109375" style="81" customWidth="1"/>
    <col min="9" max="9" width="9.140625" style="81" customWidth="1"/>
    <col min="10" max="10" width="12.7109375" style="81" customWidth="1"/>
    <col min="11" max="11" width="15.85546875" style="81" customWidth="1"/>
    <col min="12" max="12" width="10.5703125" style="46" bestFit="1" customWidth="1"/>
    <col min="13" max="13" width="9.5703125" style="46" bestFit="1" customWidth="1"/>
    <col min="14" max="14" width="10.140625" style="46" bestFit="1" customWidth="1"/>
    <col min="15" max="15" width="9.28515625" style="46" bestFit="1" customWidth="1"/>
    <col min="16" max="16384" width="9.140625" style="46"/>
  </cols>
  <sheetData>
    <row r="2" spans="1:12" s="47" customFormat="1" ht="18" customHeight="1">
      <c r="A2" s="1"/>
      <c r="B2" s="741" t="s">
        <v>46</v>
      </c>
      <c r="C2" s="742" t="s">
        <v>47</v>
      </c>
      <c r="D2" s="743"/>
      <c r="E2" s="743"/>
      <c r="F2" s="743"/>
      <c r="G2" s="744"/>
      <c r="H2" s="745" t="s">
        <v>48</v>
      </c>
      <c r="I2" s="746"/>
      <c r="J2" s="746"/>
      <c r="K2" s="747"/>
    </row>
    <row r="3" spans="1:12" s="47" customFormat="1" ht="18" customHeight="1">
      <c r="A3" s="1"/>
      <c r="B3" s="721"/>
      <c r="C3" s="748" t="s">
        <v>49</v>
      </c>
      <c r="D3" s="749"/>
      <c r="E3" s="749"/>
      <c r="F3" s="749"/>
      <c r="G3" s="750"/>
      <c r="H3" s="726" t="s">
        <v>50</v>
      </c>
      <c r="I3" s="727"/>
      <c r="J3" s="727"/>
      <c r="K3" s="562" t="s">
        <v>908</v>
      </c>
    </row>
    <row r="4" spans="1:12" s="47" customFormat="1" ht="18" customHeight="1">
      <c r="A4" s="1"/>
      <c r="B4" s="721" t="s">
        <v>30</v>
      </c>
      <c r="C4" s="723" t="s">
        <v>901</v>
      </c>
      <c r="D4" s="724"/>
      <c r="E4" s="724"/>
      <c r="F4" s="724"/>
      <c r="G4" s="725"/>
      <c r="H4" s="726" t="s">
        <v>51</v>
      </c>
      <c r="I4" s="727"/>
      <c r="J4" s="727"/>
      <c r="K4" s="562" t="s">
        <v>908</v>
      </c>
    </row>
    <row r="5" spans="1:12" s="47" customFormat="1" ht="18" customHeight="1">
      <c r="A5" s="1"/>
      <c r="B5" s="721"/>
      <c r="C5" s="723" t="s">
        <v>122</v>
      </c>
      <c r="D5" s="728"/>
      <c r="E5" s="728"/>
      <c r="F5" s="728"/>
      <c r="G5" s="729"/>
      <c r="H5" s="730" t="s">
        <v>65</v>
      </c>
      <c r="I5" s="731"/>
      <c r="J5" s="731"/>
      <c r="K5" s="732"/>
    </row>
    <row r="6" spans="1:12" s="47" customFormat="1" ht="18" customHeight="1">
      <c r="A6" s="1"/>
      <c r="B6" s="721"/>
      <c r="C6" s="723" t="s">
        <v>699</v>
      </c>
      <c r="D6" s="728"/>
      <c r="E6" s="728"/>
      <c r="F6" s="728"/>
      <c r="G6" s="729"/>
      <c r="H6" s="726" t="s">
        <v>52</v>
      </c>
      <c r="I6" s="727"/>
      <c r="J6" s="727"/>
      <c r="K6" s="563">
        <v>0.26979999999999998</v>
      </c>
      <c r="L6" s="47">
        <v>0</v>
      </c>
    </row>
    <row r="7" spans="1:12" s="47" customFormat="1" ht="18" customHeight="1">
      <c r="A7" s="1"/>
      <c r="B7" s="722"/>
      <c r="C7" s="767" t="s">
        <v>3</v>
      </c>
      <c r="D7" s="768"/>
      <c r="E7" s="768"/>
      <c r="F7" s="768"/>
      <c r="G7" s="769"/>
      <c r="H7" s="739" t="s">
        <v>53</v>
      </c>
      <c r="I7" s="740"/>
      <c r="J7" s="740"/>
      <c r="K7" s="564">
        <v>0.16800000000000001</v>
      </c>
    </row>
    <row r="8" spans="1:12" s="47" customFormat="1" ht="47.25" customHeight="1">
      <c r="A8" s="1"/>
      <c r="B8" s="592" t="s">
        <v>25</v>
      </c>
      <c r="C8" s="565" t="s">
        <v>31</v>
      </c>
      <c r="D8" s="566" t="s">
        <v>26</v>
      </c>
      <c r="E8" s="566" t="s">
        <v>54</v>
      </c>
      <c r="F8" s="565" t="s">
        <v>28</v>
      </c>
      <c r="G8" s="567" t="s">
        <v>27</v>
      </c>
      <c r="H8" s="565" t="s">
        <v>55</v>
      </c>
      <c r="I8" s="565" t="s">
        <v>56</v>
      </c>
      <c r="J8" s="565" t="s">
        <v>32</v>
      </c>
      <c r="K8" s="565" t="s">
        <v>33</v>
      </c>
      <c r="L8" s="47">
        <v>1.28</v>
      </c>
    </row>
    <row r="9" spans="1:12" s="52" customFormat="1">
      <c r="A9" s="47"/>
      <c r="B9" s="48"/>
      <c r="C9" s="84"/>
      <c r="D9" s="49"/>
      <c r="E9" s="49"/>
      <c r="F9" s="50"/>
      <c r="G9" s="51"/>
      <c r="H9" s="50"/>
      <c r="I9" s="50"/>
      <c r="J9" s="50"/>
      <c r="K9" s="107"/>
      <c r="L9" s="139"/>
    </row>
    <row r="10" spans="1:12" s="52" customFormat="1">
      <c r="A10" s="47"/>
      <c r="B10" s="108">
        <f>B24</f>
        <v>1</v>
      </c>
      <c r="C10" s="109" t="str">
        <f>UPPER(C24)</f>
        <v>SERVIÇOS TÉCNICOS</v>
      </c>
      <c r="D10" s="83"/>
      <c r="E10" s="83"/>
      <c r="F10" s="54"/>
      <c r="G10" s="55"/>
      <c r="H10" s="54"/>
      <c r="I10" s="54"/>
      <c r="J10" s="54"/>
      <c r="K10" s="110">
        <f>K28</f>
        <v>228.81</v>
      </c>
      <c r="L10" s="139"/>
    </row>
    <row r="11" spans="1:12" s="52" customFormat="1">
      <c r="A11" s="47"/>
      <c r="B11" s="53"/>
      <c r="C11" s="83"/>
      <c r="D11" s="83"/>
      <c r="E11" s="83"/>
      <c r="F11" s="54"/>
      <c r="G11" s="55"/>
      <c r="H11" s="54"/>
      <c r="I11" s="54"/>
      <c r="J11" s="54"/>
      <c r="K11" s="111"/>
      <c r="L11" s="139"/>
    </row>
    <row r="12" spans="1:12" s="52" customFormat="1">
      <c r="A12" s="47"/>
      <c r="B12" s="552">
        <f>B30</f>
        <v>2</v>
      </c>
      <c r="C12" s="553" t="str">
        <f>UPPER(C30)</f>
        <v>SERVIÇOS PRELIMINARES</v>
      </c>
      <c r="D12" s="83"/>
      <c r="E12" s="83"/>
      <c r="F12" s="54"/>
      <c r="G12" s="55"/>
      <c r="H12" s="54"/>
      <c r="I12" s="54"/>
      <c r="J12" s="54"/>
      <c r="K12" s="110">
        <f>K34</f>
        <v>464.85</v>
      </c>
      <c r="L12" s="139"/>
    </row>
    <row r="13" spans="1:12" s="52" customFormat="1">
      <c r="A13" s="47"/>
      <c r="B13" s="53"/>
      <c r="C13" s="83"/>
      <c r="D13" s="83"/>
      <c r="E13" s="83"/>
      <c r="F13" s="54"/>
      <c r="G13" s="55"/>
      <c r="H13" s="54"/>
      <c r="I13" s="54"/>
      <c r="J13" s="54"/>
      <c r="K13" s="111"/>
      <c r="L13" s="139"/>
    </row>
    <row r="14" spans="1:12" s="52" customFormat="1">
      <c r="A14" s="47"/>
      <c r="B14" s="552">
        <f>B36</f>
        <v>3</v>
      </c>
      <c r="C14" s="553" t="str">
        <f>UPPER(C36)</f>
        <v>MOVIMENTO DE TERRA</v>
      </c>
      <c r="D14" s="83"/>
      <c r="E14" s="83"/>
      <c r="F14" s="54"/>
      <c r="G14" s="55"/>
      <c r="H14" s="54"/>
      <c r="I14" s="54"/>
      <c r="J14" s="54"/>
      <c r="K14" s="110">
        <f>K48</f>
        <v>3889.6899999999996</v>
      </c>
      <c r="L14" s="139"/>
    </row>
    <row r="15" spans="1:12" s="52" customFormat="1">
      <c r="A15" s="47"/>
      <c r="B15" s="53"/>
      <c r="C15" s="83"/>
      <c r="D15" s="83"/>
      <c r="E15" s="83"/>
      <c r="F15" s="54"/>
      <c r="G15" s="55"/>
      <c r="H15" s="54"/>
      <c r="I15" s="54"/>
      <c r="J15" s="54"/>
      <c r="K15" s="111"/>
      <c r="L15" s="139"/>
    </row>
    <row r="16" spans="1:12" s="52" customFormat="1">
      <c r="A16" s="47"/>
      <c r="B16" s="552">
        <f>B50</f>
        <v>4</v>
      </c>
      <c r="C16" s="553" t="str">
        <f>UPPER(C50)</f>
        <v>ACESSÓRIOS</v>
      </c>
      <c r="D16" s="83"/>
      <c r="E16" s="83"/>
      <c r="F16" s="54"/>
      <c r="G16" s="55"/>
      <c r="H16" s="54"/>
      <c r="I16" s="54"/>
      <c r="J16" s="54"/>
      <c r="K16" s="110">
        <f>K62</f>
        <v>33953.410000000003</v>
      </c>
      <c r="L16" s="139"/>
    </row>
    <row r="17" spans="1:16" s="52" customFormat="1">
      <c r="A17" s="47"/>
      <c r="B17" s="53"/>
      <c r="C17" s="83"/>
      <c r="D17" s="83"/>
      <c r="E17" s="83"/>
      <c r="F17" s="54"/>
      <c r="G17" s="55"/>
      <c r="H17" s="54"/>
      <c r="I17" s="54"/>
      <c r="J17" s="54"/>
      <c r="K17" s="111"/>
      <c r="L17" s="139"/>
    </row>
    <row r="18" spans="1:16" s="52" customFormat="1" ht="31.5">
      <c r="A18" s="47"/>
      <c r="B18" s="552">
        <f>B64</f>
        <v>5</v>
      </c>
      <c r="C18" s="553" t="str">
        <f>UPPER(C64)</f>
        <v>ASSENTAMENTO E MONTAGEM DE TUBOS E PEÇAS</v>
      </c>
      <c r="D18" s="83"/>
      <c r="E18" s="83"/>
      <c r="F18" s="54"/>
      <c r="G18" s="55"/>
      <c r="H18" s="54"/>
      <c r="I18" s="54"/>
      <c r="J18" s="54"/>
      <c r="K18" s="110">
        <f>K77</f>
        <v>27279.040000000001</v>
      </c>
      <c r="L18" s="139"/>
    </row>
    <row r="19" spans="1:16" s="52" customFormat="1">
      <c r="A19" s="47"/>
      <c r="B19" s="53"/>
      <c r="C19" s="83"/>
      <c r="D19" s="83"/>
      <c r="E19" s="83"/>
      <c r="F19" s="54"/>
      <c r="G19" s="55"/>
      <c r="H19" s="54"/>
      <c r="I19" s="54"/>
      <c r="J19" s="54"/>
      <c r="K19" s="111"/>
      <c r="L19" s="139"/>
    </row>
    <row r="20" spans="1:16" s="52" customFormat="1">
      <c r="A20" s="47"/>
      <c r="B20" s="552">
        <f>B79</f>
        <v>6</v>
      </c>
      <c r="C20" s="553" t="str">
        <f>UPPER(C79)</f>
        <v>SERVIÇOS DIVERSOS</v>
      </c>
      <c r="D20" s="83"/>
      <c r="E20" s="83"/>
      <c r="F20" s="54"/>
      <c r="G20" s="55"/>
      <c r="H20" s="54"/>
      <c r="I20" s="54"/>
      <c r="J20" s="54"/>
      <c r="K20" s="110">
        <f>K82</f>
        <v>513.74</v>
      </c>
      <c r="L20" s="139"/>
    </row>
    <row r="21" spans="1:16" s="52" customFormat="1">
      <c r="A21" s="47"/>
      <c r="B21" s="53"/>
      <c r="C21" s="83"/>
      <c r="D21" s="83"/>
      <c r="E21" s="83"/>
      <c r="F21" s="54"/>
      <c r="G21" s="55"/>
      <c r="H21" s="54"/>
      <c r="I21" s="54"/>
      <c r="J21" s="54"/>
      <c r="K21" s="111"/>
      <c r="L21" s="139"/>
    </row>
    <row r="22" spans="1:16" s="52" customFormat="1">
      <c r="A22" s="47"/>
      <c r="B22" s="277"/>
      <c r="C22" s="85" t="s">
        <v>34</v>
      </c>
      <c r="D22" s="85"/>
      <c r="E22" s="85"/>
      <c r="F22" s="85"/>
      <c r="G22" s="86"/>
      <c r="H22" s="85"/>
      <c r="I22" s="85"/>
      <c r="J22" s="85"/>
      <c r="K22" s="90">
        <f>SUM(K9:K21)</f>
        <v>66329.540000000008</v>
      </c>
      <c r="L22" s="299"/>
      <c r="M22" s="300"/>
    </row>
    <row r="23" spans="1:16" s="52" customFormat="1">
      <c r="A23" s="47"/>
      <c r="B23" s="112"/>
      <c r="C23" s="113"/>
      <c r="D23" s="113"/>
      <c r="E23" s="113"/>
      <c r="F23" s="114"/>
      <c r="G23" s="115"/>
      <c r="H23" s="116"/>
      <c r="I23" s="116"/>
      <c r="J23" s="116"/>
      <c r="K23" s="117"/>
    </row>
    <row r="24" spans="1:16" s="65" customFormat="1">
      <c r="B24" s="87">
        <v>1</v>
      </c>
      <c r="C24" s="88" t="s">
        <v>433</v>
      </c>
      <c r="D24" s="118"/>
      <c r="E24" s="118"/>
      <c r="F24" s="59"/>
      <c r="G24" s="66"/>
      <c r="H24" s="67"/>
      <c r="I24" s="119"/>
      <c r="J24" s="60">
        <f t="shared" ref="J24:J29" si="0">ROUND(H24*(I24+1),2)</f>
        <v>0</v>
      </c>
      <c r="K24" s="120"/>
    </row>
    <row r="25" spans="1:16" s="287" customFormat="1" ht="31.5">
      <c r="B25" s="72" t="s">
        <v>35</v>
      </c>
      <c r="C25" s="58" t="s">
        <v>434</v>
      </c>
      <c r="D25" s="91">
        <v>70010003</v>
      </c>
      <c r="E25" s="118" t="s">
        <v>5</v>
      </c>
      <c r="F25" s="59" t="s">
        <v>4</v>
      </c>
      <c r="G25" s="89">
        <f>ROUND('Q-Entrada'!$P$13,2)</f>
        <v>29</v>
      </c>
      <c r="H25" s="60">
        <f>1.74/1.28</f>
        <v>1.359375</v>
      </c>
      <c r="I25" s="119">
        <f>$K$6</f>
        <v>0.26979999999999998</v>
      </c>
      <c r="J25" s="60">
        <f t="shared" si="0"/>
        <v>1.73</v>
      </c>
      <c r="K25" s="120">
        <f>ROUND(J25*G25,2)</f>
        <v>50.17</v>
      </c>
      <c r="M25" s="301"/>
      <c r="N25" s="301"/>
      <c r="O25" s="301"/>
      <c r="P25" s="301"/>
    </row>
    <row r="26" spans="1:16" s="287" customFormat="1" ht="31.5">
      <c r="B26" s="72" t="s">
        <v>75</v>
      </c>
      <c r="C26" s="58" t="s">
        <v>435</v>
      </c>
      <c r="D26" s="91">
        <v>70010006</v>
      </c>
      <c r="E26" s="118" t="s">
        <v>5</v>
      </c>
      <c r="F26" s="59" t="s">
        <v>4</v>
      </c>
      <c r="G26" s="89">
        <f>ROUND('Q-Entrada'!$P$13,2)</f>
        <v>29</v>
      </c>
      <c r="H26" s="60">
        <f>6.21/1.28</f>
        <v>4.8515625</v>
      </c>
      <c r="I26" s="119">
        <f>$K$6</f>
        <v>0.26979999999999998</v>
      </c>
      <c r="J26" s="60">
        <f t="shared" si="0"/>
        <v>6.16</v>
      </c>
      <c r="K26" s="120">
        <f>ROUND(J26*G26,2)</f>
        <v>178.64</v>
      </c>
      <c r="M26" s="301"/>
      <c r="N26" s="301"/>
      <c r="O26" s="301"/>
      <c r="P26" s="301"/>
    </row>
    <row r="27" spans="1:16" s="65" customFormat="1">
      <c r="B27" s="69"/>
      <c r="C27" s="58"/>
      <c r="D27" s="118"/>
      <c r="E27" s="118"/>
      <c r="F27" s="59"/>
      <c r="G27" s="66"/>
      <c r="H27" s="67"/>
      <c r="I27" s="119"/>
      <c r="J27" s="60">
        <f t="shared" si="0"/>
        <v>0</v>
      </c>
      <c r="K27" s="120">
        <f>ROUND(J27*G27,2)</f>
        <v>0</v>
      </c>
    </row>
    <row r="28" spans="1:16" s="65" customFormat="1">
      <c r="B28" s="69"/>
      <c r="C28" s="63" t="s">
        <v>36</v>
      </c>
      <c r="D28" s="122"/>
      <c r="E28" s="74"/>
      <c r="F28" s="75"/>
      <c r="G28" s="70"/>
      <c r="H28" s="71"/>
      <c r="I28" s="119"/>
      <c r="J28" s="60">
        <f t="shared" si="0"/>
        <v>0</v>
      </c>
      <c r="K28" s="123">
        <f>SUM(K25:K27)</f>
        <v>228.81</v>
      </c>
      <c r="L28" s="68"/>
    </row>
    <row r="29" spans="1:16" s="65" customFormat="1">
      <c r="B29" s="69"/>
      <c r="C29" s="74"/>
      <c r="D29" s="302"/>
      <c r="E29" s="302"/>
      <c r="F29" s="59"/>
      <c r="G29" s="66"/>
      <c r="H29" s="67"/>
      <c r="I29" s="119"/>
      <c r="J29" s="60">
        <f t="shared" si="0"/>
        <v>0</v>
      </c>
      <c r="K29" s="120"/>
      <c r="L29" s="47"/>
      <c r="M29" s="47"/>
    </row>
    <row r="30" spans="1:16" s="47" customFormat="1">
      <c r="B30" s="87">
        <v>2</v>
      </c>
      <c r="C30" s="88" t="s">
        <v>436</v>
      </c>
      <c r="D30" s="118"/>
      <c r="E30" s="118"/>
      <c r="F30" s="59"/>
      <c r="G30" s="66"/>
      <c r="H30" s="67"/>
      <c r="I30" s="119"/>
      <c r="J30" s="60"/>
      <c r="K30" s="120"/>
    </row>
    <row r="31" spans="1:16" s="1" customFormat="1">
      <c r="B31" s="72" t="s">
        <v>37</v>
      </c>
      <c r="C31" s="58" t="s">
        <v>437</v>
      </c>
      <c r="D31" s="91">
        <v>70020003</v>
      </c>
      <c r="E31" s="118" t="s">
        <v>5</v>
      </c>
      <c r="F31" s="59" t="s">
        <v>4</v>
      </c>
      <c r="G31" s="89">
        <f>ROUND('Q-Entrada'!$AK$13,2)</f>
        <v>19.329999999999998</v>
      </c>
      <c r="H31" s="60">
        <f>11.71/1.28</f>
        <v>9.1484375</v>
      </c>
      <c r="I31" s="119">
        <f>$K$6</f>
        <v>0.26979999999999998</v>
      </c>
      <c r="J31" s="60">
        <f>ROUND(H31*(I31+1),2)</f>
        <v>11.62</v>
      </c>
      <c r="K31" s="120">
        <f>ROUND(J31*G31,2)</f>
        <v>224.61</v>
      </c>
      <c r="M31" s="303"/>
      <c r="N31" s="303"/>
      <c r="O31" s="303"/>
      <c r="P31" s="303"/>
    </row>
    <row r="32" spans="1:16" s="1" customFormat="1">
      <c r="B32" s="72" t="s">
        <v>38</v>
      </c>
      <c r="C32" s="58" t="s">
        <v>438</v>
      </c>
      <c r="D32" s="91">
        <v>70020006</v>
      </c>
      <c r="E32" s="118" t="s">
        <v>5</v>
      </c>
      <c r="F32" s="59" t="s">
        <v>1</v>
      </c>
      <c r="G32" s="89">
        <f>ROUND('Q-Entrada'!$AL$13,2)</f>
        <v>1.57</v>
      </c>
      <c r="H32" s="60">
        <f>154.25/1.28</f>
        <v>120.5078125</v>
      </c>
      <c r="I32" s="119">
        <f>$K$6</f>
        <v>0.26979999999999998</v>
      </c>
      <c r="J32" s="60">
        <f>ROUND(H32*(I32+1),2)</f>
        <v>153.02000000000001</v>
      </c>
      <c r="K32" s="120">
        <f>ROUND(J32*G32,2)</f>
        <v>240.24</v>
      </c>
      <c r="M32" s="303"/>
      <c r="N32" s="303"/>
      <c r="O32" s="303"/>
      <c r="P32" s="303"/>
    </row>
    <row r="33" spans="2:16" s="1" customFormat="1">
      <c r="B33" s="72"/>
      <c r="C33" s="58"/>
      <c r="D33" s="91"/>
      <c r="E33" s="118"/>
      <c r="F33" s="59"/>
      <c r="G33" s="89"/>
      <c r="H33" s="60"/>
      <c r="I33" s="121"/>
      <c r="J33" s="60"/>
      <c r="K33" s="120"/>
      <c r="M33" s="303"/>
      <c r="N33" s="303"/>
      <c r="O33" s="303"/>
      <c r="P33" s="303"/>
    </row>
    <row r="34" spans="2:16" s="65" customFormat="1">
      <c r="B34" s="69"/>
      <c r="C34" s="63" t="s">
        <v>39</v>
      </c>
      <c r="D34" s="122"/>
      <c r="E34" s="74"/>
      <c r="F34" s="75"/>
      <c r="G34" s="70"/>
      <c r="H34" s="71"/>
      <c r="I34" s="119"/>
      <c r="J34" s="60">
        <f>ROUND(H34*(I34+1),2)</f>
        <v>0</v>
      </c>
      <c r="K34" s="123">
        <f>SUM(K31:K33)</f>
        <v>464.85</v>
      </c>
    </row>
    <row r="35" spans="2:16" s="65" customFormat="1">
      <c r="B35" s="69"/>
      <c r="C35" s="74"/>
      <c r="D35" s="302"/>
      <c r="E35" s="302"/>
      <c r="F35" s="59"/>
      <c r="G35" s="66"/>
      <c r="H35" s="67"/>
      <c r="I35" s="119"/>
      <c r="J35" s="60">
        <f>ROUND(H35*(I35+1),2)</f>
        <v>0</v>
      </c>
      <c r="K35" s="120"/>
      <c r="M35" s="47"/>
    </row>
    <row r="36" spans="2:16" s="47" customFormat="1">
      <c r="B36" s="87">
        <v>3</v>
      </c>
      <c r="C36" s="88" t="s">
        <v>440</v>
      </c>
      <c r="D36" s="118"/>
      <c r="E36" s="118"/>
      <c r="F36" s="59"/>
      <c r="G36" s="66"/>
      <c r="H36" s="67"/>
      <c r="I36" s="119"/>
      <c r="J36" s="60"/>
      <c r="K36" s="120"/>
      <c r="L36" s="65"/>
    </row>
    <row r="37" spans="2:16" s="1" customFormat="1">
      <c r="B37" s="72" t="s">
        <v>40</v>
      </c>
      <c r="C37" s="58" t="s">
        <v>695</v>
      </c>
      <c r="D37" s="91">
        <v>70030041</v>
      </c>
      <c r="E37" s="118" t="s">
        <v>5</v>
      </c>
      <c r="F37" s="59" t="s">
        <v>1</v>
      </c>
      <c r="G37" s="89">
        <f>ROUND('Q-Entrada'!$Q$13,2)</f>
        <v>43.5</v>
      </c>
      <c r="H37" s="60">
        <f>2.12/1.28</f>
        <v>1.65625</v>
      </c>
      <c r="I37" s="119">
        <f t="shared" ref="I37:I42" si="1">$K$6</f>
        <v>0.26979999999999998</v>
      </c>
      <c r="J37" s="60">
        <f t="shared" ref="J37:J44" si="2">ROUND(H37*(I37+1),2)</f>
        <v>2.1</v>
      </c>
      <c r="K37" s="120">
        <f>ROUND(J37*G37,2)</f>
        <v>91.35</v>
      </c>
      <c r="M37" s="303"/>
      <c r="N37" s="303"/>
      <c r="O37" s="303"/>
      <c r="P37" s="303"/>
    </row>
    <row r="38" spans="2:16" s="1" customFormat="1" ht="31.5">
      <c r="B38" s="72" t="s">
        <v>228</v>
      </c>
      <c r="C38" s="58" t="s">
        <v>696</v>
      </c>
      <c r="D38" s="91">
        <v>70030050</v>
      </c>
      <c r="E38" s="118" t="s">
        <v>5</v>
      </c>
      <c r="F38" s="59" t="s">
        <v>6</v>
      </c>
      <c r="G38" s="89">
        <f>ROUND('Q-Entrada'!$Z$13,2)</f>
        <v>29.75</v>
      </c>
      <c r="H38" s="60">
        <f>59.47/1.28</f>
        <v>46.4609375</v>
      </c>
      <c r="I38" s="119">
        <f t="shared" si="1"/>
        <v>0.26979999999999998</v>
      </c>
      <c r="J38" s="60">
        <f t="shared" si="2"/>
        <v>59</v>
      </c>
      <c r="K38" s="120">
        <f t="shared" ref="K38:K46" si="3">ROUND(J38*G38,2)</f>
        <v>1755.25</v>
      </c>
      <c r="M38" s="303"/>
      <c r="N38" s="303"/>
      <c r="O38" s="303"/>
      <c r="P38" s="303"/>
    </row>
    <row r="39" spans="2:16" s="1" customFormat="1" ht="31.5">
      <c r="B39" s="72" t="s">
        <v>229</v>
      </c>
      <c r="C39" s="58" t="s">
        <v>697</v>
      </c>
      <c r="D39" s="91">
        <v>101616</v>
      </c>
      <c r="E39" s="118" t="s">
        <v>2</v>
      </c>
      <c r="F39" s="59" t="s">
        <v>1</v>
      </c>
      <c r="G39" s="89">
        <f>ROUND('Q-Entrada'!$AS$15,2)</f>
        <v>26.1</v>
      </c>
      <c r="H39" s="60">
        <v>6.88</v>
      </c>
      <c r="I39" s="119">
        <f t="shared" si="1"/>
        <v>0.26979999999999998</v>
      </c>
      <c r="J39" s="60">
        <f t="shared" si="2"/>
        <v>8.74</v>
      </c>
      <c r="K39" s="120">
        <f t="shared" si="3"/>
        <v>228.11</v>
      </c>
      <c r="M39" s="303"/>
      <c r="N39" s="303"/>
      <c r="O39" s="303"/>
      <c r="P39" s="303"/>
    </row>
    <row r="40" spans="2:16" s="1" customFormat="1" ht="47.25">
      <c r="B40" s="72" t="s">
        <v>230</v>
      </c>
      <c r="C40" s="58" t="s">
        <v>736</v>
      </c>
      <c r="D40" s="91">
        <v>101619</v>
      </c>
      <c r="E40" s="118" t="s">
        <v>2</v>
      </c>
      <c r="F40" s="59" t="s">
        <v>6</v>
      </c>
      <c r="G40" s="89">
        <f>ROUND('Q-Entrada'!$AM$15,2)</f>
        <v>2.61</v>
      </c>
      <c r="H40" s="60">
        <v>255.68</v>
      </c>
      <c r="I40" s="119">
        <f t="shared" si="1"/>
        <v>0.26979999999999998</v>
      </c>
      <c r="J40" s="60">
        <f t="shared" si="2"/>
        <v>324.66000000000003</v>
      </c>
      <c r="K40" s="120">
        <f t="shared" si="3"/>
        <v>847.36</v>
      </c>
      <c r="M40" s="303"/>
      <c r="N40" s="303"/>
      <c r="O40" s="303"/>
      <c r="P40" s="303"/>
    </row>
    <row r="41" spans="2:16" s="1" customFormat="1" ht="47.25">
      <c r="B41" s="72" t="s">
        <v>231</v>
      </c>
      <c r="C41" s="58" t="s">
        <v>441</v>
      </c>
      <c r="D41" s="91">
        <v>70030026</v>
      </c>
      <c r="E41" s="118" t="s">
        <v>5</v>
      </c>
      <c r="F41" s="59" t="s">
        <v>6</v>
      </c>
      <c r="G41" s="89">
        <f>ROUND('Q-Entrada'!$AQ$13,2)</f>
        <v>8.1199999999999992</v>
      </c>
      <c r="H41" s="60">
        <f>26.01/1.28</f>
        <v>20.3203125</v>
      </c>
      <c r="I41" s="119">
        <f t="shared" si="1"/>
        <v>0.26979999999999998</v>
      </c>
      <c r="J41" s="60">
        <f t="shared" si="2"/>
        <v>25.8</v>
      </c>
      <c r="K41" s="120">
        <f t="shared" si="3"/>
        <v>209.5</v>
      </c>
      <c r="M41" s="303"/>
      <c r="N41" s="303"/>
      <c r="O41" s="303"/>
      <c r="P41" s="303"/>
    </row>
    <row r="42" spans="2:16" s="1" customFormat="1" ht="31.5">
      <c r="B42" s="72" t="s">
        <v>232</v>
      </c>
      <c r="C42" s="58" t="s">
        <v>698</v>
      </c>
      <c r="D42" s="91">
        <v>70030025</v>
      </c>
      <c r="E42" s="118" t="s">
        <v>5</v>
      </c>
      <c r="F42" s="59" t="s">
        <v>6</v>
      </c>
      <c r="G42" s="89">
        <f>ROUND('Q-Entrada'!$AR$13,2)</f>
        <v>14.84</v>
      </c>
      <c r="H42" s="60">
        <f>9.05*1.28</f>
        <v>11.584000000000001</v>
      </c>
      <c r="I42" s="119">
        <f t="shared" si="1"/>
        <v>0.26979999999999998</v>
      </c>
      <c r="J42" s="60">
        <f t="shared" si="2"/>
        <v>14.71</v>
      </c>
      <c r="K42" s="120">
        <f t="shared" si="3"/>
        <v>218.3</v>
      </c>
      <c r="M42" s="303"/>
      <c r="N42" s="303"/>
      <c r="O42" s="303"/>
      <c r="P42" s="303"/>
    </row>
    <row r="43" spans="2:16" s="287" customFormat="1" ht="63">
      <c r="B43" s="72" t="s">
        <v>233</v>
      </c>
      <c r="C43" s="58" t="s">
        <v>442</v>
      </c>
      <c r="D43" s="91">
        <v>100980</v>
      </c>
      <c r="E43" s="118" t="s">
        <v>2</v>
      </c>
      <c r="F43" s="59" t="s">
        <v>6</v>
      </c>
      <c r="G43" s="89">
        <f>ROUND('Q-Entrada'!$BA$13,2)</f>
        <v>8.84</v>
      </c>
      <c r="H43" s="60">
        <v>6.4</v>
      </c>
      <c r="I43" s="119">
        <f t="shared" ref="I43:I46" si="4">$K$6</f>
        <v>0.26979999999999998</v>
      </c>
      <c r="J43" s="60">
        <f t="shared" si="2"/>
        <v>8.1300000000000008</v>
      </c>
      <c r="K43" s="120">
        <f t="shared" si="3"/>
        <v>71.87</v>
      </c>
      <c r="M43" s="301"/>
      <c r="N43" s="301"/>
      <c r="O43" s="301"/>
      <c r="P43" s="301"/>
    </row>
    <row r="44" spans="2:16" s="287" customFormat="1" ht="31.5">
      <c r="B44" s="72" t="s">
        <v>234</v>
      </c>
      <c r="C44" s="58" t="s">
        <v>443</v>
      </c>
      <c r="D44" s="91">
        <v>95877</v>
      </c>
      <c r="E44" s="118" t="s">
        <v>2</v>
      </c>
      <c r="F44" s="59" t="s">
        <v>397</v>
      </c>
      <c r="G44" s="89">
        <f>ROUND('Q-Entrada'!$BB$13,2)</f>
        <v>132.63999999999999</v>
      </c>
      <c r="H44" s="60">
        <v>1.88</v>
      </c>
      <c r="I44" s="119">
        <f t="shared" si="4"/>
        <v>0.26979999999999998</v>
      </c>
      <c r="J44" s="60">
        <f t="shared" si="2"/>
        <v>2.39</v>
      </c>
      <c r="K44" s="120">
        <f t="shared" si="3"/>
        <v>317.01</v>
      </c>
      <c r="M44" s="301"/>
      <c r="N44" s="301"/>
      <c r="O44" s="301"/>
      <c r="P44" s="301"/>
    </row>
    <row r="45" spans="2:16" s="287" customFormat="1" ht="63">
      <c r="B45" s="72" t="s">
        <v>235</v>
      </c>
      <c r="C45" s="58" t="s">
        <v>444</v>
      </c>
      <c r="D45" s="91">
        <v>100978</v>
      </c>
      <c r="E45" s="118" t="s">
        <v>2</v>
      </c>
      <c r="F45" s="59" t="s">
        <v>6</v>
      </c>
      <c r="G45" s="89">
        <f>ROUND('Q-Entrada'!$BC$13,2)</f>
        <v>2.61</v>
      </c>
      <c r="H45" s="60">
        <v>7.15</v>
      </c>
      <c r="I45" s="119">
        <f t="shared" si="4"/>
        <v>0.26979999999999998</v>
      </c>
      <c r="J45" s="60">
        <f t="shared" ref="J45:J46" si="5">ROUND(H45*(I45+1),2)</f>
        <v>9.08</v>
      </c>
      <c r="K45" s="120">
        <f t="shared" si="3"/>
        <v>23.7</v>
      </c>
      <c r="M45" s="301"/>
      <c r="N45" s="301"/>
      <c r="O45" s="301"/>
      <c r="P45" s="301"/>
    </row>
    <row r="46" spans="2:16" s="287" customFormat="1" ht="31.5">
      <c r="B46" s="72" t="s">
        <v>236</v>
      </c>
      <c r="C46" s="58" t="s">
        <v>445</v>
      </c>
      <c r="D46" s="91">
        <v>95875</v>
      </c>
      <c r="E46" s="118" t="s">
        <v>2</v>
      </c>
      <c r="F46" s="59" t="s">
        <v>397</v>
      </c>
      <c r="G46" s="89">
        <f>ROUND('Q-Entrada'!$BD$13,2)</f>
        <v>39.15</v>
      </c>
      <c r="H46" s="60">
        <v>2.56</v>
      </c>
      <c r="I46" s="119">
        <f t="shared" si="4"/>
        <v>0.26979999999999998</v>
      </c>
      <c r="J46" s="60">
        <f t="shared" si="5"/>
        <v>3.25</v>
      </c>
      <c r="K46" s="120">
        <f t="shared" si="3"/>
        <v>127.24</v>
      </c>
      <c r="M46" s="301"/>
      <c r="N46" s="301"/>
      <c r="O46" s="301"/>
      <c r="P46" s="301"/>
    </row>
    <row r="47" spans="2:16" s="47" customFormat="1">
      <c r="B47" s="72"/>
      <c r="C47" s="307"/>
      <c r="D47" s="124"/>
      <c r="E47" s="124"/>
      <c r="F47" s="124"/>
      <c r="G47" s="308"/>
      <c r="H47" s="70"/>
      <c r="I47" s="70"/>
      <c r="J47" s="125"/>
      <c r="K47" s="126"/>
      <c r="L47" s="65"/>
    </row>
    <row r="48" spans="2:16" s="65" customFormat="1">
      <c r="B48" s="69"/>
      <c r="C48" s="63" t="s">
        <v>41</v>
      </c>
      <c r="D48" s="122"/>
      <c r="E48" s="74"/>
      <c r="F48" s="75"/>
      <c r="G48" s="70"/>
      <c r="H48" s="71"/>
      <c r="I48" s="119"/>
      <c r="J48" s="60">
        <f>ROUND(H48*(I48+1),2)</f>
        <v>0</v>
      </c>
      <c r="K48" s="123">
        <f>SUM(K37:K47)</f>
        <v>3889.6899999999996</v>
      </c>
    </row>
    <row r="49" spans="1:16" s="310" customFormat="1">
      <c r="B49" s="72"/>
      <c r="C49" s="75"/>
      <c r="D49" s="309"/>
      <c r="E49" s="309"/>
      <c r="F49" s="75"/>
      <c r="G49" s="70"/>
      <c r="H49" s="70"/>
      <c r="I49" s="119"/>
      <c r="J49" s="60"/>
      <c r="K49" s="123"/>
      <c r="L49" s="47"/>
      <c r="M49" s="47"/>
      <c r="N49" s="65"/>
      <c r="O49" s="65"/>
      <c r="P49" s="65"/>
    </row>
    <row r="50" spans="1:16" s="47" customFormat="1">
      <c r="B50" s="87">
        <v>4</v>
      </c>
      <c r="C50" s="88" t="s">
        <v>692</v>
      </c>
      <c r="D50" s="118"/>
      <c r="E50" s="118"/>
      <c r="F50" s="59"/>
      <c r="G50" s="66"/>
      <c r="H50" s="67"/>
      <c r="I50" s="313"/>
      <c r="J50" s="73"/>
      <c r="K50" s="120"/>
      <c r="L50" s="314"/>
    </row>
    <row r="51" spans="1:16" s="52" customFormat="1">
      <c r="A51" s="47"/>
      <c r="B51" s="554" t="s">
        <v>42</v>
      </c>
      <c r="C51" s="555" t="s">
        <v>414</v>
      </c>
      <c r="D51" s="279"/>
      <c r="E51" s="280"/>
      <c r="F51" s="281"/>
      <c r="G51" s="282"/>
      <c r="H51" s="283"/>
      <c r="I51" s="119"/>
      <c r="J51" s="60">
        <f>ROUND(H51*(I51+1),2)</f>
        <v>0</v>
      </c>
      <c r="K51" s="284">
        <f>ROUND(G51*J51,2)</f>
        <v>0</v>
      </c>
      <c r="M51" s="205"/>
      <c r="N51" s="1">
        <f>ROUND(G51*H51,2)</f>
        <v>0</v>
      </c>
    </row>
    <row r="52" spans="1:16" s="52" customFormat="1" ht="31.5">
      <c r="A52" s="47"/>
      <c r="B52" s="554" t="s">
        <v>687</v>
      </c>
      <c r="C52" s="556" t="str">
        <f>'CX-Entrada'!$C$8</f>
        <v>Caixa de entrada com paredes em alvenaria e laje de fundo em concreto armado</v>
      </c>
      <c r="D52" s="279" t="str">
        <f>'CX-Entrada'!$C$7</f>
        <v>CX-Entr</v>
      </c>
      <c r="E52" s="280" t="str">
        <f>'CX-Entrada'!$C$6</f>
        <v>COMP.</v>
      </c>
      <c r="F52" s="281" t="str">
        <f>'CX-Entrada'!$C$10</f>
        <v>unid</v>
      </c>
      <c r="G52" s="282">
        <v>1</v>
      </c>
      <c r="H52" s="283">
        <f>ROUND('CX-Entrada'!$H$33,2)</f>
        <v>24719.43</v>
      </c>
      <c r="I52" s="119">
        <f>$K$6</f>
        <v>0.26979999999999998</v>
      </c>
      <c r="J52" s="60">
        <f>ROUND(H52*(I52+1),2)</f>
        <v>31388.73</v>
      </c>
      <c r="K52" s="284">
        <f>ROUND(G52*J52,2)</f>
        <v>31388.73</v>
      </c>
      <c r="M52" s="205"/>
      <c r="N52" s="1"/>
    </row>
    <row r="53" spans="1:16" s="52" customFormat="1">
      <c r="A53" s="47"/>
      <c r="B53" s="554" t="s">
        <v>57</v>
      </c>
      <c r="C53" s="555" t="s">
        <v>415</v>
      </c>
      <c r="D53" s="279"/>
      <c r="E53" s="280"/>
      <c r="F53" s="281"/>
      <c r="G53" s="282"/>
      <c r="H53" s="283"/>
      <c r="I53" s="119"/>
      <c r="J53" s="60"/>
      <c r="K53" s="284"/>
      <c r="M53" s="205"/>
      <c r="N53" s="1"/>
    </row>
    <row r="54" spans="1:16" s="52" customFormat="1" ht="31.5">
      <c r="A54" s="47"/>
      <c r="B54" s="554" t="s">
        <v>688</v>
      </c>
      <c r="C54" s="556" t="s">
        <v>416</v>
      </c>
      <c r="D54" s="279">
        <v>70070108</v>
      </c>
      <c r="E54" s="118" t="s">
        <v>5</v>
      </c>
      <c r="F54" s="281" t="s">
        <v>8</v>
      </c>
      <c r="G54" s="282">
        <v>1</v>
      </c>
      <c r="H54" s="283">
        <f>458.89/1.28</f>
        <v>358.5078125</v>
      </c>
      <c r="I54" s="119">
        <f>$K$6</f>
        <v>0.26979999999999998</v>
      </c>
      <c r="J54" s="60">
        <f>ROUND(H54*(I54+1),2)</f>
        <v>455.23</v>
      </c>
      <c r="K54" s="284">
        <f>ROUND(G54*J54,2)</f>
        <v>455.23</v>
      </c>
      <c r="M54" s="205"/>
      <c r="N54" s="1"/>
    </row>
    <row r="55" spans="1:16" s="52" customFormat="1" ht="31.5">
      <c r="A55" s="47"/>
      <c r="B55" s="554" t="s">
        <v>689</v>
      </c>
      <c r="C55" s="556" t="s">
        <v>417</v>
      </c>
      <c r="D55" s="279">
        <v>70070114</v>
      </c>
      <c r="E55" s="118" t="s">
        <v>5</v>
      </c>
      <c r="F55" s="281" t="s">
        <v>8</v>
      </c>
      <c r="G55" s="282">
        <v>1</v>
      </c>
      <c r="H55" s="283">
        <f>504.97/1.28</f>
        <v>394.5078125</v>
      </c>
      <c r="I55" s="119">
        <f>$K$6</f>
        <v>0.26979999999999998</v>
      </c>
      <c r="J55" s="60">
        <f t="shared" ref="J55:J56" si="6">ROUND(H55*(I55+1),2)</f>
        <v>500.95</v>
      </c>
      <c r="K55" s="284">
        <f t="shared" ref="K55:K56" si="7">ROUND(G55*J55,2)</f>
        <v>500.95</v>
      </c>
      <c r="M55" s="205"/>
      <c r="N55" s="1"/>
    </row>
    <row r="56" spans="1:16" s="52" customFormat="1" ht="31.5">
      <c r="A56" s="47"/>
      <c r="B56" s="554" t="s">
        <v>690</v>
      </c>
      <c r="C56" s="556" t="s">
        <v>418</v>
      </c>
      <c r="D56" s="279">
        <v>70070120</v>
      </c>
      <c r="E56" s="118" t="s">
        <v>5</v>
      </c>
      <c r="F56" s="281" t="s">
        <v>8</v>
      </c>
      <c r="G56" s="282">
        <v>1</v>
      </c>
      <c r="H56" s="283">
        <f>937.5/1.28</f>
        <v>732.421875</v>
      </c>
      <c r="I56" s="119">
        <f>$K$6</f>
        <v>0.26979999999999998</v>
      </c>
      <c r="J56" s="60">
        <f t="shared" si="6"/>
        <v>930.03</v>
      </c>
      <c r="K56" s="284">
        <f t="shared" si="7"/>
        <v>930.03</v>
      </c>
      <c r="M56" s="205"/>
      <c r="N56" s="1"/>
    </row>
    <row r="57" spans="1:16" s="52" customFormat="1">
      <c r="A57" s="47"/>
      <c r="B57" s="554" t="s">
        <v>58</v>
      </c>
      <c r="C57" s="555" t="s">
        <v>705</v>
      </c>
      <c r="D57" s="279"/>
      <c r="E57" s="280"/>
      <c r="F57" s="281"/>
      <c r="G57" s="282"/>
      <c r="H57" s="283"/>
      <c r="I57" s="119"/>
      <c r="J57" s="60"/>
      <c r="K57" s="284"/>
      <c r="M57" s="205"/>
      <c r="N57" s="1"/>
    </row>
    <row r="58" spans="1:16" s="52" customFormat="1">
      <c r="A58" s="47"/>
      <c r="B58" s="554" t="s">
        <v>691</v>
      </c>
      <c r="C58" s="556" t="str">
        <f>'BL-Apoio'!$C$8</f>
        <v>Bloco de apoio 0,60m x 0,60m x 0,20m</v>
      </c>
      <c r="D58" s="279" t="str">
        <f>'BL-Apoio'!$C$7</f>
        <v>BL-Apoio</v>
      </c>
      <c r="E58" s="280" t="str">
        <f>'BL-Apoio'!$C$6</f>
        <v>COMP.</v>
      </c>
      <c r="F58" s="281" t="str">
        <f>'BL-Apoio'!$C$10</f>
        <v>unid</v>
      </c>
      <c r="G58" s="282">
        <v>1</v>
      </c>
      <c r="H58" s="283">
        <f>ROUND('BL-Apoio'!$H$18,2)</f>
        <v>113.79</v>
      </c>
      <c r="I58" s="119">
        <f>$K$6</f>
        <v>0.26979999999999998</v>
      </c>
      <c r="J58" s="60">
        <f>ROUND(H58*(I58+1),2)</f>
        <v>144.49</v>
      </c>
      <c r="K58" s="284">
        <f>ROUND(G58*J58,2)</f>
        <v>144.49</v>
      </c>
      <c r="M58" s="205"/>
      <c r="N58" s="1"/>
    </row>
    <row r="59" spans="1:16" s="52" customFormat="1">
      <c r="A59" s="47"/>
      <c r="B59" s="554" t="s">
        <v>64</v>
      </c>
      <c r="C59" s="555" t="s">
        <v>430</v>
      </c>
      <c r="D59" s="279"/>
      <c r="E59" s="280"/>
      <c r="F59" s="281"/>
      <c r="G59" s="282"/>
      <c r="H59" s="283"/>
      <c r="I59" s="119"/>
      <c r="J59" s="60"/>
      <c r="K59" s="284"/>
      <c r="M59" s="205"/>
      <c r="N59" s="1"/>
    </row>
    <row r="60" spans="1:16" s="52" customFormat="1">
      <c r="A60" s="47"/>
      <c r="B60" s="72" t="s">
        <v>706</v>
      </c>
      <c r="C60" s="556" t="str">
        <f>'PROT-FL'!$C$8</f>
        <v>Proteção de flanges enterrados para tubulação</v>
      </c>
      <c r="D60" s="279" t="str">
        <f>'PROT-FL'!$C$7</f>
        <v>Prot-Fl</v>
      </c>
      <c r="E60" s="280" t="str">
        <f>'PROT-FL'!$C$6</f>
        <v>COMP.</v>
      </c>
      <c r="F60" s="281" t="str">
        <f>'PROT-FL'!$C$10</f>
        <v>unid</v>
      </c>
      <c r="G60" s="282">
        <v>2</v>
      </c>
      <c r="H60" s="283">
        <f>ROUND('PROT-FL'!$H$20,2)</f>
        <v>210.26</v>
      </c>
      <c r="I60" s="119">
        <f>$K$6</f>
        <v>0.26979999999999998</v>
      </c>
      <c r="J60" s="60">
        <f>ROUND(H60*(I60+1),2)</f>
        <v>266.99</v>
      </c>
      <c r="K60" s="284">
        <f>ROUND(G60*J60,2)</f>
        <v>533.98</v>
      </c>
      <c r="M60" s="205"/>
      <c r="N60" s="1"/>
    </row>
    <row r="61" spans="1:16" s="47" customFormat="1">
      <c r="B61" s="72"/>
      <c r="C61" s="127"/>
      <c r="D61" s="124"/>
      <c r="E61" s="124"/>
      <c r="F61" s="124"/>
      <c r="G61" s="157"/>
      <c r="H61" s="60"/>
      <c r="I61" s="120"/>
      <c r="J61" s="125"/>
      <c r="K61" s="126"/>
      <c r="L61" s="314"/>
    </row>
    <row r="62" spans="1:16" s="47" customFormat="1">
      <c r="B62" s="72"/>
      <c r="C62" s="63" t="s">
        <v>43</v>
      </c>
      <c r="D62" s="122"/>
      <c r="E62" s="74"/>
      <c r="F62" s="75"/>
      <c r="G62" s="70"/>
      <c r="H62" s="71"/>
      <c r="I62" s="316"/>
      <c r="J62" s="60">
        <f>ROUND(H62*(I62+1),2)</f>
        <v>0</v>
      </c>
      <c r="K62" s="123">
        <f>SUM(K52:K61)</f>
        <v>33953.410000000003</v>
      </c>
    </row>
    <row r="63" spans="1:16" s="47" customFormat="1">
      <c r="B63" s="304"/>
      <c r="C63" s="541"/>
      <c r="D63" s="542"/>
      <c r="E63" s="543"/>
      <c r="F63" s="544"/>
      <c r="G63" s="545"/>
      <c r="H63" s="546"/>
      <c r="I63" s="547"/>
      <c r="J63" s="305"/>
      <c r="K63" s="548"/>
    </row>
    <row r="64" spans="1:16" s="47" customFormat="1" ht="31.5">
      <c r="B64" s="87">
        <v>5</v>
      </c>
      <c r="C64" s="88" t="s">
        <v>693</v>
      </c>
      <c r="D64" s="279"/>
      <c r="E64" s="280"/>
      <c r="F64" s="281"/>
      <c r="G64" s="70"/>
      <c r="H64" s="283"/>
      <c r="I64" s="316"/>
      <c r="J64" s="60"/>
      <c r="K64" s="123"/>
    </row>
    <row r="65" spans="1:16" s="47" customFormat="1">
      <c r="B65" s="554" t="s">
        <v>449</v>
      </c>
      <c r="C65" s="555" t="s">
        <v>899</v>
      </c>
      <c r="D65" s="529"/>
      <c r="E65" s="118"/>
      <c r="F65" s="59"/>
      <c r="G65" s="66"/>
      <c r="H65" s="67"/>
      <c r="I65" s="316"/>
      <c r="J65" s="60"/>
      <c r="K65" s="284"/>
    </row>
    <row r="66" spans="1:16" s="312" customFormat="1" ht="31.5">
      <c r="B66" s="554" t="s">
        <v>708</v>
      </c>
      <c r="C66" s="556" t="s">
        <v>707</v>
      </c>
      <c r="D66" s="279">
        <v>70080050</v>
      </c>
      <c r="E66" s="118" t="s">
        <v>5</v>
      </c>
      <c r="F66" s="59" t="s">
        <v>4</v>
      </c>
      <c r="G66" s="89">
        <f>ROUND('Q-Entrada'!$AP$13,2)</f>
        <v>29</v>
      </c>
      <c r="H66" s="283">
        <f>48/1.28</f>
        <v>37.5</v>
      </c>
      <c r="I66" s="119">
        <f>$K$6</f>
        <v>0.26979999999999998</v>
      </c>
      <c r="J66" s="60">
        <f>ROUND(H66*(I66+1),2)</f>
        <v>47.62</v>
      </c>
      <c r="K66" s="284">
        <f>ROUND(J66*G66,2)</f>
        <v>1380.98</v>
      </c>
      <c r="L66" s="1"/>
      <c r="M66" s="311"/>
      <c r="N66" s="311"/>
      <c r="O66" s="311"/>
      <c r="P66" s="311"/>
    </row>
    <row r="67" spans="1:16" s="47" customFormat="1">
      <c r="B67" s="554" t="s">
        <v>709</v>
      </c>
      <c r="C67" s="555" t="s">
        <v>710</v>
      </c>
      <c r="D67" s="529"/>
      <c r="E67" s="118"/>
      <c r="F67" s="59"/>
      <c r="G67" s="66"/>
      <c r="H67" s="67"/>
      <c r="I67" s="316"/>
      <c r="J67" s="60"/>
      <c r="K67" s="284"/>
    </row>
    <row r="68" spans="1:16" s="287" customFormat="1" ht="31.5">
      <c r="B68" s="72" t="s">
        <v>711</v>
      </c>
      <c r="C68" s="556" t="s">
        <v>456</v>
      </c>
      <c r="D68" s="279">
        <v>70080342</v>
      </c>
      <c r="E68" s="118" t="s">
        <v>5</v>
      </c>
      <c r="F68" s="59" t="s">
        <v>457</v>
      </c>
      <c r="G68" s="89">
        <f>ROUND('Q-Entrada'!$BJ$13,2)</f>
        <v>2.2599999999999998</v>
      </c>
      <c r="H68" s="60">
        <f>144.08/1.28</f>
        <v>112.56250000000001</v>
      </c>
      <c r="I68" s="119">
        <f>$K$6</f>
        <v>0.26979999999999998</v>
      </c>
      <c r="J68" s="60">
        <f>ROUND(H68*(I68+1),2)</f>
        <v>142.93</v>
      </c>
      <c r="K68" s="120">
        <f>ROUND(J68*G68,2)</f>
        <v>323.02</v>
      </c>
      <c r="M68" s="301"/>
      <c r="N68" s="301"/>
      <c r="O68" s="317"/>
      <c r="P68" s="301"/>
    </row>
    <row r="69" spans="1:16" s="287" customFormat="1">
      <c r="B69" s="72" t="s">
        <v>712</v>
      </c>
      <c r="C69" s="556" t="s">
        <v>458</v>
      </c>
      <c r="D69" s="279">
        <v>70080343</v>
      </c>
      <c r="E69" s="118" t="s">
        <v>5</v>
      </c>
      <c r="F69" s="59" t="s">
        <v>459</v>
      </c>
      <c r="G69" s="89">
        <f>ROUND('Q-Entrada'!$BK$13,2)</f>
        <v>67.77</v>
      </c>
      <c r="H69" s="60">
        <f>4.12/1.28</f>
        <v>3.21875</v>
      </c>
      <c r="I69" s="119">
        <f>$K$6</f>
        <v>0.26979999999999998</v>
      </c>
      <c r="J69" s="60">
        <f>ROUND(H69*(I69+1),2)</f>
        <v>4.09</v>
      </c>
      <c r="K69" s="120">
        <f>ROUND(J69*G69,2)</f>
        <v>277.18</v>
      </c>
      <c r="M69" s="317"/>
      <c r="N69" s="301"/>
      <c r="O69" s="301"/>
      <c r="P69" s="301"/>
    </row>
    <row r="70" spans="1:16" s="52" customFormat="1">
      <c r="A70" s="47"/>
      <c r="B70" s="554" t="s">
        <v>713</v>
      </c>
      <c r="C70" s="555" t="s">
        <v>405</v>
      </c>
      <c r="D70" s="279"/>
      <c r="E70" s="280"/>
      <c r="F70" s="281"/>
      <c r="G70" s="282"/>
      <c r="H70" s="283"/>
      <c r="I70" s="316"/>
      <c r="J70" s="60"/>
      <c r="K70" s="284"/>
      <c r="M70" s="205"/>
      <c r="N70" s="1">
        <f>ROUND(G70*H70,2)</f>
        <v>0</v>
      </c>
    </row>
    <row r="71" spans="1:16" s="287" customFormat="1" ht="31.5">
      <c r="B71" s="72" t="s">
        <v>714</v>
      </c>
      <c r="C71" s="556" t="s">
        <v>718</v>
      </c>
      <c r="D71" s="279">
        <v>70140023</v>
      </c>
      <c r="E71" s="118" t="s">
        <v>5</v>
      </c>
      <c r="F71" s="59" t="s">
        <v>61</v>
      </c>
      <c r="G71" s="89">
        <f>ROUND('ME-Entrada'!$O$44,2)</f>
        <v>4276.7700000000004</v>
      </c>
      <c r="H71" s="60">
        <f>2.91/1.28</f>
        <v>2.2734375</v>
      </c>
      <c r="I71" s="119">
        <f>$K$6</f>
        <v>0.26979999999999998</v>
      </c>
      <c r="J71" s="60">
        <f>ROUND(H71*(I71+1),2)</f>
        <v>2.89</v>
      </c>
      <c r="K71" s="120">
        <f>ROUND(J71*G71,2)</f>
        <v>12359.87</v>
      </c>
      <c r="M71" s="317"/>
      <c r="N71" s="301"/>
      <c r="O71" s="301"/>
      <c r="P71" s="301"/>
    </row>
    <row r="72" spans="1:16" s="52" customFormat="1" ht="31.5">
      <c r="A72" s="47"/>
      <c r="B72" s="72" t="s">
        <v>715</v>
      </c>
      <c r="C72" s="556" t="s">
        <v>406</v>
      </c>
      <c r="D72" s="279">
        <v>70140046</v>
      </c>
      <c r="E72" s="280" t="s">
        <v>5</v>
      </c>
      <c r="F72" s="281" t="s">
        <v>8</v>
      </c>
      <c r="G72" s="282">
        <f>ROUND('ME-Entrada'!$G$21,2)</f>
        <v>2</v>
      </c>
      <c r="H72" s="283">
        <f>412.92/1.28</f>
        <v>322.59375</v>
      </c>
      <c r="I72" s="119">
        <f>$K$6</f>
        <v>0.26979999999999998</v>
      </c>
      <c r="J72" s="60">
        <f t="shared" ref="J72:J75" si="8">ROUND(H72*(I72+1),2)</f>
        <v>409.63</v>
      </c>
      <c r="K72" s="120">
        <f t="shared" ref="K72:K75" si="9">ROUND(J72*G72,2)</f>
        <v>819.26</v>
      </c>
      <c r="M72" s="205"/>
      <c r="N72" s="1"/>
    </row>
    <row r="73" spans="1:16" s="52" customFormat="1" ht="31.5">
      <c r="A73" s="47"/>
      <c r="B73" s="72" t="s">
        <v>716</v>
      </c>
      <c r="C73" s="555" t="s">
        <v>407</v>
      </c>
      <c r="D73" s="279">
        <v>70140058</v>
      </c>
      <c r="E73" s="280" t="s">
        <v>5</v>
      </c>
      <c r="F73" s="281" t="s">
        <v>8</v>
      </c>
      <c r="G73" s="282">
        <f>ROUND('ME-Entrada'!$G$22,2)</f>
        <v>3</v>
      </c>
      <c r="H73" s="283">
        <f>1263.5/1.28</f>
        <v>987.109375</v>
      </c>
      <c r="I73" s="119">
        <f>$K$6</f>
        <v>0.26979999999999998</v>
      </c>
      <c r="J73" s="60">
        <f t="shared" si="8"/>
        <v>1253.43</v>
      </c>
      <c r="K73" s="120">
        <f t="shared" si="9"/>
        <v>3760.29</v>
      </c>
      <c r="M73" s="205"/>
      <c r="N73" s="1"/>
    </row>
    <row r="74" spans="1:16" s="52" customFormat="1" ht="31.5">
      <c r="A74" s="47"/>
      <c r="B74" s="72" t="s">
        <v>717</v>
      </c>
      <c r="C74" s="555" t="s">
        <v>408</v>
      </c>
      <c r="D74" s="279">
        <v>70140053</v>
      </c>
      <c r="E74" s="280" t="s">
        <v>5</v>
      </c>
      <c r="F74" s="281" t="s">
        <v>8</v>
      </c>
      <c r="G74" s="282">
        <f>ROUND('ME-Entrada'!$G$24,2)</f>
        <v>1</v>
      </c>
      <c r="H74" s="283">
        <f>1283.44/1.28</f>
        <v>1002.6875</v>
      </c>
      <c r="I74" s="119">
        <f>$K$6</f>
        <v>0.26979999999999998</v>
      </c>
      <c r="J74" s="60">
        <f t="shared" si="8"/>
        <v>1273.21</v>
      </c>
      <c r="K74" s="120">
        <f t="shared" si="9"/>
        <v>1273.21</v>
      </c>
      <c r="M74" s="205"/>
      <c r="N74" s="1"/>
    </row>
    <row r="75" spans="1:16" s="52" customFormat="1" ht="47.25">
      <c r="A75" s="47"/>
      <c r="B75" s="72" t="s">
        <v>721</v>
      </c>
      <c r="C75" s="555" t="str">
        <f>'MNT-01'!$C$8</f>
        <v>Montagem de válvula posicionadora de comando hidráulico através de solenóides com preparação para comando eletrônico</v>
      </c>
      <c r="D75" s="279" t="str">
        <f>'MNT-01'!$C$7</f>
        <v>MNT-01</v>
      </c>
      <c r="E75" s="280" t="str">
        <f>'MNT-01'!$C$6</f>
        <v>COMP.</v>
      </c>
      <c r="F75" s="281" t="str">
        <f>'MNT-01'!$C$10</f>
        <v>gb</v>
      </c>
      <c r="G75" s="282">
        <f>ROUND('ME-Entrada'!$G$27,2)</f>
        <v>1</v>
      </c>
      <c r="H75" s="283">
        <f>ROUND('MNT-01'!$H$18,2)</f>
        <v>5579.8</v>
      </c>
      <c r="I75" s="119">
        <f>$K$6</f>
        <v>0.26979999999999998</v>
      </c>
      <c r="J75" s="60">
        <f t="shared" si="8"/>
        <v>7085.23</v>
      </c>
      <c r="K75" s="120">
        <f t="shared" si="9"/>
        <v>7085.23</v>
      </c>
      <c r="M75" s="205"/>
      <c r="N75" s="1"/>
    </row>
    <row r="76" spans="1:16" s="47" customFormat="1">
      <c r="B76" s="680"/>
      <c r="C76" s="88"/>
      <c r="D76" s="279"/>
      <c r="E76" s="280"/>
      <c r="F76" s="281"/>
      <c r="G76" s="70"/>
      <c r="H76" s="283"/>
      <c r="I76" s="316"/>
      <c r="J76" s="60"/>
      <c r="K76" s="691"/>
    </row>
    <row r="77" spans="1:16" s="47" customFormat="1">
      <c r="B77" s="72"/>
      <c r="C77" s="63" t="s">
        <v>450</v>
      </c>
      <c r="D77" s="122"/>
      <c r="E77" s="74"/>
      <c r="F77" s="75"/>
      <c r="G77" s="315"/>
      <c r="H77" s="70"/>
      <c r="I77" s="316"/>
      <c r="J77" s="60">
        <f>ROUND(H77*(I77+1),2)</f>
        <v>0</v>
      </c>
      <c r="K77" s="123">
        <f>SUM(K66:K76)</f>
        <v>27279.040000000001</v>
      </c>
    </row>
    <row r="78" spans="1:16" s="47" customFormat="1">
      <c r="B78" s="72"/>
      <c r="C78" s="127"/>
      <c r="D78" s="124"/>
      <c r="E78" s="124"/>
      <c r="F78" s="124"/>
      <c r="G78" s="129"/>
      <c r="H78" s="73"/>
      <c r="I78" s="120"/>
      <c r="J78" s="125"/>
      <c r="K78" s="126"/>
    </row>
    <row r="79" spans="1:16" s="47" customFormat="1">
      <c r="B79" s="87">
        <v>6</v>
      </c>
      <c r="C79" s="88" t="s">
        <v>461</v>
      </c>
      <c r="D79" s="118"/>
      <c r="E79" s="118"/>
      <c r="F79" s="59"/>
      <c r="G79" s="66"/>
      <c r="H79" s="67"/>
      <c r="I79" s="119"/>
      <c r="J79" s="60"/>
      <c r="K79" s="120"/>
    </row>
    <row r="80" spans="1:16" s="1" customFormat="1">
      <c r="B80" s="72" t="s">
        <v>451</v>
      </c>
      <c r="C80" s="555" t="s">
        <v>719</v>
      </c>
      <c r="D80" s="279">
        <v>70190144</v>
      </c>
      <c r="E80" s="280" t="s">
        <v>5</v>
      </c>
      <c r="F80" s="281" t="s">
        <v>1</v>
      </c>
      <c r="G80" s="89">
        <f>ROUND('Q-Entrada'!$BL$13,2)</f>
        <v>43.5</v>
      </c>
      <c r="H80" s="283">
        <f>11.9/1.28</f>
        <v>9.296875</v>
      </c>
      <c r="I80" s="119">
        <f>$K$6</f>
        <v>0.26979999999999998</v>
      </c>
      <c r="J80" s="60">
        <f>ROUND(H80*(I80+1),2)</f>
        <v>11.81</v>
      </c>
      <c r="K80" s="120">
        <f>ROUND(J80*G80,2)</f>
        <v>513.74</v>
      </c>
      <c r="M80" s="303"/>
      <c r="N80" s="303"/>
      <c r="O80" s="303"/>
      <c r="P80" s="303"/>
    </row>
    <row r="81" spans="2:16" s="1" customFormat="1">
      <c r="B81" s="72"/>
      <c r="C81" s="685"/>
      <c r="D81" s="681"/>
      <c r="E81" s="59"/>
      <c r="F81" s="682"/>
      <c r="G81" s="60"/>
      <c r="H81" s="686"/>
      <c r="I81" s="77"/>
      <c r="J81" s="687"/>
      <c r="K81" s="120"/>
      <c r="M81" s="303"/>
      <c r="N81" s="303"/>
      <c r="O81" s="303"/>
      <c r="P81" s="303"/>
    </row>
    <row r="82" spans="2:16" s="65" customFormat="1">
      <c r="B82" s="69"/>
      <c r="C82" s="63" t="s">
        <v>454</v>
      </c>
      <c r="D82" s="122"/>
      <c r="E82" s="74"/>
      <c r="F82" s="75"/>
      <c r="G82" s="70"/>
      <c r="H82" s="71"/>
      <c r="I82" s="119"/>
      <c r="J82" s="60">
        <f>ROUND(H82*(I82+1),2)</f>
        <v>0</v>
      </c>
      <c r="K82" s="123">
        <f>SUM(K80:K81)</f>
        <v>513.74</v>
      </c>
    </row>
    <row r="83" spans="2:16" s="65" customFormat="1">
      <c r="B83" s="69"/>
      <c r="C83" s="74"/>
      <c r="D83" s="302"/>
      <c r="E83" s="302"/>
      <c r="F83" s="59"/>
      <c r="G83" s="66"/>
      <c r="H83" s="67"/>
      <c r="I83" s="119"/>
      <c r="J83" s="60">
        <f>ROUND(H83*(I83+1),2)</f>
        <v>0</v>
      </c>
      <c r="K83" s="120"/>
      <c r="M83" s="47"/>
    </row>
    <row r="84" spans="2:16" s="47" customFormat="1">
      <c r="B84" s="72"/>
      <c r="C84" s="127"/>
      <c r="D84" s="124"/>
      <c r="E84" s="124"/>
      <c r="F84" s="124"/>
      <c r="G84" s="59"/>
      <c r="H84" s="128"/>
      <c r="I84" s="120"/>
      <c r="J84" s="125"/>
      <c r="K84" s="126"/>
    </row>
    <row r="85" spans="2:16" s="47" customFormat="1">
      <c r="B85" s="62"/>
      <c r="C85" s="64" t="s">
        <v>34</v>
      </c>
      <c r="D85" s="130"/>
      <c r="E85" s="130"/>
      <c r="F85" s="76"/>
      <c r="G85" s="57"/>
      <c r="H85" s="77"/>
      <c r="I85" s="77"/>
      <c r="J85" s="77"/>
      <c r="K85" s="78">
        <f>SUM(K24:K84)/2</f>
        <v>66329.539999999979</v>
      </c>
    </row>
    <row r="86" spans="2:16" s="47" customFormat="1">
      <c r="B86" s="112"/>
      <c r="C86" s="131"/>
      <c r="D86" s="132"/>
      <c r="E86" s="132"/>
      <c r="F86" s="133"/>
      <c r="G86" s="115"/>
      <c r="H86" s="134"/>
      <c r="I86" s="134"/>
      <c r="J86" s="134"/>
      <c r="K86" s="116"/>
    </row>
  </sheetData>
  <mergeCells count="14">
    <mergeCell ref="C6:G6"/>
    <mergeCell ref="H6:J6"/>
    <mergeCell ref="C7:G7"/>
    <mergeCell ref="H7:J7"/>
    <mergeCell ref="B2:B3"/>
    <mergeCell ref="C2:G2"/>
    <mergeCell ref="H2:K2"/>
    <mergeCell ref="C3:G3"/>
    <mergeCell ref="H3:J3"/>
    <mergeCell ref="B4:B7"/>
    <mergeCell ref="C4:G4"/>
    <mergeCell ref="H4:J4"/>
    <mergeCell ref="C5:G5"/>
    <mergeCell ref="H5:K5"/>
  </mergeCells>
  <printOptions horizontalCentered="1"/>
  <pageMargins left="0.59055118110236227" right="0.51181102362204722" top="0.98425196850393704" bottom="0.78740157480314965" header="0.39370078740157483" footer="0.39370078740157483"/>
  <pageSetup paperSize="9" scale="65" firstPageNumber="4" orientation="portrait" r:id="rId1"/>
  <headerFooter scaleWithDoc="0">
    <oddHeader>&amp;L&amp;"Arial,Itálico"&amp;10Rev-1&amp;R&amp;G</oddHeader>
    <oddFooter>&amp;L&amp;"Arial,Negrito"&amp;10CTR 477F&amp;C&amp;"Arial,Negrito"&amp;10 2.&amp;P</oddFooter>
  </headerFooter>
  <rowBreaks count="2" manualBreakCount="2">
    <brk id="23" max="16383" man="1"/>
    <brk id="63" max="16383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2:Q48"/>
  <sheetViews>
    <sheetView showGridLines="0" showZeros="0" zoomScaleNormal="100" zoomScaleSheetLayoutView="100" workbookViewId="0">
      <selection activeCell="B4" sqref="B4:W5"/>
    </sheetView>
  </sheetViews>
  <sheetFormatPr defaultColWidth="9.140625" defaultRowHeight="15.75"/>
  <cols>
    <col min="1" max="1" width="3.7109375" style="46" customWidth="1"/>
    <col min="2" max="2" width="8.7109375" style="79" customWidth="1"/>
    <col min="3" max="3" width="43.7109375" style="80" customWidth="1"/>
    <col min="4" max="5" width="9.85546875" style="80" customWidth="1"/>
    <col min="6" max="6" width="7.140625" style="81" customWidth="1"/>
    <col min="7" max="7" width="10.5703125" style="82" customWidth="1"/>
    <col min="8" max="8" width="12.7109375" style="81" customWidth="1"/>
    <col min="9" max="9" width="9.140625" style="81" customWidth="1"/>
    <col min="10" max="10" width="12.7109375" style="81" customWidth="1"/>
    <col min="11" max="11" width="15.85546875" style="81" customWidth="1"/>
    <col min="12" max="15" width="11.5703125" style="46" customWidth="1"/>
    <col min="16" max="16384" width="9.140625" style="46"/>
  </cols>
  <sheetData>
    <row r="2" spans="1:16" s="47" customFormat="1" ht="18" customHeight="1">
      <c r="A2" s="1"/>
      <c r="B2" s="741" t="s">
        <v>46</v>
      </c>
      <c r="C2" s="742" t="s">
        <v>47</v>
      </c>
      <c r="D2" s="743"/>
      <c r="E2" s="743"/>
      <c r="F2" s="743"/>
      <c r="G2" s="744"/>
      <c r="H2" s="745" t="s">
        <v>48</v>
      </c>
      <c r="I2" s="746"/>
      <c r="J2" s="746"/>
      <c r="K2" s="747"/>
    </row>
    <row r="3" spans="1:16" s="47" customFormat="1" ht="18" customHeight="1">
      <c r="A3" s="1"/>
      <c r="B3" s="721"/>
      <c r="C3" s="748" t="s">
        <v>49</v>
      </c>
      <c r="D3" s="749"/>
      <c r="E3" s="749"/>
      <c r="F3" s="749"/>
      <c r="G3" s="750"/>
      <c r="H3" s="726" t="s">
        <v>50</v>
      </c>
      <c r="I3" s="727"/>
      <c r="J3" s="727"/>
      <c r="K3" s="562" t="s">
        <v>908</v>
      </c>
    </row>
    <row r="4" spans="1:16" s="47" customFormat="1" ht="18" customHeight="1">
      <c r="A4" s="1"/>
      <c r="B4" s="721" t="s">
        <v>30</v>
      </c>
      <c r="C4" s="723" t="s">
        <v>901</v>
      </c>
      <c r="D4" s="724"/>
      <c r="E4" s="724"/>
      <c r="F4" s="724"/>
      <c r="G4" s="725"/>
      <c r="H4" s="726" t="s">
        <v>51</v>
      </c>
      <c r="I4" s="727"/>
      <c r="J4" s="727"/>
      <c r="K4" s="562" t="s">
        <v>908</v>
      </c>
    </row>
    <row r="5" spans="1:16" s="47" customFormat="1" ht="18" customHeight="1">
      <c r="A5" s="1"/>
      <c r="B5" s="721"/>
      <c r="C5" s="723" t="s">
        <v>122</v>
      </c>
      <c r="D5" s="728"/>
      <c r="E5" s="728"/>
      <c r="F5" s="728"/>
      <c r="G5" s="729"/>
      <c r="H5" s="730" t="s">
        <v>65</v>
      </c>
      <c r="I5" s="731"/>
      <c r="J5" s="731"/>
      <c r="K5" s="732"/>
      <c r="P5" s="173"/>
    </row>
    <row r="6" spans="1:16" s="47" customFormat="1" ht="18" customHeight="1">
      <c r="A6" s="1"/>
      <c r="B6" s="721"/>
      <c r="C6" s="723" t="s">
        <v>699</v>
      </c>
      <c r="D6" s="728"/>
      <c r="E6" s="728"/>
      <c r="F6" s="728"/>
      <c r="G6" s="729"/>
      <c r="H6" s="726" t="s">
        <v>52</v>
      </c>
      <c r="I6" s="727"/>
      <c r="J6" s="727"/>
      <c r="K6" s="563">
        <v>0.26979999999999998</v>
      </c>
      <c r="L6" s="47">
        <v>0</v>
      </c>
    </row>
    <row r="7" spans="1:16" s="47" customFormat="1" ht="18" customHeight="1">
      <c r="A7" s="1"/>
      <c r="B7" s="722"/>
      <c r="C7" s="767" t="s">
        <v>135</v>
      </c>
      <c r="D7" s="768"/>
      <c r="E7" s="768"/>
      <c r="F7" s="768"/>
      <c r="G7" s="769"/>
      <c r="H7" s="739" t="s">
        <v>53</v>
      </c>
      <c r="I7" s="740"/>
      <c r="J7" s="740"/>
      <c r="K7" s="564">
        <v>0.16800000000000001</v>
      </c>
    </row>
    <row r="8" spans="1:16" s="47" customFormat="1" ht="47.25" customHeight="1">
      <c r="A8" s="1"/>
      <c r="B8" s="592" t="s">
        <v>25</v>
      </c>
      <c r="C8" s="565" t="s">
        <v>31</v>
      </c>
      <c r="D8" s="566" t="s">
        <v>26</v>
      </c>
      <c r="E8" s="566" t="s">
        <v>54</v>
      </c>
      <c r="F8" s="565" t="s">
        <v>28</v>
      </c>
      <c r="G8" s="567" t="s">
        <v>27</v>
      </c>
      <c r="H8" s="565" t="s">
        <v>55</v>
      </c>
      <c r="I8" s="565" t="s">
        <v>56</v>
      </c>
      <c r="J8" s="565" t="s">
        <v>32</v>
      </c>
      <c r="K8" s="565" t="s">
        <v>33</v>
      </c>
    </row>
    <row r="9" spans="1:16" s="52" customFormat="1">
      <c r="A9" s="47"/>
      <c r="B9" s="48"/>
      <c r="C9" s="84"/>
      <c r="D9" s="49"/>
      <c r="E9" s="49"/>
      <c r="F9" s="50"/>
      <c r="G9" s="51"/>
      <c r="H9" s="50"/>
      <c r="I9" s="50"/>
      <c r="J9" s="50"/>
      <c r="K9" s="107"/>
      <c r="L9" s="139"/>
    </row>
    <row r="10" spans="1:16" s="52" customFormat="1" ht="31.5">
      <c r="A10" s="47"/>
      <c r="B10" s="108">
        <f>B14</f>
        <v>1</v>
      </c>
      <c r="C10" s="109" t="str">
        <f>UPPER(C14)</f>
        <v>FORNECIMENTO DE MATERIAIS E EQUIPAMENTOS</v>
      </c>
      <c r="D10" s="83"/>
      <c r="E10" s="83"/>
      <c r="F10" s="54"/>
      <c r="G10" s="55"/>
      <c r="H10" s="54"/>
      <c r="I10" s="54"/>
      <c r="J10" s="54"/>
      <c r="K10" s="110">
        <f>K44</f>
        <v>305332.56</v>
      </c>
      <c r="L10" s="139"/>
    </row>
    <row r="11" spans="1:16" s="52" customFormat="1">
      <c r="A11" s="47"/>
      <c r="B11" s="53"/>
      <c r="C11" s="83"/>
      <c r="D11" s="83"/>
      <c r="E11" s="83"/>
      <c r="F11" s="54"/>
      <c r="G11" s="55"/>
      <c r="H11" s="54"/>
      <c r="I11" s="54"/>
      <c r="J11" s="54"/>
      <c r="K11" s="111"/>
      <c r="L11" s="139"/>
    </row>
    <row r="12" spans="1:16" s="52" customFormat="1">
      <c r="A12" s="47"/>
      <c r="B12" s="277"/>
      <c r="C12" s="85" t="s">
        <v>34</v>
      </c>
      <c r="D12" s="85"/>
      <c r="E12" s="85"/>
      <c r="F12" s="85"/>
      <c r="G12" s="86"/>
      <c r="H12" s="85"/>
      <c r="I12" s="85"/>
      <c r="J12" s="85"/>
      <c r="K12" s="90">
        <f>SUM(K9:K11)</f>
        <v>305332.56</v>
      </c>
      <c r="L12" s="56"/>
    </row>
    <row r="13" spans="1:16" s="52" customFormat="1">
      <c r="A13" s="47"/>
      <c r="B13" s="112"/>
      <c r="C13" s="113"/>
      <c r="D13" s="113"/>
      <c r="E13" s="113"/>
      <c r="F13" s="114"/>
      <c r="G13" s="115"/>
      <c r="H13" s="116"/>
      <c r="I13" s="116"/>
      <c r="J13" s="116"/>
      <c r="K13" s="117"/>
    </row>
    <row r="14" spans="1:16" s="65" customFormat="1">
      <c r="B14" s="87">
        <v>1</v>
      </c>
      <c r="C14" s="88" t="s">
        <v>720</v>
      </c>
      <c r="D14" s="118"/>
      <c r="E14" s="118"/>
      <c r="F14" s="59"/>
      <c r="G14" s="66"/>
      <c r="H14" s="67"/>
      <c r="I14" s="119"/>
      <c r="J14" s="60">
        <f t="shared" ref="J14:J44" si="0">ROUND(H14*(I14+1),2)</f>
        <v>0</v>
      </c>
      <c r="K14" s="120"/>
    </row>
    <row r="15" spans="1:16" s="52" customFormat="1" ht="31.5">
      <c r="A15" s="47"/>
      <c r="B15" s="554" t="s">
        <v>35</v>
      </c>
      <c r="C15" s="555" t="str">
        <f>'Resumo Preços'!$D$5</f>
        <v>Curva 90° com bolsas JGS, Ø 400mm, em ferro fundido, para água</v>
      </c>
      <c r="D15" s="279" t="str">
        <f>'Resumo Preços'!$C$5</f>
        <v>HM02969</v>
      </c>
      <c r="E15" s="280" t="str">
        <f>'Resumo Preços'!$F$5</f>
        <v>SABESP</v>
      </c>
      <c r="F15" s="281" t="str">
        <f>'Resumo Preços'!$E$5</f>
        <v>pç</v>
      </c>
      <c r="G15" s="282">
        <v>1</v>
      </c>
      <c r="H15" s="283">
        <f>ROUND('Resumo Preços'!$L$5,2)</f>
        <v>5687.83</v>
      </c>
      <c r="I15" s="119">
        <f>$K$7</f>
        <v>0.16800000000000001</v>
      </c>
      <c r="J15" s="60">
        <f>ROUND(H15*(I15+1),2)</f>
        <v>6643.39</v>
      </c>
      <c r="K15" s="284">
        <f>ROUND(G15*J15,2)</f>
        <v>6643.39</v>
      </c>
      <c r="M15" s="513">
        <f t="shared" ref="M15:M20" si="1">ROUND(G15*H15,2)</f>
        <v>5687.83</v>
      </c>
      <c r="N15" s="511"/>
      <c r="O15" s="511"/>
    </row>
    <row r="16" spans="1:16" s="52" customFormat="1" ht="47.25">
      <c r="A16" s="47"/>
      <c r="B16" s="554" t="s">
        <v>75</v>
      </c>
      <c r="C16" s="555" t="str">
        <f>'Resumo Preços'!$D$6</f>
        <v>Tubo com pontas, Ø 400mm, L = 3,80m (confirmar e ajustar em campo), em ferro fundido, para água</v>
      </c>
      <c r="D16" s="279" t="str">
        <f>'Resumo Preços'!$C$6</f>
        <v>HM04109</v>
      </c>
      <c r="E16" s="280" t="str">
        <f>'Resumo Preços'!$F$6</f>
        <v>SABESP</v>
      </c>
      <c r="F16" s="281" t="str">
        <f>'Resumo Preços'!$E$6</f>
        <v>pç</v>
      </c>
      <c r="G16" s="282">
        <v>1</v>
      </c>
      <c r="H16" s="283">
        <f>ROUND('Resumo Preços'!$L$6,2)</f>
        <v>3557.03</v>
      </c>
      <c r="I16" s="119">
        <f t="shared" ref="I16:I42" si="2">$K$7</f>
        <v>0.16800000000000001</v>
      </c>
      <c r="J16" s="60">
        <f t="shared" ref="J16:J42" si="3">ROUND(H16*(I16+1),2)</f>
        <v>4154.6099999999997</v>
      </c>
      <c r="K16" s="284">
        <f t="shared" ref="K16:K41" si="4">ROUND(G16*J16,2)</f>
        <v>4154.6099999999997</v>
      </c>
      <c r="M16" s="513">
        <f t="shared" si="1"/>
        <v>3557.03</v>
      </c>
      <c r="N16" s="511"/>
      <c r="O16" s="511"/>
    </row>
    <row r="17" spans="1:15" s="52" customFormat="1" ht="31.5">
      <c r="A17" s="47"/>
      <c r="B17" s="554" t="s">
        <v>76</v>
      </c>
      <c r="C17" s="555" t="str">
        <f>'Resumo Preços'!$D$7</f>
        <v>Tubo ponta e bolsa JGS Ø 400mm, classe K7, L = 6,00m, em ferro fundido, para água</v>
      </c>
      <c r="D17" s="279" t="str">
        <f>'Resumo Preços'!$C$7</f>
        <v>HM04109</v>
      </c>
      <c r="E17" s="280" t="str">
        <f>'Resumo Preços'!$F$7</f>
        <v>SABESP</v>
      </c>
      <c r="F17" s="281" t="str">
        <f>'Resumo Preços'!$E$7</f>
        <v>pç</v>
      </c>
      <c r="G17" s="282">
        <v>2</v>
      </c>
      <c r="H17" s="283">
        <f>ROUND('Resumo Preços'!$L$7,2)</f>
        <v>5616.36</v>
      </c>
      <c r="I17" s="119">
        <f t="shared" si="2"/>
        <v>0.16800000000000001</v>
      </c>
      <c r="J17" s="60">
        <f t="shared" si="3"/>
        <v>6559.91</v>
      </c>
      <c r="K17" s="284">
        <f t="shared" si="4"/>
        <v>13119.82</v>
      </c>
      <c r="M17" s="513">
        <f t="shared" si="1"/>
        <v>11232.72</v>
      </c>
      <c r="N17" s="511"/>
      <c r="O17" s="511"/>
    </row>
    <row r="18" spans="1:15" s="52" customFormat="1" ht="47.25">
      <c r="A18" s="47"/>
      <c r="B18" s="554" t="s">
        <v>77</v>
      </c>
      <c r="C18" s="555" t="str">
        <f>'Resumo Preços'!$D$8</f>
        <v>Tubo com flange e bolsa, Ø 400mm, L = 5,80m, flange conf. ISO 2531 PN-10, em ferro fundido, para água</v>
      </c>
      <c r="D18" s="279" t="str">
        <f>'Resumo Preços'!$C$8</f>
        <v>HM03736</v>
      </c>
      <c r="E18" s="280" t="str">
        <f>'Resumo Preços'!$F$8</f>
        <v>SABESP</v>
      </c>
      <c r="F18" s="281" t="str">
        <f>'Resumo Preços'!$E$8</f>
        <v>pç</v>
      </c>
      <c r="G18" s="282">
        <v>1</v>
      </c>
      <c r="H18" s="283">
        <f>ROUND('Resumo Preços'!$L$8,2)</f>
        <v>10647.16</v>
      </c>
      <c r="I18" s="119">
        <f t="shared" si="2"/>
        <v>0.16800000000000001</v>
      </c>
      <c r="J18" s="60">
        <f t="shared" si="3"/>
        <v>12435.88</v>
      </c>
      <c r="K18" s="284">
        <f t="shared" si="4"/>
        <v>12435.88</v>
      </c>
      <c r="M18" s="513">
        <f t="shared" si="1"/>
        <v>10647.16</v>
      </c>
      <c r="N18" s="510">
        <f>ROUND((89.5*5.8)+28+29.3,2)</f>
        <v>576.4</v>
      </c>
      <c r="O18" s="516">
        <f>ROUND(G18*N18,2)</f>
        <v>576.4</v>
      </c>
    </row>
    <row r="19" spans="1:15" s="52" customFormat="1" ht="47.25">
      <c r="A19" s="47"/>
      <c r="B19" s="554" t="s">
        <v>78</v>
      </c>
      <c r="C19" s="555" t="str">
        <f>'Resumo Preços'!$D$9</f>
        <v>Redução concêntrica com flanges Ø 400mm x Ø 300mm, flange conf. ISO 2531 PN-10, em ferro fundido, para água</v>
      </c>
      <c r="D19" s="279" t="str">
        <f>'Resumo Preços'!$C$9</f>
        <v>HM03310</v>
      </c>
      <c r="E19" s="280" t="str">
        <f>'Resumo Preços'!$F$9</f>
        <v>SABESP</v>
      </c>
      <c r="F19" s="281" t="str">
        <f>'Resumo Preços'!$E$9</f>
        <v>pç</v>
      </c>
      <c r="G19" s="282">
        <v>2</v>
      </c>
      <c r="H19" s="283">
        <f>ROUND('Resumo Preços'!$L$9,2)</f>
        <v>2618.73</v>
      </c>
      <c r="I19" s="119">
        <f t="shared" si="2"/>
        <v>0.16800000000000001</v>
      </c>
      <c r="J19" s="60">
        <f t="shared" si="3"/>
        <v>3058.68</v>
      </c>
      <c r="K19" s="284">
        <f t="shared" si="4"/>
        <v>6117.36</v>
      </c>
      <c r="M19" s="513">
        <f t="shared" si="1"/>
        <v>5237.46</v>
      </c>
      <c r="N19" s="510">
        <v>76</v>
      </c>
      <c r="O19" s="516">
        <f t="shared" ref="O19:O20" si="5">ROUND(G19*N19,2)</f>
        <v>152</v>
      </c>
    </row>
    <row r="20" spans="1:15" s="52" customFormat="1" ht="47.25">
      <c r="A20" s="47"/>
      <c r="B20" s="554" t="s">
        <v>79</v>
      </c>
      <c r="C20" s="555" t="str">
        <f>'Resumo Preços'!$D$10</f>
        <v>Tê com flanges Ø 300mm x Ø 300mm, flange conf. ISO 2531 PN-10, em ferro fundido, para água</v>
      </c>
      <c r="D20" s="279" t="str">
        <f>'Resumo Preços'!$C$10</f>
        <v>HM03412</v>
      </c>
      <c r="E20" s="280" t="str">
        <f>'Resumo Preços'!$F$10</f>
        <v>SABESP</v>
      </c>
      <c r="F20" s="281" t="str">
        <f>'Resumo Preços'!$E$10</f>
        <v>pç</v>
      </c>
      <c r="G20" s="282">
        <v>2</v>
      </c>
      <c r="H20" s="283">
        <f>ROUND('Resumo Preços'!$L$10,2)</f>
        <v>3898.96</v>
      </c>
      <c r="I20" s="119">
        <f t="shared" si="2"/>
        <v>0.16800000000000001</v>
      </c>
      <c r="J20" s="60">
        <f t="shared" si="3"/>
        <v>4553.99</v>
      </c>
      <c r="K20" s="284">
        <f t="shared" si="4"/>
        <v>9107.98</v>
      </c>
      <c r="M20" s="513">
        <f t="shared" si="1"/>
        <v>7797.92</v>
      </c>
      <c r="N20" s="510">
        <v>119</v>
      </c>
      <c r="O20" s="516">
        <f t="shared" si="5"/>
        <v>238</v>
      </c>
    </row>
    <row r="21" spans="1:15" s="52" customFormat="1" ht="47.25">
      <c r="A21" s="47"/>
      <c r="B21" s="554" t="s">
        <v>80</v>
      </c>
      <c r="C21" s="555" t="str">
        <f>'Resumo Preços'!$D$11</f>
        <v>Junta de desmontagem travada axialmente, Ø 300mm, flange conf. ISO 2531 PN-10, em ferro fundido, para água</v>
      </c>
      <c r="D21" s="279" t="str">
        <f>'Resumo Preços'!$C$11</f>
        <v>HM03162</v>
      </c>
      <c r="E21" s="280" t="str">
        <f>'Resumo Preços'!$F$11</f>
        <v>SABESP</v>
      </c>
      <c r="F21" s="281" t="str">
        <f>'Resumo Preços'!$E$11</f>
        <v>pç</v>
      </c>
      <c r="G21" s="282">
        <v>2</v>
      </c>
      <c r="H21" s="283">
        <f>ROUND('Resumo Preços'!$L$11,2)</f>
        <v>2823.63</v>
      </c>
      <c r="I21" s="119">
        <f t="shared" si="2"/>
        <v>0.16800000000000001</v>
      </c>
      <c r="J21" s="60">
        <f t="shared" si="3"/>
        <v>3298</v>
      </c>
      <c r="K21" s="284">
        <f t="shared" si="4"/>
        <v>6596</v>
      </c>
      <c r="M21" s="1"/>
    </row>
    <row r="22" spans="1:15" s="52" customFormat="1" ht="78.75">
      <c r="A22" s="47"/>
      <c r="B22" s="554" t="s">
        <v>118</v>
      </c>
      <c r="C22" s="555" t="str">
        <f>'Resumo Preços'!$D$12</f>
        <v>Registro de gaveta Ø 300mm, com flanges, cunha emborrachada, corpo curto e acionamento manual através de cabeçote, flange conf. ISO 2531 PN-10, em ferro fundido, para água</v>
      </c>
      <c r="D22" s="279" t="str">
        <f>'Resumo Preços'!$C$12</f>
        <v>HM07074</v>
      </c>
      <c r="E22" s="280" t="str">
        <f>'Resumo Preços'!$F$12</f>
        <v>SABESP</v>
      </c>
      <c r="F22" s="281" t="str">
        <f>'Resumo Preços'!$E$12</f>
        <v>pç</v>
      </c>
      <c r="G22" s="282">
        <v>3</v>
      </c>
      <c r="H22" s="283">
        <f>ROUND('Resumo Preços'!$L$12,2)</f>
        <v>6261.72</v>
      </c>
      <c r="I22" s="119">
        <f t="shared" si="2"/>
        <v>0.16800000000000001</v>
      </c>
      <c r="J22" s="60">
        <f t="shared" si="3"/>
        <v>7313.69</v>
      </c>
      <c r="K22" s="284">
        <f t="shared" si="4"/>
        <v>21941.07</v>
      </c>
      <c r="M22" s="1"/>
    </row>
    <row r="23" spans="1:15" s="52" customFormat="1" ht="47.25">
      <c r="A23" s="47"/>
      <c r="B23" s="554" t="s">
        <v>119</v>
      </c>
      <c r="C23" s="555" t="str">
        <f>'Resumo Preços'!$D$13</f>
        <v>Tubo com flanges, Ø 300mm, L = 0,58m, flange conf. ISO 2531 PN-10, em ferro fundido, para água</v>
      </c>
      <c r="D23" s="279" t="str">
        <f>'Resumo Preços'!$C$13</f>
        <v>HM03607</v>
      </c>
      <c r="E23" s="280" t="str">
        <f>'Resumo Preços'!$F$13</f>
        <v>SABESP</v>
      </c>
      <c r="F23" s="281" t="str">
        <f>'Resumo Preços'!$E$13</f>
        <v>pç</v>
      </c>
      <c r="G23" s="282">
        <v>2</v>
      </c>
      <c r="H23" s="283">
        <f>ROUND('Resumo Preços'!$L$13,2)</f>
        <v>3960.54</v>
      </c>
      <c r="I23" s="119">
        <f t="shared" si="2"/>
        <v>0.16800000000000001</v>
      </c>
      <c r="J23" s="60">
        <f t="shared" si="3"/>
        <v>4625.91</v>
      </c>
      <c r="K23" s="284">
        <f t="shared" si="4"/>
        <v>9251.82</v>
      </c>
      <c r="M23" s="512">
        <f>ROUND(G23*H23,2)</f>
        <v>7921.08</v>
      </c>
      <c r="N23" s="510">
        <f>ROUND((57.1*0.58)+18+18,2)</f>
        <v>69.12</v>
      </c>
      <c r="O23" s="516">
        <f>ROUND(G23*N23,2)</f>
        <v>138.24</v>
      </c>
    </row>
    <row r="24" spans="1:15" s="52" customFormat="1" ht="47.25">
      <c r="A24" s="47"/>
      <c r="B24" s="554" t="s">
        <v>120</v>
      </c>
      <c r="C24" s="555" t="str">
        <f>'Resumo Preços'!$D$14</f>
        <v>Válvula borboleta com flanges, com cabeçote, Ø 300mm, flange conf. ISO 2531 PN-10, em ferro fundido, para água</v>
      </c>
      <c r="D24" s="279" t="str">
        <f>'Resumo Preços'!$C$14</f>
        <v>HM07038</v>
      </c>
      <c r="E24" s="280" t="str">
        <f>'Resumo Preços'!$F$14</f>
        <v>SABESP</v>
      </c>
      <c r="F24" s="281" t="str">
        <f>'Resumo Preços'!$E$14</f>
        <v>pç</v>
      </c>
      <c r="G24" s="282">
        <v>1</v>
      </c>
      <c r="H24" s="283">
        <f>ROUND('Resumo Preços'!$L$14,2)</f>
        <v>12952.9</v>
      </c>
      <c r="I24" s="119">
        <f t="shared" si="2"/>
        <v>0.16800000000000001</v>
      </c>
      <c r="J24" s="60">
        <f t="shared" si="3"/>
        <v>15128.99</v>
      </c>
      <c r="K24" s="284">
        <f t="shared" si="4"/>
        <v>15128.99</v>
      </c>
      <c r="M24" s="1"/>
    </row>
    <row r="25" spans="1:15" s="52" customFormat="1" ht="47.25">
      <c r="A25" s="47"/>
      <c r="B25" s="554" t="s">
        <v>121</v>
      </c>
      <c r="C25" s="555" t="str">
        <f>'Resumo Preços'!$D$15</f>
        <v>Toco com flanges, Ø 300mm, L = 0,25m, flange conf. ISO 2531 PN-10, em ferro fundido, para água</v>
      </c>
      <c r="D25" s="279" t="str">
        <f>'Resumo Preços'!$C$15</f>
        <v>HM03516</v>
      </c>
      <c r="E25" s="280" t="str">
        <f>'Resumo Preços'!$F$15</f>
        <v>SABESP</v>
      </c>
      <c r="F25" s="281" t="str">
        <f>'Resumo Preços'!$E$15</f>
        <v>pç</v>
      </c>
      <c r="G25" s="282">
        <v>4</v>
      </c>
      <c r="H25" s="283">
        <f>ROUND('Resumo Preços'!$L$15,2)</f>
        <v>1285.47</v>
      </c>
      <c r="I25" s="119">
        <f t="shared" si="2"/>
        <v>0.16800000000000001</v>
      </c>
      <c r="J25" s="60">
        <f t="shared" si="3"/>
        <v>1501.43</v>
      </c>
      <c r="K25" s="284">
        <f t="shared" si="4"/>
        <v>6005.72</v>
      </c>
      <c r="M25" s="512">
        <f>ROUND(G25*H25,2)</f>
        <v>5141.88</v>
      </c>
      <c r="N25" s="510">
        <v>56</v>
      </c>
      <c r="O25" s="516">
        <f>ROUND(G25*N25,2)</f>
        <v>224</v>
      </c>
    </row>
    <row r="26" spans="1:15" s="52" customFormat="1" ht="31.5">
      <c r="A26" s="47"/>
      <c r="B26" s="554" t="s">
        <v>145</v>
      </c>
      <c r="C26" s="555" t="str">
        <f>'Resumo Preços'!$D$16</f>
        <v>Curva 90° com flanges Ø 300mm, flange conf. ISO 2531 PN-10, em ferro fundido, para água</v>
      </c>
      <c r="D26" s="279" t="str">
        <f>'Resumo Preços'!$C$16</f>
        <v>HM03006</v>
      </c>
      <c r="E26" s="280" t="str">
        <f>'Resumo Preços'!$F$16</f>
        <v>SABESP</v>
      </c>
      <c r="F26" s="281" t="str">
        <f>'Resumo Preços'!$E$16</f>
        <v>pç</v>
      </c>
      <c r="G26" s="282">
        <v>2</v>
      </c>
      <c r="H26" s="283">
        <f>ROUND('Resumo Preços'!$L$16,2)</f>
        <v>2442.9</v>
      </c>
      <c r="I26" s="119">
        <f t="shared" si="2"/>
        <v>0.16800000000000001</v>
      </c>
      <c r="J26" s="60">
        <f t="shared" si="3"/>
        <v>2853.31</v>
      </c>
      <c r="K26" s="284">
        <f t="shared" si="4"/>
        <v>5706.62</v>
      </c>
      <c r="M26" s="512">
        <f>ROUND(G26*H26,2)</f>
        <v>4885.8</v>
      </c>
      <c r="N26" s="510">
        <v>66</v>
      </c>
      <c r="O26" s="516">
        <f>ROUND(G26*N26,2)</f>
        <v>132</v>
      </c>
    </row>
    <row r="27" spans="1:15" s="52" customFormat="1" ht="78.75">
      <c r="A27" s="47"/>
      <c r="B27" s="554" t="s">
        <v>212</v>
      </c>
      <c r="C27" s="555" t="str">
        <f>'Resumo Preços'!$D$17</f>
        <v>Válvula posicionadora de comando hidráulico através de solenóides com preparação para comando eletrônico, Ø 300mm, atuador tipo diafragma, flanges conf. ISO 2531 PN-10, para água</v>
      </c>
      <c r="D27" s="279" t="str">
        <f>'Resumo Preços'!$C$17</f>
        <v>VALV-01</v>
      </c>
      <c r="E27" s="280" t="s">
        <v>227</v>
      </c>
      <c r="F27" s="281" t="str">
        <f>'Resumo Preços'!$E$17</f>
        <v>pç</v>
      </c>
      <c r="G27" s="282">
        <v>1</v>
      </c>
      <c r="H27" s="283">
        <f>ROUND('Resumo Preços'!$L$17,2)</f>
        <v>39149.050000000003</v>
      </c>
      <c r="I27" s="119">
        <f t="shared" si="2"/>
        <v>0.16800000000000001</v>
      </c>
      <c r="J27" s="60">
        <f t="shared" si="3"/>
        <v>45726.09</v>
      </c>
      <c r="K27" s="284">
        <f t="shared" si="4"/>
        <v>45726.09</v>
      </c>
      <c r="M27" s="1"/>
      <c r="N27" s="1"/>
      <c r="O27" s="1"/>
    </row>
    <row r="28" spans="1:15" s="52" customFormat="1" ht="47.25">
      <c r="A28" s="47"/>
      <c r="B28" s="554" t="s">
        <v>213</v>
      </c>
      <c r="C28" s="555" t="str">
        <f>'Resumo Preços'!$D$18</f>
        <v>Tubo com flange e ponta, Ø 400mm, L = 1,13m, flange conf. ISO 2531 PN-10, em ferro fundido, para água</v>
      </c>
      <c r="D28" s="279" t="str">
        <f>'Resumo Preços'!$C$18</f>
        <v>HM03912</v>
      </c>
      <c r="E28" s="280" t="str">
        <f>'Resumo Preços'!$F$18</f>
        <v>SABESP</v>
      </c>
      <c r="F28" s="281" t="str">
        <f>'Resumo Preços'!$E$18</f>
        <v>pç</v>
      </c>
      <c r="G28" s="282">
        <v>1</v>
      </c>
      <c r="H28" s="283">
        <f>ROUND('Resumo Preços'!$L$18,2)</f>
        <v>4181.3500000000004</v>
      </c>
      <c r="I28" s="119">
        <f t="shared" si="2"/>
        <v>0.16800000000000001</v>
      </c>
      <c r="J28" s="60">
        <f t="shared" si="3"/>
        <v>4883.82</v>
      </c>
      <c r="K28" s="284">
        <f t="shared" si="4"/>
        <v>4883.82</v>
      </c>
      <c r="M28" s="512">
        <f>ROUND(G28*H28,2)</f>
        <v>4181.3500000000004</v>
      </c>
      <c r="N28" s="510">
        <f>ROUND((89.5*1.13)+28,2)</f>
        <v>129.13999999999999</v>
      </c>
      <c r="O28" s="516">
        <f>ROUND(G28*N28,2)</f>
        <v>129.13999999999999</v>
      </c>
    </row>
    <row r="29" spans="1:15" s="52" customFormat="1" ht="31.5">
      <c r="A29" s="47"/>
      <c r="B29" s="554" t="s">
        <v>214</v>
      </c>
      <c r="C29" s="555" t="str">
        <f>'Resumo Preços'!$D$19</f>
        <v>Curva 45° com bolsas JGS, Ø 400mm, em ferro fundido, para água</v>
      </c>
      <c r="D29" s="279" t="str">
        <f>'Resumo Preços'!$C$19</f>
        <v>HM02959</v>
      </c>
      <c r="E29" s="280" t="str">
        <f>'Resumo Preços'!$F$19</f>
        <v>SABESP</v>
      </c>
      <c r="F29" s="281" t="str">
        <f>'Resumo Preços'!$E$19</f>
        <v>pç</v>
      </c>
      <c r="G29" s="282">
        <v>1</v>
      </c>
      <c r="H29" s="283">
        <f>ROUND('Resumo Preços'!$L$19,2)</f>
        <v>2873.75</v>
      </c>
      <c r="I29" s="119">
        <f t="shared" si="2"/>
        <v>0.16800000000000001</v>
      </c>
      <c r="J29" s="60">
        <f t="shared" si="3"/>
        <v>3356.54</v>
      </c>
      <c r="K29" s="284">
        <f t="shared" si="4"/>
        <v>3356.54</v>
      </c>
      <c r="M29" s="512">
        <f t="shared" ref="M29:M34" si="6">ROUND(G29*H29,2)</f>
        <v>2873.75</v>
      </c>
    </row>
    <row r="30" spans="1:15" s="52" customFormat="1" ht="31.5">
      <c r="A30" s="47"/>
      <c r="B30" s="554" t="s">
        <v>215</v>
      </c>
      <c r="C30" s="555" t="str">
        <f>'Resumo Preços'!$D$20</f>
        <v>Tubo com pontas, Ø 400mm, L = 1,25m, em ferro fundido, para água</v>
      </c>
      <c r="D30" s="279" t="str">
        <f>'Resumo Preços'!$C$20</f>
        <v>HM04109</v>
      </c>
      <c r="E30" s="280" t="str">
        <f>'Resumo Preços'!$F$20</f>
        <v>SABESP</v>
      </c>
      <c r="F30" s="281" t="str">
        <f>'Resumo Preços'!$E$20</f>
        <v>pç</v>
      </c>
      <c r="G30" s="282">
        <v>1</v>
      </c>
      <c r="H30" s="283">
        <f>ROUND('Resumo Preços'!$L$20,2)</f>
        <v>1170.08</v>
      </c>
      <c r="I30" s="119">
        <f t="shared" si="2"/>
        <v>0.16800000000000001</v>
      </c>
      <c r="J30" s="60">
        <f t="shared" si="3"/>
        <v>1366.65</v>
      </c>
      <c r="K30" s="284">
        <f t="shared" si="4"/>
        <v>1366.65</v>
      </c>
      <c r="M30" s="512">
        <f t="shared" si="6"/>
        <v>1170.08</v>
      </c>
    </row>
    <row r="31" spans="1:15" s="52" customFormat="1" ht="31.5">
      <c r="A31" s="47"/>
      <c r="B31" s="554" t="s">
        <v>216</v>
      </c>
      <c r="C31" s="555" t="str">
        <f>'Resumo Preços'!$D$21</f>
        <v>Curva 22°30' com bolsas JGS, Ø 400mm, em ferro fundido, para água</v>
      </c>
      <c r="D31" s="279" t="str">
        <f>'Resumo Preços'!$C$21</f>
        <v>HM02949</v>
      </c>
      <c r="E31" s="280" t="str">
        <f>'Resumo Preços'!$F$21</f>
        <v>SABESP</v>
      </c>
      <c r="F31" s="281" t="str">
        <f>'Resumo Preços'!$E$21</f>
        <v>pç</v>
      </c>
      <c r="G31" s="282">
        <v>1</v>
      </c>
      <c r="H31" s="283">
        <f>ROUND('Resumo Preços'!$L$21,2)</f>
        <v>1925.13</v>
      </c>
      <c r="I31" s="119">
        <f t="shared" si="2"/>
        <v>0.16800000000000001</v>
      </c>
      <c r="J31" s="60">
        <f t="shared" si="3"/>
        <v>2248.5500000000002</v>
      </c>
      <c r="K31" s="284">
        <f t="shared" si="4"/>
        <v>2248.5500000000002</v>
      </c>
      <c r="M31" s="512">
        <f t="shared" si="6"/>
        <v>1925.13</v>
      </c>
    </row>
    <row r="32" spans="1:15" s="52" customFormat="1" ht="47.25">
      <c r="A32" s="47"/>
      <c r="B32" s="554" t="s">
        <v>217</v>
      </c>
      <c r="C32" s="555" t="str">
        <f>'Resumo Preços'!$D$22</f>
        <v>Tubo com flange e ponta, Ø 400mm, L = 2,92m, flange conf. ISO 2531 PN-10, em ferro fundido, para água</v>
      </c>
      <c r="D32" s="279" t="str">
        <f>'Resumo Preços'!$C$22</f>
        <v>HM03915</v>
      </c>
      <c r="E32" s="280" t="str">
        <f>'Resumo Preços'!$F$22</f>
        <v>SABESP</v>
      </c>
      <c r="F32" s="281" t="str">
        <f>'Resumo Preços'!$E$22</f>
        <v>pç</v>
      </c>
      <c r="G32" s="282">
        <v>1</v>
      </c>
      <c r="H32" s="283">
        <f>ROUND('Resumo Preços'!$L$22,2)</f>
        <v>6284.69</v>
      </c>
      <c r="I32" s="119">
        <f t="shared" si="2"/>
        <v>0.16800000000000001</v>
      </c>
      <c r="J32" s="60">
        <f t="shared" si="3"/>
        <v>7340.52</v>
      </c>
      <c r="K32" s="284">
        <f t="shared" si="4"/>
        <v>7340.52</v>
      </c>
      <c r="M32" s="512">
        <f t="shared" si="6"/>
        <v>6284.69</v>
      </c>
      <c r="N32" s="510">
        <f>ROUND((89.5*2.92)+28,2)</f>
        <v>289.33999999999997</v>
      </c>
      <c r="O32" s="516">
        <f>ROUND(G32*N32,2)</f>
        <v>289.33999999999997</v>
      </c>
    </row>
    <row r="33" spans="1:17" s="52" customFormat="1" ht="31.5">
      <c r="A33" s="47"/>
      <c r="B33" s="554" t="s">
        <v>218</v>
      </c>
      <c r="C33" s="555" t="str">
        <f>'Resumo Preços'!$D$23</f>
        <v>Curva 90° com flanges Ø 400mm, flange conf. ISO 2531 PN-10, em ferro fundido, para água</v>
      </c>
      <c r="D33" s="279" t="str">
        <f>'Resumo Preços'!$C$23</f>
        <v>HM02984</v>
      </c>
      <c r="E33" s="280" t="str">
        <f>'Resumo Preços'!$F$23</f>
        <v>SABESP</v>
      </c>
      <c r="F33" s="281" t="str">
        <f>'Resumo Preços'!$E$23</f>
        <v>pç</v>
      </c>
      <c r="G33" s="282">
        <v>3</v>
      </c>
      <c r="H33" s="283">
        <f>ROUND('Resumo Preços'!$L$23,2)</f>
        <v>7864.79</v>
      </c>
      <c r="I33" s="119">
        <f t="shared" si="2"/>
        <v>0.16800000000000001</v>
      </c>
      <c r="J33" s="60">
        <f t="shared" si="3"/>
        <v>9186.07</v>
      </c>
      <c r="K33" s="284">
        <f t="shared" si="4"/>
        <v>27558.21</v>
      </c>
      <c r="M33" s="512">
        <f t="shared" si="6"/>
        <v>23594.37</v>
      </c>
      <c r="N33" s="510">
        <v>110</v>
      </c>
      <c r="O33" s="516">
        <f t="shared" ref="O33:O37" si="7">ROUND(G33*N33,2)</f>
        <v>330</v>
      </c>
    </row>
    <row r="34" spans="1:17" s="52" customFormat="1" ht="47.25">
      <c r="A34" s="47"/>
      <c r="B34" s="593" t="s">
        <v>219</v>
      </c>
      <c r="C34" s="594" t="str">
        <f>'Resumo Preços'!$D$24</f>
        <v>Tubo com flanges, Ø 400mm, L = 0,56m, flange conf. ISO 2531 PN-10, em ferro fundido, para água</v>
      </c>
      <c r="D34" s="595" t="str">
        <f>'Resumo Preços'!$C$24</f>
        <v>HM03541</v>
      </c>
      <c r="E34" s="596" t="str">
        <f>'Resumo Preços'!$F$24</f>
        <v>SABESP</v>
      </c>
      <c r="F34" s="597" t="str">
        <f>'Resumo Preços'!$E$24</f>
        <v>pç</v>
      </c>
      <c r="G34" s="598">
        <v>1</v>
      </c>
      <c r="H34" s="599">
        <f>ROUND('Resumo Preços'!$L$24,2)</f>
        <v>5124.71</v>
      </c>
      <c r="I34" s="600">
        <f t="shared" si="2"/>
        <v>0.16800000000000001</v>
      </c>
      <c r="J34" s="305">
        <f t="shared" si="3"/>
        <v>5985.66</v>
      </c>
      <c r="K34" s="601">
        <f t="shared" si="4"/>
        <v>5985.66</v>
      </c>
      <c r="M34" s="517">
        <f t="shared" si="6"/>
        <v>5124.71</v>
      </c>
      <c r="N34" s="518">
        <f>ROUND((89.5*0.56)+28+28,2)</f>
        <v>106.12</v>
      </c>
      <c r="O34" s="519">
        <f t="shared" si="7"/>
        <v>106.12</v>
      </c>
    </row>
    <row r="35" spans="1:17" s="52" customFormat="1" ht="47.25">
      <c r="A35" s="47"/>
      <c r="B35" s="554" t="s">
        <v>220</v>
      </c>
      <c r="C35" s="555" t="str">
        <f>'Resumo Preços'!$D$25</f>
        <v>Curva 90° com flanges e pé Ø 400mm, flange conf. ISO 2531 PN-10, em ferro fundido, para água</v>
      </c>
      <c r="D35" s="279" t="str">
        <f>'Resumo Preços'!$C$25</f>
        <v>HM03017</v>
      </c>
      <c r="E35" s="280" t="str">
        <f>'Resumo Preços'!$F$25</f>
        <v>SABESP</v>
      </c>
      <c r="F35" s="281" t="str">
        <f>'Resumo Preços'!$E$25</f>
        <v>pç</v>
      </c>
      <c r="G35" s="282">
        <v>1</v>
      </c>
      <c r="H35" s="283">
        <f>ROUND('Resumo Preços'!$L$25,2)</f>
        <v>9897.9500000000007</v>
      </c>
      <c r="I35" s="119">
        <f t="shared" si="2"/>
        <v>0.16800000000000001</v>
      </c>
      <c r="J35" s="60">
        <f t="shared" si="3"/>
        <v>11560.81</v>
      </c>
      <c r="K35" s="284">
        <f t="shared" si="4"/>
        <v>11560.81</v>
      </c>
      <c r="M35" s="512">
        <f>ROUND(G35*H35,2)</f>
        <v>9897.9500000000007</v>
      </c>
      <c r="N35" s="510">
        <v>172</v>
      </c>
      <c r="O35" s="516">
        <f t="shared" si="7"/>
        <v>172</v>
      </c>
    </row>
    <row r="36" spans="1:17" s="52" customFormat="1" ht="47.25">
      <c r="A36" s="47"/>
      <c r="B36" s="554" t="s">
        <v>221</v>
      </c>
      <c r="C36" s="555" t="str">
        <f>'Resumo Preços'!$D$26</f>
        <v>Tubo com flanges, Ø 400mm, L = 5,80m, flange conf. ISO 2531 PN-10, em ferro fundido, para água</v>
      </c>
      <c r="D36" s="279" t="str">
        <f>'Resumo Preços'!$C$26</f>
        <v>HM03551</v>
      </c>
      <c r="E36" s="280" t="str">
        <f>'Resumo Preços'!$F$26</f>
        <v>SABESP</v>
      </c>
      <c r="F36" s="281" t="str">
        <f>'Resumo Preços'!$E$26</f>
        <v>pç</v>
      </c>
      <c r="G36" s="282">
        <v>2</v>
      </c>
      <c r="H36" s="283">
        <f>ROUND('Resumo Preços'!$L$26,2)</f>
        <v>11791.47</v>
      </c>
      <c r="I36" s="119">
        <f t="shared" si="2"/>
        <v>0.16800000000000001</v>
      </c>
      <c r="J36" s="60">
        <f t="shared" si="3"/>
        <v>13772.44</v>
      </c>
      <c r="K36" s="284">
        <f t="shared" si="4"/>
        <v>27544.880000000001</v>
      </c>
      <c r="M36" s="512">
        <f>ROUND(G36*H36,2)</f>
        <v>23582.94</v>
      </c>
      <c r="N36" s="510">
        <f>ROUND((89.5*5.8)+28+28,2)</f>
        <v>575.1</v>
      </c>
      <c r="O36" s="516">
        <f t="shared" si="7"/>
        <v>1150.2</v>
      </c>
    </row>
    <row r="37" spans="1:17" s="52" customFormat="1" ht="47.25">
      <c r="A37" s="47"/>
      <c r="B37" s="554" t="s">
        <v>222</v>
      </c>
      <c r="C37" s="555" t="str">
        <f>'Resumo Preços'!$D$27</f>
        <v>Tubo com flanges, Ø 400mm, L = 4,38m, flange conf. ISO 2531 PN-10, em ferro fundido, para água</v>
      </c>
      <c r="D37" s="279" t="str">
        <f>'Resumo Preços'!$C$27</f>
        <v>HM03549</v>
      </c>
      <c r="E37" s="280" t="str">
        <f>'Resumo Preços'!$F$27</f>
        <v>SABESP</v>
      </c>
      <c r="F37" s="281" t="str">
        <f>'Resumo Preços'!$E$27</f>
        <v>pç</v>
      </c>
      <c r="G37" s="282">
        <v>1</v>
      </c>
      <c r="H37" s="283">
        <f>ROUND('Resumo Preços'!$L$27,2)</f>
        <v>11175.42</v>
      </c>
      <c r="I37" s="119">
        <f t="shared" si="2"/>
        <v>0.16800000000000001</v>
      </c>
      <c r="J37" s="60">
        <f t="shared" si="3"/>
        <v>13052.89</v>
      </c>
      <c r="K37" s="284">
        <f t="shared" si="4"/>
        <v>13052.89</v>
      </c>
      <c r="M37" s="512">
        <f>ROUND(G37*H37,2)</f>
        <v>11175.42</v>
      </c>
      <c r="N37" s="510">
        <f>ROUND((89.5*4.38)+28+28,2)</f>
        <v>448.01</v>
      </c>
      <c r="O37" s="516">
        <f t="shared" si="7"/>
        <v>448.01</v>
      </c>
    </row>
    <row r="38" spans="1:17" s="52" customFormat="1" ht="31.5">
      <c r="A38" s="47"/>
      <c r="B38" s="554" t="s">
        <v>223</v>
      </c>
      <c r="C38" s="555" t="str">
        <f>'Resumo Preços'!$D$28</f>
        <v>Escada tipo marinheiro em fibra de vidro pultrudada</v>
      </c>
      <c r="D38" s="279">
        <f>'Resumo Preços'!$C$28</f>
        <v>70110161</v>
      </c>
      <c r="E38" s="280" t="str">
        <f>'Resumo Preços'!$F$28</f>
        <v>SABESP</v>
      </c>
      <c r="F38" s="281" t="str">
        <f>'Resumo Preços'!$E$28</f>
        <v>m</v>
      </c>
      <c r="G38" s="282">
        <v>1.25</v>
      </c>
      <c r="H38" s="283">
        <f>ROUND('Resumo Preços'!$L$28,2)</f>
        <v>1506.32</v>
      </c>
      <c r="I38" s="119">
        <f t="shared" si="2"/>
        <v>0.16800000000000001</v>
      </c>
      <c r="J38" s="60">
        <f t="shared" si="3"/>
        <v>1759.38</v>
      </c>
      <c r="K38" s="284">
        <f t="shared" si="4"/>
        <v>2199.23</v>
      </c>
      <c r="M38" s="1"/>
    </row>
    <row r="39" spans="1:17" s="52" customFormat="1" ht="31.5">
      <c r="A39" s="47"/>
      <c r="B39" s="554" t="s">
        <v>224</v>
      </c>
      <c r="C39" s="555" t="str">
        <f>'Resumo Preços'!$D$29</f>
        <v>Guarda corpo em fibra de vidro pultrudada, h = 1,20m</v>
      </c>
      <c r="D39" s="279">
        <f>'Resumo Preços'!$C$29</f>
        <v>70110156</v>
      </c>
      <c r="E39" s="280" t="str">
        <f>'Resumo Preços'!$F$29</f>
        <v>SABESP</v>
      </c>
      <c r="F39" s="281" t="str">
        <f>'Resumo Preços'!$E$29</f>
        <v>m</v>
      </c>
      <c r="G39" s="282">
        <v>14.2</v>
      </c>
      <c r="H39" s="283">
        <f>ROUND('Resumo Preços'!$L$29,2)</f>
        <v>1197.45</v>
      </c>
      <c r="I39" s="119">
        <f t="shared" si="2"/>
        <v>0.16800000000000001</v>
      </c>
      <c r="J39" s="60">
        <f t="shared" si="3"/>
        <v>1398.62</v>
      </c>
      <c r="K39" s="284">
        <f t="shared" si="4"/>
        <v>19860.400000000001</v>
      </c>
      <c r="M39" s="1"/>
    </row>
    <row r="40" spans="1:17" s="52" customFormat="1" ht="31.5">
      <c r="A40" s="47"/>
      <c r="B40" s="554" t="s">
        <v>225</v>
      </c>
      <c r="C40" s="555" t="str">
        <f>'Resumo Preços'!$D$30</f>
        <v>Acessórios para montagem de flanges Ø 300mm, flange conf. ISO 2531 PN-10</v>
      </c>
      <c r="D40" s="279" t="str">
        <f>'Resumo Preços'!$C$30</f>
        <v>HM01296</v>
      </c>
      <c r="E40" s="280" t="str">
        <f>'Resumo Preços'!$F$30</f>
        <v>SABESP</v>
      </c>
      <c r="F40" s="281" t="str">
        <f>'Resumo Preços'!$E$30</f>
        <v>cj</v>
      </c>
      <c r="G40" s="282">
        <v>19</v>
      </c>
      <c r="H40" s="283">
        <f>ROUND('Resumo Preços'!$L$30,2)</f>
        <v>276.12</v>
      </c>
      <c r="I40" s="119">
        <f t="shared" si="2"/>
        <v>0.16800000000000001</v>
      </c>
      <c r="J40" s="60">
        <f t="shared" si="3"/>
        <v>322.51</v>
      </c>
      <c r="K40" s="284">
        <f t="shared" si="4"/>
        <v>6127.69</v>
      </c>
      <c r="M40" s="512">
        <f>ROUND(G40*H40,2)</f>
        <v>5246.28</v>
      </c>
      <c r="N40" s="510">
        <f>ROUND((1*0.394)+(1*4),2)</f>
        <v>4.3899999999999997</v>
      </c>
      <c r="O40" s="516">
        <f>ROUND(G40*N40,2)</f>
        <v>83.41</v>
      </c>
    </row>
    <row r="41" spans="1:17" s="52" customFormat="1" ht="31.5">
      <c r="A41" s="47"/>
      <c r="B41" s="554" t="s">
        <v>226</v>
      </c>
      <c r="C41" s="555" t="str">
        <f>'Resumo Preços'!$D$31</f>
        <v>Acessórios para montagem de flanges Ø 400mm, flange conf. ISO 2531 PN-10</v>
      </c>
      <c r="D41" s="279" t="str">
        <f>'Resumo Preços'!$C$31</f>
        <v>HM01298</v>
      </c>
      <c r="E41" s="280" t="str">
        <f>'Resumo Preços'!$F$31</f>
        <v>SABESP</v>
      </c>
      <c r="F41" s="281" t="str">
        <f>'Resumo Preços'!$E$31</f>
        <v>cj</v>
      </c>
      <c r="G41" s="282">
        <v>11</v>
      </c>
      <c r="H41" s="283">
        <f>ROUND('Resumo Preços'!$L$31,2)</f>
        <v>584.17999999999995</v>
      </c>
      <c r="I41" s="119">
        <f t="shared" si="2"/>
        <v>0.16800000000000001</v>
      </c>
      <c r="J41" s="60">
        <f t="shared" si="3"/>
        <v>682.32</v>
      </c>
      <c r="K41" s="284">
        <f t="shared" si="4"/>
        <v>7505.52</v>
      </c>
      <c r="M41" s="512">
        <f>ROUND(G41*H41,2)</f>
        <v>6425.98</v>
      </c>
      <c r="N41" s="510">
        <f>ROUND((1*1.005)+(1*8.8),2)</f>
        <v>9.81</v>
      </c>
      <c r="O41" s="516">
        <f>ROUND(G41*N41,2)</f>
        <v>107.91</v>
      </c>
    </row>
    <row r="42" spans="1:17" s="52" customFormat="1" ht="31.5">
      <c r="A42" s="47"/>
      <c r="B42" s="554" t="s">
        <v>260</v>
      </c>
      <c r="C42" s="555" t="str">
        <f>'SUP-01'!$C$8</f>
        <v>Suporte para tubulação de reservatório Ø 400mm - FºFº - Tipo 1</v>
      </c>
      <c r="D42" s="279" t="str">
        <f>'SUP-01'!$C$7</f>
        <v>SUP-01</v>
      </c>
      <c r="E42" s="280" t="str">
        <f>'SUP-01'!$C$6</f>
        <v>COMP.</v>
      </c>
      <c r="F42" s="281" t="str">
        <f>'SUP-01'!$C$10</f>
        <v>cj</v>
      </c>
      <c r="G42" s="282">
        <v>6</v>
      </c>
      <c r="H42" s="283">
        <f>ROUND('SUP-01'!$H$24,2)</f>
        <v>400.38</v>
      </c>
      <c r="I42" s="119">
        <f t="shared" si="2"/>
        <v>0.16800000000000001</v>
      </c>
      <c r="J42" s="60">
        <f t="shared" si="3"/>
        <v>467.64</v>
      </c>
      <c r="K42" s="284">
        <f>ROUND(G42*J42,2)</f>
        <v>2805.84</v>
      </c>
      <c r="M42" s="1"/>
    </row>
    <row r="43" spans="1:17" s="65" customFormat="1">
      <c r="B43" s="69"/>
      <c r="C43" s="58"/>
      <c r="D43" s="118"/>
      <c r="E43" s="118"/>
      <c r="F43" s="59"/>
      <c r="G43" s="66"/>
      <c r="H43" s="67"/>
      <c r="I43" s="119"/>
      <c r="J43" s="60">
        <f t="shared" si="0"/>
        <v>0</v>
      </c>
      <c r="K43" s="120"/>
    </row>
    <row r="44" spans="1:17" s="65" customFormat="1">
      <c r="B44" s="69"/>
      <c r="C44" s="63" t="s">
        <v>36</v>
      </c>
      <c r="D44" s="122"/>
      <c r="E44" s="74"/>
      <c r="F44" s="75"/>
      <c r="G44" s="70"/>
      <c r="H44" s="71"/>
      <c r="I44" s="119"/>
      <c r="J44" s="60">
        <f t="shared" si="0"/>
        <v>0</v>
      </c>
      <c r="K44" s="123">
        <f>SUM(K15:K43)</f>
        <v>305332.56</v>
      </c>
      <c r="L44" s="68"/>
      <c r="M44" s="514">
        <f>SUM(M15:M43)</f>
        <v>163591.53000000003</v>
      </c>
      <c r="N44" s="515">
        <f>ROUND(M44*0.2,2)</f>
        <v>32718.31</v>
      </c>
      <c r="O44" s="520">
        <f>SUM(O18:O43)</f>
        <v>4276.7699999999995</v>
      </c>
      <c r="P44" s="521" t="s">
        <v>694</v>
      </c>
      <c r="Q44" s="522"/>
    </row>
    <row r="45" spans="1:17" s="65" customFormat="1">
      <c r="B45" s="69"/>
      <c r="C45" s="63"/>
      <c r="D45" s="122"/>
      <c r="E45" s="74"/>
      <c r="F45" s="75"/>
      <c r="G45" s="70"/>
      <c r="H45" s="71"/>
      <c r="I45" s="119"/>
      <c r="J45" s="60"/>
      <c r="K45" s="123"/>
      <c r="L45" s="68"/>
      <c r="M45" s="530"/>
      <c r="N45" s="531"/>
      <c r="O45" s="532"/>
      <c r="P45" s="533"/>
      <c r="Q45" s="534"/>
    </row>
    <row r="46" spans="1:17" s="47" customFormat="1">
      <c r="B46" s="72"/>
      <c r="C46" s="127"/>
      <c r="D46" s="124"/>
      <c r="E46" s="124"/>
      <c r="F46" s="124"/>
      <c r="G46" s="59"/>
      <c r="H46" s="60"/>
      <c r="I46" s="120"/>
      <c r="J46" s="125"/>
      <c r="K46" s="126"/>
    </row>
    <row r="47" spans="1:17" s="47" customFormat="1">
      <c r="B47" s="62"/>
      <c r="C47" s="64" t="s">
        <v>34</v>
      </c>
      <c r="D47" s="130"/>
      <c r="E47" s="130"/>
      <c r="F47" s="76"/>
      <c r="G47" s="57"/>
      <c r="H47" s="77"/>
      <c r="I47" s="77"/>
      <c r="J47" s="77"/>
      <c r="K47" s="78">
        <f>SUM(K14:K46)/2</f>
        <v>305332.56</v>
      </c>
    </row>
    <row r="48" spans="1:17" s="47" customFormat="1">
      <c r="B48" s="112"/>
      <c r="C48" s="131"/>
      <c r="D48" s="132"/>
      <c r="E48" s="132"/>
      <c r="F48" s="133"/>
      <c r="G48" s="115"/>
      <c r="H48" s="134"/>
      <c r="I48" s="134"/>
      <c r="J48" s="134"/>
      <c r="K48" s="116"/>
    </row>
  </sheetData>
  <mergeCells count="14">
    <mergeCell ref="C6:G6"/>
    <mergeCell ref="H6:J6"/>
    <mergeCell ref="C7:G7"/>
    <mergeCell ref="H7:J7"/>
    <mergeCell ref="B2:B3"/>
    <mergeCell ref="C2:G2"/>
    <mergeCell ref="H2:K2"/>
    <mergeCell ref="C3:G3"/>
    <mergeCell ref="H3:J3"/>
    <mergeCell ref="B4:B7"/>
    <mergeCell ref="C4:G4"/>
    <mergeCell ref="H4:J4"/>
    <mergeCell ref="C5:G5"/>
    <mergeCell ref="H5:K5"/>
  </mergeCells>
  <printOptions horizontalCentered="1"/>
  <pageMargins left="0.59055118110236227" right="0.51181102362204722" top="0.98425196850393704" bottom="0.78740157480314965" header="0.39370078740157483" footer="0.39370078740157483"/>
  <pageSetup paperSize="9" scale="65" firstPageNumber="4" orientation="portrait" r:id="rId1"/>
  <headerFooter scaleWithDoc="0">
    <oddHeader>&amp;L&amp;"Arial,Itálico"&amp;10Rev-1&amp;R&amp;G</oddHeader>
    <oddFooter>&amp;L&amp;"Arial,Negrito"&amp;10CTR 477F&amp;C&amp;"Arial,Negrito"&amp;10 2.&amp;P</oddFooter>
  </headerFooter>
  <rowBreaks count="2" manualBreakCount="2">
    <brk id="13" max="16383" man="1"/>
    <brk id="34" max="16383" man="1"/>
  </rowBreaks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2:P91"/>
  <sheetViews>
    <sheetView showGridLines="0" showZeros="0" topLeftCell="A28" zoomScaleNormal="100" zoomScaleSheetLayoutView="100" workbookViewId="0">
      <selection activeCell="B4" sqref="B4:W5"/>
    </sheetView>
  </sheetViews>
  <sheetFormatPr defaultColWidth="9.140625" defaultRowHeight="15.75"/>
  <cols>
    <col min="1" max="1" width="3.7109375" style="46" customWidth="1"/>
    <col min="2" max="2" width="8.7109375" style="79" customWidth="1"/>
    <col min="3" max="3" width="43.7109375" style="80" customWidth="1"/>
    <col min="4" max="5" width="9.85546875" style="80" customWidth="1"/>
    <col min="6" max="6" width="7.140625" style="81" customWidth="1"/>
    <col min="7" max="7" width="10.5703125" style="82" customWidth="1"/>
    <col min="8" max="8" width="12.7109375" style="81" customWidth="1"/>
    <col min="9" max="9" width="9.140625" style="81" customWidth="1"/>
    <col min="10" max="10" width="12.7109375" style="81" customWidth="1"/>
    <col min="11" max="11" width="15.85546875" style="81" customWidth="1"/>
    <col min="12" max="12" width="10.5703125" style="46" bestFit="1" customWidth="1"/>
    <col min="13" max="13" width="9.5703125" style="46" bestFit="1" customWidth="1"/>
    <col min="14" max="14" width="10.140625" style="46" bestFit="1" customWidth="1"/>
    <col min="15" max="15" width="9.28515625" style="46" bestFit="1" customWidth="1"/>
    <col min="16" max="16384" width="9.140625" style="46"/>
  </cols>
  <sheetData>
    <row r="2" spans="1:12" s="47" customFormat="1" ht="18" customHeight="1">
      <c r="A2" s="1"/>
      <c r="B2" s="741" t="s">
        <v>46</v>
      </c>
      <c r="C2" s="742" t="s">
        <v>47</v>
      </c>
      <c r="D2" s="743"/>
      <c r="E2" s="743"/>
      <c r="F2" s="743"/>
      <c r="G2" s="744"/>
      <c r="H2" s="745" t="s">
        <v>48</v>
      </c>
      <c r="I2" s="746"/>
      <c r="J2" s="746"/>
      <c r="K2" s="747"/>
    </row>
    <row r="3" spans="1:12" s="47" customFormat="1" ht="18" customHeight="1">
      <c r="A3" s="1"/>
      <c r="B3" s="721"/>
      <c r="C3" s="748" t="s">
        <v>49</v>
      </c>
      <c r="D3" s="749"/>
      <c r="E3" s="749"/>
      <c r="F3" s="749"/>
      <c r="G3" s="750"/>
      <c r="H3" s="726" t="s">
        <v>50</v>
      </c>
      <c r="I3" s="727"/>
      <c r="J3" s="727"/>
      <c r="K3" s="562" t="s">
        <v>908</v>
      </c>
    </row>
    <row r="4" spans="1:12" s="47" customFormat="1" ht="18" customHeight="1">
      <c r="A4" s="1"/>
      <c r="B4" s="721" t="s">
        <v>30</v>
      </c>
      <c r="C4" s="723" t="s">
        <v>901</v>
      </c>
      <c r="D4" s="724"/>
      <c r="E4" s="724"/>
      <c r="F4" s="724"/>
      <c r="G4" s="725"/>
      <c r="H4" s="726" t="s">
        <v>51</v>
      </c>
      <c r="I4" s="727"/>
      <c r="J4" s="727"/>
      <c r="K4" s="562" t="s">
        <v>908</v>
      </c>
    </row>
    <row r="5" spans="1:12" s="47" customFormat="1" ht="18" customHeight="1">
      <c r="A5" s="1"/>
      <c r="B5" s="721"/>
      <c r="C5" s="723" t="s">
        <v>122</v>
      </c>
      <c r="D5" s="728"/>
      <c r="E5" s="728"/>
      <c r="F5" s="728"/>
      <c r="G5" s="729"/>
      <c r="H5" s="730" t="s">
        <v>65</v>
      </c>
      <c r="I5" s="731"/>
      <c r="J5" s="731"/>
      <c r="K5" s="732"/>
    </row>
    <row r="6" spans="1:12" s="47" customFormat="1" ht="18" customHeight="1">
      <c r="A6" s="1"/>
      <c r="B6" s="721"/>
      <c r="C6" s="723" t="s">
        <v>731</v>
      </c>
      <c r="D6" s="728"/>
      <c r="E6" s="728"/>
      <c r="F6" s="728"/>
      <c r="G6" s="729"/>
      <c r="H6" s="726" t="s">
        <v>52</v>
      </c>
      <c r="I6" s="727"/>
      <c r="J6" s="727"/>
      <c r="K6" s="563">
        <v>0.26979999999999998</v>
      </c>
      <c r="L6" s="47">
        <v>0</v>
      </c>
    </row>
    <row r="7" spans="1:12" s="47" customFormat="1" ht="18" customHeight="1">
      <c r="A7" s="1"/>
      <c r="B7" s="722"/>
      <c r="C7" s="767" t="s">
        <v>3</v>
      </c>
      <c r="D7" s="768"/>
      <c r="E7" s="768"/>
      <c r="F7" s="768"/>
      <c r="G7" s="769"/>
      <c r="H7" s="739" t="s">
        <v>53</v>
      </c>
      <c r="I7" s="740"/>
      <c r="J7" s="740"/>
      <c r="K7" s="564">
        <v>0.16800000000000001</v>
      </c>
    </row>
    <row r="8" spans="1:12" s="47" customFormat="1" ht="47.25" customHeight="1">
      <c r="A8" s="1"/>
      <c r="B8" s="592" t="s">
        <v>25</v>
      </c>
      <c r="C8" s="565" t="s">
        <v>31</v>
      </c>
      <c r="D8" s="566" t="s">
        <v>26</v>
      </c>
      <c r="E8" s="566" t="s">
        <v>54</v>
      </c>
      <c r="F8" s="565" t="s">
        <v>28</v>
      </c>
      <c r="G8" s="567" t="s">
        <v>27</v>
      </c>
      <c r="H8" s="565" t="s">
        <v>55</v>
      </c>
      <c r="I8" s="565" t="s">
        <v>56</v>
      </c>
      <c r="J8" s="565" t="s">
        <v>32</v>
      </c>
      <c r="K8" s="565" t="s">
        <v>33</v>
      </c>
    </row>
    <row r="9" spans="1:12" s="52" customFormat="1">
      <c r="A9" s="47"/>
      <c r="B9" s="48"/>
      <c r="C9" s="84"/>
      <c r="D9" s="49"/>
      <c r="E9" s="49"/>
      <c r="F9" s="50"/>
      <c r="G9" s="51"/>
      <c r="H9" s="50"/>
      <c r="I9" s="50"/>
      <c r="J9" s="50"/>
      <c r="K9" s="107"/>
      <c r="L9" s="139"/>
    </row>
    <row r="10" spans="1:12" s="52" customFormat="1">
      <c r="A10" s="47"/>
      <c r="B10" s="108">
        <f>B26</f>
        <v>1</v>
      </c>
      <c r="C10" s="109" t="str">
        <f>UPPER(C26)</f>
        <v>SERVIÇOS TÉCNICOS</v>
      </c>
      <c r="D10" s="83"/>
      <c r="E10" s="83"/>
      <c r="F10" s="54"/>
      <c r="G10" s="55"/>
      <c r="H10" s="54"/>
      <c r="I10" s="54"/>
      <c r="J10" s="54"/>
      <c r="K10" s="110">
        <f>K30</f>
        <v>380.3</v>
      </c>
      <c r="L10" s="139"/>
    </row>
    <row r="11" spans="1:12" s="52" customFormat="1">
      <c r="A11" s="47"/>
      <c r="B11" s="53"/>
      <c r="C11" s="83"/>
      <c r="D11" s="83"/>
      <c r="E11" s="83"/>
      <c r="F11" s="54"/>
      <c r="G11" s="55"/>
      <c r="H11" s="54"/>
      <c r="I11" s="54"/>
      <c r="J11" s="54"/>
      <c r="K11" s="111"/>
      <c r="L11" s="139"/>
    </row>
    <row r="12" spans="1:12" s="52" customFormat="1">
      <c r="A12" s="47"/>
      <c r="B12" s="552">
        <f>B32</f>
        <v>2</v>
      </c>
      <c r="C12" s="553" t="str">
        <f>UPPER(C32)</f>
        <v>SERVIÇOS PRELIMINARES</v>
      </c>
      <c r="D12" s="83"/>
      <c r="E12" s="83"/>
      <c r="F12" s="54"/>
      <c r="G12" s="55"/>
      <c r="H12" s="54"/>
      <c r="I12" s="54"/>
      <c r="J12" s="54"/>
      <c r="K12" s="110">
        <f>K36</f>
        <v>674.8</v>
      </c>
      <c r="L12" s="139"/>
    </row>
    <row r="13" spans="1:12" s="52" customFormat="1">
      <c r="A13" s="47"/>
      <c r="B13" s="53"/>
      <c r="C13" s="83"/>
      <c r="D13" s="83"/>
      <c r="E13" s="83"/>
      <c r="F13" s="54"/>
      <c r="G13" s="55"/>
      <c r="H13" s="54"/>
      <c r="I13" s="54"/>
      <c r="J13" s="54"/>
      <c r="K13" s="111"/>
      <c r="L13" s="139"/>
    </row>
    <row r="14" spans="1:12" s="52" customFormat="1">
      <c r="A14" s="47"/>
      <c r="B14" s="552">
        <f>B38</f>
        <v>3</v>
      </c>
      <c r="C14" s="553" t="str">
        <f>UPPER(C38)</f>
        <v>MOVIMENTO DE TERRA</v>
      </c>
      <c r="D14" s="83"/>
      <c r="E14" s="83"/>
      <c r="F14" s="54"/>
      <c r="G14" s="55"/>
      <c r="H14" s="54"/>
      <c r="I14" s="54"/>
      <c r="J14" s="54"/>
      <c r="K14" s="110">
        <f>K52</f>
        <v>7087.420000000001</v>
      </c>
      <c r="L14" s="139"/>
    </row>
    <row r="15" spans="1:12" s="52" customFormat="1">
      <c r="A15" s="47"/>
      <c r="B15" s="53"/>
      <c r="C15" s="83"/>
      <c r="D15" s="83"/>
      <c r="E15" s="83"/>
      <c r="F15" s="54"/>
      <c r="G15" s="55"/>
      <c r="H15" s="54"/>
      <c r="I15" s="54"/>
      <c r="J15" s="54"/>
      <c r="K15" s="111"/>
      <c r="L15" s="139"/>
    </row>
    <row r="16" spans="1:12" s="52" customFormat="1">
      <c r="A16" s="47"/>
      <c r="B16" s="552">
        <f>B54</f>
        <v>4</v>
      </c>
      <c r="C16" s="553" t="str">
        <f>UPPER(C54)</f>
        <v>ESCORAMENTOS</v>
      </c>
      <c r="D16" s="83"/>
      <c r="E16" s="83"/>
      <c r="F16" s="54"/>
      <c r="G16" s="55"/>
      <c r="H16" s="54"/>
      <c r="I16" s="54"/>
      <c r="J16" s="54"/>
      <c r="K16" s="110">
        <f>K58</f>
        <v>1457.2199999999998</v>
      </c>
      <c r="L16" s="139"/>
    </row>
    <row r="17" spans="1:16" s="52" customFormat="1">
      <c r="A17" s="47"/>
      <c r="B17" s="53"/>
      <c r="C17" s="83"/>
      <c r="D17" s="83"/>
      <c r="E17" s="83"/>
      <c r="F17" s="54"/>
      <c r="G17" s="55"/>
      <c r="H17" s="54"/>
      <c r="I17" s="54"/>
      <c r="J17" s="54"/>
      <c r="K17" s="111"/>
      <c r="L17" s="139"/>
    </row>
    <row r="18" spans="1:16" s="52" customFormat="1">
      <c r="A18" s="47"/>
      <c r="B18" s="552">
        <f>B60</f>
        <v>5</v>
      </c>
      <c r="C18" s="553" t="str">
        <f>UPPER(C60)</f>
        <v>ACESSÓRIOS</v>
      </c>
      <c r="D18" s="83"/>
      <c r="E18" s="83"/>
      <c r="F18" s="54"/>
      <c r="G18" s="55"/>
      <c r="H18" s="54"/>
      <c r="I18" s="54"/>
      <c r="J18" s="54"/>
      <c r="K18" s="110">
        <f>K68</f>
        <v>14968.66</v>
      </c>
      <c r="L18" s="139"/>
    </row>
    <row r="19" spans="1:16" s="52" customFormat="1">
      <c r="A19" s="47"/>
      <c r="B19" s="53"/>
      <c r="C19" s="83"/>
      <c r="D19" s="83"/>
      <c r="E19" s="83"/>
      <c r="F19" s="54"/>
      <c r="G19" s="55"/>
      <c r="H19" s="54"/>
      <c r="I19" s="54"/>
      <c r="J19" s="54"/>
      <c r="K19" s="111"/>
      <c r="L19" s="139"/>
    </row>
    <row r="20" spans="1:16" s="52" customFormat="1" ht="31.5">
      <c r="A20" s="47"/>
      <c r="B20" s="552">
        <f>B70</f>
        <v>6</v>
      </c>
      <c r="C20" s="553" t="str">
        <f>UPPER(C70)</f>
        <v>ASSENTAMENTO E MONTAGEM DE TUBOS E PEÇAS</v>
      </c>
      <c r="D20" s="83"/>
      <c r="E20" s="83"/>
      <c r="F20" s="54"/>
      <c r="G20" s="55"/>
      <c r="H20" s="54"/>
      <c r="I20" s="54"/>
      <c r="J20" s="54"/>
      <c r="K20" s="110">
        <f>K82</f>
        <v>9647.1</v>
      </c>
      <c r="L20" s="139"/>
    </row>
    <row r="21" spans="1:16" s="52" customFormat="1">
      <c r="A21" s="47"/>
      <c r="B21" s="53"/>
      <c r="C21" s="83"/>
      <c r="D21" s="83"/>
      <c r="E21" s="83"/>
      <c r="F21" s="54"/>
      <c r="G21" s="55"/>
      <c r="H21" s="54"/>
      <c r="I21" s="54"/>
      <c r="J21" s="54"/>
      <c r="K21" s="111"/>
      <c r="L21" s="139"/>
    </row>
    <row r="22" spans="1:16" s="52" customFormat="1">
      <c r="A22" s="47"/>
      <c r="B22" s="552">
        <f>B84</f>
        <v>7</v>
      </c>
      <c r="C22" s="553" t="str">
        <f>UPPER(C84)</f>
        <v>SERVIÇOS DIVERSOS</v>
      </c>
      <c r="D22" s="83"/>
      <c r="E22" s="83"/>
      <c r="F22" s="54"/>
      <c r="G22" s="55"/>
      <c r="H22" s="54"/>
      <c r="I22" s="54"/>
      <c r="J22" s="54"/>
      <c r="K22" s="110">
        <f>K87</f>
        <v>729.27</v>
      </c>
      <c r="L22" s="139"/>
    </row>
    <row r="23" spans="1:16" s="52" customFormat="1">
      <c r="A23" s="47"/>
      <c r="B23" s="53"/>
      <c r="C23" s="83"/>
      <c r="D23" s="83"/>
      <c r="E23" s="83"/>
      <c r="F23" s="54"/>
      <c r="G23" s="55"/>
      <c r="H23" s="54"/>
      <c r="I23" s="54"/>
      <c r="J23" s="54"/>
      <c r="K23" s="111"/>
      <c r="L23" s="139"/>
    </row>
    <row r="24" spans="1:16" s="52" customFormat="1">
      <c r="A24" s="47"/>
      <c r="B24" s="277"/>
      <c r="C24" s="85" t="s">
        <v>34</v>
      </c>
      <c r="D24" s="85"/>
      <c r="E24" s="85"/>
      <c r="F24" s="85"/>
      <c r="G24" s="86"/>
      <c r="H24" s="85"/>
      <c r="I24" s="85"/>
      <c r="J24" s="85"/>
      <c r="K24" s="90">
        <f>SUM(K9:K23)</f>
        <v>34944.769999999997</v>
      </c>
      <c r="L24" s="299"/>
      <c r="M24" s="300"/>
    </row>
    <row r="25" spans="1:16" s="52" customFormat="1">
      <c r="A25" s="47"/>
      <c r="B25" s="112"/>
      <c r="C25" s="113"/>
      <c r="D25" s="113"/>
      <c r="E25" s="113"/>
      <c r="F25" s="114"/>
      <c r="G25" s="115"/>
      <c r="H25" s="116"/>
      <c r="I25" s="116"/>
      <c r="J25" s="116"/>
      <c r="K25" s="117"/>
    </row>
    <row r="26" spans="1:16" s="65" customFormat="1">
      <c r="B26" s="87">
        <v>1</v>
      </c>
      <c r="C26" s="88" t="s">
        <v>433</v>
      </c>
      <c r="D26" s="118"/>
      <c r="E26" s="118"/>
      <c r="F26" s="59"/>
      <c r="G26" s="66"/>
      <c r="H26" s="67"/>
      <c r="I26" s="119"/>
      <c r="J26" s="60">
        <f t="shared" ref="J26:J31" si="0">ROUND(H26*(I26+1),2)</f>
        <v>0</v>
      </c>
      <c r="K26" s="120"/>
    </row>
    <row r="27" spans="1:16" s="287" customFormat="1" ht="31.5">
      <c r="B27" s="72" t="s">
        <v>35</v>
      </c>
      <c r="C27" s="58" t="s">
        <v>434</v>
      </c>
      <c r="D27" s="91">
        <v>70010003</v>
      </c>
      <c r="E27" s="118" t="s">
        <v>5</v>
      </c>
      <c r="F27" s="59" t="s">
        <v>4</v>
      </c>
      <c r="G27" s="89">
        <f>ROUND('Q-Extravasor'!$P$30,2)</f>
        <v>48.2</v>
      </c>
      <c r="H27" s="60">
        <f>1.74/1.28</f>
        <v>1.359375</v>
      </c>
      <c r="I27" s="119">
        <f>$K$6</f>
        <v>0.26979999999999998</v>
      </c>
      <c r="J27" s="60">
        <f t="shared" si="0"/>
        <v>1.73</v>
      </c>
      <c r="K27" s="120">
        <f>ROUND(J27*G27,2)</f>
        <v>83.39</v>
      </c>
      <c r="M27" s="301"/>
      <c r="N27" s="301"/>
      <c r="O27" s="301"/>
      <c r="P27" s="301"/>
    </row>
    <row r="28" spans="1:16" s="287" customFormat="1" ht="31.5">
      <c r="B28" s="72" t="s">
        <v>75</v>
      </c>
      <c r="C28" s="58" t="s">
        <v>435</v>
      </c>
      <c r="D28" s="91">
        <v>70010006</v>
      </c>
      <c r="E28" s="118" t="s">
        <v>5</v>
      </c>
      <c r="F28" s="59" t="s">
        <v>4</v>
      </c>
      <c r="G28" s="89">
        <f>ROUND('Q-Extravasor'!$P$30,2)</f>
        <v>48.2</v>
      </c>
      <c r="H28" s="60">
        <f>6.21/1.28</f>
        <v>4.8515625</v>
      </c>
      <c r="I28" s="119">
        <f>$K$6</f>
        <v>0.26979999999999998</v>
      </c>
      <c r="J28" s="60">
        <f t="shared" si="0"/>
        <v>6.16</v>
      </c>
      <c r="K28" s="120">
        <f>ROUND(J28*G28,2)</f>
        <v>296.91000000000003</v>
      </c>
      <c r="M28" s="301"/>
      <c r="N28" s="301"/>
      <c r="O28" s="301"/>
      <c r="P28" s="301"/>
    </row>
    <row r="29" spans="1:16" s="65" customFormat="1">
      <c r="B29" s="69"/>
      <c r="C29" s="58"/>
      <c r="D29" s="118"/>
      <c r="E29" s="118"/>
      <c r="F29" s="59"/>
      <c r="G29" s="66"/>
      <c r="H29" s="67"/>
      <c r="I29" s="119"/>
      <c r="J29" s="60">
        <f t="shared" si="0"/>
        <v>0</v>
      </c>
      <c r="K29" s="120">
        <f>ROUND(J29*G29,2)</f>
        <v>0</v>
      </c>
    </row>
    <row r="30" spans="1:16" s="65" customFormat="1">
      <c r="B30" s="69"/>
      <c r="C30" s="63" t="s">
        <v>36</v>
      </c>
      <c r="D30" s="122"/>
      <c r="E30" s="74"/>
      <c r="F30" s="75"/>
      <c r="G30" s="70"/>
      <c r="H30" s="71"/>
      <c r="I30" s="119"/>
      <c r="J30" s="60">
        <f t="shared" si="0"/>
        <v>0</v>
      </c>
      <c r="K30" s="123">
        <f>SUM(K27:K29)</f>
        <v>380.3</v>
      </c>
      <c r="L30" s="68"/>
    </row>
    <row r="31" spans="1:16" s="65" customFormat="1">
      <c r="B31" s="69"/>
      <c r="C31" s="74"/>
      <c r="D31" s="302"/>
      <c r="E31" s="302"/>
      <c r="F31" s="59"/>
      <c r="G31" s="66"/>
      <c r="H31" s="67"/>
      <c r="I31" s="119"/>
      <c r="J31" s="60">
        <f t="shared" si="0"/>
        <v>0</v>
      </c>
      <c r="K31" s="120"/>
      <c r="L31" s="47"/>
      <c r="M31" s="47"/>
    </row>
    <row r="32" spans="1:16" s="47" customFormat="1">
      <c r="B32" s="87">
        <v>2</v>
      </c>
      <c r="C32" s="88" t="s">
        <v>436</v>
      </c>
      <c r="D32" s="118"/>
      <c r="E32" s="118"/>
      <c r="F32" s="59"/>
      <c r="G32" s="66"/>
      <c r="H32" s="67"/>
      <c r="I32" s="119"/>
      <c r="J32" s="60"/>
      <c r="K32" s="120"/>
    </row>
    <row r="33" spans="2:16" s="1" customFormat="1">
      <c r="B33" s="72" t="s">
        <v>37</v>
      </c>
      <c r="C33" s="58" t="s">
        <v>437</v>
      </c>
      <c r="D33" s="91">
        <v>70020003</v>
      </c>
      <c r="E33" s="118" t="s">
        <v>5</v>
      </c>
      <c r="F33" s="59" t="s">
        <v>4</v>
      </c>
      <c r="G33" s="89">
        <f>ROUND('Q-Extravasor'!$AK$30,2)</f>
        <v>32.130000000000003</v>
      </c>
      <c r="H33" s="60">
        <f>11.71/1.28</f>
        <v>9.1484375</v>
      </c>
      <c r="I33" s="119">
        <f>$K$6</f>
        <v>0.26979999999999998</v>
      </c>
      <c r="J33" s="60">
        <f>ROUND(H33*(I33+1),2)</f>
        <v>11.62</v>
      </c>
      <c r="K33" s="120">
        <f>ROUND(J33*G33,2)</f>
        <v>373.35</v>
      </c>
      <c r="M33" s="303"/>
      <c r="N33" s="303"/>
      <c r="O33" s="303"/>
      <c r="P33" s="303"/>
    </row>
    <row r="34" spans="2:16" s="1" customFormat="1">
      <c r="B34" s="72" t="s">
        <v>38</v>
      </c>
      <c r="C34" s="58" t="s">
        <v>438</v>
      </c>
      <c r="D34" s="91">
        <v>70020006</v>
      </c>
      <c r="E34" s="118" t="s">
        <v>5</v>
      </c>
      <c r="F34" s="59" t="s">
        <v>1</v>
      </c>
      <c r="G34" s="89">
        <f>ROUND('Q-Extravasor'!$AL$30,2)</f>
        <v>1.97</v>
      </c>
      <c r="H34" s="60">
        <f>154.25/1.28</f>
        <v>120.5078125</v>
      </c>
      <c r="I34" s="119">
        <f>$K$6</f>
        <v>0.26979999999999998</v>
      </c>
      <c r="J34" s="60">
        <f>ROUND(H34*(I34+1),2)</f>
        <v>153.02000000000001</v>
      </c>
      <c r="K34" s="120">
        <f>ROUND(J34*G34,2)</f>
        <v>301.45</v>
      </c>
      <c r="M34" s="303"/>
      <c r="N34" s="303"/>
      <c r="O34" s="303"/>
      <c r="P34" s="303"/>
    </row>
    <row r="35" spans="2:16" s="1" customFormat="1">
      <c r="B35" s="72"/>
      <c r="C35" s="58"/>
      <c r="D35" s="91"/>
      <c r="E35" s="118"/>
      <c r="F35" s="59"/>
      <c r="G35" s="89"/>
      <c r="H35" s="60"/>
      <c r="I35" s="121"/>
      <c r="J35" s="60"/>
      <c r="K35" s="120"/>
      <c r="M35" s="303"/>
      <c r="N35" s="303"/>
      <c r="O35" s="303"/>
      <c r="P35" s="303"/>
    </row>
    <row r="36" spans="2:16" s="65" customFormat="1">
      <c r="B36" s="69"/>
      <c r="C36" s="63" t="s">
        <v>39</v>
      </c>
      <c r="D36" s="122"/>
      <c r="E36" s="74"/>
      <c r="F36" s="75"/>
      <c r="G36" s="70"/>
      <c r="H36" s="71"/>
      <c r="I36" s="119"/>
      <c r="J36" s="60">
        <f>ROUND(H36*(I36+1),2)</f>
        <v>0</v>
      </c>
      <c r="K36" s="123">
        <f>SUM(K33:K35)</f>
        <v>674.8</v>
      </c>
    </row>
    <row r="37" spans="2:16" s="65" customFormat="1">
      <c r="B37" s="69"/>
      <c r="C37" s="74"/>
      <c r="D37" s="302"/>
      <c r="E37" s="302"/>
      <c r="F37" s="59"/>
      <c r="G37" s="66"/>
      <c r="H37" s="67"/>
      <c r="I37" s="119"/>
      <c r="J37" s="60">
        <f>ROUND(H37*(I37+1),2)</f>
        <v>0</v>
      </c>
      <c r="K37" s="120"/>
      <c r="M37" s="47"/>
    </row>
    <row r="38" spans="2:16" s="47" customFormat="1">
      <c r="B38" s="87">
        <v>3</v>
      </c>
      <c r="C38" s="88" t="s">
        <v>440</v>
      </c>
      <c r="D38" s="118"/>
      <c r="E38" s="118"/>
      <c r="F38" s="59"/>
      <c r="G38" s="66"/>
      <c r="H38" s="67"/>
      <c r="I38" s="119"/>
      <c r="J38" s="60"/>
      <c r="K38" s="120"/>
      <c r="L38" s="65"/>
    </row>
    <row r="39" spans="2:16" s="1" customFormat="1">
      <c r="B39" s="72" t="s">
        <v>40</v>
      </c>
      <c r="C39" s="58" t="s">
        <v>695</v>
      </c>
      <c r="D39" s="91">
        <v>70030041</v>
      </c>
      <c r="E39" s="118" t="s">
        <v>5</v>
      </c>
      <c r="F39" s="59" t="s">
        <v>1</v>
      </c>
      <c r="G39" s="89">
        <f>ROUND('Q-Extravasor'!$Q$30,2)</f>
        <v>61.75</v>
      </c>
      <c r="H39" s="60">
        <f>2.12/1.28</f>
        <v>1.65625</v>
      </c>
      <c r="I39" s="119">
        <f t="shared" ref="I39:I46" si="1">$K$6</f>
        <v>0.26979999999999998</v>
      </c>
      <c r="J39" s="60">
        <f>ROUND(H39*(I39+1),2)</f>
        <v>2.1</v>
      </c>
      <c r="K39" s="120">
        <f>ROUND(J39*G39,2)</f>
        <v>129.68</v>
      </c>
      <c r="M39" s="303"/>
      <c r="N39" s="303"/>
      <c r="O39" s="303"/>
      <c r="P39" s="303"/>
    </row>
    <row r="40" spans="2:16" s="1" customFormat="1" ht="31.5">
      <c r="B40" s="72" t="s">
        <v>228</v>
      </c>
      <c r="C40" s="58" t="s">
        <v>696</v>
      </c>
      <c r="D40" s="91">
        <v>70030050</v>
      </c>
      <c r="E40" s="118" t="s">
        <v>5</v>
      </c>
      <c r="F40" s="59" t="s">
        <v>6</v>
      </c>
      <c r="G40" s="89">
        <f>ROUND('Q-Extravasor'!$Z$30,2)</f>
        <v>40.64</v>
      </c>
      <c r="H40" s="60">
        <f>59.47/1.28</f>
        <v>46.4609375</v>
      </c>
      <c r="I40" s="119">
        <f t="shared" si="1"/>
        <v>0.26979999999999998</v>
      </c>
      <c r="J40" s="60">
        <f>ROUND(H40*(I40+1),2)</f>
        <v>59</v>
      </c>
      <c r="K40" s="120">
        <f t="shared" ref="K40:K50" si="2">ROUND(J40*G40,2)</f>
        <v>2397.7600000000002</v>
      </c>
      <c r="M40" s="303"/>
      <c r="N40" s="303"/>
      <c r="O40" s="303"/>
      <c r="P40" s="303"/>
    </row>
    <row r="41" spans="2:16" s="1" customFormat="1" ht="31.5">
      <c r="B41" s="72" t="s">
        <v>229</v>
      </c>
      <c r="C41" s="58" t="s">
        <v>734</v>
      </c>
      <c r="D41" s="91">
        <v>70030051</v>
      </c>
      <c r="E41" s="118" t="s">
        <v>5</v>
      </c>
      <c r="F41" s="59" t="s">
        <v>6</v>
      </c>
      <c r="G41" s="89">
        <f>ROUND('Q-Extravasor'!$AA$30,2)</f>
        <v>0.86</v>
      </c>
      <c r="H41" s="60">
        <f>89.2/1.28</f>
        <v>69.6875</v>
      </c>
      <c r="I41" s="119">
        <f t="shared" si="1"/>
        <v>0.26979999999999998</v>
      </c>
      <c r="J41" s="60">
        <f>ROUND(H41*(I41+1),2)</f>
        <v>88.49</v>
      </c>
      <c r="K41" s="120">
        <f t="shared" si="2"/>
        <v>76.099999999999994</v>
      </c>
      <c r="M41" s="303"/>
      <c r="N41" s="303"/>
      <c r="O41" s="303"/>
      <c r="P41" s="303"/>
    </row>
    <row r="42" spans="2:16" s="1" customFormat="1" ht="31.5">
      <c r="B42" s="72" t="s">
        <v>230</v>
      </c>
      <c r="C42" s="58" t="s">
        <v>697</v>
      </c>
      <c r="D42" s="91">
        <v>101616</v>
      </c>
      <c r="E42" s="118" t="s">
        <v>2</v>
      </c>
      <c r="F42" s="59" t="s">
        <v>1</v>
      </c>
      <c r="G42" s="89">
        <f>ROUND('Q-Extravasor'!$AS$32,2)</f>
        <v>32.83</v>
      </c>
      <c r="H42" s="60">
        <v>6.88</v>
      </c>
      <c r="I42" s="119">
        <f t="shared" si="1"/>
        <v>0.26979999999999998</v>
      </c>
      <c r="J42" s="60">
        <f>ROUND(H42*(I42+1),2)</f>
        <v>8.74</v>
      </c>
      <c r="K42" s="120">
        <f t="shared" si="2"/>
        <v>286.93</v>
      </c>
      <c r="M42" s="303"/>
      <c r="N42" s="303"/>
      <c r="O42" s="303"/>
      <c r="P42" s="303"/>
    </row>
    <row r="43" spans="2:16" s="1" customFormat="1" ht="47.25">
      <c r="B43" s="72" t="s">
        <v>231</v>
      </c>
      <c r="C43" s="58" t="s">
        <v>735</v>
      </c>
      <c r="D43" s="91">
        <v>101618</v>
      </c>
      <c r="E43" s="118" t="s">
        <v>2</v>
      </c>
      <c r="F43" s="59" t="s">
        <v>6</v>
      </c>
      <c r="G43" s="89">
        <f>ROUND('Q-Extravasor'!$AO$32,2)</f>
        <v>8.26</v>
      </c>
      <c r="H43" s="60">
        <v>218.93</v>
      </c>
      <c r="I43" s="119">
        <f t="shared" si="1"/>
        <v>0.26979999999999998</v>
      </c>
      <c r="J43" s="60">
        <f t="shared" ref="J43:J44" si="3">ROUND(H43*(I43+1),2)</f>
        <v>278</v>
      </c>
      <c r="K43" s="120">
        <f t="shared" si="2"/>
        <v>2296.2800000000002</v>
      </c>
      <c r="M43" s="303"/>
      <c r="N43" s="303"/>
      <c r="O43" s="303"/>
      <c r="P43" s="303"/>
    </row>
    <row r="44" spans="2:16" s="1" customFormat="1" ht="47.25">
      <c r="B44" s="72" t="s">
        <v>232</v>
      </c>
      <c r="C44" s="58" t="s">
        <v>736</v>
      </c>
      <c r="D44" s="91">
        <v>101619</v>
      </c>
      <c r="E44" s="118" t="s">
        <v>2</v>
      </c>
      <c r="F44" s="59" t="s">
        <v>6</v>
      </c>
      <c r="G44" s="89">
        <f>ROUND('Q-Extravasor'!$AM$32,2)</f>
        <v>0.49</v>
      </c>
      <c r="H44" s="60">
        <v>255.68</v>
      </c>
      <c r="I44" s="119">
        <f t="shared" si="1"/>
        <v>0.26979999999999998</v>
      </c>
      <c r="J44" s="60">
        <f t="shared" si="3"/>
        <v>324.66000000000003</v>
      </c>
      <c r="K44" s="120">
        <f t="shared" si="2"/>
        <v>159.08000000000001</v>
      </c>
      <c r="M44" s="303"/>
      <c r="N44" s="303"/>
      <c r="O44" s="303"/>
      <c r="P44" s="303"/>
    </row>
    <row r="45" spans="2:16" s="1" customFormat="1" ht="47.25">
      <c r="B45" s="72" t="s">
        <v>233</v>
      </c>
      <c r="C45" s="58" t="s">
        <v>441</v>
      </c>
      <c r="D45" s="91">
        <v>70030026</v>
      </c>
      <c r="E45" s="118" t="s">
        <v>5</v>
      </c>
      <c r="F45" s="59" t="s">
        <v>6</v>
      </c>
      <c r="G45" s="89">
        <f>ROUND('Q-Extravasor'!$AQ$30,2)</f>
        <v>14.53</v>
      </c>
      <c r="H45" s="60">
        <f>26.01/1.28</f>
        <v>20.3203125</v>
      </c>
      <c r="I45" s="119">
        <f t="shared" si="1"/>
        <v>0.26979999999999998</v>
      </c>
      <c r="J45" s="60">
        <f>ROUND(H45*(I45+1),2)</f>
        <v>25.8</v>
      </c>
      <c r="K45" s="120">
        <f t="shared" si="2"/>
        <v>374.87</v>
      </c>
      <c r="M45" s="303"/>
      <c r="N45" s="303"/>
      <c r="O45" s="303"/>
      <c r="P45" s="303"/>
    </row>
    <row r="46" spans="2:16" s="1" customFormat="1" ht="31.5">
      <c r="B46" s="72" t="s">
        <v>234</v>
      </c>
      <c r="C46" s="58" t="s">
        <v>698</v>
      </c>
      <c r="D46" s="91">
        <v>70030025</v>
      </c>
      <c r="E46" s="118" t="s">
        <v>5</v>
      </c>
      <c r="F46" s="59" t="s">
        <v>6</v>
      </c>
      <c r="G46" s="89">
        <f>ROUND('Q-Extravasor'!$AR$30,2)</f>
        <v>17.100000000000001</v>
      </c>
      <c r="H46" s="60">
        <f>9.05/1.28</f>
        <v>7.0703125</v>
      </c>
      <c r="I46" s="119">
        <f t="shared" si="1"/>
        <v>0.26979999999999998</v>
      </c>
      <c r="J46" s="60">
        <f>ROUND(H46*(I46+1),2)</f>
        <v>8.98</v>
      </c>
      <c r="K46" s="120">
        <f t="shared" si="2"/>
        <v>153.56</v>
      </c>
      <c r="M46" s="303"/>
      <c r="N46" s="303"/>
      <c r="O46" s="303"/>
      <c r="P46" s="303"/>
    </row>
    <row r="47" spans="2:16" s="287" customFormat="1" ht="63">
      <c r="B47" s="72" t="s">
        <v>235</v>
      </c>
      <c r="C47" s="58" t="s">
        <v>442</v>
      </c>
      <c r="D47" s="91">
        <v>100980</v>
      </c>
      <c r="E47" s="118" t="s">
        <v>2</v>
      </c>
      <c r="F47" s="59" t="s">
        <v>6</v>
      </c>
      <c r="G47" s="89">
        <f>ROUND('Q-Extravasor'!$BA$30,2)</f>
        <v>12.83</v>
      </c>
      <c r="H47" s="60">
        <v>6.4</v>
      </c>
      <c r="I47" s="119">
        <f t="shared" ref="I47:I50" si="4">$K$6</f>
        <v>0.26979999999999998</v>
      </c>
      <c r="J47" s="60">
        <f>ROUND(H47*(I47+1),2)</f>
        <v>8.1300000000000008</v>
      </c>
      <c r="K47" s="120">
        <f t="shared" si="2"/>
        <v>104.31</v>
      </c>
      <c r="M47" s="301"/>
      <c r="N47" s="301"/>
      <c r="O47" s="301"/>
      <c r="P47" s="301"/>
    </row>
    <row r="48" spans="2:16" s="287" customFormat="1" ht="31.5">
      <c r="B48" s="72" t="s">
        <v>236</v>
      </c>
      <c r="C48" s="58" t="s">
        <v>443</v>
      </c>
      <c r="D48" s="91">
        <v>95877</v>
      </c>
      <c r="E48" s="118" t="s">
        <v>2</v>
      </c>
      <c r="F48" s="59" t="s">
        <v>397</v>
      </c>
      <c r="G48" s="89">
        <f>ROUND('Q-Extravasor'!$BB$30,2)</f>
        <v>192.45</v>
      </c>
      <c r="H48" s="60">
        <v>1.88</v>
      </c>
      <c r="I48" s="119">
        <f t="shared" si="4"/>
        <v>0.26979999999999998</v>
      </c>
      <c r="J48" s="60">
        <f>ROUND(H48*(I48+1),2)</f>
        <v>2.39</v>
      </c>
      <c r="K48" s="120">
        <f t="shared" si="2"/>
        <v>459.96</v>
      </c>
      <c r="M48" s="301"/>
      <c r="N48" s="301"/>
      <c r="O48" s="301"/>
      <c r="P48" s="301"/>
    </row>
    <row r="49" spans="1:16" s="287" customFormat="1" ht="63">
      <c r="B49" s="72" t="s">
        <v>237</v>
      </c>
      <c r="C49" s="58" t="s">
        <v>444</v>
      </c>
      <c r="D49" s="91">
        <v>100978</v>
      </c>
      <c r="E49" s="118" t="s">
        <v>2</v>
      </c>
      <c r="F49" s="59" t="s">
        <v>6</v>
      </c>
      <c r="G49" s="89">
        <f>ROUND('Q-Extravasor'!$BC$30+'Q-Extravasor'!$BE$30,2)</f>
        <v>11.22</v>
      </c>
      <c r="H49" s="60">
        <v>7.15</v>
      </c>
      <c r="I49" s="119">
        <f t="shared" si="4"/>
        <v>0.26979999999999998</v>
      </c>
      <c r="J49" s="60">
        <f t="shared" ref="J49:J50" si="5">ROUND(H49*(I49+1),2)</f>
        <v>9.08</v>
      </c>
      <c r="K49" s="120">
        <f t="shared" si="2"/>
        <v>101.88</v>
      </c>
      <c r="M49" s="301"/>
      <c r="N49" s="301"/>
      <c r="O49" s="301"/>
      <c r="P49" s="301"/>
    </row>
    <row r="50" spans="1:16" s="287" customFormat="1" ht="31.5">
      <c r="B50" s="72" t="s">
        <v>238</v>
      </c>
      <c r="C50" s="58" t="s">
        <v>445</v>
      </c>
      <c r="D50" s="91">
        <v>95875</v>
      </c>
      <c r="E50" s="118" t="s">
        <v>2</v>
      </c>
      <c r="F50" s="59" t="s">
        <v>397</v>
      </c>
      <c r="G50" s="89">
        <f>ROUND('Q-Extravasor'!$BD$30+'Q-Extravasor'!$BF$30,2)</f>
        <v>168.31</v>
      </c>
      <c r="H50" s="60">
        <v>2.56</v>
      </c>
      <c r="I50" s="119">
        <f t="shared" si="4"/>
        <v>0.26979999999999998</v>
      </c>
      <c r="J50" s="60">
        <f t="shared" si="5"/>
        <v>3.25</v>
      </c>
      <c r="K50" s="120">
        <f t="shared" si="2"/>
        <v>547.01</v>
      </c>
      <c r="M50" s="301"/>
      <c r="N50" s="301"/>
      <c r="O50" s="301"/>
      <c r="P50" s="301"/>
    </row>
    <row r="51" spans="1:16" s="47" customFormat="1">
      <c r="B51" s="72"/>
      <c r="C51" s="307"/>
      <c r="D51" s="124"/>
      <c r="E51" s="124"/>
      <c r="F51" s="124"/>
      <c r="G51" s="308"/>
      <c r="H51" s="70"/>
      <c r="I51" s="70"/>
      <c r="J51" s="125"/>
      <c r="K51" s="126"/>
      <c r="L51" s="65"/>
    </row>
    <row r="52" spans="1:16" s="65" customFormat="1">
      <c r="B52" s="69"/>
      <c r="C52" s="63" t="s">
        <v>41</v>
      </c>
      <c r="D52" s="122"/>
      <c r="E52" s="74"/>
      <c r="F52" s="75"/>
      <c r="G52" s="70"/>
      <c r="H52" s="71"/>
      <c r="I52" s="119"/>
      <c r="J52" s="60">
        <f>ROUND(H52*(I52+1),2)</f>
        <v>0</v>
      </c>
      <c r="K52" s="123">
        <f>SUM(K39:K51)</f>
        <v>7087.420000000001</v>
      </c>
    </row>
    <row r="53" spans="1:16" s="310" customFormat="1">
      <c r="B53" s="72"/>
      <c r="C53" s="75"/>
      <c r="D53" s="309"/>
      <c r="E53" s="309"/>
      <c r="F53" s="75"/>
      <c r="G53" s="70"/>
      <c r="H53" s="70"/>
      <c r="I53" s="119"/>
      <c r="J53" s="60"/>
      <c r="K53" s="123"/>
      <c r="L53" s="47"/>
      <c r="M53" s="47"/>
      <c r="N53" s="65"/>
      <c r="O53" s="65"/>
      <c r="P53" s="65"/>
    </row>
    <row r="54" spans="1:16" s="47" customFormat="1">
      <c r="B54" s="87">
        <v>4</v>
      </c>
      <c r="C54" s="88" t="s">
        <v>740</v>
      </c>
      <c r="D54" s="118"/>
      <c r="E54" s="118"/>
      <c r="F54" s="59"/>
      <c r="G54" s="66"/>
      <c r="H54" s="67"/>
      <c r="I54" s="119"/>
      <c r="J54" s="60"/>
      <c r="K54" s="120"/>
    </row>
    <row r="55" spans="1:16" s="1" customFormat="1">
      <c r="B55" s="72" t="s">
        <v>42</v>
      </c>
      <c r="C55" s="58" t="s">
        <v>741</v>
      </c>
      <c r="D55" s="91">
        <v>70040005</v>
      </c>
      <c r="E55" s="118" t="s">
        <v>5</v>
      </c>
      <c r="F55" s="281" t="s">
        <v>1</v>
      </c>
      <c r="G55" s="89">
        <f>ROUND('Q-Extravasor'!$AG$30,2)</f>
        <v>73.08</v>
      </c>
      <c r="H55" s="283">
        <f>15.3/1.28</f>
        <v>11.953125</v>
      </c>
      <c r="I55" s="119">
        <f t="shared" ref="I55:I56" si="6">$K$6</f>
        <v>0.26979999999999998</v>
      </c>
      <c r="J55" s="60">
        <f>ROUND(H55*(I55+1),2)</f>
        <v>15.18</v>
      </c>
      <c r="K55" s="120">
        <f>ROUND(J55*G55,2)</f>
        <v>1109.3499999999999</v>
      </c>
      <c r="M55" s="303"/>
      <c r="N55" s="303"/>
      <c r="O55" s="303"/>
      <c r="P55" s="303"/>
    </row>
    <row r="56" spans="1:16" s="1" customFormat="1">
      <c r="B56" s="72" t="s">
        <v>57</v>
      </c>
      <c r="C56" s="58" t="s">
        <v>447</v>
      </c>
      <c r="D56" s="91">
        <v>70040006</v>
      </c>
      <c r="E56" s="118" t="s">
        <v>5</v>
      </c>
      <c r="F56" s="281" t="s">
        <v>1</v>
      </c>
      <c r="G56" s="89">
        <f>ROUND('Q-Extravasor'!$AG$31,2)</f>
        <v>10.5</v>
      </c>
      <c r="H56" s="283">
        <f>33.4/1.28</f>
        <v>26.09375</v>
      </c>
      <c r="I56" s="119">
        <f t="shared" si="6"/>
        <v>0.26979999999999998</v>
      </c>
      <c r="J56" s="60">
        <f>ROUND(H56*(I56+1),2)</f>
        <v>33.130000000000003</v>
      </c>
      <c r="K56" s="120">
        <f>ROUND(J56*G56,2)</f>
        <v>347.87</v>
      </c>
      <c r="M56" s="303"/>
      <c r="N56" s="303"/>
      <c r="O56" s="303"/>
      <c r="P56" s="303"/>
    </row>
    <row r="57" spans="1:16" s="1" customFormat="1">
      <c r="B57" s="72"/>
      <c r="C57" s="58"/>
      <c r="D57" s="91"/>
      <c r="E57" s="118"/>
      <c r="F57" s="59"/>
      <c r="G57" s="89"/>
      <c r="H57" s="60"/>
      <c r="I57" s="121"/>
      <c r="J57" s="60"/>
      <c r="K57" s="120"/>
      <c r="M57" s="303"/>
      <c r="N57" s="303"/>
      <c r="O57" s="303"/>
      <c r="P57" s="303"/>
    </row>
    <row r="58" spans="1:16" s="65" customFormat="1">
      <c r="B58" s="69"/>
      <c r="C58" s="63" t="s">
        <v>43</v>
      </c>
      <c r="D58" s="122"/>
      <c r="E58" s="74"/>
      <c r="F58" s="75"/>
      <c r="G58" s="70"/>
      <c r="H58" s="71"/>
      <c r="I58" s="316"/>
      <c r="J58" s="60">
        <f>ROUND(H58*(I58+1),2)</f>
        <v>0</v>
      </c>
      <c r="K58" s="123">
        <f>SUM(K55:K57)</f>
        <v>1457.2199999999998</v>
      </c>
    </row>
    <row r="59" spans="1:16" s="65" customFormat="1">
      <c r="B59" s="540"/>
      <c r="C59" s="541"/>
      <c r="D59" s="542"/>
      <c r="E59" s="543"/>
      <c r="F59" s="544"/>
      <c r="G59" s="545"/>
      <c r="H59" s="546"/>
      <c r="I59" s="547"/>
      <c r="J59" s="305"/>
      <c r="K59" s="548"/>
    </row>
    <row r="60" spans="1:16" s="47" customFormat="1">
      <c r="B60" s="87">
        <v>5</v>
      </c>
      <c r="C60" s="88" t="s">
        <v>692</v>
      </c>
      <c r="D60" s="118"/>
      <c r="E60" s="118"/>
      <c r="F60" s="59"/>
      <c r="G60" s="66"/>
      <c r="H60" s="67"/>
      <c r="I60" s="316"/>
      <c r="J60" s="60"/>
      <c r="K60" s="120"/>
      <c r="L60" s="314"/>
    </row>
    <row r="61" spans="1:16" s="52" customFormat="1">
      <c r="A61" s="47"/>
      <c r="B61" s="554" t="s">
        <v>449</v>
      </c>
      <c r="C61" s="555" t="s">
        <v>414</v>
      </c>
      <c r="D61" s="279"/>
      <c r="E61" s="280"/>
      <c r="F61" s="281"/>
      <c r="G61" s="282"/>
      <c r="H61" s="283"/>
      <c r="I61" s="119"/>
      <c r="J61" s="60">
        <f>ROUND(H61*(I61+1),2)</f>
        <v>0</v>
      </c>
      <c r="K61" s="284">
        <f>ROUND(G61*J61,2)</f>
        <v>0</v>
      </c>
      <c r="M61" s="205"/>
      <c r="N61" s="1">
        <f>ROUND(G61*H61,2)</f>
        <v>0</v>
      </c>
    </row>
    <row r="62" spans="1:16" s="52" customFormat="1" ht="31.5">
      <c r="A62" s="47"/>
      <c r="B62" s="554" t="s">
        <v>708</v>
      </c>
      <c r="C62" s="555" t="str">
        <f>'CX-Extravasor'!$C$8</f>
        <v>Caixa do extravasor com paredes em alvenaria e laje de fundo em concreto armado</v>
      </c>
      <c r="D62" s="279" t="str">
        <f>'CX-Extravasor'!$C$7</f>
        <v>CX-Ext</v>
      </c>
      <c r="E62" s="118" t="str">
        <f>'CX-Extravasor'!$C$6</f>
        <v>COMP.</v>
      </c>
      <c r="F62" s="281" t="str">
        <f>'CX-Extravasor'!$C$10</f>
        <v>unid</v>
      </c>
      <c r="G62" s="282">
        <v>1</v>
      </c>
      <c r="H62" s="60">
        <f>ROUND('CX-Extravasor'!$H$35,2)</f>
        <v>8716.7800000000007</v>
      </c>
      <c r="I62" s="119">
        <f>$K$6</f>
        <v>0.26979999999999998</v>
      </c>
      <c r="J62" s="60">
        <f>ROUND(H62*(I62+1),2)</f>
        <v>11068.57</v>
      </c>
      <c r="K62" s="284">
        <f>ROUND(G62*J62,2)</f>
        <v>11068.57</v>
      </c>
      <c r="M62" s="205"/>
      <c r="N62" s="1"/>
    </row>
    <row r="63" spans="1:16" s="52" customFormat="1">
      <c r="A63" s="47"/>
      <c r="B63" s="554" t="s">
        <v>709</v>
      </c>
      <c r="C63" s="555" t="s">
        <v>737</v>
      </c>
      <c r="D63" s="279"/>
      <c r="E63" s="280"/>
      <c r="F63" s="281"/>
      <c r="G63" s="282"/>
      <c r="H63" s="283"/>
      <c r="I63" s="119"/>
      <c r="J63" s="60"/>
      <c r="K63" s="284"/>
      <c r="M63" s="205"/>
      <c r="N63" s="1"/>
    </row>
    <row r="64" spans="1:16" s="52" customFormat="1">
      <c r="A64" s="47"/>
      <c r="B64" s="554" t="s">
        <v>711</v>
      </c>
      <c r="C64" s="555" t="s">
        <v>764</v>
      </c>
      <c r="D64" s="279">
        <v>70070255</v>
      </c>
      <c r="E64" s="118" t="s">
        <v>5</v>
      </c>
      <c r="F64" s="281" t="s">
        <v>4</v>
      </c>
      <c r="G64" s="282">
        <f>ROUND('Q-Extravasor'!$D$37,2)</f>
        <v>3.23</v>
      </c>
      <c r="H64" s="283">
        <f>1050.51/1.28</f>
        <v>820.7109375</v>
      </c>
      <c r="I64" s="119">
        <f>$K$6</f>
        <v>0.26979999999999998</v>
      </c>
      <c r="J64" s="60">
        <f>ROUND(H64*(I64+1),2)</f>
        <v>1042.1400000000001</v>
      </c>
      <c r="K64" s="284">
        <f>ROUND(G64*J64,2)</f>
        <v>3366.11</v>
      </c>
      <c r="M64" s="205"/>
      <c r="N64" s="1"/>
    </row>
    <row r="65" spans="1:16" s="52" customFormat="1">
      <c r="A65" s="47"/>
      <c r="B65" s="554" t="s">
        <v>713</v>
      </c>
      <c r="C65" s="555" t="s">
        <v>430</v>
      </c>
      <c r="D65" s="279"/>
      <c r="E65" s="280"/>
      <c r="F65" s="281"/>
      <c r="G65" s="282"/>
      <c r="H65" s="283"/>
      <c r="I65" s="119"/>
      <c r="J65" s="60"/>
      <c r="K65" s="284"/>
      <c r="M65" s="205"/>
      <c r="N65" s="1"/>
    </row>
    <row r="66" spans="1:16" s="52" customFormat="1">
      <c r="A66" s="47"/>
      <c r="B66" s="72" t="s">
        <v>714</v>
      </c>
      <c r="C66" s="555" t="str">
        <f>'PROT-FL'!$C$8</f>
        <v>Proteção de flanges enterrados para tubulação</v>
      </c>
      <c r="D66" s="91" t="str">
        <f>'PROT-FL'!$C$7</f>
        <v>Prot-Fl</v>
      </c>
      <c r="E66" s="118" t="str">
        <f>'PROT-FL'!$C$6</f>
        <v>COMP.</v>
      </c>
      <c r="F66" s="281" t="str">
        <f>'PROT-FL'!$C$10</f>
        <v>unid</v>
      </c>
      <c r="G66" s="282">
        <v>2</v>
      </c>
      <c r="H66" s="60">
        <f>ROUND('PROT-FL'!$H$20,2)</f>
        <v>210.26</v>
      </c>
      <c r="I66" s="119">
        <f>$K$6</f>
        <v>0.26979999999999998</v>
      </c>
      <c r="J66" s="60">
        <f>ROUND(H66*(I66+1),2)</f>
        <v>266.99</v>
      </c>
      <c r="K66" s="284">
        <f>ROUND(G66*J66,2)</f>
        <v>533.98</v>
      </c>
      <c r="M66" s="205"/>
      <c r="N66" s="1"/>
    </row>
    <row r="67" spans="1:16" s="47" customFormat="1">
      <c r="B67" s="72"/>
      <c r="C67" s="127"/>
      <c r="D67" s="124"/>
      <c r="E67" s="124"/>
      <c r="F67" s="124"/>
      <c r="G67" s="157"/>
      <c r="H67" s="73"/>
      <c r="I67" s="120"/>
      <c r="J67" s="125"/>
      <c r="K67" s="126"/>
      <c r="L67" s="314"/>
    </row>
    <row r="68" spans="1:16" s="47" customFormat="1">
      <c r="B68" s="72"/>
      <c r="C68" s="63" t="s">
        <v>450</v>
      </c>
      <c r="D68" s="122"/>
      <c r="E68" s="74"/>
      <c r="F68" s="75"/>
      <c r="G68" s="315"/>
      <c r="H68" s="70"/>
      <c r="I68" s="316"/>
      <c r="J68" s="60">
        <f>ROUND(H68*(I68+1),2)</f>
        <v>0</v>
      </c>
      <c r="K68" s="123">
        <f>SUM(K62:K67)</f>
        <v>14968.66</v>
      </c>
    </row>
    <row r="69" spans="1:16" s="65" customFormat="1">
      <c r="B69" s="87"/>
      <c r="C69" s="88"/>
      <c r="D69" s="118"/>
      <c r="E69" s="118"/>
      <c r="F69" s="59"/>
      <c r="G69" s="66"/>
      <c r="H69" s="67"/>
      <c r="I69" s="119"/>
      <c r="J69" s="60"/>
      <c r="K69" s="120"/>
    </row>
    <row r="70" spans="1:16" s="47" customFormat="1" ht="31.5">
      <c r="B70" s="87">
        <v>6</v>
      </c>
      <c r="C70" s="88" t="s">
        <v>693</v>
      </c>
      <c r="D70" s="118"/>
      <c r="E70" s="118"/>
      <c r="F70" s="59"/>
      <c r="G70" s="66"/>
      <c r="H70" s="67"/>
      <c r="I70" s="316"/>
      <c r="J70" s="73"/>
      <c r="K70" s="120"/>
    </row>
    <row r="71" spans="1:16" s="47" customFormat="1">
      <c r="B71" s="554" t="s">
        <v>451</v>
      </c>
      <c r="C71" s="555" t="s">
        <v>742</v>
      </c>
      <c r="D71" s="529"/>
      <c r="E71" s="118"/>
      <c r="F71" s="59"/>
      <c r="G71" s="66"/>
      <c r="H71" s="67"/>
      <c r="I71" s="316"/>
      <c r="J71" s="60"/>
      <c r="K71" s="284"/>
    </row>
    <row r="72" spans="1:16" s="312" customFormat="1" ht="31.5">
      <c r="B72" s="554" t="s">
        <v>746</v>
      </c>
      <c r="C72" s="555" t="s">
        <v>743</v>
      </c>
      <c r="D72" s="91">
        <v>70080051</v>
      </c>
      <c r="E72" s="118" t="s">
        <v>5</v>
      </c>
      <c r="F72" s="281" t="s">
        <v>4</v>
      </c>
      <c r="G72" s="89">
        <f>ROUND('Q-Extravasor'!$E$30,2)</f>
        <v>3</v>
      </c>
      <c r="H72" s="60">
        <f>58.2/1.28</f>
        <v>45.46875</v>
      </c>
      <c r="I72" s="119">
        <f>$K$6</f>
        <v>0.26979999999999998</v>
      </c>
      <c r="J72" s="60">
        <f>ROUND(H72*(I72+1),2)</f>
        <v>57.74</v>
      </c>
      <c r="K72" s="284">
        <f>ROUND(J72*G72,2)</f>
        <v>173.22</v>
      </c>
      <c r="L72" s="1"/>
      <c r="M72" s="311"/>
      <c r="N72" s="311"/>
      <c r="O72" s="311"/>
      <c r="P72" s="311"/>
    </row>
    <row r="73" spans="1:16" s="312" customFormat="1" ht="31.5">
      <c r="B73" s="554" t="s">
        <v>747</v>
      </c>
      <c r="C73" s="555" t="s">
        <v>745</v>
      </c>
      <c r="D73" s="91">
        <v>70080082</v>
      </c>
      <c r="E73" s="118" t="s">
        <v>5</v>
      </c>
      <c r="F73" s="281" t="s">
        <v>4</v>
      </c>
      <c r="G73" s="89">
        <f>ROUND('Q-Extravasor'!$E$32,2)</f>
        <v>43</v>
      </c>
      <c r="H73" s="60">
        <f>3.07/1.28</f>
        <v>2.3984375</v>
      </c>
      <c r="I73" s="119">
        <f>$K$6</f>
        <v>0.26979999999999998</v>
      </c>
      <c r="J73" s="60">
        <f>ROUND(H73*(I73+1),2)</f>
        <v>3.05</v>
      </c>
      <c r="K73" s="284">
        <f>ROUND(J73*G73,2)</f>
        <v>131.15</v>
      </c>
      <c r="L73" s="1"/>
      <c r="M73" s="311"/>
      <c r="N73" s="311"/>
      <c r="O73" s="311"/>
      <c r="P73" s="311"/>
    </row>
    <row r="74" spans="1:16" s="47" customFormat="1">
      <c r="B74" s="554" t="s">
        <v>452</v>
      </c>
      <c r="C74" s="555" t="s">
        <v>710</v>
      </c>
      <c r="D74" s="529"/>
      <c r="E74" s="118"/>
      <c r="F74" s="59"/>
      <c r="G74" s="66"/>
      <c r="H74" s="67"/>
      <c r="I74" s="316"/>
      <c r="J74" s="60"/>
      <c r="K74" s="284"/>
    </row>
    <row r="75" spans="1:16" s="287" customFormat="1" ht="31.5">
      <c r="B75" s="72" t="s">
        <v>748</v>
      </c>
      <c r="C75" s="555" t="s">
        <v>456</v>
      </c>
      <c r="D75" s="91">
        <v>70080342</v>
      </c>
      <c r="E75" s="118" t="s">
        <v>5</v>
      </c>
      <c r="F75" s="281" t="s">
        <v>457</v>
      </c>
      <c r="G75" s="89">
        <f>ROUND('Q-Extravasor'!$BJ$30,2)</f>
        <v>0.43</v>
      </c>
      <c r="H75" s="60">
        <f>144.08/1.28</f>
        <v>112.56250000000001</v>
      </c>
      <c r="I75" s="119">
        <f>$K$6</f>
        <v>0.26979999999999998</v>
      </c>
      <c r="J75" s="60">
        <f>ROUND(H75*(I75+1),2)</f>
        <v>142.93</v>
      </c>
      <c r="K75" s="284">
        <f>ROUND(J75*G75,2)</f>
        <v>61.46</v>
      </c>
      <c r="M75" s="301"/>
      <c r="N75" s="301"/>
      <c r="O75" s="317"/>
      <c r="P75" s="301"/>
    </row>
    <row r="76" spans="1:16" s="287" customFormat="1">
      <c r="B76" s="72" t="s">
        <v>749</v>
      </c>
      <c r="C76" s="555" t="s">
        <v>458</v>
      </c>
      <c r="D76" s="91">
        <v>70080343</v>
      </c>
      <c r="E76" s="118" t="s">
        <v>5</v>
      </c>
      <c r="F76" s="281" t="s">
        <v>459</v>
      </c>
      <c r="G76" s="89">
        <f>ROUND('Q-Extravasor'!$BK$30,2)</f>
        <v>12.82</v>
      </c>
      <c r="H76" s="60">
        <f>4.12/1.28</f>
        <v>3.21875</v>
      </c>
      <c r="I76" s="119">
        <f>$K$6</f>
        <v>0.26979999999999998</v>
      </c>
      <c r="J76" s="60">
        <f>ROUND(H76*(I76+1),2)</f>
        <v>4.09</v>
      </c>
      <c r="K76" s="284">
        <f>ROUND(J76*G76,2)</f>
        <v>52.43</v>
      </c>
      <c r="M76" s="317"/>
      <c r="N76" s="301"/>
      <c r="O76" s="301"/>
      <c r="P76" s="301"/>
    </row>
    <row r="77" spans="1:16" s="52" customFormat="1">
      <c r="A77" s="47"/>
      <c r="B77" s="554" t="s">
        <v>453</v>
      </c>
      <c r="C77" s="555" t="s">
        <v>405</v>
      </c>
      <c r="D77" s="279"/>
      <c r="E77" s="280"/>
      <c r="F77" s="281"/>
      <c r="G77" s="282"/>
      <c r="H77" s="283"/>
      <c r="I77" s="316"/>
      <c r="J77" s="60"/>
      <c r="K77" s="284"/>
      <c r="M77" s="205"/>
      <c r="N77" s="1">
        <f>ROUND(G77*H77,2)</f>
        <v>0</v>
      </c>
    </row>
    <row r="78" spans="1:16" s="287" customFormat="1" ht="31.5">
      <c r="B78" s="72" t="s">
        <v>750</v>
      </c>
      <c r="C78" s="555" t="s">
        <v>718</v>
      </c>
      <c r="D78" s="279">
        <v>70140023</v>
      </c>
      <c r="E78" s="118" t="s">
        <v>5</v>
      </c>
      <c r="F78" s="59" t="s">
        <v>61</v>
      </c>
      <c r="G78" s="282">
        <f>ROUND('ME-Extravasor'!$O$33,2)</f>
        <v>2933.85</v>
      </c>
      <c r="H78" s="60">
        <f>2.91/1.28</f>
        <v>2.2734375</v>
      </c>
      <c r="I78" s="119">
        <f>$K$6</f>
        <v>0.26979999999999998</v>
      </c>
      <c r="J78" s="60">
        <f>ROUND(H78*(I78+1),2)</f>
        <v>2.89</v>
      </c>
      <c r="K78" s="284">
        <f>ROUND(J78*G78,2)</f>
        <v>8478.83</v>
      </c>
      <c r="M78" s="317"/>
      <c r="N78" s="301"/>
      <c r="O78" s="301"/>
      <c r="P78" s="301"/>
    </row>
    <row r="79" spans="1:16" s="52" customFormat="1" ht="31.5">
      <c r="A79" s="47"/>
      <c r="B79" s="72" t="s">
        <v>751</v>
      </c>
      <c r="C79" s="555" t="s">
        <v>410</v>
      </c>
      <c r="D79" s="279">
        <v>70140057</v>
      </c>
      <c r="E79" s="118" t="s">
        <v>5</v>
      </c>
      <c r="F79" s="281" t="s">
        <v>8</v>
      </c>
      <c r="G79" s="282">
        <f>'ME-Extravasor'!$G$23</f>
        <v>1</v>
      </c>
      <c r="H79" s="60">
        <f>516.49/1.28</f>
        <v>403.5078125</v>
      </c>
      <c r="I79" s="119">
        <f>$K$6</f>
        <v>0.26979999999999998</v>
      </c>
      <c r="J79" s="60">
        <f>ROUND(H79*(I79+1),2)</f>
        <v>512.37</v>
      </c>
      <c r="K79" s="284">
        <f>ROUND(J79*G79,2)</f>
        <v>512.37</v>
      </c>
      <c r="M79" s="205"/>
      <c r="N79" s="1"/>
    </row>
    <row r="80" spans="1:16" s="52" customFormat="1" ht="31.5">
      <c r="A80" s="47"/>
      <c r="B80" s="72" t="s">
        <v>752</v>
      </c>
      <c r="C80" s="555" t="s">
        <v>411</v>
      </c>
      <c r="D80" s="279">
        <v>70140077</v>
      </c>
      <c r="E80" s="118" t="s">
        <v>5</v>
      </c>
      <c r="F80" s="281" t="s">
        <v>8</v>
      </c>
      <c r="G80" s="282">
        <f>'ME-Extravasor'!$G$26</f>
        <v>1</v>
      </c>
      <c r="H80" s="60">
        <f>239.55/1.28</f>
        <v>187.1484375</v>
      </c>
      <c r="I80" s="119">
        <f>$K$6</f>
        <v>0.26979999999999998</v>
      </c>
      <c r="J80" s="60">
        <f>ROUND(H80*(I80+1),2)</f>
        <v>237.64</v>
      </c>
      <c r="K80" s="284">
        <f>ROUND(J80*G80,2)</f>
        <v>237.64</v>
      </c>
      <c r="M80" s="205"/>
      <c r="N80" s="1"/>
    </row>
    <row r="81" spans="2:16" s="47" customFormat="1">
      <c r="B81" s="72"/>
      <c r="C81" s="307"/>
      <c r="D81" s="124"/>
      <c r="E81" s="124"/>
      <c r="F81" s="124"/>
      <c r="G81" s="318"/>
      <c r="H81" s="70"/>
      <c r="I81" s="70"/>
      <c r="J81" s="125"/>
      <c r="K81" s="126"/>
    </row>
    <row r="82" spans="2:16" s="47" customFormat="1">
      <c r="B82" s="72"/>
      <c r="C82" s="63" t="s">
        <v>454</v>
      </c>
      <c r="D82" s="122"/>
      <c r="E82" s="74"/>
      <c r="F82" s="75"/>
      <c r="G82" s="315"/>
      <c r="H82" s="70"/>
      <c r="I82" s="316"/>
      <c r="J82" s="60">
        <f>ROUND(H82*(I82+1),2)</f>
        <v>0</v>
      </c>
      <c r="K82" s="123">
        <f>SUM(K72:K81)</f>
        <v>9647.1</v>
      </c>
    </row>
    <row r="83" spans="2:16" s="47" customFormat="1">
      <c r="B83" s="72"/>
      <c r="C83" s="127"/>
      <c r="D83" s="124"/>
      <c r="E83" s="124"/>
      <c r="F83" s="124"/>
      <c r="G83" s="129"/>
      <c r="H83" s="73"/>
      <c r="I83" s="120"/>
      <c r="J83" s="125"/>
      <c r="K83" s="126"/>
    </row>
    <row r="84" spans="2:16" s="47" customFormat="1">
      <c r="B84" s="87">
        <v>7</v>
      </c>
      <c r="C84" s="88" t="s">
        <v>461</v>
      </c>
      <c r="D84" s="118"/>
      <c r="E84" s="118"/>
      <c r="F84" s="59"/>
      <c r="G84" s="66"/>
      <c r="H84" s="67"/>
      <c r="I84" s="119"/>
      <c r="J84" s="60"/>
      <c r="K84" s="120"/>
    </row>
    <row r="85" spans="2:16" s="1" customFormat="1">
      <c r="B85" s="72" t="s">
        <v>455</v>
      </c>
      <c r="C85" s="555" t="s">
        <v>719</v>
      </c>
      <c r="D85" s="279">
        <v>70190144</v>
      </c>
      <c r="E85" s="280" t="s">
        <v>5</v>
      </c>
      <c r="F85" s="281" t="s">
        <v>1</v>
      </c>
      <c r="G85" s="89">
        <f>ROUND('Q-Extravasor'!$BL$30,2)</f>
        <v>61.75</v>
      </c>
      <c r="H85" s="283">
        <f>11.9/1.28</f>
        <v>9.296875</v>
      </c>
      <c r="I85" s="119">
        <f>$K$6</f>
        <v>0.26979999999999998</v>
      </c>
      <c r="J85" s="60">
        <f>ROUND(H85*(I85+1),2)</f>
        <v>11.81</v>
      </c>
      <c r="K85" s="120">
        <f>ROUND(J85*G85,2)</f>
        <v>729.27</v>
      </c>
      <c r="M85" s="303"/>
      <c r="N85" s="303"/>
      <c r="O85" s="303"/>
      <c r="P85" s="303"/>
    </row>
    <row r="86" spans="2:16" s="1" customFormat="1">
      <c r="B86" s="72"/>
      <c r="C86" s="58"/>
      <c r="D86" s="91"/>
      <c r="E86" s="118"/>
      <c r="F86" s="59"/>
      <c r="G86" s="89"/>
      <c r="H86" s="60"/>
      <c r="I86" s="121"/>
      <c r="J86" s="60"/>
      <c r="K86" s="120"/>
      <c r="M86" s="303"/>
      <c r="N86" s="303"/>
      <c r="O86" s="303"/>
      <c r="P86" s="303"/>
    </row>
    <row r="87" spans="2:16" s="65" customFormat="1">
      <c r="B87" s="69"/>
      <c r="C87" s="63" t="s">
        <v>460</v>
      </c>
      <c r="D87" s="122"/>
      <c r="E87" s="74"/>
      <c r="F87" s="75"/>
      <c r="G87" s="70"/>
      <c r="H87" s="71"/>
      <c r="I87" s="119"/>
      <c r="J87" s="60">
        <f>ROUND(H87*(I87+1),2)</f>
        <v>0</v>
      </c>
      <c r="K87" s="123">
        <f>SUM(K85:K86)</f>
        <v>729.27</v>
      </c>
    </row>
    <row r="88" spans="2:16" s="65" customFormat="1">
      <c r="B88" s="69"/>
      <c r="C88" s="74"/>
      <c r="D88" s="302"/>
      <c r="E88" s="302"/>
      <c r="F88" s="59"/>
      <c r="G88" s="66"/>
      <c r="H88" s="67"/>
      <c r="I88" s="119"/>
      <c r="J88" s="60">
        <f>ROUND(H88*(I88+1),2)</f>
        <v>0</v>
      </c>
      <c r="K88" s="120"/>
      <c r="M88" s="47"/>
    </row>
    <row r="89" spans="2:16" s="47" customFormat="1">
      <c r="B89" s="72"/>
      <c r="C89" s="127"/>
      <c r="D89" s="124"/>
      <c r="E89" s="124"/>
      <c r="F89" s="124"/>
      <c r="G89" s="59"/>
      <c r="H89" s="128"/>
      <c r="I89" s="120"/>
      <c r="J89" s="125"/>
      <c r="K89" s="126"/>
    </row>
    <row r="90" spans="2:16" s="47" customFormat="1">
      <c r="B90" s="62"/>
      <c r="C90" s="64" t="s">
        <v>34</v>
      </c>
      <c r="D90" s="130"/>
      <c r="E90" s="130"/>
      <c r="F90" s="76"/>
      <c r="G90" s="57"/>
      <c r="H90" s="77"/>
      <c r="I90" s="77"/>
      <c r="J90" s="77"/>
      <c r="K90" s="78">
        <f>SUM(K26:K89)/2</f>
        <v>34944.770000000011</v>
      </c>
    </row>
    <row r="91" spans="2:16" s="47" customFormat="1">
      <c r="B91" s="112"/>
      <c r="C91" s="131"/>
      <c r="D91" s="132"/>
      <c r="E91" s="132"/>
      <c r="F91" s="133"/>
      <c r="G91" s="115"/>
      <c r="H91" s="134"/>
      <c r="I91" s="134"/>
      <c r="J91" s="134"/>
      <c r="K91" s="116"/>
    </row>
  </sheetData>
  <mergeCells count="14">
    <mergeCell ref="C6:G6"/>
    <mergeCell ref="H6:J6"/>
    <mergeCell ref="C7:G7"/>
    <mergeCell ref="H7:J7"/>
    <mergeCell ref="B2:B3"/>
    <mergeCell ref="C2:G2"/>
    <mergeCell ref="H2:K2"/>
    <mergeCell ref="C3:G3"/>
    <mergeCell ref="H3:J3"/>
    <mergeCell ref="B4:B7"/>
    <mergeCell ref="C4:G4"/>
    <mergeCell ref="H4:J4"/>
    <mergeCell ref="C5:G5"/>
    <mergeCell ref="H5:K5"/>
  </mergeCells>
  <printOptions horizontalCentered="1"/>
  <pageMargins left="0.59055118110236227" right="0.51181102362204722" top="0.98425196850393704" bottom="0.78740157480314965" header="0.39370078740157483" footer="0.39370078740157483"/>
  <pageSetup paperSize="9" scale="65" firstPageNumber="4" orientation="portrait" r:id="rId1"/>
  <headerFooter scaleWithDoc="0">
    <oddHeader>&amp;L&amp;"Arial,Itálico"&amp;10Rev-1&amp;R&amp;G</oddHeader>
    <oddFooter>&amp;L&amp;"Arial,Negrito"&amp;10CTR 477F&amp;C&amp;"Arial,Negrito"&amp;10 2.&amp;P</oddFooter>
  </headerFooter>
  <rowBreaks count="2" manualBreakCount="2">
    <brk id="25" max="16383" man="1"/>
    <brk id="59" max="16383" man="1"/>
  </rowBreaks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2:Q37"/>
  <sheetViews>
    <sheetView showGridLines="0" showZeros="0" zoomScaleNormal="100" zoomScaleSheetLayoutView="100" workbookViewId="0">
      <selection activeCell="B4" sqref="B4:W5"/>
    </sheetView>
  </sheetViews>
  <sheetFormatPr defaultColWidth="9.140625" defaultRowHeight="15.75"/>
  <cols>
    <col min="1" max="1" width="3.7109375" style="46" customWidth="1"/>
    <col min="2" max="2" width="8.7109375" style="79" customWidth="1"/>
    <col min="3" max="3" width="43.7109375" style="80" customWidth="1"/>
    <col min="4" max="5" width="9.85546875" style="80" customWidth="1"/>
    <col min="6" max="6" width="7.140625" style="81" customWidth="1"/>
    <col min="7" max="7" width="10.5703125" style="82" customWidth="1"/>
    <col min="8" max="8" width="12.7109375" style="81" customWidth="1"/>
    <col min="9" max="9" width="9.140625" style="81" customWidth="1"/>
    <col min="10" max="10" width="12.7109375" style="81" customWidth="1"/>
    <col min="11" max="11" width="15.85546875" style="81" customWidth="1"/>
    <col min="12" max="15" width="11.5703125" style="46" customWidth="1"/>
    <col min="16" max="16384" width="9.140625" style="46"/>
  </cols>
  <sheetData>
    <row r="2" spans="1:16" s="47" customFormat="1" ht="18" customHeight="1">
      <c r="A2" s="1"/>
      <c r="B2" s="741" t="s">
        <v>46</v>
      </c>
      <c r="C2" s="742" t="s">
        <v>47</v>
      </c>
      <c r="D2" s="743"/>
      <c r="E2" s="743"/>
      <c r="F2" s="743"/>
      <c r="G2" s="744"/>
      <c r="H2" s="745" t="s">
        <v>48</v>
      </c>
      <c r="I2" s="746"/>
      <c r="J2" s="746"/>
      <c r="K2" s="747"/>
    </row>
    <row r="3" spans="1:16" s="47" customFormat="1" ht="18" customHeight="1">
      <c r="A3" s="1"/>
      <c r="B3" s="721"/>
      <c r="C3" s="748" t="s">
        <v>49</v>
      </c>
      <c r="D3" s="749"/>
      <c r="E3" s="749"/>
      <c r="F3" s="749"/>
      <c r="G3" s="750"/>
      <c r="H3" s="726" t="s">
        <v>50</v>
      </c>
      <c r="I3" s="727"/>
      <c r="J3" s="727"/>
      <c r="K3" s="562" t="s">
        <v>908</v>
      </c>
    </row>
    <row r="4" spans="1:16" s="47" customFormat="1" ht="18" customHeight="1">
      <c r="A4" s="1"/>
      <c r="B4" s="721" t="s">
        <v>30</v>
      </c>
      <c r="C4" s="723" t="s">
        <v>901</v>
      </c>
      <c r="D4" s="724"/>
      <c r="E4" s="724"/>
      <c r="F4" s="724"/>
      <c r="G4" s="725"/>
      <c r="H4" s="726" t="s">
        <v>51</v>
      </c>
      <c r="I4" s="727"/>
      <c r="J4" s="727"/>
      <c r="K4" s="562" t="s">
        <v>908</v>
      </c>
    </row>
    <row r="5" spans="1:16" s="47" customFormat="1" ht="18" customHeight="1">
      <c r="A5" s="1"/>
      <c r="B5" s="721"/>
      <c r="C5" s="723" t="s">
        <v>122</v>
      </c>
      <c r="D5" s="728"/>
      <c r="E5" s="728"/>
      <c r="F5" s="728"/>
      <c r="G5" s="729"/>
      <c r="H5" s="730" t="s">
        <v>65</v>
      </c>
      <c r="I5" s="731"/>
      <c r="J5" s="731"/>
      <c r="K5" s="732"/>
      <c r="P5" s="173"/>
    </row>
    <row r="6" spans="1:16" s="47" customFormat="1" ht="18" customHeight="1">
      <c r="A6" s="1"/>
      <c r="B6" s="721"/>
      <c r="C6" s="723" t="s">
        <v>731</v>
      </c>
      <c r="D6" s="728"/>
      <c r="E6" s="728"/>
      <c r="F6" s="728"/>
      <c r="G6" s="729"/>
      <c r="H6" s="726" t="s">
        <v>52</v>
      </c>
      <c r="I6" s="727"/>
      <c r="J6" s="727"/>
      <c r="K6" s="563">
        <v>0.26979999999999998</v>
      </c>
      <c r="L6" s="47">
        <v>0</v>
      </c>
    </row>
    <row r="7" spans="1:16" s="47" customFormat="1" ht="18" customHeight="1">
      <c r="A7" s="1"/>
      <c r="B7" s="722"/>
      <c r="C7" s="767" t="s">
        <v>135</v>
      </c>
      <c r="D7" s="768"/>
      <c r="E7" s="768"/>
      <c r="F7" s="768"/>
      <c r="G7" s="769"/>
      <c r="H7" s="739" t="s">
        <v>53</v>
      </c>
      <c r="I7" s="740"/>
      <c r="J7" s="740"/>
      <c r="K7" s="564">
        <v>0.16800000000000001</v>
      </c>
    </row>
    <row r="8" spans="1:16" s="47" customFormat="1" ht="47.25" customHeight="1">
      <c r="A8" s="1"/>
      <c r="B8" s="592" t="s">
        <v>25</v>
      </c>
      <c r="C8" s="565" t="s">
        <v>31</v>
      </c>
      <c r="D8" s="566" t="s">
        <v>26</v>
      </c>
      <c r="E8" s="566" t="s">
        <v>54</v>
      </c>
      <c r="F8" s="565" t="s">
        <v>28</v>
      </c>
      <c r="G8" s="567" t="s">
        <v>27</v>
      </c>
      <c r="H8" s="565" t="s">
        <v>55</v>
      </c>
      <c r="I8" s="565" t="s">
        <v>56</v>
      </c>
      <c r="J8" s="565" t="s">
        <v>32</v>
      </c>
      <c r="K8" s="565" t="s">
        <v>33</v>
      </c>
    </row>
    <row r="9" spans="1:16" s="52" customFormat="1">
      <c r="A9" s="47"/>
      <c r="B9" s="48"/>
      <c r="C9" s="84"/>
      <c r="D9" s="49"/>
      <c r="E9" s="49"/>
      <c r="F9" s="50"/>
      <c r="G9" s="51"/>
      <c r="H9" s="50"/>
      <c r="I9" s="50"/>
      <c r="J9" s="50"/>
      <c r="K9" s="107"/>
      <c r="L9" s="139"/>
    </row>
    <row r="10" spans="1:16" s="52" customFormat="1" ht="31.5">
      <c r="A10" s="47"/>
      <c r="B10" s="552">
        <f>B14</f>
        <v>1</v>
      </c>
      <c r="C10" s="553" t="str">
        <f>UPPER(C14)</f>
        <v>FORNECIMENTO DE MATERIAIS E EQUIPAMENTOS</v>
      </c>
      <c r="D10" s="83"/>
      <c r="E10" s="83"/>
      <c r="F10" s="54"/>
      <c r="G10" s="55"/>
      <c r="H10" s="54"/>
      <c r="I10" s="54"/>
      <c r="J10" s="54"/>
      <c r="K10" s="110">
        <f>K33</f>
        <v>131077.08999999997</v>
      </c>
      <c r="L10" s="139"/>
    </row>
    <row r="11" spans="1:16" s="52" customFormat="1">
      <c r="A11" s="47"/>
      <c r="B11" s="53"/>
      <c r="C11" s="83"/>
      <c r="D11" s="83"/>
      <c r="E11" s="83"/>
      <c r="F11" s="54"/>
      <c r="G11" s="55"/>
      <c r="H11" s="54"/>
      <c r="I11" s="54"/>
      <c r="J11" s="54"/>
      <c r="K11" s="111"/>
      <c r="L11" s="139"/>
    </row>
    <row r="12" spans="1:16" s="52" customFormat="1">
      <c r="A12" s="47"/>
      <c r="B12" s="277"/>
      <c r="C12" s="85" t="s">
        <v>34</v>
      </c>
      <c r="D12" s="85"/>
      <c r="E12" s="85"/>
      <c r="F12" s="85"/>
      <c r="G12" s="86"/>
      <c r="H12" s="85"/>
      <c r="I12" s="85"/>
      <c r="J12" s="85"/>
      <c r="K12" s="90">
        <f>SUM(K9:K11)</f>
        <v>131077.08999999997</v>
      </c>
      <c r="L12" s="56"/>
    </row>
    <row r="13" spans="1:16" s="52" customFormat="1">
      <c r="A13" s="47"/>
      <c r="B13" s="112"/>
      <c r="C13" s="113"/>
      <c r="D13" s="113"/>
      <c r="E13" s="113"/>
      <c r="F13" s="114"/>
      <c r="G13" s="115"/>
      <c r="H13" s="116"/>
      <c r="I13" s="116"/>
      <c r="J13" s="116"/>
      <c r="K13" s="117"/>
    </row>
    <row r="14" spans="1:16" s="65" customFormat="1">
      <c r="B14" s="87">
        <v>1</v>
      </c>
      <c r="C14" s="88" t="s">
        <v>720</v>
      </c>
      <c r="D14" s="118"/>
      <c r="E14" s="118"/>
      <c r="F14" s="59"/>
      <c r="G14" s="66"/>
      <c r="H14" s="67"/>
      <c r="I14" s="119"/>
      <c r="J14" s="60">
        <f t="shared" ref="J14" si="0">ROUND(H14*(I14+1),2)</f>
        <v>0</v>
      </c>
      <c r="K14" s="120"/>
    </row>
    <row r="15" spans="1:16" s="52" customFormat="1" ht="31.5">
      <c r="A15" s="47"/>
      <c r="B15" s="554" t="s">
        <v>35</v>
      </c>
      <c r="C15" s="555" t="str">
        <f>'Resumo Preços'!$D$32</f>
        <v>Curva 90° com flanges Ø 500mm, flange conf. ISO 2531 PN-10, em ferro fundido, para água</v>
      </c>
      <c r="D15" s="279" t="str">
        <f>'Resumo Preços'!$C$32</f>
        <v>HM02986</v>
      </c>
      <c r="E15" s="280" t="str">
        <f>'Resumo Preços'!$F$32</f>
        <v>SABESP</v>
      </c>
      <c r="F15" s="281" t="str">
        <f>'Resumo Preços'!$E$32</f>
        <v>pç</v>
      </c>
      <c r="G15" s="282">
        <v>2</v>
      </c>
      <c r="H15" s="283">
        <f>ROUND('Resumo Preços'!$L$32,2)</f>
        <v>11508.02</v>
      </c>
      <c r="I15" s="119">
        <f t="shared" ref="I15:I31" si="1">$K$7</f>
        <v>0.16800000000000001</v>
      </c>
      <c r="J15" s="60">
        <f>ROUND(H15*(I15+1),2)</f>
        <v>13441.37</v>
      </c>
      <c r="K15" s="284">
        <f>ROUND(G15*J15,2)</f>
        <v>26882.74</v>
      </c>
      <c r="M15" s="513">
        <f>ROUND(G15*H15,2)</f>
        <v>23016.04</v>
      </c>
      <c r="N15" s="510">
        <v>174</v>
      </c>
      <c r="O15" s="516">
        <f>ROUND(G15*N15,2)</f>
        <v>348</v>
      </c>
    </row>
    <row r="16" spans="1:16" s="52" customFormat="1" ht="47.25">
      <c r="A16" s="47"/>
      <c r="B16" s="554" t="s">
        <v>75</v>
      </c>
      <c r="C16" s="555" t="str">
        <f>'Resumo Preços'!$D$33</f>
        <v>Curva 90° com flanges e pé Ø 500mm, flange conf. ISO 2531 PN-10, em ferro fundido, para água</v>
      </c>
      <c r="D16" s="279" t="str">
        <f>'Resumo Preços'!$C$33</f>
        <v>HM03019</v>
      </c>
      <c r="E16" s="280" t="str">
        <f>'Resumo Preços'!$F$33</f>
        <v>SABESP</v>
      </c>
      <c r="F16" s="281" t="str">
        <f>'Resumo Preços'!$E$33</f>
        <v>pç</v>
      </c>
      <c r="G16" s="282">
        <v>1</v>
      </c>
      <c r="H16" s="283">
        <f>ROUND('Resumo Preços'!$L$33,2)</f>
        <v>19663.12</v>
      </c>
      <c r="I16" s="119">
        <f t="shared" si="1"/>
        <v>0.16800000000000001</v>
      </c>
      <c r="J16" s="60">
        <f t="shared" ref="J16:J33" si="2">ROUND(H16*(I16+1),2)</f>
        <v>22966.52</v>
      </c>
      <c r="K16" s="284">
        <f t="shared" ref="K16:K31" si="3">ROUND(G16*J16,2)</f>
        <v>22966.52</v>
      </c>
      <c r="M16" s="513">
        <f t="shared" ref="M16:M22" si="4">ROUND(G16*H16,2)</f>
        <v>19663.12</v>
      </c>
      <c r="N16" s="510">
        <v>276</v>
      </c>
      <c r="O16" s="516">
        <f t="shared" ref="O16:O22" si="5">ROUND(G16*N16,2)</f>
        <v>276</v>
      </c>
    </row>
    <row r="17" spans="1:15" s="52" customFormat="1" ht="47.25">
      <c r="A17" s="47"/>
      <c r="B17" s="554" t="s">
        <v>76</v>
      </c>
      <c r="C17" s="555" t="str">
        <f>'Resumo Preços'!$D$34</f>
        <v>Tubo com flanges, Ø 500mm, L = 5,80m, flange conf. ISO 2531 PN-10, em ferro fundido, para água</v>
      </c>
      <c r="D17" s="279" t="str">
        <f>'Resumo Preços'!$C$34</f>
        <v>HM03665</v>
      </c>
      <c r="E17" s="280" t="str">
        <f>'Resumo Preços'!$F$34</f>
        <v>SABESP</v>
      </c>
      <c r="F17" s="281" t="str">
        <f>'Resumo Preços'!$E$34</f>
        <v>pç</v>
      </c>
      <c r="G17" s="282">
        <v>2</v>
      </c>
      <c r="H17" s="283">
        <f>ROUND('Resumo Preços'!$L$34,2)</f>
        <v>15655.55</v>
      </c>
      <c r="I17" s="119">
        <f t="shared" si="1"/>
        <v>0.16800000000000001</v>
      </c>
      <c r="J17" s="60">
        <f t="shared" si="2"/>
        <v>18285.68</v>
      </c>
      <c r="K17" s="284">
        <f t="shared" si="3"/>
        <v>36571.360000000001</v>
      </c>
      <c r="M17" s="513">
        <f t="shared" si="4"/>
        <v>31311.1</v>
      </c>
      <c r="N17" s="510">
        <f>ROUND((121.8*5.8)+38+38,2)</f>
        <v>782.44</v>
      </c>
      <c r="O17" s="516">
        <f t="shared" si="5"/>
        <v>1564.88</v>
      </c>
    </row>
    <row r="18" spans="1:15" s="52" customFormat="1" ht="47.25">
      <c r="A18" s="47"/>
      <c r="B18" s="554" t="s">
        <v>77</v>
      </c>
      <c r="C18" s="555" t="str">
        <f>'Resumo Preços'!$D$35</f>
        <v>Tubo com flanges, Ø 500mm, L = 3,77m, flange conf. ISO 2531 PN-10, em ferro fundido, para água</v>
      </c>
      <c r="D18" s="279" t="str">
        <f>'Resumo Preços'!$C$35</f>
        <v>HM03661</v>
      </c>
      <c r="E18" s="280" t="str">
        <f>'Resumo Preços'!$F$35</f>
        <v>SABESP</v>
      </c>
      <c r="F18" s="281" t="str">
        <f>'Resumo Preços'!$E$35</f>
        <v>pç</v>
      </c>
      <c r="G18" s="282">
        <v>1</v>
      </c>
      <c r="H18" s="283">
        <f>ROUND('Resumo Preços'!$L$35,2)</f>
        <v>12467.25</v>
      </c>
      <c r="I18" s="119">
        <f t="shared" si="1"/>
        <v>0.16800000000000001</v>
      </c>
      <c r="J18" s="60">
        <f t="shared" si="2"/>
        <v>14561.75</v>
      </c>
      <c r="K18" s="284">
        <f t="shared" si="3"/>
        <v>14561.75</v>
      </c>
      <c r="M18" s="513">
        <f t="shared" si="4"/>
        <v>12467.25</v>
      </c>
      <c r="N18" s="510">
        <f>ROUND((121.8*3.77)+38+38,2)</f>
        <v>535.19000000000005</v>
      </c>
      <c r="O18" s="516">
        <f t="shared" si="5"/>
        <v>535.19000000000005</v>
      </c>
    </row>
    <row r="19" spans="1:15" s="52" customFormat="1" ht="31.5">
      <c r="A19" s="47"/>
      <c r="B19" s="554" t="s">
        <v>78</v>
      </c>
      <c r="C19" s="555" t="str">
        <f>'Resumo Preços'!$D$36</f>
        <v>Tubo com pontas, Ø 500mm, L = 3,00m, em ferro fundido, para água</v>
      </c>
      <c r="D19" s="279" t="str">
        <f>'Resumo Preços'!$C$36</f>
        <v>HM04111</v>
      </c>
      <c r="E19" s="280" t="str">
        <f>'Resumo Preços'!$F$36</f>
        <v>SABESP</v>
      </c>
      <c r="F19" s="281" t="str">
        <f>'Resumo Preços'!$E$36</f>
        <v>pç</v>
      </c>
      <c r="G19" s="282">
        <v>1</v>
      </c>
      <c r="H19" s="283">
        <f>ROUND('Resumo Preços'!$L$36,2)</f>
        <v>3683.13</v>
      </c>
      <c r="I19" s="119">
        <f t="shared" si="1"/>
        <v>0.16800000000000001</v>
      </c>
      <c r="J19" s="60">
        <f t="shared" si="2"/>
        <v>4301.8999999999996</v>
      </c>
      <c r="K19" s="284">
        <f t="shared" si="3"/>
        <v>4301.8999999999996</v>
      </c>
      <c r="M19" s="513">
        <f t="shared" si="4"/>
        <v>3683.13</v>
      </c>
      <c r="N19" s="511"/>
      <c r="O19" s="511"/>
    </row>
    <row r="20" spans="1:15" s="52" customFormat="1" ht="47.25">
      <c r="A20" s="47"/>
      <c r="B20" s="554" t="s">
        <v>79</v>
      </c>
      <c r="C20" s="555" t="str">
        <f>'Resumo Preços'!$D$37</f>
        <v>Toco com flanges, Ø 150mm, L = 0,50m, flange conf. ISO 2531 PN-10, em ferro fundido, para água</v>
      </c>
      <c r="D20" s="279" t="str">
        <f>'Resumo Preços'!$C$37</f>
        <v>HM03511</v>
      </c>
      <c r="E20" s="280" t="str">
        <f>'Resumo Preços'!$F$37</f>
        <v>SABESP</v>
      </c>
      <c r="F20" s="281" t="str">
        <f>'Resumo Preços'!$E$37</f>
        <v>pç</v>
      </c>
      <c r="G20" s="282">
        <v>1</v>
      </c>
      <c r="H20" s="283">
        <f>ROUND('Resumo Preços'!$L$37,2)</f>
        <v>598.59</v>
      </c>
      <c r="I20" s="119">
        <f t="shared" si="1"/>
        <v>0.16800000000000001</v>
      </c>
      <c r="J20" s="60">
        <f t="shared" si="2"/>
        <v>699.15</v>
      </c>
      <c r="K20" s="284">
        <f t="shared" si="3"/>
        <v>699.15</v>
      </c>
      <c r="M20" s="513">
        <f t="shared" si="4"/>
        <v>598.59</v>
      </c>
      <c r="N20" s="510">
        <v>32</v>
      </c>
      <c r="O20" s="516">
        <f t="shared" si="5"/>
        <v>32</v>
      </c>
    </row>
    <row r="21" spans="1:15" s="52" customFormat="1" ht="31.5">
      <c r="A21" s="47"/>
      <c r="B21" s="554" t="s">
        <v>80</v>
      </c>
      <c r="C21" s="555" t="str">
        <f>'Resumo Preços'!$D$38</f>
        <v>Curva 90° com flanges Ø 150mm, flange conf. ISO 2531 PN-10, em ferro fundido, para água</v>
      </c>
      <c r="D21" s="279" t="str">
        <f>'Resumo Preços'!$C$38</f>
        <v>HM03003</v>
      </c>
      <c r="E21" s="280" t="str">
        <f>'Resumo Preços'!$F$38</f>
        <v>SABESP</v>
      </c>
      <c r="F21" s="281" t="str">
        <f>'Resumo Preços'!$E$38</f>
        <v>pç</v>
      </c>
      <c r="G21" s="282">
        <v>1</v>
      </c>
      <c r="H21" s="283">
        <f>ROUND('Resumo Preços'!$L$38,2)</f>
        <v>714.69</v>
      </c>
      <c r="I21" s="119">
        <f t="shared" si="1"/>
        <v>0.16800000000000001</v>
      </c>
      <c r="J21" s="60">
        <f t="shared" si="2"/>
        <v>834.76</v>
      </c>
      <c r="K21" s="284">
        <f t="shared" si="3"/>
        <v>834.76</v>
      </c>
      <c r="M21" s="513">
        <f t="shared" si="4"/>
        <v>714.69</v>
      </c>
      <c r="N21" s="510">
        <v>18</v>
      </c>
      <c r="O21" s="516">
        <f t="shared" si="5"/>
        <v>18</v>
      </c>
    </row>
    <row r="22" spans="1:15" s="52" customFormat="1" ht="47.25">
      <c r="A22" s="47"/>
      <c r="B22" s="554" t="s">
        <v>118</v>
      </c>
      <c r="C22" s="555" t="str">
        <f>'Resumo Preços'!$D$39</f>
        <v>Tubo com flanges, Ø 150mm, L = 2,20m, flange conf. ISO 2531 PN-10, em ferro fundido, para água</v>
      </c>
      <c r="D22" s="279" t="str">
        <f>'Resumo Preços'!$C$39</f>
        <v>HM03577</v>
      </c>
      <c r="E22" s="280" t="str">
        <f>'Resumo Preços'!$F$39</f>
        <v>SABESP</v>
      </c>
      <c r="F22" s="281" t="str">
        <f>'Resumo Preços'!$E$39</f>
        <v>pç</v>
      </c>
      <c r="G22" s="282">
        <v>1</v>
      </c>
      <c r="H22" s="283">
        <f>ROUND('Resumo Preços'!$L$39,2)</f>
        <v>3130.31</v>
      </c>
      <c r="I22" s="119">
        <f t="shared" si="1"/>
        <v>0.16800000000000001</v>
      </c>
      <c r="J22" s="60">
        <f t="shared" si="2"/>
        <v>3656.2</v>
      </c>
      <c r="K22" s="284">
        <f t="shared" si="3"/>
        <v>3656.2</v>
      </c>
      <c r="M22" s="513">
        <f t="shared" si="4"/>
        <v>3130.31</v>
      </c>
      <c r="N22" s="510">
        <f>ROUND((26*2.2)+8+8,2)</f>
        <v>73.2</v>
      </c>
      <c r="O22" s="516">
        <f t="shared" si="5"/>
        <v>73.2</v>
      </c>
    </row>
    <row r="23" spans="1:15" s="52" customFormat="1" ht="78.75">
      <c r="A23" s="47"/>
      <c r="B23" s="554" t="s">
        <v>119</v>
      </c>
      <c r="C23" s="555" t="str">
        <f>'Resumo Preços'!$D$40</f>
        <v>Registro de gaveta Ø 150mm, com flanges, cunha emborrachada, corpo curto e acionamento manual através de cabeçote, flange conf. ISO 2531 PN-10, em ferro fundido, para água</v>
      </c>
      <c r="D23" s="279" t="str">
        <f>'Resumo Preços'!$C$40</f>
        <v>HM07080</v>
      </c>
      <c r="E23" s="280" t="str">
        <f>'Resumo Preços'!$F$40</f>
        <v>SABESP</v>
      </c>
      <c r="F23" s="281" t="str">
        <f>'Resumo Preços'!$E$40</f>
        <v>pç</v>
      </c>
      <c r="G23" s="282">
        <v>1</v>
      </c>
      <c r="H23" s="283">
        <f>ROUND('Resumo Preços'!$L$40,2)</f>
        <v>1260.24</v>
      </c>
      <c r="I23" s="119">
        <f t="shared" si="1"/>
        <v>0.16800000000000001</v>
      </c>
      <c r="J23" s="60">
        <f t="shared" si="2"/>
        <v>1471.96</v>
      </c>
      <c r="K23" s="284">
        <f t="shared" si="3"/>
        <v>1471.96</v>
      </c>
      <c r="M23" s="1"/>
    </row>
    <row r="24" spans="1:15" s="52" customFormat="1">
      <c r="A24" s="47"/>
      <c r="B24" s="554" t="s">
        <v>120</v>
      </c>
      <c r="C24" s="555" t="str">
        <f>'Resumo Preços'!$D$41</f>
        <v>Tubo com pontas, Ø 100mm, em PVC ocre</v>
      </c>
      <c r="D24" s="279">
        <f>'Resumo Preços'!$C$41</f>
        <v>36365</v>
      </c>
      <c r="E24" s="280" t="str">
        <f>'Resumo Preços'!$F$41</f>
        <v>SINAPI</v>
      </c>
      <c r="F24" s="281" t="str">
        <f>'Resumo Preços'!$E$41</f>
        <v>m</v>
      </c>
      <c r="G24" s="282">
        <v>43</v>
      </c>
      <c r="H24" s="283">
        <f>ROUND('Resumo Preços'!$L$41,2)</f>
        <v>43.79</v>
      </c>
      <c r="I24" s="119">
        <f t="shared" si="1"/>
        <v>0.16800000000000001</v>
      </c>
      <c r="J24" s="60">
        <f t="shared" si="2"/>
        <v>51.15</v>
      </c>
      <c r="K24" s="284">
        <f t="shared" si="3"/>
        <v>2199.4499999999998</v>
      </c>
      <c r="M24" s="549"/>
    </row>
    <row r="25" spans="1:15" s="52" customFormat="1">
      <c r="A25" s="47"/>
      <c r="B25" s="554" t="s">
        <v>121</v>
      </c>
      <c r="C25" s="555" t="str">
        <f>'Resumo Preços'!$D$42</f>
        <v>Flange avulso soldável Ø 100mm, em PVC</v>
      </c>
      <c r="D25" s="279" t="str">
        <f>'Resumo Preços'!$C$42</f>
        <v>PVC-01</v>
      </c>
      <c r="E25" s="280" t="s">
        <v>227</v>
      </c>
      <c r="F25" s="281" t="str">
        <f>'Resumo Preços'!$E$42</f>
        <v>pç</v>
      </c>
      <c r="G25" s="282">
        <v>1</v>
      </c>
      <c r="H25" s="283">
        <f>ROUND('Resumo Preços'!$L$42,2)</f>
        <v>124.66</v>
      </c>
      <c r="I25" s="119">
        <f t="shared" si="1"/>
        <v>0.16800000000000001</v>
      </c>
      <c r="J25" s="60">
        <f t="shared" si="2"/>
        <v>145.6</v>
      </c>
      <c r="K25" s="284">
        <f t="shared" si="3"/>
        <v>145.6</v>
      </c>
      <c r="M25" s="549"/>
    </row>
    <row r="26" spans="1:15" s="52" customFormat="1" ht="47.25">
      <c r="A26" s="47"/>
      <c r="B26" s="554" t="s">
        <v>145</v>
      </c>
      <c r="C26" s="555" t="str">
        <f>'Resumo Preços'!$D$43</f>
        <v>Válvula tipo flap com flanges, Ø 100mm, flange conf. ISO 2531 PN-10, em ferro fundido, para água</v>
      </c>
      <c r="D26" s="279" t="str">
        <f>'Resumo Preços'!$C$43</f>
        <v>VALV-02</v>
      </c>
      <c r="E26" s="280" t="s">
        <v>227</v>
      </c>
      <c r="F26" s="281" t="str">
        <f>'Resumo Preços'!$E$43</f>
        <v>pç</v>
      </c>
      <c r="G26" s="282">
        <v>1</v>
      </c>
      <c r="H26" s="283">
        <f>ROUND('Resumo Preços'!$L$43,2)</f>
        <v>3800</v>
      </c>
      <c r="I26" s="119">
        <f t="shared" si="1"/>
        <v>0.16800000000000001</v>
      </c>
      <c r="J26" s="60">
        <f t="shared" si="2"/>
        <v>4438.3999999999996</v>
      </c>
      <c r="K26" s="284">
        <f t="shared" si="3"/>
        <v>4438.3999999999996</v>
      </c>
      <c r="M26" s="1"/>
    </row>
    <row r="27" spans="1:15" s="52" customFormat="1" ht="31.5">
      <c r="A27" s="47"/>
      <c r="B27" s="554" t="s">
        <v>212</v>
      </c>
      <c r="C27" s="555" t="str">
        <f>'Resumo Preços'!$D$44</f>
        <v>Acessórios para montagem de flanges Ø 500mm, flange conf. ISO 2531 PN-10</v>
      </c>
      <c r="D27" s="279" t="str">
        <f>'Resumo Preços'!$C$44</f>
        <v>HM01301</v>
      </c>
      <c r="E27" s="280" t="str">
        <f>'Resumo Preços'!$F$44</f>
        <v>SABESP</v>
      </c>
      <c r="F27" s="281" t="str">
        <f>'Resumo Preços'!$E$44</f>
        <v>cj</v>
      </c>
      <c r="G27" s="282">
        <v>6</v>
      </c>
      <c r="H27" s="283">
        <f>ROUND('Resumo Preços'!$L$44,2)</f>
        <v>730.6</v>
      </c>
      <c r="I27" s="119">
        <f t="shared" si="1"/>
        <v>0.16800000000000001</v>
      </c>
      <c r="J27" s="60">
        <f t="shared" si="2"/>
        <v>853.34</v>
      </c>
      <c r="K27" s="284">
        <f t="shared" si="3"/>
        <v>5120.04</v>
      </c>
      <c r="M27" s="513">
        <f>ROUND(G27*H27,2)</f>
        <v>4383.6000000000004</v>
      </c>
      <c r="N27" s="510">
        <f>ROUND((1*1.235)+(1*11),2)</f>
        <v>12.24</v>
      </c>
      <c r="O27" s="516">
        <f>ROUND(G27*N27,2)</f>
        <v>73.44</v>
      </c>
    </row>
    <row r="28" spans="1:15" s="52" customFormat="1" ht="31.5">
      <c r="A28" s="47"/>
      <c r="B28" s="554" t="s">
        <v>213</v>
      </c>
      <c r="C28" s="555" t="str">
        <f>'Resumo Preços'!$D$45</f>
        <v>Acessórios para montagem de flanges Ø 150mm, flange conf. ISO 2531 PN-10</v>
      </c>
      <c r="D28" s="279" t="str">
        <f>'Resumo Preços'!$C$45</f>
        <v>HM01293</v>
      </c>
      <c r="E28" s="280" t="str">
        <f>'Resumo Preços'!$F$45</f>
        <v>SABESP</v>
      </c>
      <c r="F28" s="281" t="str">
        <f>'Resumo Preços'!$E$45</f>
        <v>cj</v>
      </c>
      <c r="G28" s="282">
        <v>4</v>
      </c>
      <c r="H28" s="283">
        <f>ROUND('Resumo Preços'!$L$45,2)</f>
        <v>184.08</v>
      </c>
      <c r="I28" s="119">
        <f t="shared" si="1"/>
        <v>0.16800000000000001</v>
      </c>
      <c r="J28" s="60">
        <f t="shared" si="2"/>
        <v>215.01</v>
      </c>
      <c r="K28" s="284">
        <f t="shared" si="3"/>
        <v>860.04</v>
      </c>
      <c r="M28" s="513">
        <f>ROUND(G28*H28,2)</f>
        <v>736.32</v>
      </c>
      <c r="N28" s="510">
        <f>ROUND((1*0.203)+(1*2.7),2)</f>
        <v>2.9</v>
      </c>
      <c r="O28" s="516">
        <f>ROUND(G28*N28,2)</f>
        <v>11.6</v>
      </c>
    </row>
    <row r="29" spans="1:15" s="52" customFormat="1" ht="31.5">
      <c r="A29" s="47"/>
      <c r="B29" s="554" t="s">
        <v>214</v>
      </c>
      <c r="C29" s="555" t="str">
        <f>'Resumo Preços'!$D$46</f>
        <v>Acessórios para montagem de flanges Ø 100mm, flange conf. ISO 2531 PN-10</v>
      </c>
      <c r="D29" s="279" t="str">
        <f>'Resumo Preços'!$C$46</f>
        <v>HM01292</v>
      </c>
      <c r="E29" s="280" t="str">
        <f>'Resumo Preços'!$F$46</f>
        <v>SABESP</v>
      </c>
      <c r="F29" s="281" t="str">
        <f>'Resumo Preços'!$E$46</f>
        <v>cj</v>
      </c>
      <c r="G29" s="282">
        <v>1</v>
      </c>
      <c r="H29" s="283">
        <f>ROUND('Resumo Preços'!$L$46,2)</f>
        <v>115.92</v>
      </c>
      <c r="I29" s="119">
        <f t="shared" si="1"/>
        <v>0.16800000000000001</v>
      </c>
      <c r="J29" s="60">
        <f t="shared" si="2"/>
        <v>135.38999999999999</v>
      </c>
      <c r="K29" s="284">
        <f t="shared" si="3"/>
        <v>135.38999999999999</v>
      </c>
      <c r="M29" s="513">
        <f>ROUND(G29*H29,2)</f>
        <v>115.92</v>
      </c>
      <c r="N29" s="510">
        <f>ROUND((1*0.143)+(1*1.4),2)</f>
        <v>1.54</v>
      </c>
      <c r="O29" s="516">
        <f>ROUND(G29*N29,2)</f>
        <v>1.54</v>
      </c>
    </row>
    <row r="30" spans="1:15" s="52" customFormat="1" ht="31.5">
      <c r="A30" s="47"/>
      <c r="B30" s="554" t="s">
        <v>215</v>
      </c>
      <c r="C30" s="555" t="str">
        <f>'SUP-02'!$C$8</f>
        <v>Suporte para tubulação de reservatório Ø 500mm - FºFº - Tipo 2</v>
      </c>
      <c r="D30" s="279" t="str">
        <f>'SUP-02'!$C$7</f>
        <v>SUP-02</v>
      </c>
      <c r="E30" s="280" t="str">
        <f>'SUP-02'!$C$6</f>
        <v>COMP.</v>
      </c>
      <c r="F30" s="281" t="str">
        <f>'SUP-02'!$C$10</f>
        <v>cj</v>
      </c>
      <c r="G30" s="282">
        <v>6</v>
      </c>
      <c r="H30" s="283">
        <f>ROUND('SUP-02'!$H$24,2)</f>
        <v>425.9</v>
      </c>
      <c r="I30" s="119">
        <f t="shared" si="1"/>
        <v>0.16800000000000001</v>
      </c>
      <c r="J30" s="60">
        <f t="shared" si="2"/>
        <v>497.45</v>
      </c>
      <c r="K30" s="284">
        <f t="shared" si="3"/>
        <v>2984.7</v>
      </c>
      <c r="M30" s="1"/>
    </row>
    <row r="31" spans="1:15" s="52" customFormat="1" ht="31.5">
      <c r="A31" s="47"/>
      <c r="B31" s="554" t="s">
        <v>216</v>
      </c>
      <c r="C31" s="555" t="str">
        <f>'Resumo Preços'!$D$47</f>
        <v>Grade de fibra de vidro com barras de H = 38 mm, espaçamento 32 mm</v>
      </c>
      <c r="D31" s="279">
        <f>'Resumo Preços'!$C$47</f>
        <v>70110172</v>
      </c>
      <c r="E31" s="280" t="str">
        <f>'Resumo Preços'!$F$47</f>
        <v>SABESP</v>
      </c>
      <c r="F31" s="281" t="str">
        <f>'Resumo Preços'!$E$47</f>
        <v>m²</v>
      </c>
      <c r="G31" s="282">
        <f>ROUND(1.3*1.3*1,2)</f>
        <v>1.69</v>
      </c>
      <c r="H31" s="283">
        <f>ROUND('Resumo Preços'!$L$47,2)</f>
        <v>1645.02</v>
      </c>
      <c r="I31" s="119">
        <f t="shared" si="1"/>
        <v>0.16800000000000001</v>
      </c>
      <c r="J31" s="60">
        <f t="shared" si="2"/>
        <v>1921.38</v>
      </c>
      <c r="K31" s="284">
        <f t="shared" si="3"/>
        <v>3247.13</v>
      </c>
      <c r="M31" s="1"/>
    </row>
    <row r="32" spans="1:15" s="65" customFormat="1">
      <c r="B32" s="69"/>
      <c r="C32" s="58"/>
      <c r="D32" s="118"/>
      <c r="E32" s="118"/>
      <c r="F32" s="59"/>
      <c r="G32" s="66"/>
      <c r="H32" s="67"/>
      <c r="I32" s="119"/>
      <c r="J32" s="60">
        <f t="shared" si="2"/>
        <v>0</v>
      </c>
      <c r="K32" s="120"/>
    </row>
    <row r="33" spans="2:17" s="65" customFormat="1">
      <c r="B33" s="69"/>
      <c r="C33" s="63" t="s">
        <v>36</v>
      </c>
      <c r="D33" s="122"/>
      <c r="E33" s="74"/>
      <c r="F33" s="75"/>
      <c r="G33" s="70"/>
      <c r="H33" s="71"/>
      <c r="I33" s="119"/>
      <c r="J33" s="60">
        <f t="shared" si="2"/>
        <v>0</v>
      </c>
      <c r="K33" s="123">
        <f>SUM(K15:K32)</f>
        <v>131077.08999999997</v>
      </c>
      <c r="L33" s="68"/>
      <c r="M33" s="514">
        <f>SUM(M15:M32)</f>
        <v>99820.070000000022</v>
      </c>
      <c r="N33" s="515">
        <f>ROUND(M33*0.2,2)</f>
        <v>19964.009999999998</v>
      </c>
      <c r="O33" s="520">
        <f>SUM(O15:O32)</f>
        <v>2933.85</v>
      </c>
      <c r="P33" s="521" t="s">
        <v>694</v>
      </c>
      <c r="Q33" s="522"/>
    </row>
    <row r="34" spans="2:17" s="65" customFormat="1">
      <c r="B34" s="69"/>
      <c r="C34" s="63"/>
      <c r="D34" s="122"/>
      <c r="E34" s="74"/>
      <c r="F34" s="75"/>
      <c r="G34" s="70"/>
      <c r="H34" s="71"/>
      <c r="I34" s="119"/>
      <c r="J34" s="60"/>
      <c r="K34" s="123"/>
      <c r="L34" s="68"/>
      <c r="M34" s="211"/>
    </row>
    <row r="35" spans="2:17" s="47" customFormat="1">
      <c r="B35" s="72"/>
      <c r="C35" s="127"/>
      <c r="D35" s="124"/>
      <c r="E35" s="124"/>
      <c r="F35" s="124"/>
      <c r="G35" s="59"/>
      <c r="H35" s="60"/>
      <c r="I35" s="120"/>
      <c r="J35" s="125"/>
      <c r="K35" s="126"/>
    </row>
    <row r="36" spans="2:17" s="47" customFormat="1">
      <c r="B36" s="62"/>
      <c r="C36" s="64" t="s">
        <v>34</v>
      </c>
      <c r="D36" s="130"/>
      <c r="E36" s="130"/>
      <c r="F36" s="76"/>
      <c r="G36" s="57"/>
      <c r="H36" s="602"/>
      <c r="I36" s="77"/>
      <c r="J36" s="77"/>
      <c r="K36" s="78">
        <f>SUM(K14:K35)/2</f>
        <v>131077.08999999997</v>
      </c>
    </row>
    <row r="37" spans="2:17" s="47" customFormat="1">
      <c r="B37" s="112"/>
      <c r="C37" s="131"/>
      <c r="D37" s="132"/>
      <c r="E37" s="132"/>
      <c r="F37" s="133"/>
      <c r="G37" s="115"/>
      <c r="H37" s="134"/>
      <c r="I37" s="134"/>
      <c r="J37" s="134"/>
      <c r="K37" s="116"/>
    </row>
  </sheetData>
  <mergeCells count="14">
    <mergeCell ref="C6:G6"/>
    <mergeCell ref="H6:J6"/>
    <mergeCell ref="C7:G7"/>
    <mergeCell ref="H7:J7"/>
    <mergeCell ref="B2:B3"/>
    <mergeCell ref="C2:G2"/>
    <mergeCell ref="H2:K2"/>
    <mergeCell ref="C3:G3"/>
    <mergeCell ref="H3:J3"/>
    <mergeCell ref="B4:B7"/>
    <mergeCell ref="C4:G4"/>
    <mergeCell ref="H4:J4"/>
    <mergeCell ref="C5:G5"/>
    <mergeCell ref="H5:K5"/>
  </mergeCells>
  <printOptions horizontalCentered="1"/>
  <pageMargins left="0.59055118110236227" right="0.51181102362204722" top="0.98425196850393704" bottom="0.78740157480314965" header="0.39370078740157483" footer="0.39370078740157483"/>
  <pageSetup paperSize="9" scale="65" firstPageNumber="4" orientation="portrait" r:id="rId1"/>
  <headerFooter scaleWithDoc="0">
    <oddHeader>&amp;L&amp;"Arial,Itálico"&amp;10Rev-1&amp;R&amp;G</oddHeader>
    <oddFooter>&amp;L&amp;"Arial,Negrito"&amp;10CTR 477F&amp;C&amp;"Arial,Negrito"&amp;10 2.&amp;P</oddFooter>
  </headerFooter>
  <rowBreaks count="1" manualBreakCount="1">
    <brk id="13" max="16383" man="1"/>
  </rowBreaks>
  <ignoredErrors>
    <ignoredError sqref="N33" formula="1"/>
  </ignoredErrors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2:S86"/>
  <sheetViews>
    <sheetView showGridLines="0" showZeros="0" zoomScaleNormal="100" zoomScaleSheetLayoutView="100" workbookViewId="0">
      <selection activeCell="B4" sqref="B4:W5"/>
    </sheetView>
  </sheetViews>
  <sheetFormatPr defaultColWidth="9.140625" defaultRowHeight="15.75"/>
  <cols>
    <col min="1" max="1" width="3.7109375" style="46" customWidth="1"/>
    <col min="2" max="2" width="8.7109375" style="79" customWidth="1"/>
    <col min="3" max="3" width="43.7109375" style="80" customWidth="1"/>
    <col min="4" max="5" width="9.85546875" style="80" customWidth="1"/>
    <col min="6" max="6" width="7.140625" style="81" customWidth="1"/>
    <col min="7" max="7" width="10.5703125" style="82" customWidth="1"/>
    <col min="8" max="8" width="12.7109375" style="81" customWidth="1"/>
    <col min="9" max="9" width="9.140625" style="81" customWidth="1"/>
    <col min="10" max="10" width="12.7109375" style="81" customWidth="1"/>
    <col min="11" max="11" width="15.85546875" style="81" customWidth="1"/>
    <col min="12" max="12" width="10.5703125" style="46" bestFit="1" customWidth="1"/>
    <col min="13" max="13" width="9.5703125" style="46" bestFit="1" customWidth="1"/>
    <col min="14" max="14" width="10.140625" style="46" bestFit="1" customWidth="1"/>
    <col min="15" max="15" width="9.28515625" style="46" bestFit="1" customWidth="1"/>
    <col min="16" max="16384" width="9.140625" style="46"/>
  </cols>
  <sheetData>
    <row r="2" spans="1:19" s="47" customFormat="1" ht="18" customHeight="1">
      <c r="A2" s="1"/>
      <c r="B2" s="741" t="s">
        <v>46</v>
      </c>
      <c r="C2" s="742" t="s">
        <v>47</v>
      </c>
      <c r="D2" s="743"/>
      <c r="E2" s="743"/>
      <c r="F2" s="743"/>
      <c r="G2" s="744"/>
      <c r="H2" s="745" t="s">
        <v>48</v>
      </c>
      <c r="I2" s="746"/>
      <c r="J2" s="746"/>
      <c r="K2" s="747"/>
    </row>
    <row r="3" spans="1:19" s="47" customFormat="1" ht="18" customHeight="1">
      <c r="A3" s="1"/>
      <c r="B3" s="721"/>
      <c r="C3" s="748" t="s">
        <v>49</v>
      </c>
      <c r="D3" s="749"/>
      <c r="E3" s="749"/>
      <c r="F3" s="749"/>
      <c r="G3" s="750"/>
      <c r="H3" s="726" t="s">
        <v>50</v>
      </c>
      <c r="I3" s="727"/>
      <c r="J3" s="727"/>
      <c r="K3" s="562" t="s">
        <v>908</v>
      </c>
    </row>
    <row r="4" spans="1:19" s="47" customFormat="1" ht="18" customHeight="1">
      <c r="A4" s="1"/>
      <c r="B4" s="721" t="s">
        <v>30</v>
      </c>
      <c r="C4" s="723" t="s">
        <v>901</v>
      </c>
      <c r="D4" s="724"/>
      <c r="E4" s="724"/>
      <c r="F4" s="724"/>
      <c r="G4" s="725"/>
      <c r="H4" s="726" t="s">
        <v>51</v>
      </c>
      <c r="I4" s="727"/>
      <c r="J4" s="727"/>
      <c r="K4" s="562" t="s">
        <v>908</v>
      </c>
      <c r="M4" s="52"/>
      <c r="N4" s="52"/>
      <c r="O4" s="52"/>
      <c r="P4" s="52"/>
      <c r="Q4" s="52"/>
      <c r="R4" s="52"/>
      <c r="S4" s="52"/>
    </row>
    <row r="5" spans="1:19" s="47" customFormat="1" ht="18" customHeight="1">
      <c r="A5" s="1"/>
      <c r="B5" s="721"/>
      <c r="C5" s="723" t="s">
        <v>122</v>
      </c>
      <c r="D5" s="728"/>
      <c r="E5" s="728"/>
      <c r="F5" s="728"/>
      <c r="G5" s="729"/>
      <c r="H5" s="730" t="s">
        <v>65</v>
      </c>
      <c r="I5" s="731"/>
      <c r="J5" s="731"/>
      <c r="K5" s="732"/>
      <c r="M5" s="52"/>
      <c r="N5" s="52"/>
      <c r="O5" s="52"/>
      <c r="P5" s="52"/>
      <c r="Q5" s="52"/>
      <c r="R5" s="52"/>
      <c r="S5" s="52"/>
    </row>
    <row r="6" spans="1:19" s="47" customFormat="1" ht="18" customHeight="1">
      <c r="A6" s="1"/>
      <c r="B6" s="721"/>
      <c r="C6" s="723" t="s">
        <v>753</v>
      </c>
      <c r="D6" s="728"/>
      <c r="E6" s="728"/>
      <c r="F6" s="728"/>
      <c r="G6" s="729"/>
      <c r="H6" s="726" t="s">
        <v>52</v>
      </c>
      <c r="I6" s="727"/>
      <c r="J6" s="727"/>
      <c r="K6" s="563">
        <v>0.26979999999999998</v>
      </c>
      <c r="L6" s="47">
        <v>0</v>
      </c>
      <c r="M6" s="52"/>
      <c r="N6" s="52"/>
      <c r="O6" s="52"/>
      <c r="P6" s="52"/>
      <c r="Q6" s="52"/>
      <c r="R6" s="52"/>
      <c r="S6" s="52"/>
    </row>
    <row r="7" spans="1:19" s="47" customFormat="1" ht="18" customHeight="1">
      <c r="A7" s="1"/>
      <c r="B7" s="722"/>
      <c r="C7" s="767" t="s">
        <v>3</v>
      </c>
      <c r="D7" s="768"/>
      <c r="E7" s="768"/>
      <c r="F7" s="768"/>
      <c r="G7" s="769"/>
      <c r="H7" s="739" t="s">
        <v>53</v>
      </c>
      <c r="I7" s="740"/>
      <c r="J7" s="740"/>
      <c r="K7" s="564">
        <v>0.16800000000000001</v>
      </c>
      <c r="M7" s="52"/>
      <c r="N7" s="52"/>
      <c r="O7" s="52"/>
      <c r="P7" s="52"/>
      <c r="Q7" s="52"/>
      <c r="R7" s="52"/>
      <c r="S7" s="52"/>
    </row>
    <row r="8" spans="1:19" s="47" customFormat="1" ht="47.25" customHeight="1">
      <c r="A8" s="1"/>
      <c r="B8" s="592" t="s">
        <v>25</v>
      </c>
      <c r="C8" s="565" t="s">
        <v>31</v>
      </c>
      <c r="D8" s="566" t="s">
        <v>26</v>
      </c>
      <c r="E8" s="566" t="s">
        <v>54</v>
      </c>
      <c r="F8" s="565" t="s">
        <v>28</v>
      </c>
      <c r="G8" s="567" t="s">
        <v>27</v>
      </c>
      <c r="H8" s="565" t="s">
        <v>55</v>
      </c>
      <c r="I8" s="565" t="s">
        <v>56</v>
      </c>
      <c r="J8" s="565" t="s">
        <v>32</v>
      </c>
      <c r="K8" s="565" t="s">
        <v>33</v>
      </c>
      <c r="M8" s="52"/>
      <c r="N8" s="52"/>
      <c r="O8" s="52"/>
      <c r="P8" s="52"/>
      <c r="Q8" s="52"/>
      <c r="R8" s="52"/>
      <c r="S8" s="52"/>
    </row>
    <row r="9" spans="1:19" s="52" customFormat="1">
      <c r="A9" s="47"/>
      <c r="B9" s="48"/>
      <c r="C9" s="84"/>
      <c r="D9" s="49"/>
      <c r="E9" s="49"/>
      <c r="F9" s="50"/>
      <c r="G9" s="51"/>
      <c r="H9" s="50"/>
      <c r="I9" s="50"/>
      <c r="J9" s="50"/>
      <c r="K9" s="107"/>
      <c r="L9" s="139"/>
    </row>
    <row r="10" spans="1:19" s="52" customFormat="1">
      <c r="A10" s="47"/>
      <c r="B10" s="108">
        <f>B26</f>
        <v>1</v>
      </c>
      <c r="C10" s="109" t="str">
        <f>UPPER(C26)</f>
        <v>SERVIÇOS TÉCNICOS</v>
      </c>
      <c r="D10" s="83"/>
      <c r="E10" s="83"/>
      <c r="F10" s="54"/>
      <c r="G10" s="55"/>
      <c r="H10" s="54"/>
      <c r="I10" s="54"/>
      <c r="J10" s="54"/>
      <c r="K10" s="110">
        <f>K30</f>
        <v>457.62</v>
      </c>
      <c r="L10" s="139"/>
    </row>
    <row r="11" spans="1:19" s="52" customFormat="1">
      <c r="A11" s="47"/>
      <c r="B11" s="53"/>
      <c r="C11" s="83"/>
      <c r="D11" s="83"/>
      <c r="E11" s="83"/>
      <c r="F11" s="54"/>
      <c r="G11" s="55"/>
      <c r="H11" s="54"/>
      <c r="I11" s="54"/>
      <c r="J11" s="54"/>
      <c r="K11" s="111"/>
      <c r="L11" s="139"/>
    </row>
    <row r="12" spans="1:19" s="52" customFormat="1">
      <c r="A12" s="47"/>
      <c r="B12" s="552">
        <f>B32</f>
        <v>2</v>
      </c>
      <c r="C12" s="553" t="str">
        <f>UPPER(C32)</f>
        <v>SERVIÇOS PRELIMINARES</v>
      </c>
      <c r="D12" s="83"/>
      <c r="E12" s="83"/>
      <c r="F12" s="54"/>
      <c r="G12" s="55"/>
      <c r="H12" s="54"/>
      <c r="I12" s="54"/>
      <c r="J12" s="54"/>
      <c r="K12" s="110">
        <f>K36</f>
        <v>981.86</v>
      </c>
      <c r="L12" s="139"/>
    </row>
    <row r="13" spans="1:19" s="52" customFormat="1">
      <c r="A13" s="47"/>
      <c r="B13" s="53"/>
      <c r="C13" s="83"/>
      <c r="D13" s="83"/>
      <c r="E13" s="83"/>
      <c r="F13" s="54"/>
      <c r="G13" s="55"/>
      <c r="H13" s="54"/>
      <c r="I13" s="54"/>
      <c r="J13" s="54"/>
      <c r="K13" s="111"/>
      <c r="L13" s="139"/>
    </row>
    <row r="14" spans="1:19" s="52" customFormat="1">
      <c r="A14" s="47"/>
      <c r="B14" s="552">
        <f>B38</f>
        <v>3</v>
      </c>
      <c r="C14" s="553" t="str">
        <f>UPPER(C38)</f>
        <v>MOVIMENTO DE TERRA</v>
      </c>
      <c r="D14" s="83"/>
      <c r="E14" s="83"/>
      <c r="F14" s="54"/>
      <c r="G14" s="55"/>
      <c r="H14" s="54"/>
      <c r="I14" s="54"/>
      <c r="J14" s="54"/>
      <c r="K14" s="110">
        <f>K50</f>
        <v>9928.489999999998</v>
      </c>
      <c r="L14" s="139"/>
    </row>
    <row r="15" spans="1:19" s="52" customFormat="1">
      <c r="A15" s="47"/>
      <c r="B15" s="53"/>
      <c r="C15" s="83"/>
      <c r="D15" s="83"/>
      <c r="E15" s="83"/>
      <c r="F15" s="54"/>
      <c r="G15" s="55"/>
      <c r="H15" s="54"/>
      <c r="I15" s="54"/>
      <c r="J15" s="54"/>
      <c r="K15" s="111"/>
      <c r="L15" s="139"/>
    </row>
    <row r="16" spans="1:19" s="52" customFormat="1">
      <c r="A16" s="47"/>
      <c r="B16" s="552">
        <f>B52</f>
        <v>4</v>
      </c>
      <c r="C16" s="553" t="str">
        <f>UPPER(C52)</f>
        <v>ESCORAMENTOS</v>
      </c>
      <c r="D16" s="83"/>
      <c r="E16" s="83"/>
      <c r="F16" s="54"/>
      <c r="G16" s="55"/>
      <c r="H16" s="54"/>
      <c r="I16" s="54"/>
      <c r="J16" s="54"/>
      <c r="K16" s="110">
        <f>K55</f>
        <v>2553.2800000000002</v>
      </c>
      <c r="L16" s="139"/>
    </row>
    <row r="17" spans="1:16" s="52" customFormat="1">
      <c r="A17" s="47"/>
      <c r="B17" s="53"/>
      <c r="C17" s="83"/>
      <c r="D17" s="83"/>
      <c r="E17" s="83"/>
      <c r="F17" s="54"/>
      <c r="G17" s="55"/>
      <c r="H17" s="54"/>
      <c r="I17" s="54"/>
      <c r="J17" s="54"/>
      <c r="K17" s="111"/>
      <c r="L17" s="139"/>
    </row>
    <row r="18" spans="1:16" s="52" customFormat="1">
      <c r="A18" s="47"/>
      <c r="B18" s="552">
        <f>B57</f>
        <v>5</v>
      </c>
      <c r="C18" s="553" t="str">
        <f>UPPER(C57)</f>
        <v>ACESSÓRIOS</v>
      </c>
      <c r="D18" s="83"/>
      <c r="E18" s="83"/>
      <c r="F18" s="54"/>
      <c r="G18" s="55"/>
      <c r="H18" s="54"/>
      <c r="I18" s="54"/>
      <c r="J18" s="54"/>
      <c r="K18" s="110">
        <f>K64</f>
        <v>3433.48</v>
      </c>
      <c r="L18" s="139"/>
    </row>
    <row r="19" spans="1:16" s="52" customFormat="1">
      <c r="A19" s="47"/>
      <c r="B19" s="53"/>
      <c r="C19" s="83"/>
      <c r="D19" s="83"/>
      <c r="E19" s="83"/>
      <c r="F19" s="54"/>
      <c r="G19" s="55"/>
      <c r="H19" s="54"/>
      <c r="I19" s="54"/>
      <c r="J19" s="54"/>
      <c r="K19" s="111"/>
      <c r="L19" s="139"/>
    </row>
    <row r="20" spans="1:16" s="52" customFormat="1" ht="31.5">
      <c r="A20" s="47"/>
      <c r="B20" s="552">
        <f>B66</f>
        <v>6</v>
      </c>
      <c r="C20" s="553" t="str">
        <f>UPPER(C66)</f>
        <v>ASSENTAMENTO E MONTAGEM DE TUBOS E PEÇAS</v>
      </c>
      <c r="D20" s="83"/>
      <c r="E20" s="83"/>
      <c r="F20" s="54"/>
      <c r="G20" s="55"/>
      <c r="H20" s="54"/>
      <c r="I20" s="54"/>
      <c r="J20" s="54"/>
      <c r="K20" s="110">
        <f>K77</f>
        <v>14264.29</v>
      </c>
      <c r="L20" s="139"/>
    </row>
    <row r="21" spans="1:16" s="52" customFormat="1">
      <c r="A21" s="47"/>
      <c r="B21" s="53"/>
      <c r="C21" s="83"/>
      <c r="D21" s="83"/>
      <c r="E21" s="83"/>
      <c r="F21" s="54"/>
      <c r="G21" s="55"/>
      <c r="H21" s="54"/>
      <c r="I21" s="54"/>
      <c r="J21" s="54"/>
      <c r="K21" s="111"/>
      <c r="L21" s="139"/>
    </row>
    <row r="22" spans="1:16" s="52" customFormat="1">
      <c r="A22" s="47"/>
      <c r="B22" s="552">
        <f>B79</f>
        <v>7</v>
      </c>
      <c r="C22" s="553" t="str">
        <f>UPPER(C79)</f>
        <v>SERVIÇOS DIVERSOS</v>
      </c>
      <c r="D22" s="83"/>
      <c r="E22" s="83"/>
      <c r="F22" s="54"/>
      <c r="G22" s="55"/>
      <c r="H22" s="54"/>
      <c r="I22" s="54"/>
      <c r="J22" s="54"/>
      <c r="K22" s="110">
        <f>K82</f>
        <v>1095.97</v>
      </c>
      <c r="L22" s="139"/>
    </row>
    <row r="23" spans="1:16" s="52" customFormat="1">
      <c r="A23" s="47"/>
      <c r="B23" s="53"/>
      <c r="C23" s="83"/>
      <c r="D23" s="83"/>
      <c r="E23" s="83"/>
      <c r="F23" s="54"/>
      <c r="G23" s="55"/>
      <c r="H23" s="54"/>
      <c r="I23" s="54"/>
      <c r="J23" s="54"/>
      <c r="K23" s="111"/>
      <c r="L23" s="139"/>
    </row>
    <row r="24" spans="1:16" s="52" customFormat="1">
      <c r="A24" s="47"/>
      <c r="B24" s="277"/>
      <c r="C24" s="85" t="s">
        <v>34</v>
      </c>
      <c r="D24" s="85"/>
      <c r="E24" s="85"/>
      <c r="F24" s="85"/>
      <c r="G24" s="86"/>
      <c r="H24" s="85"/>
      <c r="I24" s="85"/>
      <c r="J24" s="85"/>
      <c r="K24" s="90">
        <f>SUM(K9:K23)</f>
        <v>32714.99</v>
      </c>
      <c r="L24" s="299"/>
      <c r="M24" s="300"/>
    </row>
    <row r="25" spans="1:16" s="52" customFormat="1">
      <c r="A25" s="47"/>
      <c r="B25" s="112"/>
      <c r="C25" s="113"/>
      <c r="D25" s="113"/>
      <c r="E25" s="113"/>
      <c r="F25" s="114"/>
      <c r="G25" s="115"/>
      <c r="H25" s="116"/>
      <c r="I25" s="116"/>
      <c r="J25" s="116"/>
      <c r="K25" s="117"/>
    </row>
    <row r="26" spans="1:16" s="65" customFormat="1">
      <c r="B26" s="87">
        <v>1</v>
      </c>
      <c r="C26" s="88" t="s">
        <v>433</v>
      </c>
      <c r="D26" s="118"/>
      <c r="E26" s="118"/>
      <c r="F26" s="59"/>
      <c r="G26" s="66"/>
      <c r="H26" s="67"/>
      <c r="I26" s="119"/>
      <c r="J26" s="60">
        <f t="shared" ref="J26:J31" si="0">ROUND(H26*(I26+1),2)</f>
        <v>0</v>
      </c>
      <c r="K26" s="120"/>
    </row>
    <row r="27" spans="1:16" s="287" customFormat="1" ht="31.5">
      <c r="B27" s="72" t="s">
        <v>35</v>
      </c>
      <c r="C27" s="58" t="s">
        <v>434</v>
      </c>
      <c r="D27" s="91">
        <v>70010003</v>
      </c>
      <c r="E27" s="118" t="s">
        <v>5</v>
      </c>
      <c r="F27" s="59" t="s">
        <v>4</v>
      </c>
      <c r="G27" s="89">
        <f>ROUND('Q-Saída'!$P$13,2)</f>
        <v>58</v>
      </c>
      <c r="H27" s="60">
        <f>1.74/1.28</f>
        <v>1.359375</v>
      </c>
      <c r="I27" s="119">
        <f>$K$6</f>
        <v>0.26979999999999998</v>
      </c>
      <c r="J27" s="60">
        <f t="shared" si="0"/>
        <v>1.73</v>
      </c>
      <c r="K27" s="120">
        <f>ROUND(J27*G27,2)</f>
        <v>100.34</v>
      </c>
      <c r="M27" s="301"/>
      <c r="N27" s="301"/>
      <c r="O27" s="301"/>
      <c r="P27" s="301"/>
    </row>
    <row r="28" spans="1:16" s="287" customFormat="1" ht="31.5">
      <c r="B28" s="72" t="s">
        <v>75</v>
      </c>
      <c r="C28" s="58" t="s">
        <v>435</v>
      </c>
      <c r="D28" s="91">
        <v>70010006</v>
      </c>
      <c r="E28" s="118" t="s">
        <v>5</v>
      </c>
      <c r="F28" s="59" t="s">
        <v>4</v>
      </c>
      <c r="G28" s="89">
        <f>ROUND('Q-Saída'!$P$13,2)</f>
        <v>58</v>
      </c>
      <c r="H28" s="60">
        <f>6.21/1.28</f>
        <v>4.8515625</v>
      </c>
      <c r="I28" s="119">
        <f>$K$6</f>
        <v>0.26979999999999998</v>
      </c>
      <c r="J28" s="60">
        <f t="shared" si="0"/>
        <v>6.16</v>
      </c>
      <c r="K28" s="120">
        <f>ROUND(J28*G28,2)</f>
        <v>357.28</v>
      </c>
      <c r="M28" s="301"/>
      <c r="N28" s="301"/>
      <c r="O28" s="301"/>
      <c r="P28" s="301"/>
    </row>
    <row r="29" spans="1:16" s="65" customFormat="1">
      <c r="B29" s="69"/>
      <c r="C29" s="58"/>
      <c r="D29" s="118"/>
      <c r="E29" s="118"/>
      <c r="F29" s="59"/>
      <c r="G29" s="66"/>
      <c r="H29" s="67"/>
      <c r="I29" s="119"/>
      <c r="J29" s="60">
        <f t="shared" si="0"/>
        <v>0</v>
      </c>
      <c r="K29" s="120">
        <f>ROUND(J29*G29,2)</f>
        <v>0</v>
      </c>
    </row>
    <row r="30" spans="1:16" s="65" customFormat="1">
      <c r="B30" s="69"/>
      <c r="C30" s="63" t="s">
        <v>36</v>
      </c>
      <c r="D30" s="122"/>
      <c r="E30" s="74"/>
      <c r="F30" s="75"/>
      <c r="G30" s="70"/>
      <c r="H30" s="71"/>
      <c r="I30" s="119"/>
      <c r="J30" s="60">
        <f t="shared" si="0"/>
        <v>0</v>
      </c>
      <c r="K30" s="123">
        <f>SUM(K27:K29)</f>
        <v>457.62</v>
      </c>
      <c r="L30" s="68"/>
    </row>
    <row r="31" spans="1:16" s="65" customFormat="1">
      <c r="B31" s="69"/>
      <c r="C31" s="74"/>
      <c r="D31" s="302"/>
      <c r="E31" s="302"/>
      <c r="F31" s="59"/>
      <c r="G31" s="66"/>
      <c r="H31" s="67"/>
      <c r="I31" s="119"/>
      <c r="J31" s="60">
        <f t="shared" si="0"/>
        <v>0</v>
      </c>
      <c r="K31" s="120"/>
      <c r="L31" s="47"/>
      <c r="M31" s="47"/>
    </row>
    <row r="32" spans="1:16" s="47" customFormat="1">
      <c r="B32" s="87">
        <v>2</v>
      </c>
      <c r="C32" s="88" t="s">
        <v>436</v>
      </c>
      <c r="D32" s="118"/>
      <c r="E32" s="118"/>
      <c r="F32" s="59"/>
      <c r="G32" s="66"/>
      <c r="H32" s="67"/>
      <c r="I32" s="119"/>
      <c r="J32" s="60"/>
      <c r="K32" s="120"/>
    </row>
    <row r="33" spans="2:16" s="1" customFormat="1">
      <c r="B33" s="72" t="s">
        <v>37</v>
      </c>
      <c r="C33" s="58" t="s">
        <v>437</v>
      </c>
      <c r="D33" s="91">
        <v>70020003</v>
      </c>
      <c r="E33" s="118" t="s">
        <v>5</v>
      </c>
      <c r="F33" s="59" t="s">
        <v>4</v>
      </c>
      <c r="G33" s="89">
        <f>ROUND('Q-Saída'!$AK$13,2)</f>
        <v>38.67</v>
      </c>
      <c r="H33" s="60">
        <f>11.71/1.28</f>
        <v>9.1484375</v>
      </c>
      <c r="I33" s="119">
        <f>$K$6</f>
        <v>0.26979999999999998</v>
      </c>
      <c r="J33" s="60">
        <f>ROUND(H33*(I33+1),2)</f>
        <v>11.62</v>
      </c>
      <c r="K33" s="120">
        <f>ROUND(J33*G33,2)</f>
        <v>449.35</v>
      </c>
      <c r="M33" s="303"/>
      <c r="N33" s="303"/>
      <c r="O33" s="303"/>
      <c r="P33" s="303"/>
    </row>
    <row r="34" spans="2:16" s="1" customFormat="1">
      <c r="B34" s="72" t="s">
        <v>38</v>
      </c>
      <c r="C34" s="58" t="s">
        <v>438</v>
      </c>
      <c r="D34" s="91">
        <v>70020006</v>
      </c>
      <c r="E34" s="118" t="s">
        <v>5</v>
      </c>
      <c r="F34" s="59" t="s">
        <v>1</v>
      </c>
      <c r="G34" s="89">
        <f>ROUND('Q-Saída'!$AL$13,2)</f>
        <v>3.48</v>
      </c>
      <c r="H34" s="60">
        <f>154.25/1.28</f>
        <v>120.5078125</v>
      </c>
      <c r="I34" s="119">
        <f>$K$6</f>
        <v>0.26979999999999998</v>
      </c>
      <c r="J34" s="60">
        <f>ROUND(H34*(I34+1),2)</f>
        <v>153.02000000000001</v>
      </c>
      <c r="K34" s="120">
        <f>ROUND(J34*G34,2)</f>
        <v>532.51</v>
      </c>
      <c r="M34" s="303"/>
      <c r="N34" s="303"/>
      <c r="O34" s="303"/>
      <c r="P34" s="303"/>
    </row>
    <row r="35" spans="2:16" s="1" customFormat="1">
      <c r="B35" s="72"/>
      <c r="C35" s="58"/>
      <c r="D35" s="91"/>
      <c r="E35" s="118"/>
      <c r="F35" s="59"/>
      <c r="G35" s="89"/>
      <c r="H35" s="60"/>
      <c r="I35" s="121"/>
      <c r="J35" s="60"/>
      <c r="K35" s="120"/>
      <c r="M35" s="303"/>
      <c r="N35" s="303"/>
      <c r="O35" s="303"/>
      <c r="P35" s="303"/>
    </row>
    <row r="36" spans="2:16" s="65" customFormat="1">
      <c r="B36" s="69"/>
      <c r="C36" s="63" t="s">
        <v>39</v>
      </c>
      <c r="D36" s="122"/>
      <c r="E36" s="74"/>
      <c r="F36" s="75"/>
      <c r="G36" s="70"/>
      <c r="H36" s="71"/>
      <c r="I36" s="119"/>
      <c r="J36" s="60">
        <f>ROUND(H36*(I36+1),2)</f>
        <v>0</v>
      </c>
      <c r="K36" s="123">
        <f>SUM(K33:K35)</f>
        <v>981.86</v>
      </c>
    </row>
    <row r="37" spans="2:16" s="65" customFormat="1">
      <c r="B37" s="69"/>
      <c r="C37" s="74"/>
      <c r="D37" s="302"/>
      <c r="E37" s="302"/>
      <c r="F37" s="59"/>
      <c r="G37" s="66"/>
      <c r="H37" s="67"/>
      <c r="I37" s="119"/>
      <c r="J37" s="60">
        <f>ROUND(H37*(I37+1),2)</f>
        <v>0</v>
      </c>
      <c r="K37" s="120"/>
      <c r="M37" s="47"/>
    </row>
    <row r="38" spans="2:16" s="47" customFormat="1">
      <c r="B38" s="87">
        <v>3</v>
      </c>
      <c r="C38" s="88" t="s">
        <v>440</v>
      </c>
      <c r="D38" s="118"/>
      <c r="E38" s="118"/>
      <c r="F38" s="59"/>
      <c r="G38" s="66"/>
      <c r="H38" s="67"/>
      <c r="I38" s="119"/>
      <c r="J38" s="60"/>
      <c r="K38" s="120"/>
      <c r="L38" s="65"/>
    </row>
    <row r="39" spans="2:16" s="1" customFormat="1">
      <c r="B39" s="72" t="s">
        <v>40</v>
      </c>
      <c r="C39" s="58" t="s">
        <v>695</v>
      </c>
      <c r="D39" s="91">
        <v>70030041</v>
      </c>
      <c r="E39" s="118" t="s">
        <v>5</v>
      </c>
      <c r="F39" s="59" t="s">
        <v>1</v>
      </c>
      <c r="G39" s="89">
        <f>ROUND('Q-Saída'!$Q$13,2)</f>
        <v>92.8</v>
      </c>
      <c r="H39" s="60">
        <f>2.12/1.28</f>
        <v>1.65625</v>
      </c>
      <c r="I39" s="119">
        <f t="shared" ref="I39:I48" si="1">$K$6</f>
        <v>0.26979999999999998</v>
      </c>
      <c r="J39" s="60">
        <f t="shared" ref="J39:J46" si="2">ROUND(H39*(I39+1),2)</f>
        <v>2.1</v>
      </c>
      <c r="K39" s="120">
        <f>ROUND(J39*G39,2)</f>
        <v>194.88</v>
      </c>
      <c r="M39" s="303"/>
      <c r="N39" s="303"/>
      <c r="O39" s="303"/>
      <c r="P39" s="303"/>
    </row>
    <row r="40" spans="2:16" s="1" customFormat="1" ht="31.5">
      <c r="B40" s="72" t="s">
        <v>228</v>
      </c>
      <c r="C40" s="58" t="s">
        <v>696</v>
      </c>
      <c r="D40" s="91">
        <v>70030050</v>
      </c>
      <c r="E40" s="118" t="s">
        <v>5</v>
      </c>
      <c r="F40" s="59" t="s">
        <v>6</v>
      </c>
      <c r="G40" s="89">
        <f>ROUND('Q-Saída'!$Z$13,2)</f>
        <v>84.1</v>
      </c>
      <c r="H40" s="60">
        <f>59.47/1.28</f>
        <v>46.4609375</v>
      </c>
      <c r="I40" s="119">
        <f t="shared" si="1"/>
        <v>0.26979999999999998</v>
      </c>
      <c r="J40" s="60">
        <f t="shared" si="2"/>
        <v>59</v>
      </c>
      <c r="K40" s="120">
        <f t="shared" ref="K40:K48" si="3">ROUND(J40*G40,2)</f>
        <v>4961.8999999999996</v>
      </c>
      <c r="M40" s="303"/>
      <c r="N40" s="303"/>
      <c r="O40" s="303"/>
      <c r="P40" s="303"/>
    </row>
    <row r="41" spans="2:16" s="1" customFormat="1" ht="31.5">
      <c r="B41" s="72" t="s">
        <v>229</v>
      </c>
      <c r="C41" s="58" t="s">
        <v>697</v>
      </c>
      <c r="D41" s="91">
        <v>101616</v>
      </c>
      <c r="E41" s="118" t="s">
        <v>2</v>
      </c>
      <c r="F41" s="59" t="s">
        <v>1</v>
      </c>
      <c r="G41" s="89">
        <f>ROUND('Q-Saída'!$AS$15,2)</f>
        <v>58</v>
      </c>
      <c r="H41" s="60">
        <v>6.88</v>
      </c>
      <c r="I41" s="119">
        <f t="shared" si="1"/>
        <v>0.26979999999999998</v>
      </c>
      <c r="J41" s="60">
        <f t="shared" si="2"/>
        <v>8.74</v>
      </c>
      <c r="K41" s="120">
        <f t="shared" si="3"/>
        <v>506.92</v>
      </c>
      <c r="M41" s="303"/>
      <c r="N41" s="303"/>
      <c r="O41" s="303"/>
      <c r="P41" s="303"/>
    </row>
    <row r="42" spans="2:16" s="1" customFormat="1" ht="47.25">
      <c r="B42" s="72" t="s">
        <v>230</v>
      </c>
      <c r="C42" s="58" t="s">
        <v>736</v>
      </c>
      <c r="D42" s="91">
        <v>101619</v>
      </c>
      <c r="E42" s="118" t="s">
        <v>2</v>
      </c>
      <c r="F42" s="59" t="s">
        <v>6</v>
      </c>
      <c r="G42" s="89">
        <f>ROUND('Q-Saída'!$AM$15,2)</f>
        <v>5.8</v>
      </c>
      <c r="H42" s="60">
        <v>255.68</v>
      </c>
      <c r="I42" s="119">
        <f t="shared" si="1"/>
        <v>0.26979999999999998</v>
      </c>
      <c r="J42" s="60">
        <f t="shared" si="2"/>
        <v>324.66000000000003</v>
      </c>
      <c r="K42" s="120">
        <f t="shared" si="3"/>
        <v>1883.03</v>
      </c>
      <c r="M42" s="303"/>
      <c r="N42" s="303"/>
      <c r="O42" s="303"/>
      <c r="P42" s="303"/>
    </row>
    <row r="43" spans="2:16" s="1" customFormat="1" ht="47.25">
      <c r="B43" s="72" t="s">
        <v>231</v>
      </c>
      <c r="C43" s="58" t="s">
        <v>441</v>
      </c>
      <c r="D43" s="91">
        <v>70030026</v>
      </c>
      <c r="E43" s="118" t="s">
        <v>5</v>
      </c>
      <c r="F43" s="59" t="s">
        <v>6</v>
      </c>
      <c r="G43" s="89">
        <f>ROUND('Q-Saída'!$AQ$13,2)</f>
        <v>23.2</v>
      </c>
      <c r="H43" s="60">
        <f>26.01/1.28</f>
        <v>20.3203125</v>
      </c>
      <c r="I43" s="119">
        <f t="shared" si="1"/>
        <v>0.26979999999999998</v>
      </c>
      <c r="J43" s="60">
        <f t="shared" si="2"/>
        <v>25.8</v>
      </c>
      <c r="K43" s="120">
        <f t="shared" si="3"/>
        <v>598.55999999999995</v>
      </c>
      <c r="M43" s="303"/>
      <c r="N43" s="303"/>
      <c r="O43" s="303"/>
      <c r="P43" s="303"/>
    </row>
    <row r="44" spans="2:16" s="1" customFormat="1" ht="31.5">
      <c r="B44" s="72" t="s">
        <v>232</v>
      </c>
      <c r="C44" s="58" t="s">
        <v>698</v>
      </c>
      <c r="D44" s="91">
        <v>70030025</v>
      </c>
      <c r="E44" s="118" t="s">
        <v>5</v>
      </c>
      <c r="F44" s="59" t="s">
        <v>6</v>
      </c>
      <c r="G44" s="89">
        <f>ROUND('Q-Saída'!$AR$13,2)</f>
        <v>42.21</v>
      </c>
      <c r="H44" s="60">
        <f>9.05/1.28</f>
        <v>7.0703125</v>
      </c>
      <c r="I44" s="119">
        <f t="shared" si="1"/>
        <v>0.26979999999999998</v>
      </c>
      <c r="J44" s="60">
        <f t="shared" si="2"/>
        <v>8.98</v>
      </c>
      <c r="K44" s="120">
        <f t="shared" si="3"/>
        <v>379.05</v>
      </c>
      <c r="M44" s="303"/>
      <c r="N44" s="303"/>
      <c r="O44" s="303"/>
      <c r="P44" s="303"/>
    </row>
    <row r="45" spans="2:16" s="287" customFormat="1" ht="63">
      <c r="B45" s="72" t="s">
        <v>233</v>
      </c>
      <c r="C45" s="58" t="s">
        <v>442</v>
      </c>
      <c r="D45" s="91">
        <v>100980</v>
      </c>
      <c r="E45" s="118" t="s">
        <v>2</v>
      </c>
      <c r="F45" s="59" t="s">
        <v>6</v>
      </c>
      <c r="G45" s="89">
        <f>ROUND('Q-Saída'!$BA$13,2)</f>
        <v>24.3</v>
      </c>
      <c r="H45" s="60">
        <v>6.4</v>
      </c>
      <c r="I45" s="119">
        <f t="shared" si="1"/>
        <v>0.26979999999999998</v>
      </c>
      <c r="J45" s="60">
        <f t="shared" si="2"/>
        <v>8.1300000000000008</v>
      </c>
      <c r="K45" s="120">
        <f t="shared" si="3"/>
        <v>197.56</v>
      </c>
      <c r="M45" s="301"/>
      <c r="N45" s="301"/>
      <c r="O45" s="301"/>
      <c r="P45" s="301"/>
    </row>
    <row r="46" spans="2:16" s="287" customFormat="1" ht="31.5">
      <c r="B46" s="72" t="s">
        <v>234</v>
      </c>
      <c r="C46" s="58" t="s">
        <v>443</v>
      </c>
      <c r="D46" s="91">
        <v>95877</v>
      </c>
      <c r="E46" s="118" t="s">
        <v>2</v>
      </c>
      <c r="F46" s="59" t="s">
        <v>397</v>
      </c>
      <c r="G46" s="89">
        <f>ROUND('Q-Saída'!$BB$13,2)</f>
        <v>364.51</v>
      </c>
      <c r="H46" s="60">
        <v>1.88</v>
      </c>
      <c r="I46" s="119">
        <f t="shared" si="1"/>
        <v>0.26979999999999998</v>
      </c>
      <c r="J46" s="60">
        <f t="shared" si="2"/>
        <v>2.39</v>
      </c>
      <c r="K46" s="120">
        <f t="shared" si="3"/>
        <v>871.18</v>
      </c>
      <c r="M46" s="301"/>
      <c r="N46" s="301"/>
      <c r="O46" s="301"/>
      <c r="P46" s="301"/>
    </row>
    <row r="47" spans="2:16" s="287" customFormat="1" ht="63">
      <c r="B47" s="72" t="s">
        <v>235</v>
      </c>
      <c r="C47" s="58" t="s">
        <v>444</v>
      </c>
      <c r="D47" s="91">
        <v>100978</v>
      </c>
      <c r="E47" s="118" t="s">
        <v>2</v>
      </c>
      <c r="F47" s="59" t="s">
        <v>6</v>
      </c>
      <c r="G47" s="89">
        <f>ROUND('Q-Saída'!$BC$13,2)</f>
        <v>5.8</v>
      </c>
      <c r="H47" s="60">
        <v>7.15</v>
      </c>
      <c r="I47" s="119">
        <f t="shared" si="1"/>
        <v>0.26979999999999998</v>
      </c>
      <c r="J47" s="60">
        <f t="shared" ref="J47:J48" si="4">ROUND(H47*(I47+1),2)</f>
        <v>9.08</v>
      </c>
      <c r="K47" s="120">
        <f t="shared" si="3"/>
        <v>52.66</v>
      </c>
      <c r="M47" s="301"/>
      <c r="N47" s="301"/>
      <c r="O47" s="301"/>
      <c r="P47" s="301"/>
    </row>
    <row r="48" spans="2:16" s="287" customFormat="1" ht="31.5">
      <c r="B48" s="72" t="s">
        <v>236</v>
      </c>
      <c r="C48" s="58" t="s">
        <v>445</v>
      </c>
      <c r="D48" s="91">
        <v>95875</v>
      </c>
      <c r="E48" s="118" t="s">
        <v>2</v>
      </c>
      <c r="F48" s="59" t="s">
        <v>397</v>
      </c>
      <c r="G48" s="89">
        <f>ROUND('Q-Saída'!$BD$13,2)</f>
        <v>87</v>
      </c>
      <c r="H48" s="60">
        <v>2.56</v>
      </c>
      <c r="I48" s="119">
        <f t="shared" si="1"/>
        <v>0.26979999999999998</v>
      </c>
      <c r="J48" s="60">
        <f t="shared" si="4"/>
        <v>3.25</v>
      </c>
      <c r="K48" s="120">
        <f t="shared" si="3"/>
        <v>282.75</v>
      </c>
      <c r="M48" s="301"/>
      <c r="N48" s="301"/>
      <c r="O48" s="301"/>
      <c r="P48" s="301"/>
    </row>
    <row r="49" spans="1:16" s="47" customFormat="1">
      <c r="B49" s="72"/>
      <c r="C49" s="307"/>
      <c r="D49" s="124"/>
      <c r="E49" s="124"/>
      <c r="F49" s="124"/>
      <c r="G49" s="308"/>
      <c r="H49" s="70"/>
      <c r="I49" s="70"/>
      <c r="J49" s="125"/>
      <c r="K49" s="126"/>
      <c r="L49" s="65"/>
    </row>
    <row r="50" spans="1:16" s="65" customFormat="1">
      <c r="B50" s="69"/>
      <c r="C50" s="63" t="s">
        <v>41</v>
      </c>
      <c r="D50" s="122"/>
      <c r="E50" s="74"/>
      <c r="F50" s="75"/>
      <c r="G50" s="70"/>
      <c r="H50" s="71"/>
      <c r="I50" s="119"/>
      <c r="J50" s="60">
        <f>ROUND(H50*(I50+1),2)</f>
        <v>0</v>
      </c>
      <c r="K50" s="123">
        <f>SUM(K39:K49)</f>
        <v>9928.489999999998</v>
      </c>
    </row>
    <row r="51" spans="1:16" s="310" customFormat="1">
      <c r="B51" s="72"/>
      <c r="C51" s="75"/>
      <c r="D51" s="309"/>
      <c r="E51" s="309"/>
      <c r="F51" s="75"/>
      <c r="G51" s="70"/>
      <c r="H51" s="70"/>
      <c r="I51" s="119"/>
      <c r="J51" s="60"/>
      <c r="K51" s="123"/>
      <c r="L51" s="47"/>
      <c r="M51" s="47"/>
      <c r="N51" s="65"/>
      <c r="O51" s="65"/>
      <c r="P51" s="65"/>
    </row>
    <row r="52" spans="1:16" s="47" customFormat="1">
      <c r="B52" s="87">
        <v>4</v>
      </c>
      <c r="C52" s="88" t="s">
        <v>740</v>
      </c>
      <c r="D52" s="118"/>
      <c r="E52" s="118"/>
      <c r="F52" s="59"/>
      <c r="G52" s="66"/>
      <c r="H52" s="67"/>
      <c r="I52" s="119"/>
      <c r="J52" s="60"/>
      <c r="K52" s="120"/>
    </row>
    <row r="53" spans="1:16" s="1" customFormat="1">
      <c r="B53" s="72" t="s">
        <v>42</v>
      </c>
      <c r="C53" s="58" t="s">
        <v>741</v>
      </c>
      <c r="D53" s="91">
        <v>70040005</v>
      </c>
      <c r="E53" s="118" t="s">
        <v>5</v>
      </c>
      <c r="F53" s="281" t="s">
        <v>1</v>
      </c>
      <c r="G53" s="89">
        <f>ROUND('Q-Saída'!$AG$13,2)</f>
        <v>168.2</v>
      </c>
      <c r="H53" s="283">
        <f>15.3/1.28</f>
        <v>11.953125</v>
      </c>
      <c r="I53" s="119">
        <f t="shared" ref="I53" si="5">$K$6</f>
        <v>0.26979999999999998</v>
      </c>
      <c r="J53" s="60">
        <f>ROUND(H53*(I53+1),2)</f>
        <v>15.18</v>
      </c>
      <c r="K53" s="120">
        <f>ROUND(J53*G53,2)</f>
        <v>2553.2800000000002</v>
      </c>
      <c r="M53" s="303"/>
      <c r="N53" s="303"/>
      <c r="O53" s="303"/>
      <c r="P53" s="303"/>
    </row>
    <row r="54" spans="1:16" s="1" customFormat="1">
      <c r="B54" s="72"/>
      <c r="C54" s="58"/>
      <c r="D54" s="91"/>
      <c r="E54" s="118"/>
      <c r="F54" s="59"/>
      <c r="G54" s="89"/>
      <c r="H54" s="60"/>
      <c r="I54" s="121"/>
      <c r="J54" s="60"/>
      <c r="K54" s="120"/>
      <c r="M54" s="303"/>
      <c r="N54" s="303"/>
      <c r="O54" s="303"/>
      <c r="P54" s="303"/>
    </row>
    <row r="55" spans="1:16" s="65" customFormat="1">
      <c r="B55" s="69"/>
      <c r="C55" s="63" t="s">
        <v>43</v>
      </c>
      <c r="D55" s="122"/>
      <c r="E55" s="74"/>
      <c r="F55" s="75"/>
      <c r="G55" s="70"/>
      <c r="H55" s="71"/>
      <c r="I55" s="316"/>
      <c r="J55" s="60">
        <f>ROUND(H55*(I55+1),2)</f>
        <v>0</v>
      </c>
      <c r="K55" s="123">
        <f>SUM(K53:K54)</f>
        <v>2553.2800000000002</v>
      </c>
    </row>
    <row r="56" spans="1:16" s="65" customFormat="1">
      <c r="B56" s="69"/>
      <c r="C56" s="63"/>
      <c r="D56" s="122"/>
      <c r="E56" s="74"/>
      <c r="F56" s="75"/>
      <c r="G56" s="70"/>
      <c r="H56" s="71"/>
      <c r="I56" s="316"/>
      <c r="J56" s="60"/>
      <c r="K56" s="123"/>
    </row>
    <row r="57" spans="1:16" s="47" customFormat="1">
      <c r="B57" s="87">
        <v>5</v>
      </c>
      <c r="C57" s="88" t="s">
        <v>692</v>
      </c>
      <c r="D57" s="118"/>
      <c r="E57" s="118"/>
      <c r="F57" s="59"/>
      <c r="G57" s="66"/>
      <c r="H57" s="67"/>
      <c r="I57" s="313"/>
      <c r="J57" s="73"/>
      <c r="K57" s="120"/>
      <c r="L57" s="314"/>
    </row>
    <row r="58" spans="1:16" s="52" customFormat="1">
      <c r="A58" s="47"/>
      <c r="B58" s="554" t="s">
        <v>449</v>
      </c>
      <c r="C58" s="555" t="s">
        <v>415</v>
      </c>
      <c r="D58" s="279"/>
      <c r="E58" s="280"/>
      <c r="F58" s="281"/>
      <c r="G58" s="282"/>
      <c r="H58" s="283"/>
      <c r="I58" s="119"/>
      <c r="J58" s="60"/>
      <c r="K58" s="284"/>
      <c r="M58" s="205"/>
      <c r="N58" s="1"/>
    </row>
    <row r="59" spans="1:16" s="52" customFormat="1" ht="31.5">
      <c r="A59" s="47"/>
      <c r="B59" s="554" t="s">
        <v>708</v>
      </c>
      <c r="C59" s="555" t="s">
        <v>419</v>
      </c>
      <c r="D59" s="279">
        <v>70070125</v>
      </c>
      <c r="E59" s="118" t="s">
        <v>5</v>
      </c>
      <c r="F59" s="281" t="s">
        <v>8</v>
      </c>
      <c r="G59" s="282">
        <v>2</v>
      </c>
      <c r="H59" s="283">
        <f>625.56/1.28</f>
        <v>488.71874999999994</v>
      </c>
      <c r="I59" s="119">
        <f t="shared" ref="I59:I60" si="6">$K$6</f>
        <v>0.26979999999999998</v>
      </c>
      <c r="J59" s="283">
        <f>ROUND(H59*(I59+1),2)</f>
        <v>620.58000000000004</v>
      </c>
      <c r="K59" s="120">
        <f>ROUND(G59*J59,2)</f>
        <v>1241.1600000000001</v>
      </c>
      <c r="M59" s="205"/>
      <c r="N59" s="1"/>
    </row>
    <row r="60" spans="1:16" s="52" customFormat="1" ht="31.5">
      <c r="A60" s="47"/>
      <c r="B60" s="554" t="s">
        <v>744</v>
      </c>
      <c r="C60" s="555" t="s">
        <v>420</v>
      </c>
      <c r="D60" s="279">
        <v>70070121</v>
      </c>
      <c r="E60" s="118" t="s">
        <v>5</v>
      </c>
      <c r="F60" s="281" t="s">
        <v>8</v>
      </c>
      <c r="G60" s="282">
        <v>1</v>
      </c>
      <c r="H60" s="283">
        <f>1133.39/1.28</f>
        <v>885.46093750000011</v>
      </c>
      <c r="I60" s="119">
        <f t="shared" si="6"/>
        <v>0.26979999999999998</v>
      </c>
      <c r="J60" s="283">
        <f>ROUND(H60*(I60+1),2)</f>
        <v>1124.3599999999999</v>
      </c>
      <c r="K60" s="120">
        <f>ROUND(G60*J60,2)</f>
        <v>1124.3599999999999</v>
      </c>
      <c r="M60" s="205"/>
      <c r="N60" s="1"/>
    </row>
    <row r="61" spans="1:16" s="52" customFormat="1">
      <c r="A61" s="47"/>
      <c r="B61" s="554" t="s">
        <v>709</v>
      </c>
      <c r="C61" s="555" t="s">
        <v>430</v>
      </c>
      <c r="D61" s="279"/>
      <c r="E61" s="280"/>
      <c r="F61" s="281"/>
      <c r="G61" s="282"/>
      <c r="H61" s="283"/>
      <c r="I61" s="119"/>
      <c r="J61" s="60"/>
      <c r="K61" s="284"/>
      <c r="M61" s="205"/>
      <c r="N61" s="1"/>
    </row>
    <row r="62" spans="1:16" s="52" customFormat="1">
      <c r="A62" s="47"/>
      <c r="B62" s="72" t="s">
        <v>711</v>
      </c>
      <c r="C62" s="555" t="str">
        <f>'PROT-FL'!$C$8</f>
        <v>Proteção de flanges enterrados para tubulação</v>
      </c>
      <c r="D62" s="279" t="str">
        <f>'PROT-FL'!$C$7</f>
        <v>Prot-Fl</v>
      </c>
      <c r="E62" s="118" t="str">
        <f>'PROT-FL'!$C$6</f>
        <v>COMP.</v>
      </c>
      <c r="F62" s="281" t="str">
        <f>'PROT-FL'!$C$10</f>
        <v>unid</v>
      </c>
      <c r="G62" s="282">
        <v>4</v>
      </c>
      <c r="H62" s="60">
        <f>ROUND('PROT-FL'!$H$20,2)</f>
        <v>210.26</v>
      </c>
      <c r="I62" s="119">
        <f t="shared" ref="I62" si="7">$K$6</f>
        <v>0.26979999999999998</v>
      </c>
      <c r="J62" s="60">
        <f>ROUND(H62*(I62+1),2)</f>
        <v>266.99</v>
      </c>
      <c r="K62" s="120">
        <f>ROUND(G62*J62,2)</f>
        <v>1067.96</v>
      </c>
      <c r="M62" s="205"/>
      <c r="N62" s="1"/>
    </row>
    <row r="63" spans="1:16" s="47" customFormat="1">
      <c r="B63" s="72"/>
      <c r="C63" s="127"/>
      <c r="D63" s="124"/>
      <c r="E63" s="124"/>
      <c r="F63" s="124"/>
      <c r="G63" s="157"/>
      <c r="H63" s="73"/>
      <c r="I63" s="120"/>
      <c r="J63" s="125"/>
      <c r="K63" s="126"/>
      <c r="L63" s="314"/>
    </row>
    <row r="64" spans="1:16" s="47" customFormat="1">
      <c r="B64" s="72"/>
      <c r="C64" s="63" t="s">
        <v>450</v>
      </c>
      <c r="D64" s="122"/>
      <c r="E64" s="74"/>
      <c r="F64" s="75"/>
      <c r="G64" s="315"/>
      <c r="H64" s="70"/>
      <c r="I64" s="316"/>
      <c r="J64" s="60">
        <f>ROUND(H64*(I64+1),2)</f>
        <v>0</v>
      </c>
      <c r="K64" s="123">
        <f>SUM(K59:K63)</f>
        <v>3433.48</v>
      </c>
    </row>
    <row r="65" spans="1:16" s="47" customFormat="1">
      <c r="B65" s="304"/>
      <c r="C65" s="523"/>
      <c r="D65" s="524"/>
      <c r="E65" s="524"/>
      <c r="F65" s="524"/>
      <c r="G65" s="525"/>
      <c r="H65" s="526"/>
      <c r="I65" s="306"/>
      <c r="J65" s="527"/>
      <c r="K65" s="528"/>
    </row>
    <row r="66" spans="1:16" s="47" customFormat="1" ht="31.5">
      <c r="B66" s="87">
        <v>6</v>
      </c>
      <c r="C66" s="88" t="s">
        <v>693</v>
      </c>
      <c r="D66" s="118"/>
      <c r="E66" s="118"/>
      <c r="F66" s="59"/>
      <c r="G66" s="66"/>
      <c r="H66" s="67"/>
      <c r="I66" s="316"/>
      <c r="J66" s="73"/>
      <c r="K66" s="120"/>
    </row>
    <row r="67" spans="1:16" s="47" customFormat="1">
      <c r="B67" s="554" t="s">
        <v>451</v>
      </c>
      <c r="C67" s="555" t="s">
        <v>742</v>
      </c>
      <c r="D67" s="529"/>
      <c r="E67" s="118"/>
      <c r="F67" s="59"/>
      <c r="G67" s="66"/>
      <c r="H67" s="67"/>
      <c r="I67" s="316"/>
      <c r="J67" s="60"/>
      <c r="K67" s="284"/>
    </row>
    <row r="68" spans="1:16" s="312" customFormat="1" ht="31.5">
      <c r="B68" s="554" t="s">
        <v>746</v>
      </c>
      <c r="C68" s="556" t="s">
        <v>743</v>
      </c>
      <c r="D68" s="279">
        <v>70080051</v>
      </c>
      <c r="E68" s="118" t="s">
        <v>5</v>
      </c>
      <c r="F68" s="59" t="s">
        <v>4</v>
      </c>
      <c r="G68" s="89">
        <f>ROUND('Q-Saída'!$AP$13,2)</f>
        <v>58</v>
      </c>
      <c r="H68" s="60">
        <f>58.2/1.28</f>
        <v>45.46875</v>
      </c>
      <c r="I68" s="119">
        <f t="shared" ref="I68:I75" si="8">$K$6</f>
        <v>0.26979999999999998</v>
      </c>
      <c r="J68" s="60">
        <f>ROUND(H68*(I68+1),2)</f>
        <v>57.74</v>
      </c>
      <c r="K68" s="284">
        <f>ROUND(J68*G68,2)</f>
        <v>3348.92</v>
      </c>
      <c r="L68" s="1"/>
      <c r="M68" s="311"/>
      <c r="N68" s="311"/>
      <c r="O68" s="311"/>
      <c r="P68" s="311"/>
    </row>
    <row r="69" spans="1:16" s="47" customFormat="1">
      <c r="B69" s="554" t="s">
        <v>452</v>
      </c>
      <c r="C69" s="555" t="s">
        <v>710</v>
      </c>
      <c r="D69" s="529"/>
      <c r="E69" s="118"/>
      <c r="F69" s="59"/>
      <c r="G69" s="66"/>
      <c r="H69" s="67"/>
      <c r="I69" s="316"/>
      <c r="J69" s="60"/>
      <c r="K69" s="284"/>
    </row>
    <row r="70" spans="1:16" s="287" customFormat="1" ht="31.5">
      <c r="B70" s="554" t="s">
        <v>748</v>
      </c>
      <c r="C70" s="556" t="s">
        <v>456</v>
      </c>
      <c r="D70" s="279">
        <v>70080342</v>
      </c>
      <c r="E70" s="118" t="s">
        <v>5</v>
      </c>
      <c r="F70" s="59" t="s">
        <v>457</v>
      </c>
      <c r="G70" s="89">
        <f>ROUND('Q-Saída'!$BJ$13,2)</f>
        <v>6.15</v>
      </c>
      <c r="H70" s="60">
        <f>144.08/1.28</f>
        <v>112.56250000000001</v>
      </c>
      <c r="I70" s="119">
        <f t="shared" si="8"/>
        <v>0.26979999999999998</v>
      </c>
      <c r="J70" s="60">
        <f>ROUND(H70*(I70+1),2)</f>
        <v>142.93</v>
      </c>
      <c r="K70" s="120">
        <f>ROUND(J70*G70,2)</f>
        <v>879.02</v>
      </c>
      <c r="M70" s="301"/>
      <c r="N70" s="301"/>
      <c r="O70" s="317"/>
      <c r="P70" s="301"/>
    </row>
    <row r="71" spans="1:16" s="287" customFormat="1">
      <c r="B71" s="554" t="s">
        <v>749</v>
      </c>
      <c r="C71" s="556" t="s">
        <v>458</v>
      </c>
      <c r="D71" s="279">
        <v>70080343</v>
      </c>
      <c r="E71" s="118" t="s">
        <v>5</v>
      </c>
      <c r="F71" s="59" t="s">
        <v>459</v>
      </c>
      <c r="G71" s="89">
        <f>ROUND('Q-Saída'!$BK$13,2)</f>
        <v>184.61</v>
      </c>
      <c r="H71" s="60">
        <f>4.12/1.28</f>
        <v>3.21875</v>
      </c>
      <c r="I71" s="119">
        <f t="shared" si="8"/>
        <v>0.26979999999999998</v>
      </c>
      <c r="J71" s="60">
        <f>ROUND(H71*(I71+1),2)</f>
        <v>4.09</v>
      </c>
      <c r="K71" s="120">
        <f>ROUND(J71*G71,2)</f>
        <v>755.05</v>
      </c>
      <c r="M71" s="317"/>
      <c r="N71" s="301"/>
      <c r="O71" s="301"/>
      <c r="P71" s="301"/>
    </row>
    <row r="72" spans="1:16" s="52" customFormat="1">
      <c r="A72" s="47"/>
      <c r="B72" s="554" t="s">
        <v>453</v>
      </c>
      <c r="C72" s="555" t="s">
        <v>405</v>
      </c>
      <c r="D72" s="279"/>
      <c r="E72" s="280"/>
      <c r="F72" s="281"/>
      <c r="G72" s="282"/>
      <c r="H72" s="283"/>
      <c r="I72" s="316"/>
      <c r="J72" s="60"/>
      <c r="K72" s="284"/>
      <c r="M72" s="205"/>
      <c r="N72" s="1">
        <f>ROUND(G72*H72,2)</f>
        <v>0</v>
      </c>
    </row>
    <row r="73" spans="1:16" s="287" customFormat="1" ht="31.5">
      <c r="B73" s="554" t="s">
        <v>750</v>
      </c>
      <c r="C73" s="556" t="s">
        <v>718</v>
      </c>
      <c r="D73" s="279">
        <v>70140023</v>
      </c>
      <c r="E73" s="118" t="s">
        <v>5</v>
      </c>
      <c r="F73" s="59" t="s">
        <v>61</v>
      </c>
      <c r="G73" s="89">
        <f>ROUND('ME-Saída'!$O$28,2)</f>
        <v>2121.63</v>
      </c>
      <c r="H73" s="60">
        <f>2.91/1.28</f>
        <v>2.2734375</v>
      </c>
      <c r="I73" s="119">
        <f t="shared" si="8"/>
        <v>0.26979999999999998</v>
      </c>
      <c r="J73" s="60">
        <f>ROUND(H73*(I73+1),2)</f>
        <v>2.89</v>
      </c>
      <c r="K73" s="120">
        <f>ROUND(J73*G73,2)</f>
        <v>6131.51</v>
      </c>
      <c r="M73" s="317"/>
      <c r="N73" s="301"/>
      <c r="O73" s="301"/>
      <c r="P73" s="301"/>
    </row>
    <row r="74" spans="1:16" s="52" customFormat="1" ht="31.5">
      <c r="A74" s="47"/>
      <c r="B74" s="554" t="s">
        <v>751</v>
      </c>
      <c r="C74" s="555" t="s">
        <v>412</v>
      </c>
      <c r="D74" s="279">
        <v>70140059</v>
      </c>
      <c r="E74" s="118" t="s">
        <v>5</v>
      </c>
      <c r="F74" s="59" t="s">
        <v>8</v>
      </c>
      <c r="G74" s="89">
        <f>'ME-Saída'!$G$24</f>
        <v>1</v>
      </c>
      <c r="H74" s="60">
        <f>2444.4/1.28</f>
        <v>1909.6875</v>
      </c>
      <c r="I74" s="119">
        <f t="shared" si="8"/>
        <v>0.26979999999999998</v>
      </c>
      <c r="J74" s="60">
        <f t="shared" ref="J74:J75" si="9">ROUND(H74*(I74+1),2)</f>
        <v>2424.92</v>
      </c>
      <c r="K74" s="120">
        <f t="shared" ref="K74:K75" si="10">ROUND(J74*G74,2)</f>
        <v>2424.92</v>
      </c>
      <c r="M74" s="205"/>
      <c r="N74" s="1"/>
    </row>
    <row r="75" spans="1:16" s="52" customFormat="1" ht="31.5">
      <c r="A75" s="47"/>
      <c r="B75" s="554" t="s">
        <v>752</v>
      </c>
      <c r="C75" s="555" t="s">
        <v>413</v>
      </c>
      <c r="D75" s="279">
        <v>70140047</v>
      </c>
      <c r="E75" s="118" t="s">
        <v>5</v>
      </c>
      <c r="F75" s="59" t="s">
        <v>8</v>
      </c>
      <c r="G75" s="89">
        <f>'ME-Saída'!$G$25</f>
        <v>1</v>
      </c>
      <c r="H75" s="60">
        <f>730.69/1.28</f>
        <v>570.8515625</v>
      </c>
      <c r="I75" s="119">
        <f t="shared" si="8"/>
        <v>0.26979999999999998</v>
      </c>
      <c r="J75" s="60">
        <f t="shared" si="9"/>
        <v>724.87</v>
      </c>
      <c r="K75" s="120">
        <f t="shared" si="10"/>
        <v>724.87</v>
      </c>
      <c r="M75" s="205"/>
      <c r="N75" s="1"/>
    </row>
    <row r="76" spans="1:16" s="47" customFormat="1">
      <c r="B76" s="72"/>
      <c r="C76" s="307"/>
      <c r="D76" s="124"/>
      <c r="E76" s="124"/>
      <c r="F76" s="124"/>
      <c r="G76" s="318"/>
      <c r="H76" s="70"/>
      <c r="I76" s="70"/>
      <c r="J76" s="125"/>
      <c r="K76" s="126"/>
    </row>
    <row r="77" spans="1:16" s="47" customFormat="1">
      <c r="B77" s="72"/>
      <c r="C77" s="63" t="s">
        <v>454</v>
      </c>
      <c r="D77" s="122"/>
      <c r="E77" s="74"/>
      <c r="F77" s="75"/>
      <c r="G77" s="315"/>
      <c r="H77" s="70"/>
      <c r="I77" s="316"/>
      <c r="J77" s="60">
        <f>ROUND(H77*(I77+1),2)</f>
        <v>0</v>
      </c>
      <c r="K77" s="123">
        <f>SUM(K68:K76)</f>
        <v>14264.29</v>
      </c>
    </row>
    <row r="78" spans="1:16" s="47" customFormat="1">
      <c r="B78" s="72"/>
      <c r="C78" s="127"/>
      <c r="D78" s="124"/>
      <c r="E78" s="124"/>
      <c r="F78" s="124"/>
      <c r="G78" s="129"/>
      <c r="H78" s="73"/>
      <c r="I78" s="120"/>
      <c r="J78" s="125"/>
      <c r="K78" s="126"/>
    </row>
    <row r="79" spans="1:16" s="47" customFormat="1">
      <c r="B79" s="87">
        <v>7</v>
      </c>
      <c r="C79" s="88" t="s">
        <v>461</v>
      </c>
      <c r="D79" s="118"/>
      <c r="E79" s="118"/>
      <c r="F79" s="59"/>
      <c r="G79" s="66"/>
      <c r="H79" s="67"/>
      <c r="I79" s="119"/>
      <c r="J79" s="60"/>
      <c r="K79" s="120"/>
    </row>
    <row r="80" spans="1:16" s="1" customFormat="1">
      <c r="B80" s="72" t="s">
        <v>455</v>
      </c>
      <c r="C80" s="555" t="s">
        <v>719</v>
      </c>
      <c r="D80" s="279">
        <v>70190144</v>
      </c>
      <c r="E80" s="280" t="s">
        <v>5</v>
      </c>
      <c r="F80" s="281" t="s">
        <v>1</v>
      </c>
      <c r="G80" s="89">
        <f>ROUND('Q-Saída'!$BL$13,2)</f>
        <v>92.8</v>
      </c>
      <c r="H80" s="283">
        <f>11.9/1.28</f>
        <v>9.296875</v>
      </c>
      <c r="I80" s="119">
        <f>$K$6</f>
        <v>0.26979999999999998</v>
      </c>
      <c r="J80" s="60">
        <f>ROUND(H80*(I80+1),2)</f>
        <v>11.81</v>
      </c>
      <c r="K80" s="120">
        <f>ROUND(J80*G80,2)</f>
        <v>1095.97</v>
      </c>
      <c r="M80" s="303"/>
      <c r="N80" s="303"/>
      <c r="O80" s="303"/>
      <c r="P80" s="303"/>
    </row>
    <row r="81" spans="2:16" s="1" customFormat="1">
      <c r="B81" s="72"/>
      <c r="C81" s="58"/>
      <c r="D81" s="91"/>
      <c r="E81" s="118"/>
      <c r="F81" s="59"/>
      <c r="G81" s="89"/>
      <c r="H81" s="60"/>
      <c r="I81" s="121"/>
      <c r="J81" s="60"/>
      <c r="K81" s="120"/>
      <c r="M81" s="303"/>
      <c r="N81" s="303"/>
      <c r="O81" s="303"/>
      <c r="P81" s="303"/>
    </row>
    <row r="82" spans="2:16" s="65" customFormat="1">
      <c r="B82" s="69"/>
      <c r="C82" s="63" t="s">
        <v>460</v>
      </c>
      <c r="D82" s="122"/>
      <c r="E82" s="74"/>
      <c r="F82" s="75"/>
      <c r="G82" s="70"/>
      <c r="H82" s="71"/>
      <c r="I82" s="119"/>
      <c r="J82" s="60">
        <f>ROUND(H82*(I82+1),2)</f>
        <v>0</v>
      </c>
      <c r="K82" s="123">
        <f>SUM(K80:K81)</f>
        <v>1095.97</v>
      </c>
    </row>
    <row r="83" spans="2:16" s="65" customFormat="1">
      <c r="B83" s="69"/>
      <c r="C83" s="74"/>
      <c r="D83" s="302"/>
      <c r="E83" s="302"/>
      <c r="F83" s="59"/>
      <c r="G83" s="66"/>
      <c r="H83" s="67"/>
      <c r="I83" s="119"/>
      <c r="J83" s="60">
        <f>ROUND(H83*(I83+1),2)</f>
        <v>0</v>
      </c>
      <c r="K83" s="120"/>
      <c r="M83" s="47"/>
    </row>
    <row r="84" spans="2:16" s="47" customFormat="1">
      <c r="B84" s="72"/>
      <c r="C84" s="127"/>
      <c r="D84" s="124"/>
      <c r="E84" s="124"/>
      <c r="F84" s="124"/>
      <c r="G84" s="59"/>
      <c r="H84" s="128"/>
      <c r="I84" s="120"/>
      <c r="J84" s="125"/>
      <c r="K84" s="126"/>
    </row>
    <row r="85" spans="2:16" s="47" customFormat="1">
      <c r="B85" s="62"/>
      <c r="C85" s="64" t="s">
        <v>34</v>
      </c>
      <c r="D85" s="130"/>
      <c r="E85" s="130"/>
      <c r="F85" s="76"/>
      <c r="G85" s="57"/>
      <c r="H85" s="77"/>
      <c r="I85" s="77"/>
      <c r="J85" s="77"/>
      <c r="K85" s="78">
        <f>SUM(K26:K84)/2</f>
        <v>32714.989999999998</v>
      </c>
    </row>
    <row r="86" spans="2:16" s="47" customFormat="1">
      <c r="B86" s="112"/>
      <c r="C86" s="131"/>
      <c r="D86" s="132"/>
      <c r="E86" s="132"/>
      <c r="F86" s="133"/>
      <c r="G86" s="115"/>
      <c r="H86" s="134"/>
      <c r="I86" s="134"/>
      <c r="J86" s="134"/>
      <c r="K86" s="116"/>
    </row>
  </sheetData>
  <mergeCells count="14">
    <mergeCell ref="C6:G6"/>
    <mergeCell ref="H6:J6"/>
    <mergeCell ref="C7:G7"/>
    <mergeCell ref="H7:J7"/>
    <mergeCell ref="B2:B3"/>
    <mergeCell ref="C2:G2"/>
    <mergeCell ref="H2:K2"/>
    <mergeCell ref="C3:G3"/>
    <mergeCell ref="H3:J3"/>
    <mergeCell ref="B4:B7"/>
    <mergeCell ref="C4:G4"/>
    <mergeCell ref="H4:J4"/>
    <mergeCell ref="C5:G5"/>
    <mergeCell ref="H5:K5"/>
  </mergeCells>
  <printOptions horizontalCentered="1"/>
  <pageMargins left="0.59055118110236227" right="0.51181102362204722" top="0.98425196850393704" bottom="0.78740157480314965" header="0.39370078740157483" footer="0.39370078740157483"/>
  <pageSetup paperSize="9" scale="65" firstPageNumber="4" orientation="portrait" r:id="rId1"/>
  <headerFooter scaleWithDoc="0">
    <oddHeader>&amp;L&amp;"Arial,Itálico"&amp;10Rev-1&amp;R&amp;G</oddHeader>
    <oddFooter>&amp;L&amp;"Arial,Negrito"&amp;10CTR 477F&amp;C&amp;"Arial,Negrito"&amp;10 2.&amp;P</oddFooter>
  </headerFooter>
  <rowBreaks count="2" manualBreakCount="2">
    <brk id="25" max="16383" man="1"/>
    <brk id="65" max="16383" man="1"/>
  </row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2:Q32"/>
  <sheetViews>
    <sheetView showGridLines="0" showZeros="0" zoomScaleNormal="100" zoomScaleSheetLayoutView="100" workbookViewId="0">
      <selection activeCell="B4" sqref="B4:W5"/>
    </sheetView>
  </sheetViews>
  <sheetFormatPr defaultColWidth="9.140625" defaultRowHeight="15.75"/>
  <cols>
    <col min="1" max="1" width="3.7109375" style="46" customWidth="1"/>
    <col min="2" max="2" width="8.7109375" style="79" customWidth="1"/>
    <col min="3" max="3" width="43.7109375" style="80" customWidth="1"/>
    <col min="4" max="5" width="9.85546875" style="80" customWidth="1"/>
    <col min="6" max="6" width="7.140625" style="81" customWidth="1"/>
    <col min="7" max="7" width="10.5703125" style="82" customWidth="1"/>
    <col min="8" max="8" width="12.7109375" style="81" customWidth="1"/>
    <col min="9" max="9" width="9.140625" style="81" customWidth="1"/>
    <col min="10" max="10" width="12.7109375" style="81" customWidth="1"/>
    <col min="11" max="11" width="15.85546875" style="81" customWidth="1"/>
    <col min="12" max="15" width="11.5703125" style="46" customWidth="1"/>
    <col min="16" max="16384" width="9.140625" style="46"/>
  </cols>
  <sheetData>
    <row r="2" spans="1:16" s="47" customFormat="1" ht="18" customHeight="1">
      <c r="A2" s="1"/>
      <c r="B2" s="741" t="s">
        <v>46</v>
      </c>
      <c r="C2" s="742" t="s">
        <v>47</v>
      </c>
      <c r="D2" s="743"/>
      <c r="E2" s="743"/>
      <c r="F2" s="743"/>
      <c r="G2" s="744"/>
      <c r="H2" s="745" t="s">
        <v>48</v>
      </c>
      <c r="I2" s="746"/>
      <c r="J2" s="746"/>
      <c r="K2" s="747"/>
    </row>
    <row r="3" spans="1:16" s="47" customFormat="1" ht="18" customHeight="1">
      <c r="A3" s="1"/>
      <c r="B3" s="721"/>
      <c r="C3" s="748" t="s">
        <v>49</v>
      </c>
      <c r="D3" s="749"/>
      <c r="E3" s="749"/>
      <c r="F3" s="749"/>
      <c r="G3" s="750"/>
      <c r="H3" s="726" t="s">
        <v>50</v>
      </c>
      <c r="I3" s="727"/>
      <c r="J3" s="727"/>
      <c r="K3" s="562" t="s">
        <v>908</v>
      </c>
    </row>
    <row r="4" spans="1:16" s="47" customFormat="1" ht="18" customHeight="1">
      <c r="A4" s="1"/>
      <c r="B4" s="721" t="s">
        <v>30</v>
      </c>
      <c r="C4" s="723" t="s">
        <v>901</v>
      </c>
      <c r="D4" s="724"/>
      <c r="E4" s="724"/>
      <c r="F4" s="724"/>
      <c r="G4" s="725"/>
      <c r="H4" s="726" t="s">
        <v>51</v>
      </c>
      <c r="I4" s="727"/>
      <c r="J4" s="727"/>
      <c r="K4" s="562" t="s">
        <v>908</v>
      </c>
    </row>
    <row r="5" spans="1:16" s="47" customFormat="1" ht="18" customHeight="1">
      <c r="A5" s="1"/>
      <c r="B5" s="721"/>
      <c r="C5" s="723" t="s">
        <v>122</v>
      </c>
      <c r="D5" s="728"/>
      <c r="E5" s="728"/>
      <c r="F5" s="728"/>
      <c r="G5" s="729"/>
      <c r="H5" s="730" t="s">
        <v>65</v>
      </c>
      <c r="I5" s="731"/>
      <c r="J5" s="731"/>
      <c r="K5" s="732"/>
      <c r="P5" s="173"/>
    </row>
    <row r="6" spans="1:16" s="47" customFormat="1" ht="18" customHeight="1">
      <c r="A6" s="1"/>
      <c r="B6" s="721"/>
      <c r="C6" s="723" t="s">
        <v>753</v>
      </c>
      <c r="D6" s="728"/>
      <c r="E6" s="728"/>
      <c r="F6" s="728"/>
      <c r="G6" s="729"/>
      <c r="H6" s="726" t="s">
        <v>52</v>
      </c>
      <c r="I6" s="727"/>
      <c r="J6" s="727"/>
      <c r="K6" s="563">
        <v>0.26979999999999998</v>
      </c>
      <c r="L6" s="47">
        <v>0</v>
      </c>
    </row>
    <row r="7" spans="1:16" s="47" customFormat="1" ht="18" customHeight="1">
      <c r="A7" s="1"/>
      <c r="B7" s="722"/>
      <c r="C7" s="767" t="s">
        <v>135</v>
      </c>
      <c r="D7" s="768"/>
      <c r="E7" s="768"/>
      <c r="F7" s="768"/>
      <c r="G7" s="769"/>
      <c r="H7" s="739" t="s">
        <v>53</v>
      </c>
      <c r="I7" s="740"/>
      <c r="J7" s="740"/>
      <c r="K7" s="564">
        <v>0.16800000000000001</v>
      </c>
    </row>
    <row r="8" spans="1:16" s="47" customFormat="1" ht="47.25" customHeight="1">
      <c r="A8" s="1"/>
      <c r="B8" s="592" t="s">
        <v>25</v>
      </c>
      <c r="C8" s="565" t="s">
        <v>31</v>
      </c>
      <c r="D8" s="566" t="s">
        <v>26</v>
      </c>
      <c r="E8" s="566" t="s">
        <v>54</v>
      </c>
      <c r="F8" s="565" t="s">
        <v>28</v>
      </c>
      <c r="G8" s="567" t="s">
        <v>27</v>
      </c>
      <c r="H8" s="565" t="s">
        <v>55</v>
      </c>
      <c r="I8" s="565" t="s">
        <v>56</v>
      </c>
      <c r="J8" s="565" t="s">
        <v>32</v>
      </c>
      <c r="K8" s="565" t="s">
        <v>33</v>
      </c>
    </row>
    <row r="9" spans="1:16" s="52" customFormat="1">
      <c r="A9" s="47"/>
      <c r="B9" s="48"/>
      <c r="C9" s="84"/>
      <c r="D9" s="49"/>
      <c r="E9" s="49"/>
      <c r="F9" s="50"/>
      <c r="G9" s="51"/>
      <c r="H9" s="50"/>
      <c r="I9" s="50"/>
      <c r="J9" s="50"/>
      <c r="K9" s="107"/>
      <c r="L9" s="139"/>
    </row>
    <row r="10" spans="1:16" s="52" customFormat="1" ht="31.5">
      <c r="A10" s="47"/>
      <c r="B10" s="552">
        <f>B14</f>
        <v>1</v>
      </c>
      <c r="C10" s="553" t="str">
        <f>UPPER(C14)</f>
        <v>FORNECIMENTO DE MATERIAIS E EQUIPAMENTOS</v>
      </c>
      <c r="D10" s="83"/>
      <c r="E10" s="83"/>
      <c r="F10" s="54"/>
      <c r="G10" s="55"/>
      <c r="H10" s="54"/>
      <c r="I10" s="54"/>
      <c r="J10" s="54"/>
      <c r="K10" s="110">
        <f>K28</f>
        <v>244873.85</v>
      </c>
      <c r="L10" s="139"/>
    </row>
    <row r="11" spans="1:16" s="52" customFormat="1">
      <c r="A11" s="47"/>
      <c r="B11" s="53"/>
      <c r="C11" s="83"/>
      <c r="D11" s="83"/>
      <c r="E11" s="83"/>
      <c r="F11" s="54"/>
      <c r="G11" s="55"/>
      <c r="H11" s="54"/>
      <c r="I11" s="54"/>
      <c r="J11" s="54"/>
      <c r="K11" s="111"/>
      <c r="L11" s="139"/>
    </row>
    <row r="12" spans="1:16" s="52" customFormat="1">
      <c r="A12" s="47"/>
      <c r="B12" s="690"/>
      <c r="C12" s="85" t="s">
        <v>34</v>
      </c>
      <c r="D12" s="85"/>
      <c r="E12" s="85"/>
      <c r="F12" s="85"/>
      <c r="G12" s="86"/>
      <c r="H12" s="85"/>
      <c r="I12" s="85"/>
      <c r="J12" s="85"/>
      <c r="K12" s="90">
        <f>SUM(K9:K11)</f>
        <v>244873.85</v>
      </c>
      <c r="L12" s="56"/>
    </row>
    <row r="13" spans="1:16" s="52" customFormat="1">
      <c r="A13" s="47"/>
      <c r="B13" s="112"/>
      <c r="C13" s="113"/>
      <c r="D13" s="113"/>
      <c r="E13" s="113"/>
      <c r="F13" s="114"/>
      <c r="G13" s="115"/>
      <c r="H13" s="116"/>
      <c r="I13" s="116"/>
      <c r="J13" s="116"/>
      <c r="K13" s="117"/>
    </row>
    <row r="14" spans="1:16" s="65" customFormat="1">
      <c r="B14" s="87">
        <v>1</v>
      </c>
      <c r="C14" s="88" t="s">
        <v>720</v>
      </c>
      <c r="D14" s="118"/>
      <c r="E14" s="118"/>
      <c r="F14" s="59"/>
      <c r="G14" s="66"/>
      <c r="H14" s="67"/>
      <c r="I14" s="119"/>
      <c r="J14" s="60">
        <f t="shared" ref="J14" si="0">ROUND(H14*(I14+1),2)</f>
        <v>0</v>
      </c>
      <c r="K14" s="120"/>
    </row>
    <row r="15" spans="1:16" s="52" customFormat="1" ht="31.5">
      <c r="A15" s="47"/>
      <c r="B15" s="554" t="s">
        <v>35</v>
      </c>
      <c r="C15" s="555" t="str">
        <f>'Resumo Preços'!$D$48</f>
        <v>Curva 90° com bolsas JGS, Ø 500mm, em ferro fundido, para água</v>
      </c>
      <c r="D15" s="279" t="str">
        <f>'Resumo Preços'!$C$48</f>
        <v>HM02971</v>
      </c>
      <c r="E15" s="280" t="str">
        <f>'Resumo Preços'!$F$48</f>
        <v>SABESP</v>
      </c>
      <c r="F15" s="281" t="str">
        <f>'Resumo Preços'!$E$48</f>
        <v>pç</v>
      </c>
      <c r="G15" s="282">
        <v>1</v>
      </c>
      <c r="H15" s="283">
        <f>ROUND('Resumo Preços'!$L$48,2)</f>
        <v>9711.89</v>
      </c>
      <c r="I15" s="119">
        <f t="shared" ref="I15:I26" si="1">$K$7</f>
        <v>0.16800000000000001</v>
      </c>
      <c r="J15" s="60">
        <f>ROUND(H15*(I15+1),2)</f>
        <v>11343.49</v>
      </c>
      <c r="K15" s="284">
        <f>ROUND(G15*J15,2)</f>
        <v>11343.49</v>
      </c>
      <c r="M15" s="513">
        <f>ROUND(G15*H15,2)</f>
        <v>9711.89</v>
      </c>
      <c r="N15" s="511"/>
      <c r="O15" s="511"/>
    </row>
    <row r="16" spans="1:16" s="52" customFormat="1" ht="47.25">
      <c r="A16" s="47"/>
      <c r="B16" s="554" t="s">
        <v>75</v>
      </c>
      <c r="C16" s="555" t="str">
        <f>'Resumo Preços'!$D$49</f>
        <v>Tubo com pontas, Ø 500mm, L = 4,70m (confirmar e ajustar em campo), em ferro fundido, para água</v>
      </c>
      <c r="D16" s="279" t="str">
        <f>'Resumo Preços'!$C$49</f>
        <v>HM04111</v>
      </c>
      <c r="E16" s="280" t="str">
        <f>'Resumo Preços'!$F$49</f>
        <v>SABESP</v>
      </c>
      <c r="F16" s="281" t="str">
        <f>'Resumo Preços'!$E$49</f>
        <v>pç</v>
      </c>
      <c r="G16" s="282">
        <v>1</v>
      </c>
      <c r="H16" s="283">
        <f>ROUND('Resumo Preços'!$L$49,2)</f>
        <v>5770.24</v>
      </c>
      <c r="I16" s="119">
        <f t="shared" si="1"/>
        <v>0.16800000000000001</v>
      </c>
      <c r="J16" s="60">
        <f t="shared" ref="J16:J28" si="2">ROUND(H16*(I16+1),2)</f>
        <v>6739.64</v>
      </c>
      <c r="K16" s="284">
        <f t="shared" ref="K16:K26" si="3">ROUND(G16*J16,2)</f>
        <v>6739.64</v>
      </c>
      <c r="M16" s="513">
        <f t="shared" ref="M16:M26" si="4">ROUND(G16*H16,2)</f>
        <v>5770.24</v>
      </c>
      <c r="N16" s="511"/>
      <c r="O16" s="511"/>
    </row>
    <row r="17" spans="1:17" s="52" customFormat="1" ht="31.5">
      <c r="A17" s="47"/>
      <c r="B17" s="554" t="s">
        <v>76</v>
      </c>
      <c r="C17" s="555" t="str">
        <f>'Resumo Preços'!$D$50</f>
        <v>Tubo ponta e bolsa JGS Ø 500mm, classe K7, L = 6,00m, em ferro fundido, para água</v>
      </c>
      <c r="D17" s="279" t="str">
        <f>'Resumo Preços'!$C$50</f>
        <v>HM04111</v>
      </c>
      <c r="E17" s="280" t="str">
        <f>'Resumo Preços'!$F$50</f>
        <v>SABESP</v>
      </c>
      <c r="F17" s="281" t="str">
        <f>'Resumo Preços'!$E$50</f>
        <v>pç</v>
      </c>
      <c r="G17" s="282">
        <v>7</v>
      </c>
      <c r="H17" s="283">
        <f>ROUND('Resumo Preços'!$L$50,2)</f>
        <v>7366.26</v>
      </c>
      <c r="I17" s="119">
        <f t="shared" si="1"/>
        <v>0.16800000000000001</v>
      </c>
      <c r="J17" s="60">
        <f t="shared" si="2"/>
        <v>8603.7900000000009</v>
      </c>
      <c r="K17" s="284">
        <f t="shared" si="3"/>
        <v>60226.53</v>
      </c>
      <c r="M17" s="513">
        <f t="shared" si="4"/>
        <v>51563.82</v>
      </c>
      <c r="N17" s="511"/>
      <c r="O17" s="511"/>
    </row>
    <row r="18" spans="1:17" s="52" customFormat="1" ht="31.5">
      <c r="A18" s="47"/>
      <c r="B18" s="554" t="s">
        <v>77</v>
      </c>
      <c r="C18" s="555" t="str">
        <f>'Resumo Preços'!$D$51</f>
        <v>Curva 45° com bolsas JGS, Ø 500mm, em ferro fundido, para água</v>
      </c>
      <c r="D18" s="279" t="str">
        <f>'Resumo Preços'!$C$51</f>
        <v>HM02961</v>
      </c>
      <c r="E18" s="280" t="str">
        <f>'Resumo Preços'!$F$51</f>
        <v>SABESP</v>
      </c>
      <c r="F18" s="281" t="str">
        <f>'Resumo Preços'!$E$51</f>
        <v>pç</v>
      </c>
      <c r="G18" s="282">
        <v>2</v>
      </c>
      <c r="H18" s="283">
        <f>ROUND('Resumo Preços'!$L$51,2)</f>
        <v>4566.8900000000003</v>
      </c>
      <c r="I18" s="119">
        <f t="shared" si="1"/>
        <v>0.16800000000000001</v>
      </c>
      <c r="J18" s="60">
        <f t="shared" si="2"/>
        <v>5334.13</v>
      </c>
      <c r="K18" s="284">
        <f t="shared" si="3"/>
        <v>10668.26</v>
      </c>
      <c r="M18" s="513">
        <f t="shared" si="4"/>
        <v>9133.7800000000007</v>
      </c>
      <c r="N18" s="511"/>
      <c r="O18" s="511"/>
    </row>
    <row r="19" spans="1:17" s="52" customFormat="1" ht="47.25">
      <c r="A19" s="47"/>
      <c r="B19" s="554" t="s">
        <v>78</v>
      </c>
      <c r="C19" s="555" t="str">
        <f>'Resumo Preços'!$D$52</f>
        <v>Tubo com flange e ponta, Ø 500mm, L = 1,55m, flange conf. ISO 2531 PN-10, em ferro fundido, para água</v>
      </c>
      <c r="D19" s="279" t="str">
        <f>'Resumo Preços'!$C$52</f>
        <v>HM04027</v>
      </c>
      <c r="E19" s="280" t="str">
        <f>'Resumo Preços'!$F$52</f>
        <v>SABESP</v>
      </c>
      <c r="F19" s="281" t="str">
        <f>'Resumo Preços'!$E$52</f>
        <v>pç</v>
      </c>
      <c r="G19" s="282">
        <v>2</v>
      </c>
      <c r="H19" s="283">
        <f>ROUND('Resumo Preços'!$L$52,2)</f>
        <v>6465.58</v>
      </c>
      <c r="I19" s="119">
        <f t="shared" si="1"/>
        <v>0.16800000000000001</v>
      </c>
      <c r="J19" s="60">
        <f t="shared" si="2"/>
        <v>7551.8</v>
      </c>
      <c r="K19" s="284">
        <f t="shared" si="3"/>
        <v>15103.6</v>
      </c>
      <c r="M19" s="513">
        <f t="shared" si="4"/>
        <v>12931.16</v>
      </c>
      <c r="N19" s="510">
        <f>ROUND((121.8*1.55)+38,2)</f>
        <v>226.79</v>
      </c>
      <c r="O19" s="516">
        <f t="shared" ref="O19:O23" si="5">ROUND(G19*N19,2)</f>
        <v>453.58</v>
      </c>
    </row>
    <row r="20" spans="1:17" s="52" customFormat="1" ht="31.5">
      <c r="A20" s="47"/>
      <c r="B20" s="554" t="s">
        <v>79</v>
      </c>
      <c r="C20" s="555" t="str">
        <f>'Resumo Preços'!$D$53</f>
        <v>Curva 45° com flanges Ø 500mm, flange conf. ISO 2531 PN-10, em ferro fundido, para água</v>
      </c>
      <c r="D20" s="279" t="str">
        <f>'Resumo Preços'!$C$53</f>
        <v>HM02982</v>
      </c>
      <c r="E20" s="280" t="str">
        <f>'Resumo Preços'!$F$53</f>
        <v>SABESP</v>
      </c>
      <c r="F20" s="281" t="str">
        <f>'Resumo Preços'!$E$53</f>
        <v>pç</v>
      </c>
      <c r="G20" s="282">
        <v>4</v>
      </c>
      <c r="H20" s="283">
        <f>ROUND('Resumo Preços'!$L$53,2)</f>
        <v>8811.56</v>
      </c>
      <c r="I20" s="119">
        <f t="shared" si="1"/>
        <v>0.16800000000000001</v>
      </c>
      <c r="J20" s="60">
        <f t="shared" si="2"/>
        <v>10291.9</v>
      </c>
      <c r="K20" s="284">
        <f t="shared" si="3"/>
        <v>41167.599999999999</v>
      </c>
      <c r="M20" s="513">
        <f t="shared" si="4"/>
        <v>35246.239999999998</v>
      </c>
      <c r="N20" s="510">
        <v>138</v>
      </c>
      <c r="O20" s="516">
        <f t="shared" si="5"/>
        <v>552</v>
      </c>
    </row>
    <row r="21" spans="1:17" s="52" customFormat="1" ht="47.25">
      <c r="A21" s="47"/>
      <c r="B21" s="554" t="s">
        <v>80</v>
      </c>
      <c r="C21" s="555" t="str">
        <f>'Resumo Preços'!$D$54</f>
        <v>Tubo com flanges, Ø 500mm, L = 1,82m, flange conf. ISO 2531 PN-10, em ferro fundido, para água</v>
      </c>
      <c r="D21" s="279" t="str">
        <f>'Resumo Preços'!$C$54</f>
        <v>HM03657</v>
      </c>
      <c r="E21" s="280" t="str">
        <f>'Resumo Preços'!$F$54</f>
        <v>SABESP</v>
      </c>
      <c r="F21" s="281" t="str">
        <f>'Resumo Preços'!$E$54</f>
        <v>pç</v>
      </c>
      <c r="G21" s="282">
        <v>2</v>
      </c>
      <c r="H21" s="283">
        <f>ROUND('Resumo Preços'!$L$54,2)</f>
        <v>8592.51</v>
      </c>
      <c r="I21" s="119">
        <f t="shared" si="1"/>
        <v>0.16800000000000001</v>
      </c>
      <c r="J21" s="60">
        <f t="shared" si="2"/>
        <v>10036.049999999999</v>
      </c>
      <c r="K21" s="284">
        <f t="shared" si="3"/>
        <v>20072.099999999999</v>
      </c>
      <c r="M21" s="513">
        <f t="shared" si="4"/>
        <v>17185.02</v>
      </c>
      <c r="N21" s="510">
        <f>ROUND((121.8*1.82)+38+38,2)</f>
        <v>297.68</v>
      </c>
      <c r="O21" s="516">
        <f t="shared" si="5"/>
        <v>595.36</v>
      </c>
    </row>
    <row r="22" spans="1:17" s="52" customFormat="1" ht="47.25">
      <c r="A22" s="47"/>
      <c r="B22" s="554" t="s">
        <v>118</v>
      </c>
      <c r="C22" s="555" t="str">
        <f>'Resumo Preços'!$D$55</f>
        <v>Tê com flanges Ø 500mm x Ø 500mm, flange conf. ISO 2531 PN-10, em ferro fundido, para água</v>
      </c>
      <c r="D22" s="279" t="str">
        <f>'Resumo Preços'!$C$55</f>
        <v>HM03398</v>
      </c>
      <c r="E22" s="280" t="str">
        <f>'Resumo Preços'!$F$55</f>
        <v>SABESP</v>
      </c>
      <c r="F22" s="281" t="str">
        <f>'Resumo Preços'!$E$55</f>
        <v>pç</v>
      </c>
      <c r="G22" s="282">
        <v>1</v>
      </c>
      <c r="H22" s="283">
        <f>ROUND('Resumo Preços'!$L$55,2)</f>
        <v>14188.07</v>
      </c>
      <c r="I22" s="119">
        <f t="shared" si="1"/>
        <v>0.16800000000000001</v>
      </c>
      <c r="J22" s="60">
        <f t="shared" si="2"/>
        <v>16571.669999999998</v>
      </c>
      <c r="K22" s="284">
        <f t="shared" si="3"/>
        <v>16571.669999999998</v>
      </c>
      <c r="M22" s="513">
        <f t="shared" si="4"/>
        <v>14188.07</v>
      </c>
      <c r="N22" s="510">
        <v>243</v>
      </c>
      <c r="O22" s="516">
        <f t="shared" si="5"/>
        <v>243</v>
      </c>
    </row>
    <row r="23" spans="1:17" s="52" customFormat="1" ht="47.25">
      <c r="A23" s="47"/>
      <c r="B23" s="554" t="s">
        <v>119</v>
      </c>
      <c r="C23" s="555" t="str">
        <f>'Resumo Preços'!$D$56</f>
        <v>Tubo com flanges, Ø 500mm, L = 0,45m, flange conf. ISO 2531 PN-10, em ferro fundido, para água</v>
      </c>
      <c r="D23" s="279" t="str">
        <f>'Resumo Preços'!$C$56</f>
        <v>HM03655</v>
      </c>
      <c r="E23" s="280" t="str">
        <f>'Resumo Preços'!$F$56</f>
        <v>SABESP</v>
      </c>
      <c r="F23" s="281" t="str">
        <f>'Resumo Preços'!$E$56</f>
        <v>pç</v>
      </c>
      <c r="G23" s="282">
        <v>1</v>
      </c>
      <c r="H23" s="283">
        <f>ROUND('Resumo Preços'!$L$56,2)</f>
        <v>6751.86</v>
      </c>
      <c r="I23" s="119">
        <f t="shared" si="1"/>
        <v>0.16800000000000001</v>
      </c>
      <c r="J23" s="60">
        <f t="shared" si="2"/>
        <v>7886.17</v>
      </c>
      <c r="K23" s="284">
        <f t="shared" si="3"/>
        <v>7886.17</v>
      </c>
      <c r="M23" s="513">
        <f t="shared" si="4"/>
        <v>6751.86</v>
      </c>
      <c r="N23" s="510">
        <f>ROUND((121.8*0.45)+38+38,2)</f>
        <v>130.81</v>
      </c>
      <c r="O23" s="516">
        <f t="shared" si="5"/>
        <v>130.81</v>
      </c>
    </row>
    <row r="24" spans="1:17" s="52" customFormat="1" ht="63">
      <c r="A24" s="47"/>
      <c r="B24" s="554" t="s">
        <v>120</v>
      </c>
      <c r="C24" s="555" t="str">
        <f>'Resumo Preços'!$D$57</f>
        <v>Registro de gaveta Ø 500mm, com flanges, cunha metálica, corpo oval e acionamento manual através de cabeçote, flange conf. ISO 2531 PN-10, em ferro fundido, para água</v>
      </c>
      <c r="D24" s="279" t="str">
        <f>'Resumo Preços'!$C$57</f>
        <v>HM07078</v>
      </c>
      <c r="E24" s="280" t="str">
        <f>'Resumo Preços'!$F$57</f>
        <v>SABESP</v>
      </c>
      <c r="F24" s="281" t="str">
        <f>'Resumo Preços'!$E$57</f>
        <v>pç</v>
      </c>
      <c r="G24" s="282">
        <v>1</v>
      </c>
      <c r="H24" s="283">
        <f>ROUND('Resumo Preços'!$L$57,2)</f>
        <v>30742.36</v>
      </c>
      <c r="I24" s="119">
        <f t="shared" si="1"/>
        <v>0.16800000000000001</v>
      </c>
      <c r="J24" s="60">
        <f t="shared" si="2"/>
        <v>35907.08</v>
      </c>
      <c r="K24" s="284">
        <f t="shared" si="3"/>
        <v>35907.08</v>
      </c>
      <c r="M24" s="549"/>
    </row>
    <row r="25" spans="1:17" s="52" customFormat="1" ht="47.25">
      <c r="A25" s="47"/>
      <c r="B25" s="554" t="s">
        <v>121</v>
      </c>
      <c r="C25" s="555" t="str">
        <f>'Resumo Preços'!$D$58</f>
        <v>Junta de desmontagem travada axialmente, Ø 500mm, flange conf. ISO 2531 PN-10, em ferro fundido, para água</v>
      </c>
      <c r="D25" s="279" t="str">
        <f>'Resumo Preços'!$C$58</f>
        <v>HM03164</v>
      </c>
      <c r="E25" s="280" t="str">
        <f>'Resumo Preços'!$F$58</f>
        <v>SABESP</v>
      </c>
      <c r="F25" s="281" t="str">
        <f>'Resumo Preços'!$E$58</f>
        <v>pç</v>
      </c>
      <c r="G25" s="282">
        <v>1</v>
      </c>
      <c r="H25" s="283">
        <f>ROUND('Resumo Preços'!$L$58,2)</f>
        <v>7660.64</v>
      </c>
      <c r="I25" s="119">
        <f t="shared" si="1"/>
        <v>0.16800000000000001</v>
      </c>
      <c r="J25" s="60">
        <f t="shared" si="2"/>
        <v>8947.6299999999992</v>
      </c>
      <c r="K25" s="284">
        <f t="shared" si="3"/>
        <v>8947.6299999999992</v>
      </c>
      <c r="M25" s="549"/>
    </row>
    <row r="26" spans="1:17" s="52" customFormat="1" ht="31.5">
      <c r="A26" s="47"/>
      <c r="B26" s="554" t="s">
        <v>145</v>
      </c>
      <c r="C26" s="555" t="str">
        <f>'Resumo Preços'!$D$59</f>
        <v>Acessórios para montagem de flanges Ø 500mm, flange conf. ISO 2531 PN-10</v>
      </c>
      <c r="D26" s="279" t="str">
        <f>'Resumo Preços'!$C$59</f>
        <v>HM01301</v>
      </c>
      <c r="E26" s="280" t="str">
        <f>'Resumo Preços'!$F$59</f>
        <v>SABESP</v>
      </c>
      <c r="F26" s="281" t="str">
        <f>'Resumo Preços'!$E$59</f>
        <v>cj</v>
      </c>
      <c r="G26" s="282">
        <v>12</v>
      </c>
      <c r="H26" s="283">
        <f>ROUND('Resumo Preços'!$L$59,2)</f>
        <v>730.6</v>
      </c>
      <c r="I26" s="119">
        <f t="shared" si="1"/>
        <v>0.16800000000000001</v>
      </c>
      <c r="J26" s="60">
        <f t="shared" si="2"/>
        <v>853.34</v>
      </c>
      <c r="K26" s="284">
        <f t="shared" si="3"/>
        <v>10240.08</v>
      </c>
      <c r="M26" s="513">
        <f t="shared" si="4"/>
        <v>8767.2000000000007</v>
      </c>
      <c r="N26" s="510">
        <f>ROUND((1*1.235)+(1*11),2)</f>
        <v>12.24</v>
      </c>
      <c r="O26" s="516">
        <f>ROUND(G26*N26,2)</f>
        <v>146.88</v>
      </c>
    </row>
    <row r="27" spans="1:17" s="65" customFormat="1">
      <c r="B27" s="69"/>
      <c r="C27" s="58"/>
      <c r="D27" s="118"/>
      <c r="E27" s="118"/>
      <c r="F27" s="59"/>
      <c r="G27" s="66"/>
      <c r="H27" s="67"/>
      <c r="I27" s="119"/>
      <c r="J27" s="60">
        <f t="shared" si="2"/>
        <v>0</v>
      </c>
      <c r="K27" s="120"/>
    </row>
    <row r="28" spans="1:17" s="65" customFormat="1">
      <c r="B28" s="69"/>
      <c r="C28" s="63" t="s">
        <v>36</v>
      </c>
      <c r="D28" s="122"/>
      <c r="E28" s="74"/>
      <c r="F28" s="75"/>
      <c r="G28" s="70"/>
      <c r="H28" s="71"/>
      <c r="I28" s="119"/>
      <c r="J28" s="60">
        <f t="shared" si="2"/>
        <v>0</v>
      </c>
      <c r="K28" s="123">
        <f>SUM(K15:K27)</f>
        <v>244873.85</v>
      </c>
      <c r="L28" s="68"/>
      <c r="M28" s="514">
        <f>SUM(M15:M27)</f>
        <v>171249.28</v>
      </c>
      <c r="N28" s="515">
        <f>ROUND(M28*0.2,2)</f>
        <v>34249.86</v>
      </c>
      <c r="O28" s="520">
        <f>SUM(O15:O27)</f>
        <v>2121.63</v>
      </c>
      <c r="P28" s="521" t="s">
        <v>694</v>
      </c>
      <c r="Q28" s="522"/>
    </row>
    <row r="29" spans="1:17" s="47" customFormat="1">
      <c r="B29" s="72"/>
      <c r="C29" s="127"/>
      <c r="D29" s="124"/>
      <c r="E29" s="124"/>
      <c r="F29" s="124"/>
      <c r="G29" s="129"/>
      <c r="H29" s="73"/>
      <c r="I29" s="120"/>
      <c r="J29" s="125"/>
      <c r="K29" s="126"/>
    </row>
    <row r="30" spans="1:17" s="47" customFormat="1">
      <c r="B30" s="72"/>
      <c r="C30" s="127"/>
      <c r="D30" s="124"/>
      <c r="E30" s="124"/>
      <c r="F30" s="124"/>
      <c r="G30" s="59"/>
      <c r="H30" s="128"/>
      <c r="I30" s="120"/>
      <c r="J30" s="125"/>
      <c r="K30" s="126"/>
    </row>
    <row r="31" spans="1:17" s="47" customFormat="1">
      <c r="B31" s="62"/>
      <c r="C31" s="64" t="s">
        <v>34</v>
      </c>
      <c r="D31" s="130"/>
      <c r="E31" s="130"/>
      <c r="F31" s="76"/>
      <c r="G31" s="57"/>
      <c r="H31" s="77"/>
      <c r="I31" s="77"/>
      <c r="J31" s="77"/>
      <c r="K31" s="78">
        <f>SUM(K14:K30)/2</f>
        <v>244873.85</v>
      </c>
    </row>
    <row r="32" spans="1:17" s="47" customFormat="1">
      <c r="B32" s="112"/>
      <c r="C32" s="131"/>
      <c r="D32" s="132"/>
      <c r="E32" s="132"/>
      <c r="F32" s="133"/>
      <c r="G32" s="115"/>
      <c r="H32" s="134"/>
      <c r="I32" s="134"/>
      <c r="J32" s="134"/>
      <c r="K32" s="116"/>
    </row>
  </sheetData>
  <mergeCells count="14">
    <mergeCell ref="C6:G6"/>
    <mergeCell ref="H6:J6"/>
    <mergeCell ref="C7:G7"/>
    <mergeCell ref="H7:J7"/>
    <mergeCell ref="B2:B3"/>
    <mergeCell ref="C2:G2"/>
    <mergeCell ref="H2:K2"/>
    <mergeCell ref="C3:G3"/>
    <mergeCell ref="H3:J3"/>
    <mergeCell ref="B4:B7"/>
    <mergeCell ref="C4:G4"/>
    <mergeCell ref="H4:J4"/>
    <mergeCell ref="C5:G5"/>
    <mergeCell ref="H5:K5"/>
  </mergeCells>
  <printOptions horizontalCentered="1"/>
  <pageMargins left="0.59055118110236227" right="0.51181102362204722" top="0.98425196850393704" bottom="0.78740157480314965" header="0.39370078740157483" footer="0.39370078740157483"/>
  <pageSetup paperSize="9" scale="65" firstPageNumber="4" orientation="portrait" r:id="rId1"/>
  <headerFooter scaleWithDoc="0">
    <oddHeader>&amp;L&amp;"Arial,Itálico"&amp;10Rev-1&amp;R&amp;G</oddHeader>
    <oddFooter>&amp;L&amp;"Arial,Negrito"&amp;10CTR 477F&amp;C&amp;"Arial,Negrito"&amp;10 2.&amp;P</oddFooter>
  </headerFooter>
  <rowBreaks count="1" manualBreakCount="1">
    <brk id="13" max="16383" man="1"/>
  </rowBreaks>
  <ignoredErrors>
    <ignoredError sqref="N28" formula="1"/>
  </ignoredErrors>
  <legacyDrawingHF r:id="rId2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2:P29"/>
  <sheetViews>
    <sheetView showGridLines="0" showZeros="0" topLeftCell="A4" zoomScaleNormal="100" zoomScaleSheetLayoutView="100" workbookViewId="0">
      <selection activeCell="B4" sqref="B4:W5"/>
    </sheetView>
  </sheetViews>
  <sheetFormatPr defaultColWidth="9.140625" defaultRowHeight="15.75"/>
  <cols>
    <col min="1" max="1" width="3.7109375" style="46" customWidth="1"/>
    <col min="2" max="2" width="8.7109375" style="79" customWidth="1"/>
    <col min="3" max="3" width="43.7109375" style="80" customWidth="1"/>
    <col min="4" max="5" width="9.85546875" style="80" customWidth="1"/>
    <col min="6" max="6" width="7.140625" style="81" customWidth="1"/>
    <col min="7" max="7" width="10.5703125" style="82" customWidth="1"/>
    <col min="8" max="8" width="12.7109375" style="81" customWidth="1"/>
    <col min="9" max="9" width="9.140625" style="81" customWidth="1"/>
    <col min="10" max="10" width="12.7109375" style="81" customWidth="1"/>
    <col min="11" max="11" width="15.85546875" style="81" customWidth="1"/>
    <col min="12" max="12" width="10.5703125" style="46" bestFit="1" customWidth="1"/>
    <col min="13" max="13" width="9.5703125" style="46" bestFit="1" customWidth="1"/>
    <col min="14" max="14" width="10.140625" style="46" bestFit="1" customWidth="1"/>
    <col min="15" max="15" width="9.28515625" style="46" bestFit="1" customWidth="1"/>
    <col min="16" max="16384" width="9.140625" style="46"/>
  </cols>
  <sheetData>
    <row r="2" spans="1:16" s="47" customFormat="1" ht="18" customHeight="1">
      <c r="A2" s="1"/>
      <c r="B2" s="741" t="s">
        <v>46</v>
      </c>
      <c r="C2" s="742" t="s">
        <v>47</v>
      </c>
      <c r="D2" s="743"/>
      <c r="E2" s="743"/>
      <c r="F2" s="743"/>
      <c r="G2" s="744"/>
      <c r="H2" s="745" t="s">
        <v>48</v>
      </c>
      <c r="I2" s="746"/>
      <c r="J2" s="746"/>
      <c r="K2" s="747"/>
    </row>
    <row r="3" spans="1:16" s="47" customFormat="1" ht="18" customHeight="1">
      <c r="A3" s="1"/>
      <c r="B3" s="721"/>
      <c r="C3" s="748" t="s">
        <v>49</v>
      </c>
      <c r="D3" s="749"/>
      <c r="E3" s="749"/>
      <c r="F3" s="749"/>
      <c r="G3" s="750"/>
      <c r="H3" s="726" t="s">
        <v>50</v>
      </c>
      <c r="I3" s="727"/>
      <c r="J3" s="727"/>
      <c r="K3" s="562" t="s">
        <v>908</v>
      </c>
    </row>
    <row r="4" spans="1:16" s="47" customFormat="1" ht="18" customHeight="1">
      <c r="A4" s="1"/>
      <c r="B4" s="721" t="s">
        <v>30</v>
      </c>
      <c r="C4" s="723" t="s">
        <v>901</v>
      </c>
      <c r="D4" s="724"/>
      <c r="E4" s="724"/>
      <c r="F4" s="724"/>
      <c r="G4" s="725"/>
      <c r="H4" s="726" t="s">
        <v>51</v>
      </c>
      <c r="I4" s="727"/>
      <c r="J4" s="727"/>
      <c r="K4" s="562" t="s">
        <v>908</v>
      </c>
    </row>
    <row r="5" spans="1:16" s="47" customFormat="1" ht="18" customHeight="1">
      <c r="A5" s="1"/>
      <c r="B5" s="721"/>
      <c r="C5" s="723" t="s">
        <v>122</v>
      </c>
      <c r="D5" s="728"/>
      <c r="E5" s="728"/>
      <c r="F5" s="728"/>
      <c r="G5" s="729"/>
      <c r="H5" s="730" t="s">
        <v>65</v>
      </c>
      <c r="I5" s="731"/>
      <c r="J5" s="731"/>
      <c r="K5" s="732"/>
    </row>
    <row r="6" spans="1:16" s="47" customFormat="1" ht="18" customHeight="1">
      <c r="A6" s="1"/>
      <c r="B6" s="721"/>
      <c r="C6" s="723" t="s">
        <v>755</v>
      </c>
      <c r="D6" s="728"/>
      <c r="E6" s="728"/>
      <c r="F6" s="728"/>
      <c r="G6" s="729"/>
      <c r="H6" s="726" t="s">
        <v>52</v>
      </c>
      <c r="I6" s="727"/>
      <c r="J6" s="727"/>
      <c r="K6" s="563">
        <v>0.26979999999999998</v>
      </c>
      <c r="L6" s="47">
        <v>0</v>
      </c>
    </row>
    <row r="7" spans="1:16" s="47" customFormat="1" ht="18" customHeight="1">
      <c r="A7" s="1"/>
      <c r="B7" s="722"/>
      <c r="C7" s="767" t="s">
        <v>3</v>
      </c>
      <c r="D7" s="768"/>
      <c r="E7" s="768"/>
      <c r="F7" s="768"/>
      <c r="G7" s="769"/>
      <c r="H7" s="739" t="s">
        <v>53</v>
      </c>
      <c r="I7" s="740"/>
      <c r="J7" s="740"/>
      <c r="K7" s="564">
        <v>0.16800000000000001</v>
      </c>
    </row>
    <row r="8" spans="1:16" s="47" customFormat="1" ht="47.25" customHeight="1">
      <c r="A8" s="1"/>
      <c r="B8" s="592" t="s">
        <v>25</v>
      </c>
      <c r="C8" s="565" t="s">
        <v>31</v>
      </c>
      <c r="D8" s="566" t="s">
        <v>26</v>
      </c>
      <c r="E8" s="566" t="s">
        <v>54</v>
      </c>
      <c r="F8" s="565" t="s">
        <v>28</v>
      </c>
      <c r="G8" s="567" t="s">
        <v>27</v>
      </c>
      <c r="H8" s="565" t="s">
        <v>55</v>
      </c>
      <c r="I8" s="565" t="s">
        <v>56</v>
      </c>
      <c r="J8" s="565" t="s">
        <v>32</v>
      </c>
      <c r="K8" s="565" t="s">
        <v>33</v>
      </c>
    </row>
    <row r="9" spans="1:16" s="52" customFormat="1">
      <c r="A9" s="47"/>
      <c r="B9" s="53"/>
      <c r="C9" s="83"/>
      <c r="D9" s="83"/>
      <c r="E9" s="83"/>
      <c r="F9" s="54"/>
      <c r="G9" s="55"/>
      <c r="H9" s="54"/>
      <c r="I9" s="54"/>
      <c r="J9" s="54"/>
      <c r="K9" s="111"/>
      <c r="L9" s="139"/>
    </row>
    <row r="10" spans="1:16" s="52" customFormat="1">
      <c r="A10" s="47"/>
      <c r="B10" s="552">
        <f>B14</f>
        <v>1</v>
      </c>
      <c r="C10" s="553" t="str">
        <f>UPPER(C14)</f>
        <v>MONTAGEM DE TUBOS E PEÇAS</v>
      </c>
      <c r="D10" s="83"/>
      <c r="E10" s="83"/>
      <c r="F10" s="54"/>
      <c r="G10" s="55"/>
      <c r="H10" s="54"/>
      <c r="I10" s="54"/>
      <c r="J10" s="54"/>
      <c r="K10" s="110">
        <f>K21</f>
        <v>1734.3899999999999</v>
      </c>
      <c r="L10" s="139"/>
    </row>
    <row r="11" spans="1:16" s="52" customFormat="1">
      <c r="A11" s="47"/>
      <c r="B11" s="53"/>
      <c r="C11" s="83"/>
      <c r="D11" s="83"/>
      <c r="E11" s="83"/>
      <c r="F11" s="54"/>
      <c r="G11" s="55"/>
      <c r="H11" s="54"/>
      <c r="I11" s="54"/>
      <c r="J11" s="54"/>
      <c r="K11" s="111"/>
      <c r="L11" s="139"/>
    </row>
    <row r="12" spans="1:16" s="52" customFormat="1">
      <c r="A12" s="47"/>
      <c r="B12" s="690"/>
      <c r="C12" s="85" t="s">
        <v>34</v>
      </c>
      <c r="D12" s="85"/>
      <c r="E12" s="85"/>
      <c r="F12" s="85"/>
      <c r="G12" s="86"/>
      <c r="H12" s="85"/>
      <c r="I12" s="85"/>
      <c r="J12" s="85"/>
      <c r="K12" s="90">
        <f>SUM(K9:K11)</f>
        <v>1734.3899999999999</v>
      </c>
      <c r="L12" s="56"/>
    </row>
    <row r="13" spans="1:16" s="52" customFormat="1">
      <c r="A13" s="47"/>
      <c r="B13" s="112"/>
      <c r="C13" s="113"/>
      <c r="D13" s="113"/>
      <c r="E13" s="113"/>
      <c r="F13" s="114"/>
      <c r="G13" s="115"/>
      <c r="H13" s="116"/>
      <c r="I13" s="116"/>
      <c r="J13" s="116"/>
      <c r="K13" s="117"/>
    </row>
    <row r="14" spans="1:16" s="47" customFormat="1">
      <c r="B14" s="87">
        <v>1</v>
      </c>
      <c r="C14" s="88" t="s">
        <v>756</v>
      </c>
      <c r="D14" s="118"/>
      <c r="E14" s="118"/>
      <c r="F14" s="59"/>
      <c r="G14" s="66"/>
      <c r="H14" s="67"/>
      <c r="I14" s="316"/>
      <c r="J14" s="73"/>
      <c r="K14" s="120"/>
    </row>
    <row r="15" spans="1:16" s="47" customFormat="1">
      <c r="B15" s="554" t="s">
        <v>35</v>
      </c>
      <c r="C15" s="555" t="s">
        <v>710</v>
      </c>
      <c r="D15" s="529"/>
      <c r="E15" s="118"/>
      <c r="F15" s="59"/>
      <c r="G15" s="66"/>
      <c r="H15" s="67"/>
      <c r="I15" s="316"/>
      <c r="J15" s="60"/>
      <c r="K15" s="284"/>
    </row>
    <row r="16" spans="1:16" s="287" customFormat="1" ht="31.5">
      <c r="B16" s="554" t="s">
        <v>757</v>
      </c>
      <c r="C16" s="556" t="s">
        <v>456</v>
      </c>
      <c r="D16" s="279">
        <v>70080342</v>
      </c>
      <c r="E16" s="118" t="s">
        <v>5</v>
      </c>
      <c r="F16" s="59" t="s">
        <v>457</v>
      </c>
      <c r="G16" s="89">
        <f>ROUND('ME-Respiro'!$O$20/1000,2)</f>
        <v>0.55000000000000004</v>
      </c>
      <c r="H16" s="60">
        <f>144.08/1.28</f>
        <v>112.56250000000001</v>
      </c>
      <c r="I16" s="119">
        <f t="shared" ref="I16:I19" si="0">$K$6</f>
        <v>0.26979999999999998</v>
      </c>
      <c r="J16" s="60">
        <f>ROUND(H16*(I16+1),2)</f>
        <v>142.93</v>
      </c>
      <c r="K16" s="120">
        <f>ROUND(J16*G16,2)</f>
        <v>78.61</v>
      </c>
      <c r="M16" s="301"/>
      <c r="N16" s="301"/>
      <c r="O16" s="317"/>
      <c r="P16" s="301"/>
    </row>
    <row r="17" spans="1:16" s="287" customFormat="1">
      <c r="B17" s="554" t="s">
        <v>758</v>
      </c>
      <c r="C17" s="556" t="s">
        <v>458</v>
      </c>
      <c r="D17" s="279">
        <v>70080343</v>
      </c>
      <c r="E17" s="118" t="s">
        <v>5</v>
      </c>
      <c r="F17" s="59" t="s">
        <v>459</v>
      </c>
      <c r="G17" s="89">
        <f>ROUND('ME-Respiro'!$O$20/1000*30,2)</f>
        <v>16.489999999999998</v>
      </c>
      <c r="H17" s="60">
        <f>4.12/1.28</f>
        <v>3.21875</v>
      </c>
      <c r="I17" s="119">
        <f t="shared" si="0"/>
        <v>0.26979999999999998</v>
      </c>
      <c r="J17" s="60">
        <f>ROUND(H17*(I17+1),2)</f>
        <v>4.09</v>
      </c>
      <c r="K17" s="120">
        <f>ROUND(J17*G17,2)</f>
        <v>67.44</v>
      </c>
      <c r="M17" s="317"/>
      <c r="N17" s="301"/>
      <c r="O17" s="301"/>
      <c r="P17" s="301"/>
    </row>
    <row r="18" spans="1:16" s="52" customFormat="1">
      <c r="A18" s="47"/>
      <c r="B18" s="554" t="s">
        <v>75</v>
      </c>
      <c r="C18" s="555" t="s">
        <v>405</v>
      </c>
      <c r="D18" s="279"/>
      <c r="E18" s="280"/>
      <c r="F18" s="281"/>
      <c r="G18" s="282"/>
      <c r="H18" s="283"/>
      <c r="I18" s="316"/>
      <c r="J18" s="60"/>
      <c r="K18" s="284"/>
      <c r="M18" s="205"/>
      <c r="N18" s="1">
        <f>ROUND(G18*H18,2)</f>
        <v>0</v>
      </c>
    </row>
    <row r="19" spans="1:16" s="287" customFormat="1" ht="31.5">
      <c r="B19" s="554" t="s">
        <v>759</v>
      </c>
      <c r="C19" s="556" t="s">
        <v>718</v>
      </c>
      <c r="D19" s="279">
        <v>70140023</v>
      </c>
      <c r="E19" s="118" t="s">
        <v>5</v>
      </c>
      <c r="F19" s="59" t="s">
        <v>61</v>
      </c>
      <c r="G19" s="89">
        <f>ROUND('ME-Respiro'!$O$20,2)</f>
        <v>549.6</v>
      </c>
      <c r="H19" s="60">
        <f>2.91/1.28</f>
        <v>2.2734375</v>
      </c>
      <c r="I19" s="119">
        <f t="shared" si="0"/>
        <v>0.26979999999999998</v>
      </c>
      <c r="J19" s="60">
        <f>ROUND(H19*(I19+1),2)</f>
        <v>2.89</v>
      </c>
      <c r="K19" s="120">
        <f>ROUND(J19*G19,2)</f>
        <v>1588.34</v>
      </c>
      <c r="M19" s="317"/>
      <c r="N19" s="301"/>
      <c r="O19" s="301"/>
      <c r="P19" s="301"/>
    </row>
    <row r="20" spans="1:16" s="47" customFormat="1">
      <c r="B20" s="72"/>
      <c r="C20" s="307"/>
      <c r="D20" s="124"/>
      <c r="E20" s="124"/>
      <c r="F20" s="124"/>
      <c r="G20" s="318"/>
      <c r="H20" s="70"/>
      <c r="I20" s="70"/>
      <c r="J20" s="125"/>
      <c r="K20" s="126"/>
    </row>
    <row r="21" spans="1:16" s="47" customFormat="1">
      <c r="B21" s="72"/>
      <c r="C21" s="63" t="s">
        <v>36</v>
      </c>
      <c r="D21" s="122"/>
      <c r="E21" s="74"/>
      <c r="F21" s="75"/>
      <c r="G21" s="315"/>
      <c r="H21" s="70"/>
      <c r="I21" s="316"/>
      <c r="J21" s="60">
        <f>ROUND(H21*(I21+1),2)</f>
        <v>0</v>
      </c>
      <c r="K21" s="123">
        <f>SUM(K16:K20)</f>
        <v>1734.3899999999999</v>
      </c>
    </row>
    <row r="22" spans="1:16" s="47" customFormat="1">
      <c r="B22" s="72"/>
      <c r="C22" s="127"/>
      <c r="D22" s="124"/>
      <c r="E22" s="124"/>
      <c r="F22" s="124"/>
      <c r="G22" s="129"/>
      <c r="H22" s="73"/>
      <c r="I22" s="120"/>
      <c r="J22" s="125"/>
      <c r="K22" s="126"/>
    </row>
    <row r="23" spans="1:16" s="47" customFormat="1">
      <c r="B23" s="72"/>
      <c r="C23" s="127"/>
      <c r="D23" s="124"/>
      <c r="E23" s="124"/>
      <c r="F23" s="124"/>
      <c r="G23" s="59"/>
      <c r="H23" s="128"/>
      <c r="I23" s="120"/>
      <c r="J23" s="125"/>
      <c r="K23" s="126"/>
    </row>
    <row r="24" spans="1:16" s="47" customFormat="1">
      <c r="B24" s="62"/>
      <c r="C24" s="64" t="s">
        <v>34</v>
      </c>
      <c r="D24" s="130"/>
      <c r="E24" s="130"/>
      <c r="F24" s="76"/>
      <c r="G24" s="57"/>
      <c r="H24" s="77"/>
      <c r="I24" s="77"/>
      <c r="J24" s="77"/>
      <c r="K24" s="78">
        <f>SUM(K14:K23)/2</f>
        <v>1734.3899999999999</v>
      </c>
    </row>
    <row r="25" spans="1:16" s="47" customFormat="1">
      <c r="B25" s="112"/>
      <c r="C25" s="131"/>
      <c r="D25" s="132"/>
      <c r="E25" s="132"/>
      <c r="F25" s="133"/>
      <c r="G25" s="115"/>
      <c r="H25" s="134"/>
      <c r="I25" s="134"/>
      <c r="J25" s="134"/>
      <c r="K25" s="116"/>
    </row>
    <row r="26" spans="1:16" s="47" customFormat="1">
      <c r="B26" s="285"/>
      <c r="C26" s="286"/>
      <c r="D26" s="286"/>
      <c r="E26" s="286"/>
      <c r="F26" s="287"/>
      <c r="G26" s="288"/>
      <c r="H26" s="287"/>
      <c r="I26" s="287"/>
      <c r="J26" s="287"/>
      <c r="K26" s="287"/>
    </row>
    <row r="27" spans="1:16" s="47" customFormat="1">
      <c r="B27" s="285"/>
      <c r="C27" s="286"/>
      <c r="D27" s="286"/>
      <c r="E27" s="286"/>
      <c r="F27" s="287"/>
      <c r="G27" s="288"/>
      <c r="H27" s="287"/>
      <c r="I27" s="287"/>
      <c r="J27" s="287"/>
      <c r="K27" s="287"/>
    </row>
    <row r="28" spans="1:16" s="47" customFormat="1">
      <c r="B28" s="285"/>
      <c r="C28" s="286"/>
      <c r="D28" s="286"/>
      <c r="E28" s="286"/>
      <c r="F28" s="287"/>
      <c r="G28" s="288"/>
      <c r="H28" s="287"/>
      <c r="I28" s="287"/>
      <c r="J28" s="287"/>
      <c r="K28" s="287"/>
    </row>
    <row r="29" spans="1:16" s="47" customFormat="1">
      <c r="B29" s="285"/>
      <c r="C29" s="286"/>
      <c r="D29" s="286"/>
      <c r="E29" s="286"/>
      <c r="F29" s="287"/>
      <c r="G29" s="288"/>
      <c r="H29" s="287"/>
      <c r="I29" s="287"/>
      <c r="J29" s="287"/>
      <c r="K29" s="287"/>
    </row>
  </sheetData>
  <mergeCells count="14">
    <mergeCell ref="C6:G6"/>
    <mergeCell ref="H6:J6"/>
    <mergeCell ref="C7:G7"/>
    <mergeCell ref="H7:J7"/>
    <mergeCell ref="B2:B3"/>
    <mergeCell ref="C2:G2"/>
    <mergeCell ref="H2:K2"/>
    <mergeCell ref="C3:G3"/>
    <mergeCell ref="H3:J3"/>
    <mergeCell ref="B4:B7"/>
    <mergeCell ref="C4:G4"/>
    <mergeCell ref="H4:J4"/>
    <mergeCell ref="C5:G5"/>
    <mergeCell ref="H5:K5"/>
  </mergeCells>
  <printOptions horizontalCentered="1"/>
  <pageMargins left="0.59055118110236227" right="0.51181102362204722" top="0.98425196850393704" bottom="0.78740157480314965" header="0.39370078740157483" footer="0.39370078740157483"/>
  <pageSetup paperSize="9" scale="65" firstPageNumber="4" orientation="portrait" r:id="rId1"/>
  <headerFooter scaleWithDoc="0">
    <oddHeader>&amp;L&amp;"Arial,Itálico"&amp;10Rev-1&amp;R&amp;G</oddHeader>
    <oddFooter>&amp;L&amp;"Arial,Negrito"&amp;10CTR 477F&amp;C&amp;"Arial,Negrito"&amp;10 2.&amp;P</oddFooter>
  </headerFooter>
  <rowBreaks count="1" manualBreakCount="1">
    <brk id="13" max="16383" man="1"/>
  </rowBreaks>
  <legacyDrawingHF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2:Q24"/>
  <sheetViews>
    <sheetView showGridLines="0" showZeros="0" zoomScaleNormal="100" zoomScaleSheetLayoutView="100" workbookViewId="0">
      <selection activeCell="B4" sqref="B4:W5"/>
    </sheetView>
  </sheetViews>
  <sheetFormatPr defaultColWidth="9.140625" defaultRowHeight="15.75"/>
  <cols>
    <col min="1" max="1" width="3.7109375" style="46" customWidth="1"/>
    <col min="2" max="2" width="8.7109375" style="79" customWidth="1"/>
    <col min="3" max="3" width="43.7109375" style="80" customWidth="1"/>
    <col min="4" max="5" width="9.85546875" style="80" customWidth="1"/>
    <col min="6" max="6" width="7.140625" style="81" customWidth="1"/>
    <col min="7" max="7" width="10.5703125" style="82" customWidth="1"/>
    <col min="8" max="8" width="12.7109375" style="81" customWidth="1"/>
    <col min="9" max="9" width="9.140625" style="81" customWidth="1"/>
    <col min="10" max="10" width="12.7109375" style="81" customWidth="1"/>
    <col min="11" max="11" width="15.85546875" style="81" customWidth="1"/>
    <col min="12" max="15" width="11.5703125" style="46" customWidth="1"/>
    <col min="16" max="16384" width="9.140625" style="46"/>
  </cols>
  <sheetData>
    <row r="2" spans="1:16" s="47" customFormat="1" ht="18" customHeight="1">
      <c r="A2" s="1"/>
      <c r="B2" s="741" t="s">
        <v>46</v>
      </c>
      <c r="C2" s="742" t="s">
        <v>47</v>
      </c>
      <c r="D2" s="743"/>
      <c r="E2" s="743"/>
      <c r="F2" s="743"/>
      <c r="G2" s="744"/>
      <c r="H2" s="745" t="s">
        <v>48</v>
      </c>
      <c r="I2" s="746"/>
      <c r="J2" s="746"/>
      <c r="K2" s="747"/>
    </row>
    <row r="3" spans="1:16" s="47" customFormat="1" ht="18" customHeight="1">
      <c r="A3" s="1"/>
      <c r="B3" s="721"/>
      <c r="C3" s="748" t="s">
        <v>49</v>
      </c>
      <c r="D3" s="749"/>
      <c r="E3" s="749"/>
      <c r="F3" s="749"/>
      <c r="G3" s="750"/>
      <c r="H3" s="726" t="s">
        <v>50</v>
      </c>
      <c r="I3" s="727"/>
      <c r="J3" s="727"/>
      <c r="K3" s="562" t="s">
        <v>908</v>
      </c>
    </row>
    <row r="4" spans="1:16" s="47" customFormat="1" ht="18" customHeight="1">
      <c r="A4" s="1"/>
      <c r="B4" s="721" t="s">
        <v>30</v>
      </c>
      <c r="C4" s="723" t="s">
        <v>901</v>
      </c>
      <c r="D4" s="724"/>
      <c r="E4" s="724"/>
      <c r="F4" s="724"/>
      <c r="G4" s="725"/>
      <c r="H4" s="726" t="s">
        <v>51</v>
      </c>
      <c r="I4" s="727"/>
      <c r="J4" s="727"/>
      <c r="K4" s="562" t="s">
        <v>908</v>
      </c>
    </row>
    <row r="5" spans="1:16" s="47" customFormat="1" ht="18" customHeight="1">
      <c r="A5" s="1"/>
      <c r="B5" s="721"/>
      <c r="C5" s="723" t="s">
        <v>122</v>
      </c>
      <c r="D5" s="728"/>
      <c r="E5" s="728"/>
      <c r="F5" s="728"/>
      <c r="G5" s="729"/>
      <c r="H5" s="730" t="s">
        <v>65</v>
      </c>
      <c r="I5" s="731"/>
      <c r="J5" s="731"/>
      <c r="K5" s="732"/>
      <c r="P5" s="173"/>
    </row>
    <row r="6" spans="1:16" s="47" customFormat="1" ht="18" customHeight="1">
      <c r="A6" s="1"/>
      <c r="B6" s="721"/>
      <c r="C6" s="723" t="s">
        <v>755</v>
      </c>
      <c r="D6" s="728"/>
      <c r="E6" s="728"/>
      <c r="F6" s="728"/>
      <c r="G6" s="729"/>
      <c r="H6" s="726" t="s">
        <v>52</v>
      </c>
      <c r="I6" s="727"/>
      <c r="J6" s="727"/>
      <c r="K6" s="563">
        <v>0.26979999999999998</v>
      </c>
      <c r="L6" s="47">
        <v>0</v>
      </c>
    </row>
    <row r="7" spans="1:16" s="47" customFormat="1" ht="18" customHeight="1">
      <c r="A7" s="1"/>
      <c r="B7" s="722"/>
      <c r="C7" s="767" t="s">
        <v>135</v>
      </c>
      <c r="D7" s="768"/>
      <c r="E7" s="768"/>
      <c r="F7" s="768"/>
      <c r="G7" s="769"/>
      <c r="H7" s="739" t="s">
        <v>53</v>
      </c>
      <c r="I7" s="740"/>
      <c r="J7" s="740"/>
      <c r="K7" s="564">
        <v>0.16800000000000001</v>
      </c>
    </row>
    <row r="8" spans="1:16" s="47" customFormat="1" ht="47.25" customHeight="1">
      <c r="A8" s="1"/>
      <c r="B8" s="592" t="s">
        <v>25</v>
      </c>
      <c r="C8" s="565" t="s">
        <v>31</v>
      </c>
      <c r="D8" s="566" t="s">
        <v>26</v>
      </c>
      <c r="E8" s="566" t="s">
        <v>54</v>
      </c>
      <c r="F8" s="565" t="s">
        <v>28</v>
      </c>
      <c r="G8" s="567" t="s">
        <v>27</v>
      </c>
      <c r="H8" s="565" t="s">
        <v>55</v>
      </c>
      <c r="I8" s="565" t="s">
        <v>56</v>
      </c>
      <c r="J8" s="565" t="s">
        <v>32</v>
      </c>
      <c r="K8" s="565" t="s">
        <v>33</v>
      </c>
    </row>
    <row r="9" spans="1:16" s="52" customFormat="1">
      <c r="A9" s="47"/>
      <c r="B9" s="48"/>
      <c r="C9" s="84"/>
      <c r="D9" s="49"/>
      <c r="E9" s="49"/>
      <c r="F9" s="50"/>
      <c r="G9" s="51"/>
      <c r="H9" s="50"/>
      <c r="I9" s="50"/>
      <c r="J9" s="50"/>
      <c r="K9" s="107"/>
      <c r="L9" s="139"/>
    </row>
    <row r="10" spans="1:16" s="52" customFormat="1" ht="31.5">
      <c r="A10" s="47"/>
      <c r="B10" s="552">
        <f>B14</f>
        <v>1</v>
      </c>
      <c r="C10" s="553" t="str">
        <f>UPPER(C14)</f>
        <v>FORNECIMENTO DE MATERIAIS E EQUIPAMENTOS</v>
      </c>
      <c r="D10" s="83"/>
      <c r="E10" s="83"/>
      <c r="F10" s="54"/>
      <c r="G10" s="55"/>
      <c r="H10" s="54"/>
      <c r="I10" s="54"/>
      <c r="J10" s="54"/>
      <c r="K10" s="110">
        <f>K20</f>
        <v>23335.760000000002</v>
      </c>
      <c r="L10" s="139"/>
    </row>
    <row r="11" spans="1:16" s="52" customFormat="1">
      <c r="A11" s="47"/>
      <c r="B11" s="53"/>
      <c r="C11" s="83"/>
      <c r="D11" s="83"/>
      <c r="E11" s="83"/>
      <c r="F11" s="54"/>
      <c r="G11" s="55"/>
      <c r="H11" s="54"/>
      <c r="I11" s="54"/>
      <c r="J11" s="54"/>
      <c r="K11" s="111"/>
      <c r="L11" s="139"/>
    </row>
    <row r="12" spans="1:16" s="52" customFormat="1">
      <c r="A12" s="47"/>
      <c r="B12" s="277"/>
      <c r="C12" s="85" t="s">
        <v>34</v>
      </c>
      <c r="D12" s="85"/>
      <c r="E12" s="85"/>
      <c r="F12" s="85"/>
      <c r="G12" s="86"/>
      <c r="H12" s="85"/>
      <c r="I12" s="85"/>
      <c r="J12" s="85"/>
      <c r="K12" s="90">
        <f>SUM(K9:K11)</f>
        <v>23335.760000000002</v>
      </c>
      <c r="L12" s="56"/>
    </row>
    <row r="13" spans="1:16" s="52" customFormat="1">
      <c r="A13" s="47"/>
      <c r="B13" s="112"/>
      <c r="C13" s="113"/>
      <c r="D13" s="113"/>
      <c r="E13" s="113"/>
      <c r="F13" s="114"/>
      <c r="G13" s="115"/>
      <c r="H13" s="116"/>
      <c r="I13" s="116"/>
      <c r="J13" s="116"/>
      <c r="K13" s="117"/>
    </row>
    <row r="14" spans="1:16" s="65" customFormat="1">
      <c r="B14" s="87">
        <v>1</v>
      </c>
      <c r="C14" s="88" t="s">
        <v>720</v>
      </c>
      <c r="D14" s="118"/>
      <c r="E14" s="118"/>
      <c r="F14" s="59"/>
      <c r="G14" s="66"/>
      <c r="H14" s="67"/>
      <c r="I14" s="119"/>
      <c r="J14" s="60">
        <f t="shared" ref="J14" si="0">ROUND(H14*(I14+1),2)</f>
        <v>0</v>
      </c>
      <c r="K14" s="120"/>
    </row>
    <row r="15" spans="1:16" s="52" customFormat="1" ht="47.25">
      <c r="A15" s="47"/>
      <c r="B15" s="554" t="s">
        <v>35</v>
      </c>
      <c r="C15" s="555" t="str">
        <f>'Resumo Preços'!$D$60</f>
        <v>Toco com flanges, Ø 150mm, L = 0,25m, flange conf. ISO 2531 PN-10, em ferro fundido, para água</v>
      </c>
      <c r="D15" s="279" t="str">
        <f>'Resumo Preços'!$C$60</f>
        <v>HM03510</v>
      </c>
      <c r="E15" s="280" t="str">
        <f>'Resumo Preços'!$F$60</f>
        <v>SABESP</v>
      </c>
      <c r="F15" s="281" t="str">
        <f>'Resumo Preços'!$E$60</f>
        <v>pç</v>
      </c>
      <c r="G15" s="282">
        <v>8</v>
      </c>
      <c r="H15" s="283">
        <f>ROUND('Resumo Preços'!$L$60,2)</f>
        <v>511.45</v>
      </c>
      <c r="I15" s="119">
        <f t="shared" ref="I15:I18" si="1">$K$7</f>
        <v>0.16800000000000001</v>
      </c>
      <c r="J15" s="60">
        <f>ROUND(H15*(I15+1),2)</f>
        <v>597.37</v>
      </c>
      <c r="K15" s="284">
        <f>ROUND(G15*J15,2)</f>
        <v>4778.96</v>
      </c>
      <c r="M15" s="513">
        <f>ROUND(G15*H15,2)</f>
        <v>4091.6</v>
      </c>
      <c r="N15" s="510">
        <v>24</v>
      </c>
      <c r="O15" s="516">
        <f t="shared" ref="O15:O16" si="2">ROUND(G15*N15,2)</f>
        <v>192</v>
      </c>
    </row>
    <row r="16" spans="1:16" s="52" customFormat="1" ht="31.5">
      <c r="A16" s="47"/>
      <c r="B16" s="554" t="s">
        <v>75</v>
      </c>
      <c r="C16" s="555" t="str">
        <f>'Resumo Preços'!$D$61</f>
        <v>Curva 90° com flanges Ø 150mm, flange conf. ISO 2531 PN-10, em ferro fundido, para água</v>
      </c>
      <c r="D16" s="279" t="str">
        <f>'Resumo Preços'!$C$61</f>
        <v>HM03003</v>
      </c>
      <c r="E16" s="280" t="str">
        <f>'Resumo Preços'!$F$61</f>
        <v>SABESP</v>
      </c>
      <c r="F16" s="281" t="str">
        <f>'Resumo Preços'!$E$61</f>
        <v>pç</v>
      </c>
      <c r="G16" s="282">
        <v>16</v>
      </c>
      <c r="H16" s="283">
        <f>ROUND('Resumo Preços'!$L$61,2)</f>
        <v>714.69</v>
      </c>
      <c r="I16" s="119">
        <f t="shared" si="1"/>
        <v>0.16800000000000001</v>
      </c>
      <c r="J16" s="60">
        <f t="shared" ref="J16:J18" si="3">ROUND(H16*(I16+1),2)</f>
        <v>834.76</v>
      </c>
      <c r="K16" s="284">
        <f t="shared" ref="K16:K18" si="4">ROUND(G16*J16,2)</f>
        <v>13356.16</v>
      </c>
      <c r="M16" s="513">
        <f>ROUND(G16*H16,2)</f>
        <v>11435.04</v>
      </c>
      <c r="N16" s="510">
        <v>18</v>
      </c>
      <c r="O16" s="516">
        <f t="shared" si="2"/>
        <v>288</v>
      </c>
    </row>
    <row r="17" spans="1:17" s="52" customFormat="1" ht="47.25">
      <c r="A17" s="47"/>
      <c r="B17" s="554" t="s">
        <v>76</v>
      </c>
      <c r="C17" s="555" t="str">
        <f>'Resumo Preços'!$D$62</f>
        <v>Tela de proteção com malha fina fio 0,30mm, abertura 0,55mm (para flange Ø 150mm) DE Ø 290mm em aço inox AISI 304</v>
      </c>
      <c r="D17" s="279" t="str">
        <f>'Resumo Preços'!$C$62</f>
        <v>DIV-01</v>
      </c>
      <c r="E17" s="280" t="s">
        <v>227</v>
      </c>
      <c r="F17" s="281" t="str">
        <f>'Resumo Preços'!$E$62</f>
        <v>pç</v>
      </c>
      <c r="G17" s="282">
        <v>8</v>
      </c>
      <c r="H17" s="283">
        <f>ROUND('Resumo Preços'!$L$62,2)</f>
        <v>4.32</v>
      </c>
      <c r="I17" s="119">
        <f t="shared" si="1"/>
        <v>0.16800000000000001</v>
      </c>
      <c r="J17" s="60">
        <f t="shared" si="3"/>
        <v>5.05</v>
      </c>
      <c r="K17" s="284">
        <f t="shared" si="4"/>
        <v>40.4</v>
      </c>
      <c r="M17" s="513">
        <f>ROUND(G17*H17,2)</f>
        <v>34.56</v>
      </c>
    </row>
    <row r="18" spans="1:17" s="52" customFormat="1" ht="31.5">
      <c r="A18" s="47"/>
      <c r="B18" s="554" t="s">
        <v>77</v>
      </c>
      <c r="C18" s="555" t="str">
        <f>'Resumo Preços'!$D$63</f>
        <v>Acessórios para montagem de flanges Ø 150mm, flange conf. ISO 2531 PN-10</v>
      </c>
      <c r="D18" s="279" t="str">
        <f>'Resumo Preços'!$C$63</f>
        <v>HM01293</v>
      </c>
      <c r="E18" s="280" t="str">
        <f>'Resumo Preços'!$F$63</f>
        <v>SABESP</v>
      </c>
      <c r="F18" s="281" t="str">
        <f>'Resumo Preços'!$E$63</f>
        <v>cj</v>
      </c>
      <c r="G18" s="282">
        <v>24</v>
      </c>
      <c r="H18" s="283">
        <f>ROUND('Resumo Preços'!$L$63,2)</f>
        <v>184.08</v>
      </c>
      <c r="I18" s="119">
        <f t="shared" si="1"/>
        <v>0.16800000000000001</v>
      </c>
      <c r="J18" s="60">
        <f t="shared" si="3"/>
        <v>215.01</v>
      </c>
      <c r="K18" s="284">
        <f t="shared" si="4"/>
        <v>5160.24</v>
      </c>
      <c r="M18" s="513">
        <f>ROUND(G18*H18,2)</f>
        <v>4417.92</v>
      </c>
      <c r="N18" s="510">
        <f>ROUND((1*0.203)+(1*2.7),2)</f>
        <v>2.9</v>
      </c>
      <c r="O18" s="516">
        <f>ROUND(G18*N18,2)</f>
        <v>69.599999999999994</v>
      </c>
    </row>
    <row r="19" spans="1:17" s="65" customFormat="1">
      <c r="B19" s="69"/>
      <c r="C19" s="58"/>
      <c r="D19" s="118"/>
      <c r="E19" s="118"/>
      <c r="F19" s="59"/>
      <c r="G19" s="66"/>
      <c r="H19" s="67"/>
      <c r="I19" s="119"/>
      <c r="J19" s="60">
        <f t="shared" ref="J19:J20" si="5">ROUND(H19*(I19+1),2)</f>
        <v>0</v>
      </c>
      <c r="K19" s="120"/>
    </row>
    <row r="20" spans="1:17" s="65" customFormat="1">
      <c r="B20" s="69"/>
      <c r="C20" s="63" t="s">
        <v>36</v>
      </c>
      <c r="D20" s="122"/>
      <c r="E20" s="74"/>
      <c r="F20" s="75"/>
      <c r="G20" s="70"/>
      <c r="H20" s="71"/>
      <c r="I20" s="119"/>
      <c r="J20" s="60">
        <f t="shared" si="5"/>
        <v>0</v>
      </c>
      <c r="K20" s="123">
        <f>SUM(K15:K19)</f>
        <v>23335.760000000002</v>
      </c>
      <c r="L20" s="68"/>
      <c r="M20" s="514">
        <f>SUM(M15:M19)</f>
        <v>19979.120000000003</v>
      </c>
      <c r="N20" s="515">
        <f>ROUND(M20*0.2,2)</f>
        <v>3995.82</v>
      </c>
      <c r="O20" s="520">
        <f>SUM(O15:O19)</f>
        <v>549.6</v>
      </c>
      <c r="P20" s="521" t="s">
        <v>694</v>
      </c>
      <c r="Q20" s="522"/>
    </row>
    <row r="21" spans="1:17" s="47" customFormat="1">
      <c r="B21" s="72"/>
      <c r="C21" s="127"/>
      <c r="D21" s="124"/>
      <c r="E21" s="124"/>
      <c r="F21" s="124"/>
      <c r="G21" s="129"/>
      <c r="H21" s="73"/>
      <c r="I21" s="120"/>
      <c r="J21" s="125"/>
      <c r="K21" s="126"/>
    </row>
    <row r="22" spans="1:17" s="47" customFormat="1">
      <c r="B22" s="72"/>
      <c r="C22" s="127"/>
      <c r="D22" s="124"/>
      <c r="E22" s="124"/>
      <c r="F22" s="124"/>
      <c r="G22" s="59"/>
      <c r="H22" s="128"/>
      <c r="I22" s="120"/>
      <c r="J22" s="125"/>
      <c r="K22" s="126"/>
    </row>
    <row r="23" spans="1:17" s="47" customFormat="1">
      <c r="B23" s="62"/>
      <c r="C23" s="64" t="s">
        <v>34</v>
      </c>
      <c r="D23" s="130"/>
      <c r="E23" s="130"/>
      <c r="F23" s="76"/>
      <c r="G23" s="57"/>
      <c r="H23" s="77"/>
      <c r="I23" s="77"/>
      <c r="J23" s="77"/>
      <c r="K23" s="78">
        <f>SUM(K14:K22)/2</f>
        <v>23335.760000000002</v>
      </c>
    </row>
    <row r="24" spans="1:17" s="47" customFormat="1">
      <c r="B24" s="112"/>
      <c r="C24" s="131"/>
      <c r="D24" s="132"/>
      <c r="E24" s="132"/>
      <c r="F24" s="133"/>
      <c r="G24" s="115"/>
      <c r="H24" s="134"/>
      <c r="I24" s="134"/>
      <c r="J24" s="134"/>
      <c r="K24" s="116"/>
    </row>
  </sheetData>
  <mergeCells count="14">
    <mergeCell ref="C6:G6"/>
    <mergeCell ref="H6:J6"/>
    <mergeCell ref="C7:G7"/>
    <mergeCell ref="H7:J7"/>
    <mergeCell ref="B2:B3"/>
    <mergeCell ref="C2:G2"/>
    <mergeCell ref="H2:K2"/>
    <mergeCell ref="C3:G3"/>
    <mergeCell ref="H3:J3"/>
    <mergeCell ref="B4:B7"/>
    <mergeCell ref="C4:G4"/>
    <mergeCell ref="H4:J4"/>
    <mergeCell ref="C5:G5"/>
    <mergeCell ref="H5:K5"/>
  </mergeCells>
  <printOptions horizontalCentered="1"/>
  <pageMargins left="0.59055118110236227" right="0.51181102362204722" top="0.98425196850393704" bottom="0.78740157480314965" header="0.39370078740157483" footer="0.39370078740157483"/>
  <pageSetup paperSize="9" scale="65" firstPageNumber="4" orientation="portrait" r:id="rId1"/>
  <headerFooter scaleWithDoc="0">
    <oddHeader>&amp;L&amp;"Arial,Itálico"&amp;10Rev-1&amp;R&amp;G</oddHeader>
    <oddFooter>&amp;L&amp;"Arial,Negrito"&amp;10CTR 477F&amp;C&amp;"Arial,Negrito"&amp;10 2.&amp;P</oddFooter>
  </headerFooter>
  <rowBreaks count="1" manualBreakCount="1">
    <brk id="13" max="16383" man="1"/>
  </rowBreaks>
  <ignoredErrors>
    <ignoredError sqref="N20" formula="1"/>
  </ignoredErrors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2:P36"/>
  <sheetViews>
    <sheetView showGridLines="0" showZeros="0" zoomScaleNormal="100" zoomScaleSheetLayoutView="100" workbookViewId="0">
      <selection activeCell="B4" sqref="B4:W5"/>
    </sheetView>
  </sheetViews>
  <sheetFormatPr defaultColWidth="9.140625" defaultRowHeight="15.75"/>
  <cols>
    <col min="1" max="1" width="3.7109375" style="46" customWidth="1"/>
    <col min="2" max="2" width="8.7109375" style="79" customWidth="1"/>
    <col min="3" max="3" width="43.7109375" style="80" customWidth="1"/>
    <col min="4" max="5" width="9.85546875" style="80" customWidth="1"/>
    <col min="6" max="6" width="7.140625" style="81" customWidth="1"/>
    <col min="7" max="7" width="10.5703125" style="82" customWidth="1"/>
    <col min="8" max="8" width="12.7109375" style="81" customWidth="1"/>
    <col min="9" max="9" width="9.140625" style="81" customWidth="1"/>
    <col min="10" max="10" width="12.7109375" style="81" customWidth="1"/>
    <col min="11" max="11" width="15.85546875" style="81" customWidth="1"/>
    <col min="12" max="12" width="10.85546875" style="46" bestFit="1" customWidth="1"/>
    <col min="13" max="13" width="11.5703125" style="46" bestFit="1" customWidth="1"/>
    <col min="14" max="14" width="9.140625" style="46"/>
    <col min="15" max="15" width="11.5703125" style="46" bestFit="1" customWidth="1"/>
    <col min="16" max="16384" width="9.140625" style="46"/>
  </cols>
  <sheetData>
    <row r="2" spans="1:16" s="47" customFormat="1" ht="18" customHeight="1">
      <c r="A2" s="1"/>
      <c r="B2" s="741" t="s">
        <v>46</v>
      </c>
      <c r="C2" s="742" t="s">
        <v>47</v>
      </c>
      <c r="D2" s="743"/>
      <c r="E2" s="743"/>
      <c r="F2" s="743"/>
      <c r="G2" s="744"/>
      <c r="H2" s="745" t="s">
        <v>48</v>
      </c>
      <c r="I2" s="746"/>
      <c r="J2" s="746"/>
      <c r="K2" s="747"/>
    </row>
    <row r="3" spans="1:16" s="47" customFormat="1" ht="18" customHeight="1">
      <c r="A3" s="1"/>
      <c r="B3" s="721"/>
      <c r="C3" s="748" t="s">
        <v>49</v>
      </c>
      <c r="D3" s="749"/>
      <c r="E3" s="749"/>
      <c r="F3" s="749"/>
      <c r="G3" s="750"/>
      <c r="H3" s="726" t="s">
        <v>50</v>
      </c>
      <c r="I3" s="727"/>
      <c r="J3" s="727"/>
      <c r="K3" s="562" t="s">
        <v>908</v>
      </c>
    </row>
    <row r="4" spans="1:16" s="47" customFormat="1" ht="18" customHeight="1">
      <c r="A4" s="1"/>
      <c r="B4" s="721" t="s">
        <v>30</v>
      </c>
      <c r="C4" s="723" t="s">
        <v>901</v>
      </c>
      <c r="D4" s="724"/>
      <c r="E4" s="724"/>
      <c r="F4" s="724"/>
      <c r="G4" s="725"/>
      <c r="H4" s="726" t="s">
        <v>51</v>
      </c>
      <c r="I4" s="727"/>
      <c r="J4" s="727"/>
      <c r="K4" s="562" t="s">
        <v>908</v>
      </c>
    </row>
    <row r="5" spans="1:16" s="47" customFormat="1" ht="18" customHeight="1">
      <c r="A5" s="1"/>
      <c r="B5" s="721"/>
      <c r="C5" s="723" t="s">
        <v>122</v>
      </c>
      <c r="D5" s="728"/>
      <c r="E5" s="728"/>
      <c r="F5" s="728"/>
      <c r="G5" s="729"/>
      <c r="H5" s="730" t="s">
        <v>65</v>
      </c>
      <c r="I5" s="731"/>
      <c r="J5" s="731"/>
      <c r="K5" s="732"/>
      <c r="P5" s="173"/>
    </row>
    <row r="6" spans="1:16" s="47" customFormat="1" ht="18" customHeight="1">
      <c r="A6" s="1"/>
      <c r="B6" s="721"/>
      <c r="C6" s="733" t="s">
        <v>0</v>
      </c>
      <c r="D6" s="734"/>
      <c r="E6" s="734"/>
      <c r="F6" s="734"/>
      <c r="G6" s="735"/>
      <c r="H6" s="726" t="s">
        <v>52</v>
      </c>
      <c r="I6" s="727"/>
      <c r="J6" s="727"/>
      <c r="K6" s="563">
        <v>0.26979999999999998</v>
      </c>
      <c r="L6" s="47">
        <v>0</v>
      </c>
    </row>
    <row r="7" spans="1:16" s="47" customFormat="1" ht="18" customHeight="1">
      <c r="A7" s="1"/>
      <c r="B7" s="722"/>
      <c r="C7" s="767" t="s">
        <v>3</v>
      </c>
      <c r="D7" s="768"/>
      <c r="E7" s="768"/>
      <c r="F7" s="768"/>
      <c r="G7" s="769"/>
      <c r="H7" s="739" t="s">
        <v>53</v>
      </c>
      <c r="I7" s="740"/>
      <c r="J7" s="740"/>
      <c r="K7" s="564">
        <v>0.16800000000000001</v>
      </c>
    </row>
    <row r="8" spans="1:16" s="47" customFormat="1" ht="47.25" customHeight="1">
      <c r="A8" s="1"/>
      <c r="B8" s="592" t="s">
        <v>25</v>
      </c>
      <c r="C8" s="565" t="s">
        <v>31</v>
      </c>
      <c r="D8" s="566" t="s">
        <v>26</v>
      </c>
      <c r="E8" s="566" t="s">
        <v>54</v>
      </c>
      <c r="F8" s="565" t="s">
        <v>28</v>
      </c>
      <c r="G8" s="567" t="s">
        <v>27</v>
      </c>
      <c r="H8" s="565" t="s">
        <v>55</v>
      </c>
      <c r="I8" s="565" t="s">
        <v>56</v>
      </c>
      <c r="J8" s="565" t="s">
        <v>32</v>
      </c>
      <c r="K8" s="565" t="s">
        <v>33</v>
      </c>
    </row>
    <row r="9" spans="1:16" s="52" customFormat="1">
      <c r="A9" s="47"/>
      <c r="B9" s="48"/>
      <c r="C9" s="84"/>
      <c r="D9" s="49"/>
      <c r="E9" s="49"/>
      <c r="F9" s="50"/>
      <c r="G9" s="51"/>
      <c r="H9" s="50"/>
      <c r="I9" s="50"/>
      <c r="J9" s="50"/>
      <c r="K9" s="107"/>
      <c r="L9" s="139"/>
    </row>
    <row r="10" spans="1:16" s="52" customFormat="1">
      <c r="A10" s="47"/>
      <c r="B10" s="108">
        <f>B16</f>
        <v>1</v>
      </c>
      <c r="C10" s="109" t="str">
        <f>UPPER(C16)</f>
        <v>CANTEIRO DE OBRAS</v>
      </c>
      <c r="D10" s="83"/>
      <c r="E10" s="83"/>
      <c r="F10" s="54"/>
      <c r="G10" s="55"/>
      <c r="H10" s="54"/>
      <c r="I10" s="54"/>
      <c r="J10" s="54"/>
      <c r="K10" s="110">
        <f>K25</f>
        <v>42338.31</v>
      </c>
      <c r="L10" s="139"/>
    </row>
    <row r="11" spans="1:16" s="52" customFormat="1">
      <c r="A11" s="47"/>
      <c r="B11" s="53"/>
      <c r="C11" s="83"/>
      <c r="D11" s="83"/>
      <c r="E11" s="83"/>
      <c r="F11" s="54"/>
      <c r="G11" s="55"/>
      <c r="H11" s="54"/>
      <c r="I11" s="54"/>
      <c r="J11" s="54"/>
      <c r="K11" s="111"/>
      <c r="L11" s="139"/>
    </row>
    <row r="12" spans="1:16" s="52" customFormat="1" ht="31.5">
      <c r="A12" s="47"/>
      <c r="B12" s="552">
        <f>B27</f>
        <v>2</v>
      </c>
      <c r="C12" s="553" t="str">
        <f>UPPER(C27)</f>
        <v>OPERAÇÃO E MANUTENÇÃO DO CANTEIRO DE OBRAS</v>
      </c>
      <c r="D12" s="83"/>
      <c r="E12" s="83"/>
      <c r="F12" s="54"/>
      <c r="G12" s="55"/>
      <c r="H12" s="54"/>
      <c r="I12" s="54"/>
      <c r="J12" s="54"/>
      <c r="K12" s="110">
        <f>K30</f>
        <v>49177.52</v>
      </c>
      <c r="L12" s="139"/>
    </row>
    <row r="13" spans="1:16" s="52" customFormat="1">
      <c r="A13" s="47"/>
      <c r="B13" s="53"/>
      <c r="C13" s="83"/>
      <c r="D13" s="83"/>
      <c r="E13" s="83"/>
      <c r="F13" s="54"/>
      <c r="G13" s="55"/>
      <c r="H13" s="54"/>
      <c r="I13" s="54"/>
      <c r="J13" s="54"/>
      <c r="K13" s="111"/>
      <c r="L13" s="139"/>
    </row>
    <row r="14" spans="1:16" s="52" customFormat="1">
      <c r="A14" s="47"/>
      <c r="B14" s="277"/>
      <c r="C14" s="85" t="s">
        <v>34</v>
      </c>
      <c r="D14" s="85"/>
      <c r="E14" s="85"/>
      <c r="F14" s="85"/>
      <c r="G14" s="86"/>
      <c r="H14" s="85"/>
      <c r="I14" s="85"/>
      <c r="J14" s="85"/>
      <c r="K14" s="90">
        <f>SUM(K9:K13)</f>
        <v>91515.829999999987</v>
      </c>
      <c r="L14" s="299"/>
      <c r="M14" s="300"/>
    </row>
    <row r="15" spans="1:16" s="52" customFormat="1">
      <c r="A15" s="47"/>
      <c r="B15" s="112"/>
      <c r="C15" s="113"/>
      <c r="D15" s="113"/>
      <c r="E15" s="113"/>
      <c r="F15" s="114"/>
      <c r="G15" s="115"/>
      <c r="H15" s="116"/>
      <c r="I15" s="116"/>
      <c r="J15" s="116"/>
      <c r="K15" s="117"/>
    </row>
    <row r="16" spans="1:16" s="65" customFormat="1">
      <c r="B16" s="87">
        <v>1</v>
      </c>
      <c r="C16" s="88" t="s">
        <v>29</v>
      </c>
      <c r="D16" s="118"/>
      <c r="E16" s="118"/>
      <c r="F16" s="59"/>
      <c r="G16" s="66"/>
      <c r="H16" s="66"/>
      <c r="I16" s="119"/>
      <c r="J16" s="60">
        <f t="shared" ref="J16" si="0">ROUND(H16*(I16+1),2)</f>
        <v>0</v>
      </c>
      <c r="K16" s="120"/>
    </row>
    <row r="17" spans="2:14" s="47" customFormat="1" ht="31.5">
      <c r="B17" s="72" t="s">
        <v>35</v>
      </c>
      <c r="C17" s="58" t="str">
        <f>'Q-Canteiro'!$B$9</f>
        <v>Container escritório *(6,00 x 2,30 x 2,20 m) com banheiro, locação (mês)</v>
      </c>
      <c r="D17" s="91" t="str">
        <f>'Q-Canteiro'!$E$15</f>
        <v>EQ04714</v>
      </c>
      <c r="E17" s="118" t="str">
        <f>'Q-Canteiro'!$F$15</f>
        <v>SABESP</v>
      </c>
      <c r="F17" s="157" t="str">
        <f>'Q-Canteiro'!$D$15</f>
        <v>mês</v>
      </c>
      <c r="G17" s="89">
        <f>ROUND('Q-Canteiro'!$C$15,2)</f>
        <v>4</v>
      </c>
      <c r="H17" s="60">
        <v>805</v>
      </c>
      <c r="I17" s="119">
        <v>0.16800000000000001</v>
      </c>
      <c r="J17" s="60">
        <f>ROUND(H17*(I17+1),2)</f>
        <v>940.24</v>
      </c>
      <c r="K17" s="120">
        <f>ROUND(G17*J17,2)</f>
        <v>3760.96</v>
      </c>
      <c r="L17" s="65"/>
      <c r="M17" s="65"/>
      <c r="N17" s="65"/>
    </row>
    <row r="18" spans="2:14" s="47" customFormat="1" ht="47.25">
      <c r="B18" s="72" t="s">
        <v>75</v>
      </c>
      <c r="C18" s="58" t="str">
        <f>'Q-Canteiro'!$B$18</f>
        <v>Container em chapa galvanizada *(6,00 x 2,30 x 2,20 m) 4 sanitários / 4 chuveiros e 2 lavatórios, locação (mês)</v>
      </c>
      <c r="D18" s="91" t="str">
        <f>'Q-Canteiro'!$E$24</f>
        <v>EQ04793</v>
      </c>
      <c r="E18" s="118" t="str">
        <f>'Q-Canteiro'!$F$24</f>
        <v>SABESP</v>
      </c>
      <c r="F18" s="157" t="str">
        <f>'Q-Canteiro'!$D$24</f>
        <v>mês</v>
      </c>
      <c r="G18" s="89">
        <f>ROUND('Q-Canteiro'!$C$24,2)</f>
        <v>4</v>
      </c>
      <c r="H18" s="60">
        <v>1340</v>
      </c>
      <c r="I18" s="119">
        <v>0.16800000000000001</v>
      </c>
      <c r="J18" s="60">
        <f t="shared" ref="J18:J23" si="1">ROUND(H18*(I18+1),2)</f>
        <v>1565.12</v>
      </c>
      <c r="K18" s="120">
        <f t="shared" ref="K18:K23" si="2">ROUND(G18*J18,2)</f>
        <v>6260.48</v>
      </c>
      <c r="L18" s="65"/>
      <c r="M18" s="65"/>
      <c r="N18" s="65"/>
    </row>
    <row r="19" spans="2:14" s="47" customFormat="1" ht="31.5">
      <c r="B19" s="72" t="s">
        <v>76</v>
      </c>
      <c r="C19" s="58" t="str">
        <f>'Q-Canteiro'!$B$27</f>
        <v>Execução de refeitório em canteiro de obra em chapa de madeira compensada</v>
      </c>
      <c r="D19" s="91">
        <f>'Q-Canteiro'!$E$33</f>
        <v>93210</v>
      </c>
      <c r="E19" s="118" t="str">
        <f>'Q-Canteiro'!$F$33</f>
        <v>SINAPI</v>
      </c>
      <c r="F19" s="157" t="str">
        <f>'Q-Canteiro'!$D$33</f>
        <v>m²</v>
      </c>
      <c r="G19" s="89">
        <f>ROUND('Q-Canteiro'!$C$33,2)</f>
        <v>9</v>
      </c>
      <c r="H19" s="60">
        <v>627.74</v>
      </c>
      <c r="I19" s="119">
        <f>$K$6</f>
        <v>0.26979999999999998</v>
      </c>
      <c r="J19" s="60">
        <f t="shared" si="1"/>
        <v>797.1</v>
      </c>
      <c r="K19" s="120">
        <f t="shared" si="2"/>
        <v>7173.9</v>
      </c>
      <c r="L19" s="65"/>
      <c r="M19" s="65"/>
      <c r="N19" s="65"/>
    </row>
    <row r="20" spans="2:14" s="47" customFormat="1" ht="31.5">
      <c r="B20" s="72" t="s">
        <v>77</v>
      </c>
      <c r="C20" s="58" t="str">
        <f>'Q-Canteiro'!$B$36</f>
        <v>Execução de central de armadura em canteiro de obra</v>
      </c>
      <c r="D20" s="91">
        <f>'Q-Canteiro'!$E$42</f>
        <v>93582</v>
      </c>
      <c r="E20" s="118" t="str">
        <f>'Q-Canteiro'!$F$42</f>
        <v>SINAPI</v>
      </c>
      <c r="F20" s="157" t="str">
        <f>'Q-Canteiro'!$D$42</f>
        <v>m²</v>
      </c>
      <c r="G20" s="89">
        <f>ROUND('Q-Canteiro'!$C$42,2)</f>
        <v>9</v>
      </c>
      <c r="H20" s="60">
        <v>292.35000000000002</v>
      </c>
      <c r="I20" s="119">
        <f>$K$6</f>
        <v>0.26979999999999998</v>
      </c>
      <c r="J20" s="60">
        <f t="shared" si="1"/>
        <v>371.23</v>
      </c>
      <c r="K20" s="120">
        <f t="shared" si="2"/>
        <v>3341.07</v>
      </c>
      <c r="L20" s="65"/>
      <c r="M20" s="65"/>
      <c r="N20" s="65"/>
    </row>
    <row r="21" spans="2:14" s="47" customFormat="1" ht="31.5">
      <c r="B21" s="72" t="s">
        <v>78</v>
      </c>
      <c r="C21" s="58" t="str">
        <f>'Q-Canteiro'!$B$45</f>
        <v>Execução de central de fôrmas, produção de argamassa ou concreto em canteiro de obra</v>
      </c>
      <c r="D21" s="91">
        <f>'Q-Canteiro'!$E$51</f>
        <v>93583</v>
      </c>
      <c r="E21" s="118" t="str">
        <f>'Q-Canteiro'!$F$51</f>
        <v>SINAPI</v>
      </c>
      <c r="F21" s="157" t="str">
        <f>'Q-Canteiro'!$D$51</f>
        <v>m²</v>
      </c>
      <c r="G21" s="89">
        <f>ROUND('Q-Canteiro'!$C$51,2)</f>
        <v>9</v>
      </c>
      <c r="H21" s="60">
        <v>475.45</v>
      </c>
      <c r="I21" s="119">
        <f>$K$6</f>
        <v>0.26979999999999998</v>
      </c>
      <c r="J21" s="60">
        <f t="shared" si="1"/>
        <v>603.73</v>
      </c>
      <c r="K21" s="120">
        <f t="shared" si="2"/>
        <v>5433.57</v>
      </c>
      <c r="L21" s="65"/>
      <c r="M21" s="65"/>
      <c r="N21" s="65"/>
    </row>
    <row r="22" spans="2:14" s="47" customFormat="1" ht="31.5">
      <c r="B22" s="72" t="s">
        <v>79</v>
      </c>
      <c r="C22" s="58" t="str">
        <f>'Q-Canteiro'!$B$54</f>
        <v>Execução de guarita em canteiro de obra em chapa de madeira compensada</v>
      </c>
      <c r="D22" s="91">
        <f>'Q-Canteiro'!$E$60</f>
        <v>93585</v>
      </c>
      <c r="E22" s="118" t="str">
        <f>'Q-Canteiro'!$F$60</f>
        <v>SINAPI</v>
      </c>
      <c r="F22" s="157" t="str">
        <f>'Q-Canteiro'!$D$60</f>
        <v>m²</v>
      </c>
      <c r="G22" s="89">
        <f>ROUND('Q-Canteiro'!$C$60,2)</f>
        <v>1.44</v>
      </c>
      <c r="H22" s="60">
        <v>1351.18</v>
      </c>
      <c r="I22" s="119">
        <f>$K$6</f>
        <v>0.26979999999999998</v>
      </c>
      <c r="J22" s="60">
        <f t="shared" si="1"/>
        <v>1715.73</v>
      </c>
      <c r="K22" s="120">
        <f t="shared" si="2"/>
        <v>2470.65</v>
      </c>
      <c r="L22" s="65"/>
      <c r="M22" s="65"/>
      <c r="N22" s="65"/>
    </row>
    <row r="23" spans="2:14" s="47" customFormat="1">
      <c r="B23" s="72" t="s">
        <v>80</v>
      </c>
      <c r="C23" s="58" t="str">
        <f>'Q-Canteiro'!$B$63</f>
        <v>Placa de identificação de obras</v>
      </c>
      <c r="D23" s="91">
        <f>'Q-Canteiro'!$E$70</f>
        <v>70000002</v>
      </c>
      <c r="E23" s="118" t="str">
        <f>'Q-Canteiro'!$F$70</f>
        <v>SABESP</v>
      </c>
      <c r="F23" s="157" t="str">
        <f>'Q-Canteiro'!$D$70</f>
        <v>m²</v>
      </c>
      <c r="G23" s="89">
        <f>ROUND('Q-Canteiro'!$C$70,2)</f>
        <v>24</v>
      </c>
      <c r="H23" s="60">
        <f>583.72/1.28</f>
        <v>456.03125</v>
      </c>
      <c r="I23" s="119">
        <f>$K$6</f>
        <v>0.26979999999999998</v>
      </c>
      <c r="J23" s="60">
        <f t="shared" si="1"/>
        <v>579.07000000000005</v>
      </c>
      <c r="K23" s="120">
        <f t="shared" si="2"/>
        <v>13897.68</v>
      </c>
      <c r="L23" s="65"/>
      <c r="M23" s="65"/>
      <c r="N23" s="65"/>
    </row>
    <row r="24" spans="2:14" s="65" customFormat="1">
      <c r="B24" s="69"/>
      <c r="C24" s="58"/>
      <c r="D24" s="118"/>
      <c r="E24" s="118"/>
      <c r="F24" s="59"/>
      <c r="G24" s="66"/>
      <c r="H24" s="67"/>
      <c r="I24" s="119"/>
      <c r="J24" s="60">
        <f>ROUND(H24*(I24+1),2)</f>
        <v>0</v>
      </c>
      <c r="K24" s="120"/>
    </row>
    <row r="25" spans="2:14" s="65" customFormat="1">
      <c r="B25" s="69"/>
      <c r="C25" s="63" t="s">
        <v>36</v>
      </c>
      <c r="D25" s="122"/>
      <c r="E25" s="74"/>
      <c r="F25" s="75"/>
      <c r="G25" s="70"/>
      <c r="H25" s="71"/>
      <c r="I25" s="119"/>
      <c r="J25" s="60">
        <f>ROUND(H25*(I25+1),2)</f>
        <v>0</v>
      </c>
      <c r="K25" s="123">
        <f>SUM(K17:K24)</f>
        <v>42338.31</v>
      </c>
      <c r="L25" s="68"/>
      <c r="M25" s="61"/>
    </row>
    <row r="26" spans="2:14" s="47" customFormat="1">
      <c r="B26" s="72"/>
      <c r="C26" s="127"/>
      <c r="D26" s="124"/>
      <c r="E26" s="124"/>
      <c r="F26" s="124"/>
      <c r="G26" s="129"/>
      <c r="H26" s="73"/>
      <c r="I26" s="120"/>
      <c r="J26" s="125"/>
      <c r="K26" s="126"/>
    </row>
    <row r="27" spans="2:14" s="47" customFormat="1" ht="31.5">
      <c r="B27" s="87">
        <v>2</v>
      </c>
      <c r="C27" s="88" t="s">
        <v>775</v>
      </c>
      <c r="D27" s="124"/>
      <c r="E27" s="124"/>
      <c r="F27" s="124"/>
      <c r="G27" s="129"/>
      <c r="H27" s="128"/>
      <c r="I27" s="120"/>
      <c r="J27" s="125"/>
      <c r="K27" s="126"/>
    </row>
    <row r="28" spans="2:14" s="47" customFormat="1" ht="31.5">
      <c r="B28" s="72" t="s">
        <v>37</v>
      </c>
      <c r="C28" s="58" t="str">
        <f>'OPER-01'!$C$8</f>
        <v>Operação  e  Manutenção   do  Canteiro  de  Obras</v>
      </c>
      <c r="D28" s="91" t="str">
        <f>'OPER-01'!$C$7</f>
        <v>OPER-01</v>
      </c>
      <c r="E28" s="118" t="str">
        <f>'OPER-01'!$C$6</f>
        <v>COMP.</v>
      </c>
      <c r="F28" s="157" t="str">
        <f>'OPER-01'!$C$10</f>
        <v>mês</v>
      </c>
      <c r="G28" s="89">
        <f>'Q-Canteiro'!$C$5</f>
        <v>4</v>
      </c>
      <c r="H28" s="60">
        <f>ROUND('OPER-01'!$H$20,2)</f>
        <v>9682.14</v>
      </c>
      <c r="I28" s="119">
        <f>$K$6</f>
        <v>0.26979999999999998</v>
      </c>
      <c r="J28" s="60">
        <f>ROUND(H28*(I28+1),2)</f>
        <v>12294.38</v>
      </c>
      <c r="K28" s="120">
        <f>ROUND(G28*J28,2)</f>
        <v>49177.52</v>
      </c>
    </row>
    <row r="29" spans="2:14" s="47" customFormat="1">
      <c r="B29" s="72"/>
      <c r="C29" s="127"/>
      <c r="D29" s="124"/>
      <c r="E29" s="124"/>
      <c r="F29" s="124"/>
      <c r="G29" s="59"/>
      <c r="H29" s="128"/>
      <c r="I29" s="120"/>
      <c r="J29" s="125"/>
      <c r="K29" s="126"/>
    </row>
    <row r="30" spans="2:14" s="47" customFormat="1">
      <c r="B30" s="72"/>
      <c r="C30" s="63" t="s">
        <v>39</v>
      </c>
      <c r="D30" s="122"/>
      <c r="E30" s="74"/>
      <c r="F30" s="75"/>
      <c r="G30" s="70"/>
      <c r="H30" s="71"/>
      <c r="I30" s="119"/>
      <c r="J30" s="60">
        <f>ROUND(H30*(I30+1),2)</f>
        <v>0</v>
      </c>
      <c r="K30" s="123">
        <f>SUM(K28:K29)</f>
        <v>49177.52</v>
      </c>
    </row>
    <row r="31" spans="2:14" s="47" customFormat="1">
      <c r="B31" s="72"/>
      <c r="C31" s="127"/>
      <c r="D31" s="124"/>
      <c r="E31" s="124"/>
      <c r="F31" s="124"/>
      <c r="G31" s="59"/>
      <c r="H31" s="128"/>
      <c r="I31" s="120"/>
      <c r="J31" s="125"/>
      <c r="K31" s="126"/>
    </row>
    <row r="32" spans="2:14" s="47" customFormat="1">
      <c r="B32" s="72"/>
      <c r="C32" s="127"/>
      <c r="D32" s="124"/>
      <c r="E32" s="124"/>
      <c r="F32" s="124"/>
      <c r="G32" s="59"/>
      <c r="H32" s="128"/>
      <c r="I32" s="120"/>
      <c r="J32" s="125"/>
      <c r="K32" s="126"/>
    </row>
    <row r="33" spans="2:13" s="47" customFormat="1">
      <c r="B33" s="62"/>
      <c r="C33" s="64" t="s">
        <v>34</v>
      </c>
      <c r="D33" s="130"/>
      <c r="E33" s="130"/>
      <c r="F33" s="76"/>
      <c r="G33" s="57"/>
      <c r="H33" s="77"/>
      <c r="I33" s="77"/>
      <c r="J33" s="77"/>
      <c r="K33" s="78">
        <f>SUM(K17:K32)/2</f>
        <v>91515.829999999987</v>
      </c>
    </row>
    <row r="34" spans="2:13" s="47" customFormat="1">
      <c r="B34" s="112"/>
      <c r="C34" s="131"/>
      <c r="D34" s="132"/>
      <c r="E34" s="132"/>
      <c r="F34" s="133"/>
      <c r="G34" s="115"/>
      <c r="H34" s="134"/>
      <c r="I34" s="134"/>
      <c r="J34" s="134"/>
      <c r="K34" s="116"/>
    </row>
    <row r="35" spans="2:13">
      <c r="B35" s="285"/>
      <c r="C35" s="286"/>
      <c r="D35" s="286"/>
      <c r="E35" s="286"/>
      <c r="F35" s="287"/>
      <c r="G35" s="288"/>
      <c r="H35" s="287"/>
      <c r="I35" s="287"/>
      <c r="J35" s="287"/>
      <c r="K35" s="287"/>
      <c r="L35" s="47"/>
    </row>
    <row r="36" spans="2:13">
      <c r="M36" s="568"/>
    </row>
  </sheetData>
  <mergeCells count="14">
    <mergeCell ref="C6:G6"/>
    <mergeCell ref="H6:J6"/>
    <mergeCell ref="C7:G7"/>
    <mergeCell ref="H7:J7"/>
    <mergeCell ref="B2:B3"/>
    <mergeCell ref="C2:G2"/>
    <mergeCell ref="H2:K2"/>
    <mergeCell ref="C3:G3"/>
    <mergeCell ref="H3:J3"/>
    <mergeCell ref="B4:B7"/>
    <mergeCell ref="C4:G4"/>
    <mergeCell ref="H4:J4"/>
    <mergeCell ref="C5:G5"/>
    <mergeCell ref="H5:K5"/>
  </mergeCells>
  <printOptions horizontalCentered="1"/>
  <pageMargins left="0.59055118110236227" right="0.51181102362204722" top="0.98425196850393704" bottom="0.78740157480314965" header="0.39370078740157483" footer="0.39370078740157483"/>
  <pageSetup paperSize="9" scale="65" firstPageNumber="4" orientation="portrait" r:id="rId1"/>
  <headerFooter scaleWithDoc="0">
    <oddHeader>&amp;L&amp;"Arial,Itálico"&amp;10Rev-1&amp;R&amp;G</oddHeader>
    <oddFooter>&amp;L&amp;"Arial,Negrito"&amp;10CTR 477F&amp;C&amp;"Arial,Negrito"&amp;10 2.&amp;P</oddFooter>
  </headerFooter>
  <rowBreaks count="1" manualBreakCount="1">
    <brk id="15" max="16383" man="1"/>
  </rowBreaks>
  <legacyDrawingHF r:id="rId2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7" tint="0.59999389629810485"/>
  </sheetPr>
  <dimension ref="B2:AA37"/>
  <sheetViews>
    <sheetView zoomScaleNormal="100" workbookViewId="0">
      <selection activeCell="B4" sqref="B4:W5"/>
    </sheetView>
  </sheetViews>
  <sheetFormatPr defaultColWidth="9.140625" defaultRowHeight="12"/>
  <cols>
    <col min="1" max="1" width="4.140625" style="24" customWidth="1"/>
    <col min="2" max="2" width="5.28515625" style="37" customWidth="1"/>
    <col min="3" max="3" width="50.85546875" style="24" customWidth="1"/>
    <col min="4" max="4" width="15.7109375" style="24" customWidth="1"/>
    <col min="5" max="5" width="9.7109375" style="24" customWidth="1"/>
    <col min="6" max="21" width="3.42578125" style="24" customWidth="1"/>
    <col min="22" max="22" width="15.7109375" style="24" customWidth="1"/>
    <col min="23" max="23" width="8" style="24" customWidth="1"/>
    <col min="24" max="24" width="11.140625" style="24" bestFit="1" customWidth="1"/>
    <col min="25" max="25" width="12.28515625" style="24" bestFit="1" customWidth="1"/>
    <col min="26" max="26" width="9.85546875" style="24" bestFit="1" customWidth="1"/>
    <col min="27" max="27" width="12.28515625" style="24" bestFit="1" customWidth="1"/>
    <col min="28" max="16384" width="9.140625" style="24"/>
  </cols>
  <sheetData>
    <row r="2" spans="2:24">
      <c r="B2" s="786" t="s">
        <v>12</v>
      </c>
      <c r="C2" s="787"/>
      <c r="D2" s="787"/>
      <c r="E2" s="787"/>
      <c r="F2" s="787"/>
      <c r="G2" s="787"/>
      <c r="H2" s="787"/>
      <c r="I2" s="787"/>
      <c r="J2" s="787"/>
      <c r="K2" s="787"/>
      <c r="L2" s="787"/>
      <c r="M2" s="787"/>
      <c r="N2" s="787"/>
      <c r="O2" s="787"/>
      <c r="P2" s="787"/>
      <c r="Q2" s="787"/>
      <c r="R2" s="787"/>
      <c r="S2" s="787"/>
      <c r="T2" s="787"/>
      <c r="U2" s="787"/>
      <c r="V2" s="787"/>
      <c r="W2" s="788"/>
    </row>
    <row r="3" spans="2:24">
      <c r="B3" s="789"/>
      <c r="C3" s="790"/>
      <c r="D3" s="790"/>
      <c r="E3" s="790"/>
      <c r="F3" s="790"/>
      <c r="G3" s="790"/>
      <c r="H3" s="790"/>
      <c r="I3" s="790"/>
      <c r="J3" s="790"/>
      <c r="K3" s="790"/>
      <c r="L3" s="790"/>
      <c r="M3" s="790"/>
      <c r="N3" s="790"/>
      <c r="O3" s="790"/>
      <c r="P3" s="790"/>
      <c r="Q3" s="790"/>
      <c r="R3" s="790"/>
      <c r="S3" s="790"/>
      <c r="T3" s="790"/>
      <c r="U3" s="790"/>
      <c r="V3" s="790"/>
      <c r="W3" s="791"/>
    </row>
    <row r="4" spans="2:24">
      <c r="B4" s="786" t="s">
        <v>902</v>
      </c>
      <c r="C4" s="792"/>
      <c r="D4" s="792"/>
      <c r="E4" s="792"/>
      <c r="F4" s="792"/>
      <c r="G4" s="787"/>
      <c r="H4" s="787"/>
      <c r="I4" s="787"/>
      <c r="J4" s="787"/>
      <c r="K4" s="787"/>
      <c r="L4" s="787"/>
      <c r="M4" s="787"/>
      <c r="N4" s="787"/>
      <c r="O4" s="787"/>
      <c r="P4" s="787"/>
      <c r="Q4" s="787"/>
      <c r="R4" s="787"/>
      <c r="S4" s="787"/>
      <c r="T4" s="787"/>
      <c r="U4" s="787"/>
      <c r="V4" s="787"/>
      <c r="W4" s="788"/>
    </row>
    <row r="5" spans="2:24">
      <c r="B5" s="789"/>
      <c r="C5" s="790"/>
      <c r="D5" s="790"/>
      <c r="E5" s="790"/>
      <c r="F5" s="790"/>
      <c r="G5" s="790"/>
      <c r="H5" s="790"/>
      <c r="I5" s="790"/>
      <c r="J5" s="790"/>
      <c r="K5" s="790"/>
      <c r="L5" s="790"/>
      <c r="M5" s="790"/>
      <c r="N5" s="790"/>
      <c r="O5" s="790"/>
      <c r="P5" s="790"/>
      <c r="Q5" s="790"/>
      <c r="R5" s="790"/>
      <c r="S5" s="790"/>
      <c r="T5" s="790"/>
      <c r="U5" s="790"/>
      <c r="V5" s="790"/>
      <c r="W5" s="791"/>
    </row>
    <row r="6" spans="2:24" ht="12" customHeight="1">
      <c r="B6" s="793"/>
      <c r="C6" s="796" t="s">
        <v>13</v>
      </c>
      <c r="D6" s="793" t="s">
        <v>14</v>
      </c>
      <c r="E6" s="793" t="s">
        <v>15</v>
      </c>
      <c r="F6" s="799" t="s">
        <v>16</v>
      </c>
      <c r="G6" s="800"/>
      <c r="H6" s="800"/>
      <c r="I6" s="801"/>
      <c r="J6" s="799" t="s">
        <v>16</v>
      </c>
      <c r="K6" s="800"/>
      <c r="L6" s="800"/>
      <c r="M6" s="801"/>
      <c r="N6" s="799" t="s">
        <v>16</v>
      </c>
      <c r="O6" s="800"/>
      <c r="P6" s="800"/>
      <c r="Q6" s="801"/>
      <c r="R6" s="799" t="s">
        <v>16</v>
      </c>
      <c r="S6" s="800"/>
      <c r="T6" s="800"/>
      <c r="U6" s="801"/>
      <c r="V6" s="805" t="s">
        <v>17</v>
      </c>
      <c r="W6" s="805" t="s">
        <v>18</v>
      </c>
    </row>
    <row r="7" spans="2:24" ht="15" customHeight="1">
      <c r="B7" s="794"/>
      <c r="C7" s="797"/>
      <c r="D7" s="794"/>
      <c r="E7" s="794"/>
      <c r="F7" s="802"/>
      <c r="G7" s="803"/>
      <c r="H7" s="803"/>
      <c r="I7" s="804"/>
      <c r="J7" s="802"/>
      <c r="K7" s="803"/>
      <c r="L7" s="803"/>
      <c r="M7" s="804"/>
      <c r="N7" s="802"/>
      <c r="O7" s="803"/>
      <c r="P7" s="803"/>
      <c r="Q7" s="804"/>
      <c r="R7" s="802"/>
      <c r="S7" s="803"/>
      <c r="T7" s="803"/>
      <c r="U7" s="804"/>
      <c r="V7" s="805"/>
      <c r="W7" s="805"/>
    </row>
    <row r="8" spans="2:24" ht="15.75" thickBot="1">
      <c r="B8" s="795"/>
      <c r="C8" s="798"/>
      <c r="D8" s="795"/>
      <c r="E8" s="798"/>
      <c r="F8" s="807" t="s">
        <v>19</v>
      </c>
      <c r="G8" s="808"/>
      <c r="H8" s="808"/>
      <c r="I8" s="809"/>
      <c r="J8" s="807" t="s">
        <v>60</v>
      </c>
      <c r="K8" s="808"/>
      <c r="L8" s="808"/>
      <c r="M8" s="809"/>
      <c r="N8" s="807" t="s">
        <v>116</v>
      </c>
      <c r="O8" s="808"/>
      <c r="P8" s="808"/>
      <c r="Q8" s="809"/>
      <c r="R8" s="807" t="s">
        <v>117</v>
      </c>
      <c r="S8" s="808"/>
      <c r="T8" s="808"/>
      <c r="U8" s="809"/>
      <c r="V8" s="806"/>
      <c r="W8" s="806"/>
    </row>
    <row r="9" spans="2:24" ht="13.5" customHeight="1">
      <c r="B9" s="820"/>
      <c r="C9" s="820" t="s">
        <v>146</v>
      </c>
      <c r="D9" s="811">
        <f>Resumo!$H$43</f>
        <v>3521272.4800000004</v>
      </c>
      <c r="E9" s="822">
        <v>16</v>
      </c>
      <c r="F9" s="814">
        <f>SUM(F12:I23)</f>
        <v>877287.29083333316</v>
      </c>
      <c r="G9" s="814"/>
      <c r="H9" s="814"/>
      <c r="I9" s="814"/>
      <c r="J9" s="814">
        <f>SUM(J12:M23)</f>
        <v>1581906.5508333319</v>
      </c>
      <c r="K9" s="814"/>
      <c r="L9" s="814"/>
      <c r="M9" s="814"/>
      <c r="N9" s="814">
        <f>SUM(N12:Q23)</f>
        <v>957376.29083333304</v>
      </c>
      <c r="O9" s="814"/>
      <c r="P9" s="814"/>
      <c r="Q9" s="814"/>
      <c r="R9" s="814">
        <f>SUM(R12:U23)</f>
        <v>104702.34750000003</v>
      </c>
      <c r="S9" s="814"/>
      <c r="T9" s="814"/>
      <c r="U9" s="814"/>
      <c r="V9" s="813">
        <f>SUM(F9:U9)</f>
        <v>3521272.4799999981</v>
      </c>
      <c r="W9" s="810">
        <f>SUM(F10:U10)</f>
        <v>0.99999999999999922</v>
      </c>
    </row>
    <row r="10" spans="2:24" ht="13.5" customHeight="1">
      <c r="B10" s="820"/>
      <c r="C10" s="820"/>
      <c r="D10" s="811"/>
      <c r="E10" s="822"/>
      <c r="F10" s="776">
        <f>F9/$D9</f>
        <v>0.24913928013697284</v>
      </c>
      <c r="G10" s="776"/>
      <c r="H10" s="776"/>
      <c r="I10" s="776"/>
      <c r="J10" s="776">
        <f>J9/$D9</f>
        <v>0.44924286882602499</v>
      </c>
      <c r="K10" s="776"/>
      <c r="L10" s="776"/>
      <c r="M10" s="776"/>
      <c r="N10" s="776">
        <f>N9/$D9</f>
        <v>0.27188361487814566</v>
      </c>
      <c r="O10" s="776"/>
      <c r="P10" s="776"/>
      <c r="Q10" s="776"/>
      <c r="R10" s="776">
        <f>R9/$D9</f>
        <v>2.9734236158855853E-2</v>
      </c>
      <c r="S10" s="776"/>
      <c r="T10" s="776"/>
      <c r="U10" s="776"/>
      <c r="V10" s="811"/>
      <c r="W10" s="811"/>
      <c r="X10" s="25">
        <f>V9-D9</f>
        <v>0</v>
      </c>
    </row>
    <row r="11" spans="2:24" ht="13.5" customHeight="1">
      <c r="B11" s="821"/>
      <c r="C11" s="821"/>
      <c r="D11" s="812"/>
      <c r="E11" s="823"/>
      <c r="F11" s="776">
        <f>F9/$D$23</f>
        <v>0.24913928013697287</v>
      </c>
      <c r="G11" s="776"/>
      <c r="H11" s="776"/>
      <c r="I11" s="776"/>
      <c r="J11" s="776">
        <f>J9/$D$23</f>
        <v>0.44924286882602504</v>
      </c>
      <c r="K11" s="776"/>
      <c r="L11" s="776"/>
      <c r="M11" s="776"/>
      <c r="N11" s="776">
        <f>N9/$D$23</f>
        <v>0.27188361487814572</v>
      </c>
      <c r="O11" s="776"/>
      <c r="P11" s="776"/>
      <c r="Q11" s="776"/>
      <c r="R11" s="776">
        <f>R9/$D$23</f>
        <v>2.9734236158855856E-2</v>
      </c>
      <c r="S11" s="776"/>
      <c r="T11" s="776"/>
      <c r="U11" s="776"/>
      <c r="V11" s="812"/>
      <c r="W11" s="812"/>
    </row>
    <row r="12" spans="2:24" ht="24.95" customHeight="1">
      <c r="B12" s="137">
        <f>Resumo!B10</f>
        <v>1</v>
      </c>
      <c r="C12" s="138" t="str">
        <f>CONCATENATE(Resumo!C10,Resumo!L11,Resumo!C11)</f>
        <v>RESERVATÓRIO METÁLICO--OBRAS CIVIS E SERVIÇOS</v>
      </c>
      <c r="D12" s="92">
        <f>'OS-Reservatório'!$K$30</f>
        <v>26188.699999999997</v>
      </c>
      <c r="E12" s="105">
        <v>8</v>
      </c>
      <c r="F12" s="93"/>
      <c r="G12" s="94"/>
      <c r="H12" s="94"/>
      <c r="I12" s="171"/>
      <c r="J12" s="93"/>
      <c r="K12" s="94"/>
      <c r="L12" s="172"/>
      <c r="M12" s="95"/>
      <c r="N12" s="93">
        <f t="shared" ref="F12:U22" si="0">$D12/$E12</f>
        <v>3273.5874999999996</v>
      </c>
      <c r="O12" s="94">
        <f t="shared" si="0"/>
        <v>3273.5874999999996</v>
      </c>
      <c r="P12" s="94">
        <f t="shared" si="0"/>
        <v>3273.5874999999996</v>
      </c>
      <c r="Q12" s="94">
        <f t="shared" si="0"/>
        <v>3273.5874999999996</v>
      </c>
      <c r="R12" s="93">
        <f t="shared" si="0"/>
        <v>3273.5874999999996</v>
      </c>
      <c r="S12" s="94">
        <f t="shared" si="0"/>
        <v>3273.5874999999996</v>
      </c>
      <c r="T12" s="94">
        <f t="shared" si="0"/>
        <v>3273.5874999999996</v>
      </c>
      <c r="U12" s="94">
        <f t="shared" si="0"/>
        <v>3273.5874999999996</v>
      </c>
      <c r="V12" s="92">
        <f>SUM(F12:U12)</f>
        <v>26188.699999999997</v>
      </c>
      <c r="W12" s="96">
        <f t="shared" ref="W12:W22" si="1">(D12/$D$9)</f>
        <v>7.4372830130998539E-3</v>
      </c>
      <c r="X12" s="665">
        <f>D12-V12</f>
        <v>0</v>
      </c>
    </row>
    <row r="13" spans="2:24" ht="24.95" customHeight="1">
      <c r="B13" s="137">
        <f>Resumo!B13</f>
        <v>2</v>
      </c>
      <c r="C13" s="138" t="str">
        <f>CONCATENATE(Resumo!C13,Resumo!L14,Resumo!C14)</f>
        <v>RESERVATÓRIO METÁLICO--MATERIAIS E EQUIPAMENTOS</v>
      </c>
      <c r="D13" s="92">
        <f>'ME-Reservatório'!$K$71</f>
        <v>2563224.9999999995</v>
      </c>
      <c r="E13" s="105">
        <v>12</v>
      </c>
      <c r="F13" s="93">
        <f t="shared" si="0"/>
        <v>213602.08333333328</v>
      </c>
      <c r="G13" s="94">
        <f t="shared" si="0"/>
        <v>213602.08333333328</v>
      </c>
      <c r="H13" s="94">
        <f t="shared" si="0"/>
        <v>213602.08333333328</v>
      </c>
      <c r="I13" s="94">
        <f t="shared" si="0"/>
        <v>213602.08333333328</v>
      </c>
      <c r="J13" s="93">
        <f t="shared" si="0"/>
        <v>213602.08333333328</v>
      </c>
      <c r="K13" s="94">
        <f t="shared" si="0"/>
        <v>213602.08333333328</v>
      </c>
      <c r="L13" s="94">
        <f t="shared" si="0"/>
        <v>213602.08333333328</v>
      </c>
      <c r="M13" s="94">
        <f t="shared" si="0"/>
        <v>213602.08333333328</v>
      </c>
      <c r="N13" s="93">
        <f t="shared" si="0"/>
        <v>213602.08333333328</v>
      </c>
      <c r="O13" s="94">
        <f t="shared" si="0"/>
        <v>213602.08333333328</v>
      </c>
      <c r="P13" s="94">
        <f t="shared" si="0"/>
        <v>213602.08333333328</v>
      </c>
      <c r="Q13" s="94">
        <f t="shared" si="0"/>
        <v>213602.08333333328</v>
      </c>
      <c r="R13" s="93"/>
      <c r="S13" s="172"/>
      <c r="T13" s="94"/>
      <c r="U13" s="95"/>
      <c r="V13" s="92">
        <f t="shared" ref="V13:V22" si="2">SUM(F13:U13)</f>
        <v>2563225</v>
      </c>
      <c r="W13" s="96">
        <f t="shared" si="1"/>
        <v>0.72792577528677904</v>
      </c>
      <c r="X13" s="665">
        <f t="shared" ref="X13:X22" si="3">D13-V13</f>
        <v>0</v>
      </c>
    </row>
    <row r="14" spans="2:24" ht="24.95" customHeight="1">
      <c r="B14" s="137">
        <f>Resumo!B16</f>
        <v>3</v>
      </c>
      <c r="C14" s="138" t="str">
        <f>CONCATENATE(Resumo!C16,Resumo!L17,Resumo!C17)</f>
        <v>INTERLIGAÇÃO DE ENTRADA DO RESERVATÓRIO--OBRAS CIVIS E SERVIÇOS</v>
      </c>
      <c r="D14" s="92">
        <f>'OS-Entrada'!$K$85</f>
        <v>66329.539999999979</v>
      </c>
      <c r="E14" s="105">
        <v>8</v>
      </c>
      <c r="F14" s="93"/>
      <c r="G14" s="94"/>
      <c r="H14" s="94"/>
      <c r="I14" s="171"/>
      <c r="J14" s="93"/>
      <c r="K14" s="94"/>
      <c r="L14" s="172"/>
      <c r="M14" s="95"/>
      <c r="N14" s="93">
        <f t="shared" si="0"/>
        <v>8291.1924999999974</v>
      </c>
      <c r="O14" s="94">
        <f t="shared" si="0"/>
        <v>8291.1924999999974</v>
      </c>
      <c r="P14" s="94">
        <f t="shared" si="0"/>
        <v>8291.1924999999974</v>
      </c>
      <c r="Q14" s="94">
        <f t="shared" si="0"/>
        <v>8291.1924999999974</v>
      </c>
      <c r="R14" s="93">
        <f t="shared" si="0"/>
        <v>8291.1924999999974</v>
      </c>
      <c r="S14" s="94">
        <f t="shared" si="0"/>
        <v>8291.1924999999974</v>
      </c>
      <c r="T14" s="94">
        <f t="shared" si="0"/>
        <v>8291.1924999999974</v>
      </c>
      <c r="U14" s="94">
        <f t="shared" si="0"/>
        <v>8291.1924999999974</v>
      </c>
      <c r="V14" s="92">
        <f t="shared" si="2"/>
        <v>66329.539999999979</v>
      </c>
      <c r="W14" s="96">
        <f t="shared" si="1"/>
        <v>1.8836809811434978E-2</v>
      </c>
      <c r="X14" s="665">
        <f t="shared" si="3"/>
        <v>0</v>
      </c>
    </row>
    <row r="15" spans="2:24" ht="24.95" customHeight="1">
      <c r="B15" s="137">
        <f>Resumo!B19</f>
        <v>4</v>
      </c>
      <c r="C15" s="138" t="str">
        <f>CONCATENATE(Resumo!C19,Resumo!L20,Resumo!C20)</f>
        <v>INTERLIGAÇÃO DE ENTRADA DO RESERVATÓRIO--MATERIAIS E EQUIPAMENTOS</v>
      </c>
      <c r="D15" s="92">
        <f>'ME-Entrada'!$K$47</f>
        <v>305332.56</v>
      </c>
      <c r="E15" s="105">
        <v>4</v>
      </c>
      <c r="F15" s="93"/>
      <c r="G15" s="94"/>
      <c r="H15" s="94"/>
      <c r="I15" s="171"/>
      <c r="J15" s="93">
        <f t="shared" si="0"/>
        <v>76333.14</v>
      </c>
      <c r="K15" s="94">
        <f t="shared" si="0"/>
        <v>76333.14</v>
      </c>
      <c r="L15" s="94">
        <f t="shared" si="0"/>
        <v>76333.14</v>
      </c>
      <c r="M15" s="94">
        <f t="shared" si="0"/>
        <v>76333.14</v>
      </c>
      <c r="N15" s="172"/>
      <c r="O15" s="94"/>
      <c r="P15" s="94"/>
      <c r="Q15" s="95"/>
      <c r="R15" s="93"/>
      <c r="S15" s="172"/>
      <c r="T15" s="94"/>
      <c r="U15" s="95"/>
      <c r="V15" s="92">
        <f t="shared" si="2"/>
        <v>305332.56</v>
      </c>
      <c r="W15" s="96">
        <f t="shared" si="1"/>
        <v>8.6710858570081456E-2</v>
      </c>
      <c r="X15" s="665">
        <f t="shared" si="3"/>
        <v>0</v>
      </c>
    </row>
    <row r="16" spans="2:24" ht="24.95" customHeight="1">
      <c r="B16" s="137">
        <f>Resumo!B22</f>
        <v>5</v>
      </c>
      <c r="C16" s="138" t="str">
        <f>CONCATENATE(Resumo!C22,Resumo!L23,Resumo!C23)</f>
        <v>INTERLIGAÇÃO DO EXTRAVASOR E DESCARGA--OBRAS CIVIS E SERVIÇOS</v>
      </c>
      <c r="D16" s="92">
        <f>'OS-Extravasor'!$K$90</f>
        <v>34944.770000000011</v>
      </c>
      <c r="E16" s="105">
        <v>8</v>
      </c>
      <c r="F16" s="93"/>
      <c r="G16" s="94"/>
      <c r="H16" s="94"/>
      <c r="I16" s="171"/>
      <c r="J16" s="93"/>
      <c r="K16" s="94"/>
      <c r="L16" s="172"/>
      <c r="M16" s="95"/>
      <c r="N16" s="93">
        <f t="shared" si="0"/>
        <v>4368.0962500000014</v>
      </c>
      <c r="O16" s="94">
        <f t="shared" si="0"/>
        <v>4368.0962500000014</v>
      </c>
      <c r="P16" s="94">
        <f t="shared" si="0"/>
        <v>4368.0962500000014</v>
      </c>
      <c r="Q16" s="94">
        <f t="shared" si="0"/>
        <v>4368.0962500000014</v>
      </c>
      <c r="R16" s="93">
        <f t="shared" si="0"/>
        <v>4368.0962500000014</v>
      </c>
      <c r="S16" s="94">
        <f t="shared" si="0"/>
        <v>4368.0962500000014</v>
      </c>
      <c r="T16" s="94">
        <f t="shared" si="0"/>
        <v>4368.0962500000014</v>
      </c>
      <c r="U16" s="94">
        <f t="shared" si="0"/>
        <v>4368.0962500000014</v>
      </c>
      <c r="V16" s="92">
        <f t="shared" si="2"/>
        <v>34944.770000000011</v>
      </c>
      <c r="W16" s="96">
        <f t="shared" si="1"/>
        <v>9.9239039859817975E-3</v>
      </c>
      <c r="X16" s="665">
        <f t="shared" si="3"/>
        <v>0</v>
      </c>
    </row>
    <row r="17" spans="2:27" ht="24.95" customHeight="1">
      <c r="B17" s="137">
        <f>Resumo!B25</f>
        <v>6</v>
      </c>
      <c r="C17" s="138" t="str">
        <f>CONCATENATE(Resumo!C25,Resumo!L26,Resumo!C26)</f>
        <v>INTERLIGAÇÃO DO EXTRAVASOR E DESCARGA--MATERIAIS E EQUIPAMENTOS</v>
      </c>
      <c r="D17" s="92">
        <f>'ME-Extravasor'!$K$36</f>
        <v>131077.08999999997</v>
      </c>
      <c r="E17" s="105">
        <v>4</v>
      </c>
      <c r="F17" s="93"/>
      <c r="G17" s="94"/>
      <c r="H17" s="94"/>
      <c r="I17" s="171"/>
      <c r="J17" s="93">
        <f t="shared" si="0"/>
        <v>32769.272499999992</v>
      </c>
      <c r="K17" s="94">
        <f t="shared" si="0"/>
        <v>32769.272499999992</v>
      </c>
      <c r="L17" s="94">
        <f t="shared" si="0"/>
        <v>32769.272499999992</v>
      </c>
      <c r="M17" s="94">
        <f t="shared" si="0"/>
        <v>32769.272499999992</v>
      </c>
      <c r="N17" s="172"/>
      <c r="O17" s="94"/>
      <c r="P17" s="94"/>
      <c r="Q17" s="95"/>
      <c r="R17" s="93"/>
      <c r="S17" s="172"/>
      <c r="T17" s="94"/>
      <c r="U17" s="95"/>
      <c r="V17" s="92">
        <f t="shared" si="2"/>
        <v>131077.08999999997</v>
      </c>
      <c r="W17" s="96">
        <f t="shared" si="1"/>
        <v>3.7224353055461346E-2</v>
      </c>
      <c r="X17" s="665">
        <f t="shared" si="3"/>
        <v>0</v>
      </c>
    </row>
    <row r="18" spans="2:27" ht="24.95" customHeight="1">
      <c r="B18" s="137">
        <f>Resumo!B28</f>
        <v>7</v>
      </c>
      <c r="C18" s="138" t="str">
        <f>CONCATENATE(Resumo!C28,Resumo!L29,Resumo!C29)</f>
        <v>INTERLIGAÇÃO DE SAÍDA DO RESERVATÓRIO--OBRAS CIVIS E SERVIÇOS</v>
      </c>
      <c r="D18" s="92">
        <f>'OS-Saída'!$K$85</f>
        <v>32714.989999999998</v>
      </c>
      <c r="E18" s="105">
        <v>8</v>
      </c>
      <c r="F18" s="93"/>
      <c r="G18" s="94"/>
      <c r="H18" s="94"/>
      <c r="I18" s="171"/>
      <c r="J18" s="93"/>
      <c r="K18" s="94"/>
      <c r="L18" s="172"/>
      <c r="M18" s="95"/>
      <c r="N18" s="93">
        <f t="shared" si="0"/>
        <v>4089.3737499999997</v>
      </c>
      <c r="O18" s="94">
        <f t="shared" si="0"/>
        <v>4089.3737499999997</v>
      </c>
      <c r="P18" s="94">
        <f t="shared" si="0"/>
        <v>4089.3737499999997</v>
      </c>
      <c r="Q18" s="94">
        <f t="shared" si="0"/>
        <v>4089.3737499999997</v>
      </c>
      <c r="R18" s="93">
        <f t="shared" si="0"/>
        <v>4089.3737499999997</v>
      </c>
      <c r="S18" s="94">
        <f t="shared" si="0"/>
        <v>4089.3737499999997</v>
      </c>
      <c r="T18" s="94">
        <f t="shared" si="0"/>
        <v>4089.3737499999997</v>
      </c>
      <c r="U18" s="94">
        <f t="shared" si="0"/>
        <v>4089.3737499999997</v>
      </c>
      <c r="V18" s="92">
        <f t="shared" si="2"/>
        <v>32714.989999999994</v>
      </c>
      <c r="W18" s="96">
        <f t="shared" si="1"/>
        <v>9.2906726718291321E-3</v>
      </c>
      <c r="X18" s="665">
        <f t="shared" si="3"/>
        <v>0</v>
      </c>
    </row>
    <row r="19" spans="2:27" ht="24.95" customHeight="1">
      <c r="B19" s="137">
        <f>Resumo!B31</f>
        <v>8</v>
      </c>
      <c r="C19" s="138" t="str">
        <f>CONCATENATE(Resumo!C31,Resumo!L32,Resumo!C32)</f>
        <v>INTERLIGAÇÃO DE SAÍDA DO RESERVATÓRIO--MATERIAIS E EQUIPAMENTOS</v>
      </c>
      <c r="D19" s="92">
        <f>'ME-Saída'!$K$31</f>
        <v>244873.85</v>
      </c>
      <c r="E19" s="105">
        <v>4</v>
      </c>
      <c r="F19" s="93"/>
      <c r="G19" s="94"/>
      <c r="H19" s="94"/>
      <c r="I19" s="171"/>
      <c r="J19" s="93">
        <f t="shared" si="0"/>
        <v>61218.462500000001</v>
      </c>
      <c r="K19" s="94">
        <f t="shared" si="0"/>
        <v>61218.462500000001</v>
      </c>
      <c r="L19" s="94">
        <f t="shared" si="0"/>
        <v>61218.462500000001</v>
      </c>
      <c r="M19" s="94">
        <f t="shared" si="0"/>
        <v>61218.462500000001</v>
      </c>
      <c r="N19" s="172"/>
      <c r="O19" s="94"/>
      <c r="P19" s="94"/>
      <c r="Q19" s="95"/>
      <c r="R19" s="93"/>
      <c r="S19" s="172"/>
      <c r="T19" s="94"/>
      <c r="U19" s="95"/>
      <c r="V19" s="92">
        <f t="shared" si="2"/>
        <v>244873.85</v>
      </c>
      <c r="W19" s="96">
        <f t="shared" si="1"/>
        <v>6.9541295480774604E-2</v>
      </c>
      <c r="X19" s="665">
        <f t="shared" si="3"/>
        <v>0</v>
      </c>
    </row>
    <row r="20" spans="2:27" ht="24.95" customHeight="1">
      <c r="B20" s="137">
        <f>Resumo!B34</f>
        <v>9</v>
      </c>
      <c r="C20" s="138" t="str">
        <f>CONCATENATE(Resumo!C34,Resumo!L35,Resumo!C35)</f>
        <v>RESPIRO--OBRAS CIVIS E SERVIÇOS</v>
      </c>
      <c r="D20" s="92">
        <f>'OS-Respiro'!$K$24</f>
        <v>1734.3899999999999</v>
      </c>
      <c r="E20" s="105">
        <v>2</v>
      </c>
      <c r="F20" s="93"/>
      <c r="G20" s="94"/>
      <c r="H20" s="94"/>
      <c r="I20" s="171"/>
      <c r="J20" s="93"/>
      <c r="K20" s="94"/>
      <c r="L20" s="172"/>
      <c r="M20" s="95"/>
      <c r="N20" s="172"/>
      <c r="O20" s="94"/>
      <c r="P20" s="94"/>
      <c r="Q20" s="95"/>
      <c r="R20" s="93"/>
      <c r="S20" s="172"/>
      <c r="T20" s="94">
        <f t="shared" si="0"/>
        <v>867.19499999999994</v>
      </c>
      <c r="U20" s="94">
        <f t="shared" si="0"/>
        <v>867.19499999999994</v>
      </c>
      <c r="V20" s="92">
        <f t="shared" si="2"/>
        <v>1734.3899999999999</v>
      </c>
      <c r="W20" s="96">
        <f t="shared" si="1"/>
        <v>4.925463763031481E-4</v>
      </c>
      <c r="X20" s="665">
        <f t="shared" si="3"/>
        <v>0</v>
      </c>
    </row>
    <row r="21" spans="2:27" ht="24.95" customHeight="1">
      <c r="B21" s="137">
        <f>Resumo!B37</f>
        <v>10</v>
      </c>
      <c r="C21" s="138" t="str">
        <f>CONCATENATE(Resumo!C37,Resumo!L38,Resumo!C38)</f>
        <v>RESPIRO--MATERIAIS E EQUIPAMENTOS</v>
      </c>
      <c r="D21" s="92">
        <f>'ME-Respiro'!$K$23</f>
        <v>23335.760000000002</v>
      </c>
      <c r="E21" s="105">
        <v>4</v>
      </c>
      <c r="F21" s="93"/>
      <c r="G21" s="94"/>
      <c r="H21" s="94"/>
      <c r="I21" s="171"/>
      <c r="J21" s="93">
        <f t="shared" si="0"/>
        <v>5833.9400000000005</v>
      </c>
      <c r="K21" s="94">
        <f t="shared" si="0"/>
        <v>5833.9400000000005</v>
      </c>
      <c r="L21" s="94">
        <f t="shared" si="0"/>
        <v>5833.9400000000005</v>
      </c>
      <c r="M21" s="94">
        <f t="shared" si="0"/>
        <v>5833.9400000000005</v>
      </c>
      <c r="N21" s="172"/>
      <c r="O21" s="94"/>
      <c r="P21" s="94"/>
      <c r="Q21" s="95"/>
      <c r="R21" s="93"/>
      <c r="S21" s="172"/>
      <c r="T21" s="94"/>
      <c r="U21" s="95"/>
      <c r="V21" s="92">
        <f t="shared" si="2"/>
        <v>23335.760000000002</v>
      </c>
      <c r="W21" s="96">
        <f t="shared" si="1"/>
        <v>6.6270815827351136E-3</v>
      </c>
      <c r="X21" s="665">
        <f t="shared" si="3"/>
        <v>0</v>
      </c>
    </row>
    <row r="22" spans="2:27" ht="24.95" customHeight="1">
      <c r="B22" s="137">
        <f>Resumo!B40</f>
        <v>11</v>
      </c>
      <c r="C22" s="138" t="str">
        <f>CONCATENATE(Resumo!C40,Resumo!L41,Resumo!C41)</f>
        <v>CANTEIRO DE OBRAS--OBRAS CIVIS E SERVIÇOS</v>
      </c>
      <c r="D22" s="92">
        <f>'OS-Canteiro'!$K$33</f>
        <v>91515.829999999987</v>
      </c>
      <c r="E22" s="105">
        <v>16</v>
      </c>
      <c r="F22" s="93">
        <f t="shared" si="0"/>
        <v>5719.7393749999992</v>
      </c>
      <c r="G22" s="94">
        <f t="shared" si="0"/>
        <v>5719.7393749999992</v>
      </c>
      <c r="H22" s="94">
        <f t="shared" si="0"/>
        <v>5719.7393749999992</v>
      </c>
      <c r="I22" s="94">
        <f t="shared" si="0"/>
        <v>5719.7393749999992</v>
      </c>
      <c r="J22" s="93">
        <f t="shared" si="0"/>
        <v>5719.7393749999992</v>
      </c>
      <c r="K22" s="94">
        <f t="shared" si="0"/>
        <v>5719.7393749999992</v>
      </c>
      <c r="L22" s="94">
        <f t="shared" si="0"/>
        <v>5719.7393749999992</v>
      </c>
      <c r="M22" s="94">
        <f t="shared" si="0"/>
        <v>5719.7393749999992</v>
      </c>
      <c r="N22" s="93">
        <f t="shared" si="0"/>
        <v>5719.7393749999992</v>
      </c>
      <c r="O22" s="94">
        <f t="shared" si="0"/>
        <v>5719.7393749999992</v>
      </c>
      <c r="P22" s="94">
        <f t="shared" si="0"/>
        <v>5719.7393749999992</v>
      </c>
      <c r="Q22" s="94">
        <f t="shared" si="0"/>
        <v>5719.7393749999992</v>
      </c>
      <c r="R22" s="93">
        <f t="shared" si="0"/>
        <v>5719.7393749999992</v>
      </c>
      <c r="S22" s="94">
        <f t="shared" si="0"/>
        <v>5719.7393749999992</v>
      </c>
      <c r="T22" s="94">
        <f t="shared" si="0"/>
        <v>5719.7393749999992</v>
      </c>
      <c r="U22" s="94">
        <f t="shared" si="0"/>
        <v>5719.7393749999992</v>
      </c>
      <c r="V22" s="92">
        <f t="shared" si="2"/>
        <v>91515.83</v>
      </c>
      <c r="W22" s="96">
        <f t="shared" si="1"/>
        <v>2.598942016551925E-2</v>
      </c>
      <c r="X22" s="665">
        <f t="shared" si="3"/>
        <v>0</v>
      </c>
    </row>
    <row r="23" spans="2:27" ht="18" customHeight="1" thickBot="1">
      <c r="B23" s="818" t="s">
        <v>20</v>
      </c>
      <c r="C23" s="819"/>
      <c r="D23" s="106">
        <f>SUM(D12:D22)</f>
        <v>3521272.48</v>
      </c>
      <c r="E23" s="26"/>
      <c r="F23" s="777"/>
      <c r="G23" s="778"/>
      <c r="H23" s="778"/>
      <c r="I23" s="779"/>
      <c r="J23" s="777"/>
      <c r="K23" s="778"/>
      <c r="L23" s="778"/>
      <c r="M23" s="779"/>
      <c r="N23" s="777"/>
      <c r="O23" s="778"/>
      <c r="P23" s="778"/>
      <c r="Q23" s="779"/>
      <c r="R23" s="777"/>
      <c r="S23" s="778"/>
      <c r="T23" s="778"/>
      <c r="U23" s="779"/>
      <c r="V23" s="27">
        <f>SUM(V12:V22)</f>
        <v>3521272.4800000004</v>
      </c>
      <c r="W23" s="28">
        <f>IF(AND(SUM(W12:W22)=1),1,"não OK")</f>
        <v>1</v>
      </c>
      <c r="X23" s="25">
        <f>V23-V9</f>
        <v>0</v>
      </c>
      <c r="Y23" s="25">
        <f>V23-D23</f>
        <v>0</v>
      </c>
      <c r="Z23" s="25">
        <f>V9-D9</f>
        <v>0</v>
      </c>
      <c r="AA23" s="25">
        <f>V23-R26</f>
        <v>0</v>
      </c>
    </row>
    <row r="24" spans="2:27" s="33" customFormat="1" ht="15" customHeight="1">
      <c r="B24" s="817" t="s">
        <v>21</v>
      </c>
      <c r="C24" s="817"/>
      <c r="D24" s="29"/>
      <c r="E24" s="30"/>
      <c r="F24" s="780">
        <f>F9</f>
        <v>877287.29083333316</v>
      </c>
      <c r="G24" s="781"/>
      <c r="H24" s="781"/>
      <c r="I24" s="782"/>
      <c r="J24" s="780">
        <f>J9</f>
        <v>1581906.5508333319</v>
      </c>
      <c r="K24" s="781"/>
      <c r="L24" s="781"/>
      <c r="M24" s="782"/>
      <c r="N24" s="780">
        <f>N9</f>
        <v>957376.29083333304</v>
      </c>
      <c r="O24" s="781"/>
      <c r="P24" s="781"/>
      <c r="Q24" s="782"/>
      <c r="R24" s="780">
        <f>R9</f>
        <v>104702.34750000003</v>
      </c>
      <c r="S24" s="781"/>
      <c r="T24" s="781"/>
      <c r="U24" s="782"/>
      <c r="V24" s="31"/>
      <c r="W24" s="32"/>
    </row>
    <row r="25" spans="2:27" s="33" customFormat="1" ht="15" customHeight="1">
      <c r="B25" s="816" t="s">
        <v>22</v>
      </c>
      <c r="C25" s="816"/>
      <c r="D25" s="97"/>
      <c r="E25" s="97"/>
      <c r="F25" s="783">
        <f>F24/$D23</f>
        <v>0.24913928013697287</v>
      </c>
      <c r="G25" s="784"/>
      <c r="H25" s="784"/>
      <c r="I25" s="785"/>
      <c r="J25" s="783">
        <f>J24/$D23</f>
        <v>0.44924286882602504</v>
      </c>
      <c r="K25" s="784"/>
      <c r="L25" s="784"/>
      <c r="M25" s="785"/>
      <c r="N25" s="783">
        <f>N24/$D23</f>
        <v>0.27188361487814572</v>
      </c>
      <c r="O25" s="784"/>
      <c r="P25" s="784"/>
      <c r="Q25" s="785"/>
      <c r="R25" s="783">
        <f>R24/$D23</f>
        <v>2.9734236158855856E-2</v>
      </c>
      <c r="S25" s="784"/>
      <c r="T25" s="784"/>
      <c r="U25" s="785"/>
      <c r="V25" s="34"/>
      <c r="W25" s="34"/>
    </row>
    <row r="26" spans="2:27" s="33" customFormat="1" ht="15" customHeight="1">
      <c r="B26" s="816" t="s">
        <v>23</v>
      </c>
      <c r="C26" s="816"/>
      <c r="D26" s="98"/>
      <c r="E26" s="99"/>
      <c r="F26" s="770">
        <f>F24</f>
        <v>877287.29083333316</v>
      </c>
      <c r="G26" s="771"/>
      <c r="H26" s="771"/>
      <c r="I26" s="772"/>
      <c r="J26" s="770">
        <f>J24+F26</f>
        <v>2459193.8416666649</v>
      </c>
      <c r="K26" s="771"/>
      <c r="L26" s="771"/>
      <c r="M26" s="772"/>
      <c r="N26" s="770">
        <f>N24+J26</f>
        <v>3416570.132499998</v>
      </c>
      <c r="O26" s="771"/>
      <c r="P26" s="771"/>
      <c r="Q26" s="772"/>
      <c r="R26" s="770">
        <f>R24+N26</f>
        <v>3521272.4799999981</v>
      </c>
      <c r="S26" s="771"/>
      <c r="T26" s="771"/>
      <c r="U26" s="772"/>
      <c r="V26" s="34"/>
      <c r="W26" s="34"/>
    </row>
    <row r="27" spans="2:27" s="33" customFormat="1" ht="15" customHeight="1" thickBot="1">
      <c r="B27" s="815" t="s">
        <v>24</v>
      </c>
      <c r="C27" s="815"/>
      <c r="D27" s="35"/>
      <c r="E27" s="36"/>
      <c r="F27" s="773">
        <f>F25</f>
        <v>0.24913928013697287</v>
      </c>
      <c r="G27" s="774"/>
      <c r="H27" s="774"/>
      <c r="I27" s="775"/>
      <c r="J27" s="773">
        <f>J25+F27</f>
        <v>0.69838214896299788</v>
      </c>
      <c r="K27" s="774"/>
      <c r="L27" s="774"/>
      <c r="M27" s="775"/>
      <c r="N27" s="773">
        <f>N25+J27</f>
        <v>0.9702657638411436</v>
      </c>
      <c r="O27" s="774"/>
      <c r="P27" s="774"/>
      <c r="Q27" s="775"/>
      <c r="R27" s="773">
        <f>R25+N27</f>
        <v>0.99999999999999944</v>
      </c>
      <c r="S27" s="774"/>
      <c r="T27" s="774"/>
      <c r="U27" s="775"/>
      <c r="V27" s="34"/>
      <c r="W27" s="34"/>
    </row>
    <row r="28" spans="2:27">
      <c r="V28" s="38"/>
      <c r="W28" s="38"/>
    </row>
    <row r="29" spans="2:27">
      <c r="V29" s="38"/>
      <c r="W29" s="38"/>
      <c r="Y29" s="102"/>
    </row>
    <row r="30" spans="2:27" s="1" customFormat="1" ht="21" customHeight="1">
      <c r="B30" s="39"/>
      <c r="D30" s="40"/>
      <c r="Y30" s="104"/>
    </row>
    <row r="31" spans="2:27" ht="15.75">
      <c r="C31" s="41"/>
      <c r="D31" s="100">
        <f>D9-D23</f>
        <v>0</v>
      </c>
    </row>
    <row r="32" spans="2:27">
      <c r="C32" s="41"/>
      <c r="D32" s="41"/>
      <c r="Y32" s="103"/>
    </row>
    <row r="33" spans="3:23">
      <c r="C33" s="41"/>
      <c r="D33" s="41"/>
    </row>
    <row r="34" spans="3:23">
      <c r="C34" s="41"/>
      <c r="D34" s="41"/>
    </row>
    <row r="35" spans="3:23">
      <c r="C35" s="41"/>
      <c r="D35" s="41"/>
    </row>
    <row r="36" spans="3:23">
      <c r="C36" s="41"/>
      <c r="D36" s="41"/>
      <c r="W36" s="101"/>
    </row>
    <row r="37" spans="3:23">
      <c r="C37" s="41"/>
      <c r="D37" s="41"/>
    </row>
  </sheetData>
  <mergeCells count="59">
    <mergeCell ref="N26:Q26"/>
    <mergeCell ref="R26:U26"/>
    <mergeCell ref="N27:Q27"/>
    <mergeCell ref="R27:U27"/>
    <mergeCell ref="N23:Q23"/>
    <mergeCell ref="R23:U23"/>
    <mergeCell ref="N24:Q24"/>
    <mergeCell ref="R24:U24"/>
    <mergeCell ref="N25:Q25"/>
    <mergeCell ref="R25:U25"/>
    <mergeCell ref="B24:C24"/>
    <mergeCell ref="F24:I24"/>
    <mergeCell ref="B23:C23"/>
    <mergeCell ref="F23:I23"/>
    <mergeCell ref="B9:B11"/>
    <mergeCell ref="C9:C11"/>
    <mergeCell ref="D9:D11"/>
    <mergeCell ref="E9:E11"/>
    <mergeCell ref="F9:I9"/>
    <mergeCell ref="F11:I11"/>
    <mergeCell ref="B27:C27"/>
    <mergeCell ref="F27:I27"/>
    <mergeCell ref="B26:C26"/>
    <mergeCell ref="F26:I26"/>
    <mergeCell ref="B25:C25"/>
    <mergeCell ref="F25:I25"/>
    <mergeCell ref="W9:W11"/>
    <mergeCell ref="V9:V11"/>
    <mergeCell ref="F10:I10"/>
    <mergeCell ref="J9:M9"/>
    <mergeCell ref="N9:Q9"/>
    <mergeCell ref="R9:U9"/>
    <mergeCell ref="N10:Q10"/>
    <mergeCell ref="R10:U10"/>
    <mergeCell ref="N11:Q11"/>
    <mergeCell ref="R11:U11"/>
    <mergeCell ref="B2:W3"/>
    <mergeCell ref="B4:W5"/>
    <mergeCell ref="B6:B8"/>
    <mergeCell ref="C6:C8"/>
    <mergeCell ref="D6:D8"/>
    <mergeCell ref="E6:E8"/>
    <mergeCell ref="F6:I7"/>
    <mergeCell ref="V6:V8"/>
    <mergeCell ref="W6:W8"/>
    <mergeCell ref="F8:I8"/>
    <mergeCell ref="J6:M7"/>
    <mergeCell ref="J8:M8"/>
    <mergeCell ref="N6:Q7"/>
    <mergeCell ref="R6:U7"/>
    <mergeCell ref="N8:Q8"/>
    <mergeCell ref="R8:U8"/>
    <mergeCell ref="J26:M26"/>
    <mergeCell ref="J27:M27"/>
    <mergeCell ref="J10:M10"/>
    <mergeCell ref="J11:M11"/>
    <mergeCell ref="J23:M23"/>
    <mergeCell ref="J24:M24"/>
    <mergeCell ref="J25:M25"/>
  </mergeCells>
  <conditionalFormatting sqref="F12:I12">
    <cfRule type="notContainsBlanks" dxfId="196" priority="311">
      <formula>LEN(TRIM(F12))&gt;0</formula>
    </cfRule>
  </conditionalFormatting>
  <conditionalFormatting sqref="F12:I12">
    <cfRule type="notContainsBlanks" dxfId="195" priority="310">
      <formula>LEN(TRIM(F12))&gt;0</formula>
    </cfRule>
  </conditionalFormatting>
  <conditionalFormatting sqref="J12:M12">
    <cfRule type="notContainsBlanks" dxfId="194" priority="275">
      <formula>LEN(TRIM(J12))&gt;0</formula>
    </cfRule>
  </conditionalFormatting>
  <conditionalFormatting sqref="J12:M12">
    <cfRule type="notContainsBlanks" dxfId="193" priority="274">
      <formula>LEN(TRIM(J12))&gt;0</formula>
    </cfRule>
  </conditionalFormatting>
  <conditionalFormatting sqref="F13:I13">
    <cfRule type="notContainsBlanks" dxfId="192" priority="312">
      <formula>LEN(TRIM(F13))&gt;0</formula>
    </cfRule>
  </conditionalFormatting>
  <conditionalFormatting sqref="R13:U13">
    <cfRule type="notContainsBlanks" dxfId="191" priority="163">
      <formula>LEN(TRIM(R13))&gt;0</formula>
    </cfRule>
  </conditionalFormatting>
  <conditionalFormatting sqref="R13:U13">
    <cfRule type="notContainsBlanks" dxfId="190" priority="162">
      <formula>LEN(TRIM(R13))&gt;0</formula>
    </cfRule>
  </conditionalFormatting>
  <conditionalFormatting sqref="F14:I14">
    <cfRule type="notContainsBlanks" dxfId="189" priority="93">
      <formula>LEN(TRIM(F14))&gt;0</formula>
    </cfRule>
  </conditionalFormatting>
  <conditionalFormatting sqref="F14:I14">
    <cfRule type="notContainsBlanks" dxfId="188" priority="92">
      <formula>LEN(TRIM(F14))&gt;0</formula>
    </cfRule>
  </conditionalFormatting>
  <conditionalFormatting sqref="J14:M14">
    <cfRule type="notContainsBlanks" dxfId="187" priority="91">
      <formula>LEN(TRIM(J14))&gt;0</formula>
    </cfRule>
  </conditionalFormatting>
  <conditionalFormatting sqref="J14:M14">
    <cfRule type="notContainsBlanks" dxfId="186" priority="90">
      <formula>LEN(TRIM(J14))&gt;0</formula>
    </cfRule>
  </conditionalFormatting>
  <conditionalFormatting sqref="F15:I15">
    <cfRule type="notContainsBlanks" dxfId="185" priority="85">
      <formula>LEN(TRIM(F15))&gt;0</formula>
    </cfRule>
  </conditionalFormatting>
  <conditionalFormatting sqref="F15:I15">
    <cfRule type="notContainsBlanks" dxfId="184" priority="84">
      <formula>LEN(TRIM(F15))&gt;0</formula>
    </cfRule>
  </conditionalFormatting>
  <conditionalFormatting sqref="N15:Q15">
    <cfRule type="notContainsBlanks" dxfId="183" priority="81">
      <formula>LEN(TRIM(N15))&gt;0</formula>
    </cfRule>
  </conditionalFormatting>
  <conditionalFormatting sqref="N15:Q15">
    <cfRule type="notContainsBlanks" dxfId="182" priority="80">
      <formula>LEN(TRIM(N15))&gt;0</formula>
    </cfRule>
  </conditionalFormatting>
  <conditionalFormatting sqref="R15:U15">
    <cfRule type="notContainsBlanks" dxfId="181" priority="79">
      <formula>LEN(TRIM(R15))&gt;0</formula>
    </cfRule>
  </conditionalFormatting>
  <conditionalFormatting sqref="R15:U15">
    <cfRule type="notContainsBlanks" dxfId="180" priority="78">
      <formula>LEN(TRIM(R15))&gt;0</formula>
    </cfRule>
  </conditionalFormatting>
  <conditionalFormatting sqref="F16:I16">
    <cfRule type="notContainsBlanks" dxfId="179" priority="77">
      <formula>LEN(TRIM(F16))&gt;0</formula>
    </cfRule>
  </conditionalFormatting>
  <conditionalFormatting sqref="F16:I16">
    <cfRule type="notContainsBlanks" dxfId="178" priority="76">
      <formula>LEN(TRIM(F16))&gt;0</formula>
    </cfRule>
  </conditionalFormatting>
  <conditionalFormatting sqref="J16:M16">
    <cfRule type="notContainsBlanks" dxfId="177" priority="75">
      <formula>LEN(TRIM(J16))&gt;0</formula>
    </cfRule>
  </conditionalFormatting>
  <conditionalFormatting sqref="J16:M16">
    <cfRule type="notContainsBlanks" dxfId="176" priority="74">
      <formula>LEN(TRIM(J16))&gt;0</formula>
    </cfRule>
  </conditionalFormatting>
  <conditionalFormatting sqref="F17:I17">
    <cfRule type="notContainsBlanks" dxfId="175" priority="69">
      <formula>LEN(TRIM(F17))&gt;0</formula>
    </cfRule>
  </conditionalFormatting>
  <conditionalFormatting sqref="F17:I17">
    <cfRule type="notContainsBlanks" dxfId="174" priority="68">
      <formula>LEN(TRIM(F17))&gt;0</formula>
    </cfRule>
  </conditionalFormatting>
  <conditionalFormatting sqref="N17:Q17">
    <cfRule type="notContainsBlanks" dxfId="173" priority="65">
      <formula>LEN(TRIM(N17))&gt;0</formula>
    </cfRule>
  </conditionalFormatting>
  <conditionalFormatting sqref="N17:Q17">
    <cfRule type="notContainsBlanks" dxfId="172" priority="64">
      <formula>LEN(TRIM(N17))&gt;0</formula>
    </cfRule>
  </conditionalFormatting>
  <conditionalFormatting sqref="R17:U17">
    <cfRule type="notContainsBlanks" dxfId="171" priority="63">
      <formula>LEN(TRIM(R17))&gt;0</formula>
    </cfRule>
  </conditionalFormatting>
  <conditionalFormatting sqref="R17:U17">
    <cfRule type="notContainsBlanks" dxfId="170" priority="62">
      <formula>LEN(TRIM(R17))&gt;0</formula>
    </cfRule>
  </conditionalFormatting>
  <conditionalFormatting sqref="F18:I18">
    <cfRule type="notContainsBlanks" dxfId="169" priority="61">
      <formula>LEN(TRIM(F18))&gt;0</formula>
    </cfRule>
  </conditionalFormatting>
  <conditionalFormatting sqref="F18:I18">
    <cfRule type="notContainsBlanks" dxfId="168" priority="60">
      <formula>LEN(TRIM(F18))&gt;0</formula>
    </cfRule>
  </conditionalFormatting>
  <conditionalFormatting sqref="J18:M18">
    <cfRule type="notContainsBlanks" dxfId="167" priority="59">
      <formula>LEN(TRIM(J18))&gt;0</formula>
    </cfRule>
  </conditionalFormatting>
  <conditionalFormatting sqref="J18:M18">
    <cfRule type="notContainsBlanks" dxfId="166" priority="58">
      <formula>LEN(TRIM(J18))&gt;0</formula>
    </cfRule>
  </conditionalFormatting>
  <conditionalFormatting sqref="F19:I19">
    <cfRule type="notContainsBlanks" dxfId="165" priority="53">
      <formula>LEN(TRIM(F19))&gt;0</formula>
    </cfRule>
  </conditionalFormatting>
  <conditionalFormatting sqref="F19:I19">
    <cfRule type="notContainsBlanks" dxfId="164" priority="52">
      <formula>LEN(TRIM(F19))&gt;0</formula>
    </cfRule>
  </conditionalFormatting>
  <conditionalFormatting sqref="N19:Q19">
    <cfRule type="notContainsBlanks" dxfId="163" priority="49">
      <formula>LEN(TRIM(N19))&gt;0</formula>
    </cfRule>
  </conditionalFormatting>
  <conditionalFormatting sqref="N19:Q19">
    <cfRule type="notContainsBlanks" dxfId="162" priority="48">
      <formula>LEN(TRIM(N19))&gt;0</formula>
    </cfRule>
  </conditionalFormatting>
  <conditionalFormatting sqref="R19:U19">
    <cfRule type="notContainsBlanks" dxfId="161" priority="47">
      <formula>LEN(TRIM(R19))&gt;0</formula>
    </cfRule>
  </conditionalFormatting>
  <conditionalFormatting sqref="R19:U19">
    <cfRule type="notContainsBlanks" dxfId="160" priority="46">
      <formula>LEN(TRIM(R19))&gt;0</formula>
    </cfRule>
  </conditionalFormatting>
  <conditionalFormatting sqref="F20:I20">
    <cfRule type="notContainsBlanks" dxfId="159" priority="45">
      <formula>LEN(TRIM(F20))&gt;0</formula>
    </cfRule>
  </conditionalFormatting>
  <conditionalFormatting sqref="F20:I20">
    <cfRule type="notContainsBlanks" dxfId="158" priority="44">
      <formula>LEN(TRIM(F20))&gt;0</formula>
    </cfRule>
  </conditionalFormatting>
  <conditionalFormatting sqref="J20:M20">
    <cfRule type="notContainsBlanks" dxfId="157" priority="43">
      <formula>LEN(TRIM(J20))&gt;0</formula>
    </cfRule>
  </conditionalFormatting>
  <conditionalFormatting sqref="J20:M20">
    <cfRule type="notContainsBlanks" dxfId="156" priority="42">
      <formula>LEN(TRIM(J20))&gt;0</formula>
    </cfRule>
  </conditionalFormatting>
  <conditionalFormatting sqref="N20:Q20">
    <cfRule type="notContainsBlanks" dxfId="155" priority="41">
      <formula>LEN(TRIM(N20))&gt;0</formula>
    </cfRule>
  </conditionalFormatting>
  <conditionalFormatting sqref="N20:Q20">
    <cfRule type="notContainsBlanks" dxfId="154" priority="40">
      <formula>LEN(TRIM(N20))&gt;0</formula>
    </cfRule>
  </conditionalFormatting>
  <conditionalFormatting sqref="F21:I21">
    <cfRule type="notContainsBlanks" dxfId="153" priority="37">
      <formula>LEN(TRIM(F21))&gt;0</formula>
    </cfRule>
  </conditionalFormatting>
  <conditionalFormatting sqref="F21:I21">
    <cfRule type="notContainsBlanks" dxfId="152" priority="36">
      <formula>LEN(TRIM(F21))&gt;0</formula>
    </cfRule>
  </conditionalFormatting>
  <conditionalFormatting sqref="N21:Q21">
    <cfRule type="notContainsBlanks" dxfId="151" priority="33">
      <formula>LEN(TRIM(N21))&gt;0</formula>
    </cfRule>
  </conditionalFormatting>
  <conditionalFormatting sqref="N21:Q21">
    <cfRule type="notContainsBlanks" dxfId="150" priority="32">
      <formula>LEN(TRIM(N21))&gt;0</formula>
    </cfRule>
  </conditionalFormatting>
  <conditionalFormatting sqref="R21:U21">
    <cfRule type="notContainsBlanks" dxfId="149" priority="31">
      <formula>LEN(TRIM(R21))&gt;0</formula>
    </cfRule>
  </conditionalFormatting>
  <conditionalFormatting sqref="R21:U21">
    <cfRule type="notContainsBlanks" dxfId="148" priority="30">
      <formula>LEN(TRIM(R21))&gt;0</formula>
    </cfRule>
  </conditionalFormatting>
  <conditionalFormatting sqref="F22:I22">
    <cfRule type="notContainsBlanks" dxfId="147" priority="21">
      <formula>LEN(TRIM(F22))&gt;0</formula>
    </cfRule>
  </conditionalFormatting>
  <conditionalFormatting sqref="J22:M22">
    <cfRule type="notContainsBlanks" dxfId="146" priority="20">
      <formula>LEN(TRIM(J22))&gt;0</formula>
    </cfRule>
  </conditionalFormatting>
  <conditionalFormatting sqref="N22:Q22">
    <cfRule type="notContainsBlanks" dxfId="145" priority="19">
      <formula>LEN(TRIM(N22))&gt;0</formula>
    </cfRule>
  </conditionalFormatting>
  <conditionalFormatting sqref="R22:U22">
    <cfRule type="notContainsBlanks" dxfId="144" priority="18">
      <formula>LEN(TRIM(R22))&gt;0</formula>
    </cfRule>
  </conditionalFormatting>
  <conditionalFormatting sqref="R12:U12">
    <cfRule type="notContainsBlanks" dxfId="143" priority="17">
      <formula>LEN(TRIM(R12))&gt;0</formula>
    </cfRule>
  </conditionalFormatting>
  <conditionalFormatting sqref="N12:Q12">
    <cfRule type="notContainsBlanks" dxfId="142" priority="16">
      <formula>LEN(TRIM(N12))&gt;0</formula>
    </cfRule>
  </conditionalFormatting>
  <conditionalFormatting sqref="J13:M13">
    <cfRule type="notContainsBlanks" dxfId="141" priority="15">
      <formula>LEN(TRIM(J13))&gt;0</formula>
    </cfRule>
  </conditionalFormatting>
  <conditionalFormatting sqref="N13:Q13">
    <cfRule type="notContainsBlanks" dxfId="140" priority="14">
      <formula>LEN(TRIM(N13))&gt;0</formula>
    </cfRule>
  </conditionalFormatting>
  <conditionalFormatting sqref="R14:U14">
    <cfRule type="notContainsBlanks" dxfId="139" priority="13">
      <formula>LEN(TRIM(R14))&gt;0</formula>
    </cfRule>
  </conditionalFormatting>
  <conditionalFormatting sqref="N14:Q14">
    <cfRule type="notContainsBlanks" dxfId="138" priority="12">
      <formula>LEN(TRIM(N14))&gt;0</formula>
    </cfRule>
  </conditionalFormatting>
  <conditionalFormatting sqref="R16:U16">
    <cfRule type="notContainsBlanks" dxfId="137" priority="11">
      <formula>LEN(TRIM(R16))&gt;0</formula>
    </cfRule>
  </conditionalFormatting>
  <conditionalFormatting sqref="N16:Q16">
    <cfRule type="notContainsBlanks" dxfId="136" priority="10">
      <formula>LEN(TRIM(N16))&gt;0</formula>
    </cfRule>
  </conditionalFormatting>
  <conditionalFormatting sqref="R18:U18">
    <cfRule type="notContainsBlanks" dxfId="135" priority="9">
      <formula>LEN(TRIM(R18))&gt;0</formula>
    </cfRule>
  </conditionalFormatting>
  <conditionalFormatting sqref="N18:Q18">
    <cfRule type="notContainsBlanks" dxfId="134" priority="8">
      <formula>LEN(TRIM(N18))&gt;0</formula>
    </cfRule>
  </conditionalFormatting>
  <conditionalFormatting sqref="T20:U20">
    <cfRule type="notContainsBlanks" dxfId="133" priority="7">
      <formula>LEN(TRIM(T20))&gt;0</formula>
    </cfRule>
  </conditionalFormatting>
  <conditionalFormatting sqref="R20:S20">
    <cfRule type="notContainsBlanks" dxfId="132" priority="6">
      <formula>LEN(TRIM(R20))&gt;0</formula>
    </cfRule>
  </conditionalFormatting>
  <conditionalFormatting sqref="R20:S20">
    <cfRule type="notContainsBlanks" dxfId="131" priority="5">
      <formula>LEN(TRIM(R20))&gt;0</formula>
    </cfRule>
  </conditionalFormatting>
  <conditionalFormatting sqref="J15:M15">
    <cfRule type="notContainsBlanks" dxfId="130" priority="4">
      <formula>LEN(TRIM(J15))&gt;0</formula>
    </cfRule>
  </conditionalFormatting>
  <conditionalFormatting sqref="J17:M17">
    <cfRule type="notContainsBlanks" dxfId="129" priority="3">
      <formula>LEN(TRIM(J17))&gt;0</formula>
    </cfRule>
  </conditionalFormatting>
  <conditionalFormatting sqref="J19:M19">
    <cfRule type="notContainsBlanks" dxfId="128" priority="2">
      <formula>LEN(TRIM(J19))&gt;0</formula>
    </cfRule>
  </conditionalFormatting>
  <conditionalFormatting sqref="J21:M21">
    <cfRule type="notContainsBlanks" dxfId="127" priority="1">
      <formula>LEN(TRIM(J21))&gt;0</formula>
    </cfRule>
  </conditionalFormatting>
  <printOptions horizontalCentered="1"/>
  <pageMargins left="0.59055118110236227" right="0.39370078740157483" top="0.98425196850393704" bottom="0.78740157480314965" header="0.39370078740157483" footer="0.39370078740157483"/>
  <pageSetup paperSize="9" scale="85" orientation="landscape" r:id="rId1"/>
  <headerFooter scaleWithDoc="0">
    <oddHeader>&amp;L&amp;"Arial,Itálico"&amp;10Rev-1&amp;R&amp;G</oddHeader>
    <oddFooter>&amp;L&amp;"Arial,Negrito"&amp;10CTR 477F&amp;C&amp;"Arial,Negrito"&amp;10 3.&amp;P</oddFooter>
  </headerFooter>
  <legacyDrawingHF r:id="rId2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DQ272"/>
  <sheetViews>
    <sheetView showGridLines="0" zoomScaleNormal="100" zoomScaleSheetLayoutView="100" workbookViewId="0">
      <selection activeCell="P38" sqref="P38"/>
    </sheetView>
  </sheetViews>
  <sheetFormatPr defaultColWidth="9.140625" defaultRowHeight="12.75"/>
  <cols>
    <col min="1" max="4" width="6.5703125" style="319" customWidth="1"/>
    <col min="5" max="5" width="8.7109375" style="320" customWidth="1"/>
    <col min="6" max="7" width="8.7109375" style="319" customWidth="1"/>
    <col min="8" max="8" width="9.7109375" style="319" customWidth="1"/>
    <col min="9" max="9" width="4.85546875" style="319" customWidth="1"/>
    <col min="10" max="10" width="9" style="319" customWidth="1"/>
    <col min="11" max="11" width="9.140625" style="319" customWidth="1"/>
    <col min="12" max="12" width="6.7109375" style="319" customWidth="1"/>
    <col min="13" max="13" width="10.42578125" style="319" customWidth="1"/>
    <col min="14" max="14" width="7.5703125" style="319" customWidth="1"/>
    <col min="15" max="15" width="7" style="319" customWidth="1"/>
    <col min="16" max="17" width="8.5703125" style="319" customWidth="1"/>
    <col min="18" max="19" width="8.7109375" style="319" customWidth="1"/>
    <col min="20" max="21" width="8.140625" style="319" customWidth="1"/>
    <col min="22" max="25" width="8.140625" style="319" hidden="1" customWidth="1"/>
    <col min="26" max="31" width="8.140625" style="319" customWidth="1"/>
    <col min="32" max="32" width="6" style="319" customWidth="1"/>
    <col min="33" max="33" width="8.28515625" style="319" customWidth="1"/>
    <col min="34" max="34" width="13.140625" style="319" customWidth="1"/>
    <col min="35" max="35" width="10.5703125" style="319" customWidth="1"/>
    <col min="36" max="36" width="11" style="319" customWidth="1"/>
    <col min="37" max="37" width="9.140625" style="319" customWidth="1"/>
    <col min="38" max="38" width="8.5703125" style="319" customWidth="1"/>
    <col min="39" max="39" width="10.5703125" style="319" customWidth="1"/>
    <col min="40" max="41" width="10.5703125" style="319" hidden="1" customWidth="1"/>
    <col min="42" max="42" width="10.7109375" style="319" customWidth="1"/>
    <col min="43" max="43" width="7.5703125" style="319" customWidth="1"/>
    <col min="44" max="44" width="8.42578125" style="319" customWidth="1"/>
    <col min="45" max="45" width="8.28515625" style="319" customWidth="1"/>
    <col min="46" max="46" width="10.42578125" style="319" hidden="1" customWidth="1"/>
    <col min="47" max="49" width="7.140625" style="319" hidden="1" customWidth="1"/>
    <col min="50" max="51" width="9.140625" style="319" hidden="1" customWidth="1"/>
    <col min="52" max="52" width="10.28515625" style="319" hidden="1" customWidth="1"/>
    <col min="53" max="53" width="7.42578125" style="319" customWidth="1"/>
    <col min="54" max="54" width="9.5703125" style="319" customWidth="1"/>
    <col min="55" max="55" width="7.42578125" style="319" customWidth="1"/>
    <col min="56" max="56" width="9.5703125" style="319" customWidth="1"/>
    <col min="57" max="57" width="8.85546875" style="319" customWidth="1"/>
    <col min="58" max="58" width="9.28515625" style="319" customWidth="1"/>
    <col min="59" max="59" width="7.42578125" style="319" hidden="1" customWidth="1"/>
    <col min="60" max="61" width="9.28515625" style="319" hidden="1" customWidth="1"/>
    <col min="62" max="62" width="7.85546875" style="319" customWidth="1"/>
    <col min="63" max="63" width="9.5703125" style="319" customWidth="1"/>
    <col min="64" max="64" width="8.42578125" style="328" customWidth="1"/>
    <col min="65" max="65" width="8.140625" style="319" customWidth="1"/>
    <col min="66" max="85" width="13.7109375" style="319" customWidth="1"/>
    <col min="86" max="101" width="11.5703125" style="319" customWidth="1"/>
    <col min="102" max="102" width="13.28515625" style="319" customWidth="1"/>
    <col min="103" max="121" width="11.5703125" style="319" customWidth="1"/>
    <col min="122" max="16384" width="9.140625" style="319"/>
  </cols>
  <sheetData>
    <row r="1" spans="1:85" ht="12">
      <c r="BI1" s="321">
        <v>2.4</v>
      </c>
      <c r="BJ1" s="322" t="s">
        <v>457</v>
      </c>
      <c r="BL1" s="319"/>
    </row>
    <row r="2" spans="1:85" ht="15.75" customHeight="1">
      <c r="P2" s="323"/>
      <c r="Q2" s="323"/>
      <c r="T2" s="323"/>
      <c r="U2" s="323"/>
      <c r="V2" s="323"/>
      <c r="W2" s="323"/>
      <c r="AK2" s="323"/>
      <c r="AL2" s="323"/>
      <c r="AM2" s="323"/>
      <c r="AN2" s="323" t="s">
        <v>2</v>
      </c>
      <c r="AO2" s="323" t="s">
        <v>2</v>
      </c>
      <c r="AT2" s="323"/>
      <c r="BI2" s="324">
        <v>1.1499999999999999</v>
      </c>
      <c r="BJ2" s="322" t="s">
        <v>462</v>
      </c>
      <c r="BL2" s="319"/>
    </row>
    <row r="3" spans="1:85" ht="15.75" customHeight="1">
      <c r="A3" s="325"/>
      <c r="B3" s="325"/>
      <c r="C3" s="325"/>
      <c r="D3" s="325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3"/>
      <c r="Q3" s="323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6"/>
      <c r="AF3" s="326"/>
      <c r="AG3" s="326"/>
      <c r="AH3" s="326"/>
      <c r="AI3" s="326"/>
      <c r="AJ3" s="325"/>
      <c r="AK3" s="323"/>
      <c r="AL3" s="323"/>
      <c r="AM3" s="326"/>
      <c r="AN3" s="326"/>
      <c r="AO3" s="326"/>
      <c r="AP3" s="326"/>
      <c r="AQ3" s="326"/>
      <c r="AR3" s="326"/>
      <c r="AS3" s="326"/>
      <c r="AT3" s="323"/>
      <c r="AU3" s="327">
        <f>ROUND(AU7+AV7+AW7+AX7+AY7,2)</f>
        <v>0.3</v>
      </c>
      <c r="AV3" s="326"/>
      <c r="AW3" s="326"/>
      <c r="AX3" s="326"/>
      <c r="AY3" s="326"/>
      <c r="AZ3" s="326"/>
      <c r="BA3" s="326"/>
      <c r="BB3" s="326"/>
      <c r="BC3" s="326"/>
      <c r="BD3" s="326"/>
      <c r="BE3" s="326"/>
      <c r="BF3" s="326"/>
      <c r="BG3" s="326"/>
      <c r="BH3" s="326"/>
      <c r="BI3" s="324">
        <v>20</v>
      </c>
      <c r="BJ3" s="322" t="s">
        <v>463</v>
      </c>
      <c r="BK3" s="325"/>
    </row>
    <row r="4" spans="1:85" ht="20.100000000000001" customHeight="1">
      <c r="B4" s="329"/>
      <c r="C4" s="329"/>
      <c r="D4" s="329"/>
      <c r="E4" s="826" t="s">
        <v>730</v>
      </c>
      <c r="F4" s="826"/>
      <c r="G4" s="826"/>
      <c r="H4" s="826"/>
      <c r="I4" s="826"/>
      <c r="J4" s="826"/>
      <c r="K4" s="826"/>
      <c r="L4" s="826"/>
      <c r="M4" s="826"/>
      <c r="N4" s="826"/>
      <c r="O4" s="826"/>
      <c r="P4" s="826"/>
      <c r="Q4" s="826"/>
      <c r="R4" s="826"/>
      <c r="S4" s="826"/>
      <c r="T4" s="826"/>
      <c r="U4" s="826"/>
      <c r="V4" s="826"/>
      <c r="W4" s="826"/>
      <c r="X4" s="826"/>
      <c r="Y4" s="826"/>
      <c r="Z4" s="826"/>
      <c r="AA4" s="826"/>
      <c r="AB4" s="826"/>
      <c r="AC4" s="826"/>
      <c r="AD4" s="826"/>
      <c r="AE4" s="826"/>
      <c r="AF4" s="826" t="s">
        <v>730</v>
      </c>
      <c r="AG4" s="826"/>
      <c r="AH4" s="826"/>
      <c r="AI4" s="826"/>
      <c r="AJ4" s="826"/>
      <c r="AK4" s="826"/>
      <c r="AL4" s="826"/>
      <c r="AM4" s="826"/>
      <c r="AN4" s="826"/>
      <c r="AO4" s="826"/>
      <c r="AP4" s="826"/>
      <c r="AQ4" s="826"/>
      <c r="AR4" s="826"/>
      <c r="AS4" s="826"/>
      <c r="AT4" s="826"/>
      <c r="AU4" s="826"/>
      <c r="AV4" s="826"/>
      <c r="AW4" s="826"/>
      <c r="AX4" s="826"/>
      <c r="AY4" s="826"/>
      <c r="AZ4" s="826"/>
      <c r="BA4" s="826"/>
      <c r="BB4" s="826"/>
      <c r="BC4" s="826"/>
      <c r="BD4" s="826"/>
      <c r="BE4" s="826"/>
      <c r="BF4" s="826"/>
      <c r="BG4" s="826"/>
      <c r="BH4" s="826"/>
      <c r="BI4" s="826"/>
      <c r="BJ4" s="826"/>
      <c r="BK4" s="826"/>
      <c r="BL4" s="826"/>
    </row>
    <row r="5" spans="1:85" ht="24" customHeight="1">
      <c r="A5" s="887" t="s">
        <v>464</v>
      </c>
      <c r="B5" s="888"/>
      <c r="C5" s="887" t="s">
        <v>465</v>
      </c>
      <c r="D5" s="888"/>
      <c r="E5" s="879" t="s">
        <v>466</v>
      </c>
      <c r="F5" s="879" t="s">
        <v>467</v>
      </c>
      <c r="G5" s="830" t="s">
        <v>468</v>
      </c>
      <c r="H5" s="830" t="s">
        <v>469</v>
      </c>
      <c r="I5" s="879" t="s">
        <v>470</v>
      </c>
      <c r="J5" s="832" t="s">
        <v>471</v>
      </c>
      <c r="K5" s="832" t="s">
        <v>472</v>
      </c>
      <c r="L5" s="832" t="s">
        <v>473</v>
      </c>
      <c r="M5" s="830" t="s">
        <v>474</v>
      </c>
      <c r="N5" s="830" t="s">
        <v>475</v>
      </c>
      <c r="O5" s="830" t="s">
        <v>476</v>
      </c>
      <c r="P5" s="830" t="s">
        <v>477</v>
      </c>
      <c r="Q5" s="873" t="s">
        <v>686</v>
      </c>
      <c r="R5" s="832" t="s">
        <v>478</v>
      </c>
      <c r="S5" s="832" t="s">
        <v>479</v>
      </c>
      <c r="T5" s="876" t="s">
        <v>480</v>
      </c>
      <c r="U5" s="877"/>
      <c r="V5" s="877"/>
      <c r="W5" s="877"/>
      <c r="X5" s="877"/>
      <c r="Y5" s="878"/>
      <c r="Z5" s="876" t="s">
        <v>481</v>
      </c>
      <c r="AA5" s="877"/>
      <c r="AB5" s="877"/>
      <c r="AC5" s="877"/>
      <c r="AD5" s="877"/>
      <c r="AE5" s="878"/>
      <c r="AF5" s="832" t="s">
        <v>446</v>
      </c>
      <c r="AG5" s="832"/>
      <c r="AH5" s="603" t="s">
        <v>448</v>
      </c>
      <c r="AI5" s="870" t="s">
        <v>448</v>
      </c>
      <c r="AJ5" s="872"/>
      <c r="AK5" s="604" t="s">
        <v>482</v>
      </c>
      <c r="AL5" s="873" t="s">
        <v>483</v>
      </c>
      <c r="AM5" s="884" t="s">
        <v>484</v>
      </c>
      <c r="AN5" s="885"/>
      <c r="AO5" s="886"/>
      <c r="AP5" s="881" t="s">
        <v>485</v>
      </c>
      <c r="AQ5" s="832" t="s">
        <v>486</v>
      </c>
      <c r="AR5" s="832"/>
      <c r="AS5" s="881" t="s">
        <v>487</v>
      </c>
      <c r="AT5" s="832" t="s">
        <v>488</v>
      </c>
      <c r="AU5" s="870" t="s">
        <v>489</v>
      </c>
      <c r="AV5" s="871"/>
      <c r="AW5" s="871"/>
      <c r="AX5" s="871"/>
      <c r="AY5" s="871"/>
      <c r="AZ5" s="832" t="s">
        <v>490</v>
      </c>
      <c r="BA5" s="870" t="s">
        <v>491</v>
      </c>
      <c r="BB5" s="871"/>
      <c r="BC5" s="871"/>
      <c r="BD5" s="871"/>
      <c r="BE5" s="871"/>
      <c r="BF5" s="871"/>
      <c r="BG5" s="871"/>
      <c r="BH5" s="871"/>
      <c r="BI5" s="871"/>
      <c r="BJ5" s="871"/>
      <c r="BK5" s="872"/>
      <c r="BL5" s="881" t="s">
        <v>492</v>
      </c>
      <c r="BM5" s="320"/>
      <c r="BN5" s="320"/>
      <c r="BO5" s="320"/>
      <c r="BP5" s="320"/>
      <c r="BQ5" s="320"/>
      <c r="BR5" s="320"/>
      <c r="BS5" s="320"/>
      <c r="BT5" s="320"/>
      <c r="BU5" s="320"/>
      <c r="BV5" s="320"/>
      <c r="BW5" s="320"/>
      <c r="BX5" s="320"/>
      <c r="BY5" s="320"/>
      <c r="BZ5" s="320"/>
      <c r="CA5" s="320"/>
      <c r="CB5" s="320"/>
      <c r="CC5" s="320"/>
      <c r="CD5" s="320"/>
      <c r="CE5" s="320"/>
      <c r="CF5" s="320"/>
      <c r="CG5" s="320"/>
    </row>
    <row r="6" spans="1:85" ht="27" customHeight="1">
      <c r="A6" s="889"/>
      <c r="B6" s="890"/>
      <c r="C6" s="889"/>
      <c r="D6" s="890"/>
      <c r="E6" s="893"/>
      <c r="F6" s="893"/>
      <c r="G6" s="869"/>
      <c r="H6" s="869"/>
      <c r="I6" s="893"/>
      <c r="J6" s="832"/>
      <c r="K6" s="832"/>
      <c r="L6" s="832"/>
      <c r="M6" s="869"/>
      <c r="N6" s="869"/>
      <c r="O6" s="869"/>
      <c r="P6" s="869"/>
      <c r="Q6" s="874"/>
      <c r="R6" s="832"/>
      <c r="S6" s="832"/>
      <c r="T6" s="873" t="str">
        <f>CONCATENATE("até ",FIXED($BU$147,2)," m")</f>
        <v>até 1,50 m</v>
      </c>
      <c r="U6" s="873" t="str">
        <f>CONCATENATE("de ",FIXED($BU$147,2)," até ",FIXED(2*$BU$147,2)," m")</f>
        <v>de 1,50 até 3,00 m</v>
      </c>
      <c r="V6" s="873" t="str">
        <f>CONCATENATE("de ",FIXED(2*$BU$147,2)," até ",FIXED(3*$BU$147,2)," m")</f>
        <v>de 3,00 até 4,50 m</v>
      </c>
      <c r="W6" s="873" t="str">
        <f>CONCATENATE("de ",FIXED(3*$BU$147,2)," até ",FIXED(4*$BU$147,2)," m")</f>
        <v>de 4,50 até 6,00 m</v>
      </c>
      <c r="X6" s="873" t="str">
        <f>CONCATENATE("de ",FIXED(4*$BU$147,2)," até ",FIXED(5*$BU$147,2)," m")</f>
        <v>de 6,00 até 7,50 m</v>
      </c>
      <c r="Y6" s="873" t="str">
        <f>CONCATENATE("de ",FIXED(5*$BU$147,2)," até ",FIXED(6*$BU$147,2)," m")</f>
        <v>de 7,50 até 9,00 m</v>
      </c>
      <c r="Z6" s="873" t="str">
        <f>CONCATENATE("até ",FIXED($BU$148,2)," m")</f>
        <v>até 1,50 m</v>
      </c>
      <c r="AA6" s="873" t="str">
        <f>CONCATENATE("de ",FIXED($BU$148,2)," até ",FIXED(2*$BU$148,2)," m")</f>
        <v>de 1,50 até 3,00 m</v>
      </c>
      <c r="AB6" s="873" t="str">
        <f>CONCATENATE("de ",FIXED(2*$BU$148,2)," até ",FIXED(3*$BU$148,2)," m")</f>
        <v>de 3,00 até 4,50 m</v>
      </c>
      <c r="AC6" s="873" t="str">
        <f>CONCATENATE("de ",FIXED(3*$BU$148,2)," até ",FIXED(4*$BU$148,2)," m")</f>
        <v>de 4,50 até 6,00 m</v>
      </c>
      <c r="AD6" s="873" t="str">
        <f>CONCATENATE("de ",FIXED(4*$BU$148,2)," até ",FIXED(5*$BU$148,2)," m")</f>
        <v>de 6,00 até 7,50 m</v>
      </c>
      <c r="AE6" s="873" t="str">
        <f>CONCATENATE("de ",FIXED(5*$BU$148,2)," até ",FIXED(6*$BU$148,2)," m")</f>
        <v>de 7,50 até 9,00 m</v>
      </c>
      <c r="AF6" s="832" t="s">
        <v>493</v>
      </c>
      <c r="AG6" s="879" t="s">
        <v>295</v>
      </c>
      <c r="AH6" s="830" t="s">
        <v>493</v>
      </c>
      <c r="AI6" s="830" t="s">
        <v>494</v>
      </c>
      <c r="AJ6" s="830" t="s">
        <v>495</v>
      </c>
      <c r="AK6" s="605" t="s">
        <v>496</v>
      </c>
      <c r="AL6" s="874"/>
      <c r="AM6" s="830" t="s">
        <v>497</v>
      </c>
      <c r="AN6" s="830" t="s">
        <v>498</v>
      </c>
      <c r="AO6" s="830" t="s">
        <v>499</v>
      </c>
      <c r="AP6" s="882"/>
      <c r="AQ6" s="830" t="s">
        <v>500</v>
      </c>
      <c r="AR6" s="830" t="s">
        <v>501</v>
      </c>
      <c r="AS6" s="882"/>
      <c r="AT6" s="832"/>
      <c r="AU6" s="606" t="s">
        <v>502</v>
      </c>
      <c r="AV6" s="606" t="s">
        <v>503</v>
      </c>
      <c r="AW6" s="606" t="s">
        <v>504</v>
      </c>
      <c r="AX6" s="606" t="s">
        <v>505</v>
      </c>
      <c r="AY6" s="607" t="s">
        <v>506</v>
      </c>
      <c r="AZ6" s="832"/>
      <c r="BA6" s="830" t="s">
        <v>507</v>
      </c>
      <c r="BB6" s="608" t="s">
        <v>508</v>
      </c>
      <c r="BC6" s="830" t="s">
        <v>509</v>
      </c>
      <c r="BD6" s="608" t="s">
        <v>510</v>
      </c>
      <c r="BE6" s="830" t="s">
        <v>511</v>
      </c>
      <c r="BF6" s="608" t="s">
        <v>512</v>
      </c>
      <c r="BG6" s="830" t="s">
        <v>513</v>
      </c>
      <c r="BH6" s="608" t="s">
        <v>514</v>
      </c>
      <c r="BI6" s="608" t="s">
        <v>515</v>
      </c>
      <c r="BJ6" s="830" t="s">
        <v>516</v>
      </c>
      <c r="BK6" s="608" t="s">
        <v>517</v>
      </c>
      <c r="BL6" s="882"/>
      <c r="BM6" s="320"/>
      <c r="BN6" s="320"/>
      <c r="BO6" s="320"/>
      <c r="BP6" s="320"/>
      <c r="BQ6" s="320"/>
      <c r="BR6" s="320"/>
      <c r="BS6" s="320"/>
      <c r="BT6" s="320"/>
      <c r="BU6" s="320"/>
      <c r="BV6" s="320"/>
      <c r="BW6" s="320"/>
      <c r="BX6" s="320"/>
      <c r="BY6" s="320"/>
      <c r="BZ6" s="320"/>
      <c r="CA6" s="320"/>
      <c r="CB6" s="320"/>
      <c r="CC6" s="320"/>
      <c r="CD6" s="320"/>
      <c r="CE6" s="320"/>
      <c r="CF6" s="320"/>
      <c r="CG6" s="320"/>
    </row>
    <row r="7" spans="1:85" ht="27" customHeight="1">
      <c r="A7" s="889"/>
      <c r="B7" s="890"/>
      <c r="C7" s="889"/>
      <c r="D7" s="890"/>
      <c r="E7" s="880"/>
      <c r="F7" s="893"/>
      <c r="G7" s="869"/>
      <c r="H7" s="869"/>
      <c r="I7" s="880"/>
      <c r="J7" s="832" t="s">
        <v>518</v>
      </c>
      <c r="K7" s="832" t="s">
        <v>519</v>
      </c>
      <c r="L7" s="833" t="s">
        <v>520</v>
      </c>
      <c r="M7" s="831"/>
      <c r="N7" s="831"/>
      <c r="O7" s="831"/>
      <c r="P7" s="831"/>
      <c r="Q7" s="875"/>
      <c r="R7" s="832"/>
      <c r="S7" s="832"/>
      <c r="T7" s="875"/>
      <c r="U7" s="875"/>
      <c r="V7" s="875"/>
      <c r="W7" s="875"/>
      <c r="X7" s="875"/>
      <c r="Y7" s="875"/>
      <c r="Z7" s="875"/>
      <c r="AA7" s="875"/>
      <c r="AB7" s="875"/>
      <c r="AC7" s="875"/>
      <c r="AD7" s="875"/>
      <c r="AE7" s="875"/>
      <c r="AF7" s="832"/>
      <c r="AG7" s="880"/>
      <c r="AH7" s="869"/>
      <c r="AI7" s="831"/>
      <c r="AJ7" s="831"/>
      <c r="AK7" s="609" t="s">
        <v>521</v>
      </c>
      <c r="AL7" s="875"/>
      <c r="AM7" s="831"/>
      <c r="AN7" s="831"/>
      <c r="AO7" s="831"/>
      <c r="AP7" s="883"/>
      <c r="AQ7" s="831"/>
      <c r="AR7" s="831"/>
      <c r="AS7" s="883"/>
      <c r="AT7" s="604" t="s">
        <v>522</v>
      </c>
      <c r="AU7" s="606">
        <v>0</v>
      </c>
      <c r="AV7" s="606">
        <v>0.15</v>
      </c>
      <c r="AW7" s="606">
        <v>0.1</v>
      </c>
      <c r="AX7" s="606">
        <v>0</v>
      </c>
      <c r="AY7" s="606">
        <v>0.05</v>
      </c>
      <c r="AZ7" s="610">
        <v>0.1</v>
      </c>
      <c r="BA7" s="831"/>
      <c r="BB7" s="611" t="str">
        <f>CONCATENATE("d = ",FIXED($BU$162,1),"km")</f>
        <v>d = 15,0km</v>
      </c>
      <c r="BC7" s="831"/>
      <c r="BD7" s="611" t="str">
        <f>CONCATENATE("d = ",FIXED($BU$164,1),"km")</f>
        <v>d = 15,0km</v>
      </c>
      <c r="BE7" s="831"/>
      <c r="BF7" s="611" t="str">
        <f>CONCATENATE("d = ",FIXED($BU$165,1),"km")</f>
        <v>d = 15,0km</v>
      </c>
      <c r="BG7" s="831"/>
      <c r="BH7" s="611" t="str">
        <f>CONCATENATE("d = ",FIXED($BU$166,1),"km")</f>
        <v>d = 15,0km</v>
      </c>
      <c r="BI7" s="611" t="str">
        <f>CONCATENATE("d = ",FIXED($BI$3,1),"km")</f>
        <v>d = 20,0km</v>
      </c>
      <c r="BJ7" s="831"/>
      <c r="BK7" s="611" t="str">
        <f>CONCATENATE("d = ",FIXED($BU$167,1),"km")</f>
        <v>d = 30,0km</v>
      </c>
      <c r="BL7" s="883"/>
      <c r="BM7" s="330"/>
      <c r="BN7" s="331"/>
      <c r="BO7" s="331"/>
      <c r="BP7" s="330"/>
      <c r="BQ7" s="330"/>
      <c r="BR7" s="330"/>
      <c r="BS7" s="330"/>
      <c r="BT7" s="330"/>
      <c r="BU7" s="330"/>
      <c r="BV7" s="330"/>
      <c r="BW7" s="330"/>
      <c r="BX7" s="330"/>
      <c r="BY7" s="330"/>
      <c r="BZ7" s="330"/>
      <c r="CA7" s="330"/>
      <c r="CB7" s="330"/>
      <c r="CC7" s="330"/>
      <c r="CD7" s="330"/>
      <c r="CE7" s="330"/>
      <c r="CF7" s="330"/>
      <c r="CG7" s="330"/>
    </row>
    <row r="8" spans="1:85" ht="20.100000000000001" customHeight="1">
      <c r="A8" s="891"/>
      <c r="B8" s="892"/>
      <c r="C8" s="891"/>
      <c r="D8" s="892"/>
      <c r="E8" s="612" t="s">
        <v>4</v>
      </c>
      <c r="F8" s="880"/>
      <c r="G8" s="831"/>
      <c r="H8" s="831"/>
      <c r="I8" s="613" t="s">
        <v>523</v>
      </c>
      <c r="J8" s="832"/>
      <c r="K8" s="832"/>
      <c r="L8" s="833"/>
      <c r="M8" s="613" t="s">
        <v>4</v>
      </c>
      <c r="N8" s="613" t="s">
        <v>4</v>
      </c>
      <c r="O8" s="613" t="s">
        <v>4</v>
      </c>
      <c r="P8" s="613" t="s">
        <v>4</v>
      </c>
      <c r="Q8" s="613" t="s">
        <v>1</v>
      </c>
      <c r="R8" s="832"/>
      <c r="S8" s="832"/>
      <c r="T8" s="613" t="s">
        <v>6</v>
      </c>
      <c r="U8" s="613" t="s">
        <v>6</v>
      </c>
      <c r="V8" s="613" t="s">
        <v>6</v>
      </c>
      <c r="W8" s="613" t="s">
        <v>6</v>
      </c>
      <c r="X8" s="613" t="s">
        <v>6</v>
      </c>
      <c r="Y8" s="613" t="s">
        <v>6</v>
      </c>
      <c r="Z8" s="613" t="s">
        <v>6</v>
      </c>
      <c r="AA8" s="613" t="s">
        <v>6</v>
      </c>
      <c r="AB8" s="613" t="s">
        <v>6</v>
      </c>
      <c r="AC8" s="613" t="s">
        <v>6</v>
      </c>
      <c r="AD8" s="613" t="s">
        <v>6</v>
      </c>
      <c r="AE8" s="613" t="s">
        <v>6</v>
      </c>
      <c r="AF8" s="832"/>
      <c r="AG8" s="613" t="s">
        <v>1</v>
      </c>
      <c r="AH8" s="831"/>
      <c r="AI8" s="613" t="s">
        <v>524</v>
      </c>
      <c r="AJ8" s="612" t="s">
        <v>4</v>
      </c>
      <c r="AK8" s="611" t="s">
        <v>4</v>
      </c>
      <c r="AL8" s="613" t="s">
        <v>1</v>
      </c>
      <c r="AM8" s="613" t="s">
        <v>6</v>
      </c>
      <c r="AN8" s="613" t="s">
        <v>6</v>
      </c>
      <c r="AO8" s="613" t="s">
        <v>6</v>
      </c>
      <c r="AP8" s="613" t="s">
        <v>4</v>
      </c>
      <c r="AQ8" s="613" t="s">
        <v>6</v>
      </c>
      <c r="AR8" s="613" t="s">
        <v>6</v>
      </c>
      <c r="AS8" s="613" t="s">
        <v>1</v>
      </c>
      <c r="AT8" s="614" t="s">
        <v>525</v>
      </c>
      <c r="AU8" s="612" t="s">
        <v>1</v>
      </c>
      <c r="AV8" s="612" t="s">
        <v>6</v>
      </c>
      <c r="AW8" s="612" t="s">
        <v>6</v>
      </c>
      <c r="AX8" s="612" t="s">
        <v>1</v>
      </c>
      <c r="AY8" s="612" t="s">
        <v>6</v>
      </c>
      <c r="AZ8" s="612" t="s">
        <v>1</v>
      </c>
      <c r="BA8" s="612" t="s">
        <v>6</v>
      </c>
      <c r="BB8" s="611" t="s">
        <v>526</v>
      </c>
      <c r="BC8" s="612" t="s">
        <v>6</v>
      </c>
      <c r="BD8" s="611" t="s">
        <v>526</v>
      </c>
      <c r="BE8" s="612" t="s">
        <v>6</v>
      </c>
      <c r="BF8" s="611" t="s">
        <v>526</v>
      </c>
      <c r="BG8" s="612" t="s">
        <v>6</v>
      </c>
      <c r="BH8" s="611" t="s">
        <v>526</v>
      </c>
      <c r="BI8" s="612" t="s">
        <v>527</v>
      </c>
      <c r="BJ8" s="613" t="s">
        <v>528</v>
      </c>
      <c r="BK8" s="611" t="s">
        <v>529</v>
      </c>
      <c r="BL8" s="613" t="s">
        <v>1</v>
      </c>
      <c r="BM8" s="330"/>
      <c r="BN8" s="331"/>
      <c r="BO8" s="331"/>
      <c r="BP8" s="330"/>
      <c r="BQ8" s="330"/>
      <c r="BR8" s="330"/>
      <c r="BS8" s="330"/>
      <c r="BT8" s="330"/>
      <c r="BU8" s="330"/>
      <c r="BV8" s="330"/>
      <c r="BW8" s="330"/>
      <c r="BX8" s="330"/>
      <c r="BY8" s="330"/>
      <c r="BZ8" s="330"/>
      <c r="CA8" s="330"/>
      <c r="CB8" s="330"/>
      <c r="CC8" s="330"/>
      <c r="CD8" s="330"/>
      <c r="CE8" s="330"/>
      <c r="CF8" s="330"/>
      <c r="CG8" s="330"/>
    </row>
    <row r="9" spans="1:85" ht="15" customHeight="1">
      <c r="A9" s="332"/>
      <c r="B9" s="332"/>
      <c r="C9" s="333"/>
      <c r="D9" s="333"/>
      <c r="E9" s="334"/>
      <c r="F9" s="834" t="s">
        <v>530</v>
      </c>
      <c r="G9" s="837" t="s">
        <v>531</v>
      </c>
      <c r="H9" s="837" t="s">
        <v>532</v>
      </c>
      <c r="I9" s="335">
        <f>IF(OR(ISNUMBER(MATCH(F9,$BN$123:$BN$124,0)),ISNUMBER(MATCH(F9,$BN$136:$BN$136,0))),(VLOOKUP(I10,$BW$115:$BX$135,2,FALSE)-I10)/2000,0)+IF(ISNUMBER(MATCH(F9,$BN$137:$BN$138,0)),(VLOOKUP(I10,$CH$115:$CJ$121,3,FALSE)-VLOOKUP(I10,$CH$115:$CJ$121,2,FALSE))/2000,0)+IF(ISNUMBER(MATCH(F9,$BN$139:$BN$141,0)),(VLOOKUP(I10,$CB$115:$CD$118,3,FALSE)-VLOOKUP(I10,$CB$115:$CD$118,2,FALSE))/2000,0)+IF(ISNUMBER(MATCH(F9,$BN$142:$BN$144,0)),(VLOOKUP(I10,$CP$115:$CQ$134,2,FALSE)-I10)/2000,0)+IF(ISNUMBER(MATCH(F9,$BN$132:$BN$133,0)),(VLOOKUP(I10,$CZ$115:$DC$121,4,FALSE)-VLOOKUP(I10,$CZ$115:$DC$121,2,FALSE))/2000,0)+IF(ISNUMBER(MATCH(F9,$BN$134:$BN$135,0)),(VLOOKUP(I10,$DE$115:$DH$127,4,FALSE)-VLOOKUP(I10,$DE$115:$DH$127,2,FALSE))/2000,0)+IF(ISNUMBER(MATCH(F9,$BN$145:$BN$145,0)),(VLOOKUP(I10,$CM$115:$CN$151,2,FALSE)-I10)/2000,0)+IF(ISNUMBER(MATCH(F9,$BN$125:$BN$131,0)),(VLOOKUP(I10,$DJ$115:$DL$127,3,FALSE)-I10)/2000,0)</f>
        <v>1.4500000000000001E-2</v>
      </c>
      <c r="J9" s="336">
        <v>662.29</v>
      </c>
      <c r="K9" s="336">
        <v>661.25</v>
      </c>
      <c r="L9" s="337">
        <f>J9-K9</f>
        <v>1.0399999999999636</v>
      </c>
      <c r="M9" s="337"/>
      <c r="N9" s="337"/>
      <c r="O9" s="337"/>
      <c r="P9" s="337"/>
      <c r="Q9" s="337"/>
      <c r="R9" s="827" t="s">
        <v>533</v>
      </c>
      <c r="S9" s="827" t="s">
        <v>685</v>
      </c>
      <c r="T9" s="337"/>
      <c r="U9" s="337"/>
      <c r="V9" s="337"/>
      <c r="W9" s="337"/>
      <c r="X9" s="337"/>
      <c r="Y9" s="337"/>
      <c r="Z9" s="337"/>
      <c r="AA9" s="337"/>
      <c r="AB9" s="337"/>
      <c r="AC9" s="337"/>
      <c r="AD9" s="337"/>
      <c r="AE9" s="337"/>
      <c r="AF9" s="334"/>
      <c r="AG9" s="337"/>
      <c r="AH9" s="827" t="s">
        <v>535</v>
      </c>
      <c r="AI9" s="337"/>
      <c r="AJ9" s="337"/>
      <c r="AK9" s="337"/>
      <c r="AL9" s="337"/>
      <c r="AM9" s="337"/>
      <c r="AN9" s="337"/>
      <c r="AO9" s="338"/>
      <c r="AP9" s="337"/>
      <c r="AQ9" s="337"/>
      <c r="AR9" s="337"/>
      <c r="AS9" s="337"/>
      <c r="AT9" s="337"/>
      <c r="AU9" s="337"/>
      <c r="AV9" s="337"/>
      <c r="AW9" s="337"/>
      <c r="AX9" s="337"/>
      <c r="AY9" s="337"/>
      <c r="AZ9" s="337"/>
      <c r="BA9" s="337"/>
      <c r="BB9" s="337"/>
      <c r="BC9" s="337"/>
      <c r="BD9" s="337"/>
      <c r="BE9" s="337"/>
      <c r="BF9" s="337"/>
      <c r="BG9" s="337"/>
      <c r="BH9" s="337"/>
      <c r="BI9" s="337"/>
      <c r="BJ9" s="338"/>
      <c r="BK9" s="338"/>
      <c r="BL9" s="337"/>
      <c r="BM9" s="330"/>
      <c r="BN9" s="339"/>
      <c r="BO9" s="339"/>
      <c r="CG9" s="330"/>
    </row>
    <row r="10" spans="1:85" ht="15" customHeight="1">
      <c r="A10" s="332" t="s">
        <v>562</v>
      </c>
      <c r="B10" s="340" t="s">
        <v>562</v>
      </c>
      <c r="C10" s="341" t="s">
        <v>562</v>
      </c>
      <c r="D10" s="340" t="s">
        <v>562</v>
      </c>
      <c r="E10" s="342">
        <v>29</v>
      </c>
      <c r="F10" s="835"/>
      <c r="G10" s="838"/>
      <c r="H10" s="838"/>
      <c r="I10" s="343">
        <v>400</v>
      </c>
      <c r="J10" s="344"/>
      <c r="K10" s="344"/>
      <c r="L10" s="340"/>
      <c r="M10" s="345">
        <f>ABS((L9+L11)/2)+IF(ISNUMBER(MATCH(F9,$BN$123:$BN$131,0)),$BU$114,0)+IF(ISNUMBER(MATCH(AH9,$BN$185,0)),$BU$115,0)+IF(ISNUMBER(MATCH(F9,$BN$132:$BN$135,0)),IF(I10&lt;=600,$BU$116,$BU$117),0)+IF(ISNUMBER(MATCH(F9,$BN$136:$BN$150,0)),$BU$115,0)</f>
        <v>1.1399999999999637</v>
      </c>
      <c r="N10" s="345">
        <f>IF(MATCH(G9,$BN$114:$BN$116,0)=1,IF(ISNUMBER(MATCH(F9,$BN$123:$BN$144,0)),VLOOKUP(I10,IF(M10&lt;=2,$BN$36:$BS$49,$BN$51:$BS$67),VLOOKUP(AF10,$BO$159:$BP$164,2,FALSE),FALSE),IF(ISNUMBER(MATCH(F9,$BN$145,0)),VLOOKUP(I10,IF(M10&lt;=2,$BU$36:$BZ$49,$BU$51:$BZ$71),VLOOKUP(AF10,$BO$159:$BP$164,2,FALSE),FALSE),0)),0)+IF(MATCH(G9,$BN$114:$BN$116,0)=2,VLOOKUP(I10,IF(M10&lt;=2,$CB$36:$CG$49,IF(M10&lt;=4,$CB$51:$CG$64,IF(M10&lt;=6,$CB$66:$CG$79,IF(M10&lt;=8,$CB$81:$CG$94,$CB$96:$CG$109)))),VLOOKUP(AF10,$BO$159:$BP$164,2,FALSE)),0)</f>
        <v>0.9</v>
      </c>
      <c r="O10" s="346">
        <f>ABS((K11-K9)/E10)</f>
        <v>0</v>
      </c>
      <c r="P10" s="345">
        <f>E10</f>
        <v>29</v>
      </c>
      <c r="Q10" s="345">
        <f>IF(IF(AND(MATCH(R9,$BN$175:$BN$179,0)&lt;=1),E10*(N10+2*$BP$175))=FALSE,0,IF(AND(MATCH(R9,$BN$175:$BN$179,0)&lt;=1),E10*(N10+2*$BP$175)))</f>
        <v>43.5</v>
      </c>
      <c r="R10" s="828"/>
      <c r="S10" s="828"/>
      <c r="T10" s="345">
        <f>IF(AND(ISNUMBER(MATCH(S9,$BN$188,0))),E10*N10*(MIN(M10,$BU$147)-VLOOKUP(R9,$BN$175:$BP$180,2,FALSE)),VLOOKUP(S9,$BN$188:$BP$189,2,FALSE))</f>
        <v>0</v>
      </c>
      <c r="U10" s="345">
        <f>IF(AND(ISNUMBER(MATCH(S9,$BN$188,0))),E10*N10*MAX(MIN(M10-$BU$147,$BU$147),0)+E10*MAX((MIN(M10-$BU$147,-$BU$147)),0),VLOOKUP(S9,$BN$188:$BP$189,2,FALSE))</f>
        <v>0</v>
      </c>
      <c r="V10" s="345">
        <f>IF(AND(ISNUMBER(MATCH(S9,$BN$188,0))),E10*N10*MAX(MIN(M10-2*$BU$147,$BU$147),0)+E10*MAX((MIN(M10-2*$BU$147,-2*$BU$147,-2*$BU$147,$BU$147)),0),VLOOKUP(S9,$BN$188:$BP$189,2,FALSE))</f>
        <v>0</v>
      </c>
      <c r="W10" s="345">
        <f>IF(AND(ISNUMBER(MATCH(S9,$BN$188,0))),E10*N10*MAX(MIN(M10-3*$BU$147,$BU$147),0)+E10*MAX((MIN(M10-3*$BU$147,-3*$BU$147,-3*$BU$147,$BU$147)),0),VLOOKUP(S9,$BN$188:$BP$189,2,FALSE))</f>
        <v>0</v>
      </c>
      <c r="X10" s="345">
        <f>IF(AND(ISNUMBER(MATCH(S9,$BN$188,0))),E10*N10*MAX(MIN(M10-4*$BU$147,$BU$147),0)+E10*MAX((MIN(M10-4*$BU$147,-4*$BU$147,-4*$BU$147,$BU$147)),0),VLOOKUP(S9,$BN$188:$BP$189,2,FALSE))</f>
        <v>0</v>
      </c>
      <c r="Y10" s="345">
        <f>IF(AND(ISNUMBER(MATCH(S9,$BN$188,0))),E10*N10*MAX(MIN(M10-5*$BU$147,$BU$147),0)+E10*MAX((MIN(M10-5*$BU$147,-5*$BU$147,-5*$BU$147,$BU$147)),0),VLOOKUP(S9,$BN$188:$BP$189,2,FALSE))</f>
        <v>0</v>
      </c>
      <c r="Z10" s="345">
        <f>IF(AND(ISNUMBER(MATCH(S9,$BN$189,0))),E10*N10*(MIN(M10,$BU$148)-VLOOKUP(R9,$BN$175:$BP$180,2,FALSE)),VLOOKUP(S9,$BN$188:$BP$189,2,FALSE))</f>
        <v>29.753999999999053</v>
      </c>
      <c r="AA10" s="345">
        <f>IF(AND(ISNUMBER(MATCH(S9,$BN$189,0))),E10*N10*MAX(MIN(M10-$BU$148,$BU$148),0)+E10*MAX((MIN(M10-$BU$148,-$BU$148)),0))-VLOOKUP(S9,$BN$188:$BP$189,2,FALSE)</f>
        <v>0</v>
      </c>
      <c r="AB10" s="345">
        <f>IF(AND(ISNUMBER(MATCH(S9,$BN$189,0))),E10*N10*MAX(MIN(M10-2*$BU$148,$BU$148),0)+E10*MAX((MIN(M10-2*$BU$148,-2*$BU$148,-2*$BU$148,$BU$148)),0))-VLOOKUP(S9,$BN$188:$BP$189,2,FALSE)</f>
        <v>0</v>
      </c>
      <c r="AC10" s="345">
        <f>IF(AND(ISNUMBER(MATCH(S9,$BN$189,0))),E10*N10*MAX(MIN(M10-3*$BU$148,$BU$148),0)+E10*MAX((MIN(M10-3*$BU$148,-3*$BU$148,-3*$BU$148,$BU$148)),0))-VLOOKUP(S9,$BN$188:$BP$189,2,FALSE)</f>
        <v>0</v>
      </c>
      <c r="AD10" s="345">
        <f>IF(AND(ISNUMBER(MATCH(S9,$BN$189,0))),E10*N10*MAX(MIN(M10-4*$BU$148,$BU$148),0)+E10*MAX((MIN(M10-4*$BU$148,-4*$BU$148,-4*$BU$148,$BU$148)),0))-VLOOKUP(S9,$BN$188:$BP$189,2,FALSE)</f>
        <v>0</v>
      </c>
      <c r="AE10" s="345">
        <f>IF(AND(ISNUMBER(MATCH(S9,$BN$189,0))),E10*N10*MAX(MIN(M10-5*$BU$148,$BU$148),0)+E10*MAX((MIN(M10-5*$BU$148,-5*$BU$148,-5*$BU$148,$BU$148)),0))-VLOOKUP(S9,$BN$188:$BP$189,2,FALSE)</f>
        <v>0</v>
      </c>
      <c r="AF10" s="332" t="str">
        <f>IF(MATCH(G9,$BN$114:$BN$116,0)&lt;=2,VLOOKUP((M10),$BN$159:$BO$164,2),"-")</f>
        <v>-</v>
      </c>
      <c r="AG10" s="345">
        <f>IF(AND(MATCH(G9,$BN$114:$BN$116,0)&lt;=2,MATCH(AF10,$BO$159:$BO$164,0)&gt;1),(M10)*E10*2,0)</f>
        <v>0</v>
      </c>
      <c r="AH10" s="828"/>
      <c r="AI10" s="345" t="str">
        <f>IF(AH9=$BN$184,E10*5*$BU$138,IF(AH9=$BN$183,"-","-"))</f>
        <v>-</v>
      </c>
      <c r="AJ10" s="345">
        <f>IF(MATCH(AH9,$BN$183:$BN$185,0)&lt;=2,0,((_xlfn.CEILING.PRECISE(E10/$BU$139))*$BU$140))</f>
        <v>0</v>
      </c>
      <c r="AK10" s="345">
        <f>IF(MATCH(G9,$BN$114:$BN$116,0)=3,0,E10*$BU$176/($BU$175)*2)</f>
        <v>19.333333333333332</v>
      </c>
      <c r="AL10" s="345">
        <f>IF(MATCH(G9,$BN$114:$BN$116,0)=3,0,(E10/$BU$168)*$BU$169*(N10+2*N10))</f>
        <v>1.5660000000000001</v>
      </c>
      <c r="AM10" s="345">
        <f>IF(ISNUMBER(MATCH(F9,$BN$123:$BN$131,0)),E10*N10*$BU$114,0)</f>
        <v>2.6100000000000003</v>
      </c>
      <c r="AN10" s="345">
        <f>IF(AND(ISNUMBER(MATCH(F9,$BN$123:$BN$131,0)),MATCH(AH9,$BN$183:$BN$185,0)=3),E10*N10*$BU$115,0)</f>
        <v>0</v>
      </c>
      <c r="AO10" s="347">
        <f>IF(MATCH(G9,$BN$114:$BN$116,0)&lt;=2,IF(ISNUMBER(MATCH(F9,$BN$136:$BN$145,0)),E10*(N10*(I11+$BU$116+$BU$117)-(((I11/2)^2)*(IF((M10-$BU$116)&lt;I11,2*ACOS(1-(((M10-$BU$116)*2/I11))),2*PI())-SIN(IF((M10-$BU$116)&lt;I11,2*ACOS(1-(((M10-$BU$116)*2/I11))),2*PI()))))/2),0)+IF(ISNUMBER(MATCH(F9,$BN$132:$BN$133,0)),E10*(N10*(VLOOKUP(I10,$CZ$115:$DC$121,3,FALSE)/1000+IF(I10&lt;=600,$BU$119,$BU$120)+$BU$117)-(((VLOOKUP(I10,$CZ$115:$DC$121,3,FALSE)/2000)^2)*(IF((M10-IF(I10&lt;=600,$BU$119,$BU$120))&lt;VLOOKUP(I10,$CZ$115:$DC$121,3,FALSE)/1000,2*ACOS(1-((M10-IF(I10&lt;=600,$BU$119,$BU$120))*2/VLOOKUP(I10,$CZ$115:$DC$121,3,FALSE)/1000)),2*PI())-SIN(IF((M10-IF(I10&lt;=600,$BU$119,$BU$120))&lt;VLOOKUP(I10,$CZ$115:$DC$121,3,FALSE)/1000,2*ACOS(1-((M10-IF(I10&lt;=600,$BU$119,$BU$120))*2/VLOOKUP(I10,$CZ$115:$DC$121,3,FALSE)/1000)),2*PI()))))/2),0)+IF(ISNUMBER(MATCH(F9,$BN$134:$BN$135,0)),E10*(N10*(VLOOKUP(I10,$DE$115:$DH$127,3,FALSE)/1000+IF(I10&lt;=600,$BU$119,$BU$120)+$BU$117)-(((VLOOKUP(I10,$DE$115:$DH$127,3,FALSE)/2000)^2)*(IF((M10-IF(I10&lt;=600,$BU$119,$BU$120))&lt;VLOOKUP(I10,$DE$115:$DH$127,3,FALSE)/1000,2*ACOS(1-((M10-IF(I10&lt;=600,$BU$119,$BU$120))*2/VLOOKUP(I10,$DE$115:$DH$127,3,FALSE)/1000)),2*PI())-SIN(IF((M10-IF(I10&lt;=600,$BU$119,$BU$120))&lt;VLOOKUP(I10,$DE$115:$DH$127,3,FALSE)/1000,2*ACOS(1-((M10-IF(I10&lt;=600,$BU$119,$BU$120))*2/VLOOKUP(I10,$DE$115:$DH$127,3,FALSE)/1000)),2*PI()))))/2),0),0)</f>
        <v>0</v>
      </c>
      <c r="AP10" s="345">
        <f>E10</f>
        <v>29</v>
      </c>
      <c r="AQ10" s="345">
        <f>IF(ISNUMBER(MATCH(F9,$BN$123:$BN$131,0)),N10*E10*MAX(IF($BU$121=2,IF((M10-$BU$114-I11-$BU$124-VLOOKUP(R9,$BN$175:$BO$179,2,FALSE))&lt;$BU$123,(M10-$BU$114-I11-$BU$124-VLOOKUP(R9,$BN$175:$BO$179,2,FALSE)),IF((M10-$BU$114-I11-$BU$124-VLOOKUP(R9,$BN$175:$BO$179,2,FALSE))&lt;2*$BU$123,$BU$123,(M10-$BU$114-I11-$BU$124-VLOOKUP(R9,$BN$175:$BO$179,2,FALSE))/2)),M10-$BU$114-I11-$BU$122-VLOOKUP(R9,$BN$175:$BO$179,2,FALSE)),0),0)+IF(ISNUMBER(MATCH(F9,$BN$136:$BN$150,0)),N10*E10*MAX(IF((M10-$BU$116-$BU$117-I11-VLOOKUP(R9,$BN$175:$BO$179,2,FALSE))&lt;$BU$123,(M10-$BU$116-$BU$117-I11-VLOOKUP(R9,$BN$175:$BO$179,2,FALSE)),IF((M10-$BU$116-$BU$117-I11-VLOOKUP(R9,$BN$175:$BO$179,2,FALSE))&lt;2*$BU$123,$BU$123,(M10-$BU$116-$BU$117-I11-VLOOKUP(R9,$BN$175:$BO$179,2,FALSE))/2)),0),0)+IF(ISNUMBER(MATCH(F9,$BN$132:$BN$133,0)),N10*E10*MAX(IF((M10-IF(I10&lt;=600,$BU$119,$BU$120)-$BU$117-VLOOKUP(I10,$CZ$115:$DC$121,3,FALSE)/1000-VLOOKUP(R9,$BN$175:$BO$179,2,FALSE))&lt;$BU$123,(M10-IF(I10&lt;=600,$BU$119,$BU$120)-$BU$117-VLOOKUP(I10,$CZ$115:$DC$121,3,FALSE)/1000-VLOOKUP(R9,$BN$175:$BO$179,2,FALSE)),IF((M10-IF(I10&lt;=600,$BU$119,$BU$120)-$BU$117-VLOOKUP(I10,$CZ$115:$DC$121,3,FALSE)/1000-VLOOKUP(R9,$BN$175:$BO$179,2,FALSE))&lt;2*$BU$123,$BU$123,(M10-IF(I10&lt;=600,$BU$119,$BU$120)-$BU$117-VLOOKUP(I10,$CZ$115:$DC$121,3,FALSE)/1000-VLOOKUP(R9,$BN$175:$BO$179,2,FALSE))/2)),0),0)+IF(ISNUMBER(MATCH(F9,$BN$134:$BN$135,0)),N10*E10*MAX(IF((M10-IF(I10&lt;=600,$BU$119,$BU$120)-$BU$117-VLOOKUP(I10,$DE$115:$DH$127,3,FALSE)/1000-VLOOKUP(R9,$BN$175:$BO$179,2,FALSE))&lt;$BU$123,(M10-IF(I10&lt;=600,$BU$119,$BU$120)-$BU$117-VLOOKUP(I10,$DE$115:$DH$127,3,FALSE)/1000-VLOOKUP(R9,$BN$175:$BO$179,2,FALSE)),IF((M10-IF(I10&lt;=600,$BU$119,$BU$120)-$BU$117-VLOOKUP(I10,$DE$115:$DH$127,3,FALSE)/1000-VLOOKUP(R9,$BN$175:$BO$179,2,FALSE))&lt;2*$BU$123,$BU$123,(M10-IF(I10&lt;=600,$BU$119,$BU$120)-$BU$117-VLOOKUP(I10,$DE$115:$DH$127,3,FALSE)/1000-VLOOKUP(R9,$BN$175:$BO$179,2,FALSE))/2)),0),0)</f>
        <v>8.1170999999990503</v>
      </c>
      <c r="AR10" s="345">
        <f>IF(ISNUMBER(MATCH(F9,$BN$123:$BN$131,0)),E10*MAX(N10*IF($BU$121=2,IF((M10-$BU$114-I11-$BU$124-VLOOKUP(R9,$BN$175:$BO$179,2,FALSE))&lt;$BU$123,I11+$BU$124,IF((M10-$BU$114-I11-$BU$124-VLOOKUP(R9,$BN$175:$BO$179,2,FALSE))&lt;2*$BU$123,I11+$BU$124+(M10-$BU$114-I11-$BU$124-VLOOKUP(R9,$BN$175:$BO$179,2,FALSE))-$BU$123,I11+$BU$124+(M10-$BU$114-I11-$BU$124-VLOOKUP(R9,$BN$175:$BO$179,2,FALSE))/2)),MAX(MIN(M10-$BU$114-I11-VLOOKUP(R9,$BN$175:$BO$179,2,FALSE),I11+$BU$122),0))-IF((M10-$BU$114)&lt;I11,((I11/2)^2)*(2*ACOS(1-(((M10-$BU$114)*2/I11)))-SIN(2*ACOS(1-(((M10-$BU$114)*2/I11)))))/2,PI()*(I11/2)^2),0),0)+IF(ISNUMBER(MATCH(F9,$BN$136:$BN$150,0)),N10*E10*MAX(IF((M10-$BU$116-$BU$117-I11-VLOOKUP(R9,$BN$175:$BO$179,2,FALSE))&lt;$BU$123,0,IF((M10-$BU$116-$BU$117-I11-VLOOKUP(R9,$BN$175:$BO$179,2,FALSE))&lt;2*$BU$123,(M10-$BU$116-$BU$117-I11-VLOOKUP(R9,$BN$175:$BO$179,2,FALSE))-$BU$123,(M10-$BU$116-$BU$117-I11-VLOOKUP(R9,$BN$175:$BO$179,2,FALSE))/2)),0),0)+IF(ISNUMBER(MATCH(F9,$BN$132:$BN$133,0)),N10*E10*MAX(IF((M10-IF(I10&lt;=600,$BU$119,$BU$120)-$BU$117-VLOOKUP(I10,$CZ$115:$DC$121,3,FALSE)/1000-VLOOKUP(R9,$BN$175:$BO$179,2,FALSE))&lt;$BU$123,0,IF((M10-IF(I10&lt;=600,$BU$119,$BU$120)-$BU$117-VLOOKUP(I10,$CZ$115:$DC$121,3,FALSE)/1000-VLOOKUP(R9,$BN$175:$BO$179,2,FALSE))&lt;2*$BU$123,(M10-IF(I10&lt;=600,$BU$119,$BU$120)-$BU$117-VLOOKUP(I10,$CZ$115:$DC$121,3,FALSE)/1000-VLOOKUP(R9,$BN$175:$BO$179,2,FALSE))-$BU$123,(M10-IF(I10&lt;=600,$BU$119,$BU$120)-$BU$117-VLOOKUP(I10,$CZ$115:$DC$121,3,FALSE)/1000-VLOOKUP(R9,$BN$175:$BO$179,2,FALSE))/2)),0),0)+IF(ISNUMBER(MATCH(F9,$BN$134:$BN$135,0)),N10*E10*MAX(IF((M10-IF(I10&lt;=600,$BU$119,$BU$120)-$BU$117-VLOOKUP(I10,$DE$115:$DH$127,3,FALSE)/1000-VLOOKUP(R9,$BN$175:$BO$179,2,FALSE))&lt;$BU$123,0,IF((M10-IF(I10&lt;=600,$BU$119,$BU$120)-$BU$117-VLOOKUP(I10,$DE$115:$DH$127,3,FALSE)/1000-VLOOKUP(R9,$BN$175:$BO$179,2,FALSE))&lt;2*$BU$123,(M10-IF(I10&lt;=600,$BU$119,$BU$120)-$BU$117-VLOOKUP(I10,$DE$115:$DH$127,3,FALSE)/1000-VLOOKUP(R9,$BN$175:$BO$179,2,FALSE))-$BU$123,(M10-IF(I10&lt;=600,$BU$119,$BU$120)-$BU$117-VLOOKUP(I10,$DE$115:$DH$127,3,FALSE)/1000-VLOOKUP(R9,$BN$175:$BO$179,2,FALSE))/2)),0),0)</f>
        <v>14.835081561694937</v>
      </c>
      <c r="AS10" s="345">
        <f>IF(MATCH(G9,$BN$114:$BN$116,0)=3,0,IF(MATCH(R9,$BN$175:$BN$177,0)&gt;=1,E10*(N10),0))</f>
        <v>26.1</v>
      </c>
      <c r="AT10" s="345">
        <f>IF(AND(MATCH(G9,$BN$114:$BN$116,0)&lt;=2,MATCH(R9,$BN$175:$BN$179,0)&gt;1,NOT(AND(MATCH(R9,$BN$175:$BN$179,0)&gt;1,))),E10*(N10+2*VLOOKUP(R9,$BN$175:$BP$179,3,FALSE))*IF(OR(MATCH(R9,$BN$175:$BN$179,0)=3,MATCH(R9,$BN$175:$BN$179,0)=3),VLOOKUP(R9,$BN$175:$BP$179,2,FALSE),1),0)</f>
        <v>0</v>
      </c>
      <c r="AU10" s="345">
        <f>IF(AND(MATCH(G9,$BN$114:$BN$116,0)&lt;=2,MATCH(R9,$BN$175:$BN$179,0)=2),E10*(N10+2*VLOOKUP(R9,$BN$175:$BP$179,3,FALSE)),0)</f>
        <v>0</v>
      </c>
      <c r="AV10" s="345">
        <f>IF(AND(MATCH(G9,$BN$114:$BN$116,0)&lt;=2,MATCH(R9,$BN$175:$BN$179,0)=2),E10*(N10+2*VLOOKUP(R9,$BN$175:$BP$179,3,FALSE)),0)*$AV$7</f>
        <v>0</v>
      </c>
      <c r="AW10" s="345">
        <f>IF(AND(MATCH(G9,$BN$114:$BN$116,0)&lt;=2,MATCH(R9,$BN$175:$BN$179,0)=2),E10*(N10+2*VLOOKUP(R9,$BN$175:$BP$179,3,FALSE)),0)*$AW$7</f>
        <v>0</v>
      </c>
      <c r="AX10" s="345">
        <f>IF(AND(MATCH(G9,$BN$114:$BN$116,0)&lt;=2,MATCH(R9,$BN$175:$BN$179,0)=2),E10*(N10+2*VLOOKUP(R9,$BN$175:$BP$179,3,FALSE)),0)</f>
        <v>0</v>
      </c>
      <c r="AY10" s="345">
        <f>IF(AND(MATCH(G9,$BN$114:$BN$116,0)&lt;=2,MATCH(R9,$BN$175:$BN$179,0)=2),E10*(N10+2*VLOOKUP(R9,$BN$175:$BP$179,3,FALSE)),0)*$AY$7</f>
        <v>0</v>
      </c>
      <c r="AZ10" s="345">
        <f>IF(MATCH(R9,$BN$175:$BN$179,0)=3,E10*(N10+2*VLOOKUP(R9,$BN$175:$BP$179,3,FALSE)),0)</f>
        <v>0</v>
      </c>
      <c r="BA10" s="345">
        <f>MAX(SUM(T10:AE10)-AQ10-AR10,0)*$BU$157</f>
        <v>8.8423639697965886</v>
      </c>
      <c r="BB10" s="345">
        <f>BA10*$BU$162</f>
        <v>132.63545954694882</v>
      </c>
      <c r="BC10" s="345">
        <f>AM10*$BU$159</f>
        <v>2.6100000000000003</v>
      </c>
      <c r="BD10" s="345">
        <f>BC10*$BU$164</f>
        <v>39.150000000000006</v>
      </c>
      <c r="BE10" s="345">
        <f>(AN10+AO10)*$BU$160</f>
        <v>0</v>
      </c>
      <c r="BF10" s="345">
        <f>BE10*$BU$165</f>
        <v>0</v>
      </c>
      <c r="BG10" s="345">
        <f>IF(MATCH(G9,$BN$114:$BN$116,0)&lt;=2,(E10*(N10+2*VLOOKUP(R9,$BN$175:$BP$179,3,FALSE))*VLOOKUP(R9,$BN$175:$BO$179,2,FALSE))*$BU$161,0)</f>
        <v>0</v>
      </c>
      <c r="BH10" s="345">
        <f>BG10*$BU$166</f>
        <v>0</v>
      </c>
      <c r="BI10" s="345">
        <f>AY10*$BI$1*$BI$2*$BI$3</f>
        <v>0</v>
      </c>
      <c r="BJ10" s="347">
        <f>E10*(IF(ISNUMBER(MATCH(F9,$BN$123,0)),VLOOKUP(I10,$BW$117:$BY$130,3,FALSE)/1000,0)+IF(ISNUMBER(MATCH(F9,$BN$124,0)),VLOOKUP(I10,$BW$115:$BZ$130,4,FALSE)/1000,0)+IF(ISNUMBER(MATCH(F9,$BN$125:$BN$131,0)),VLOOKUP(I10,$DJ$115:$DM$125,4,FALSE)/1000,0)+IF(ISNUMBER(MATCH(F9,$BN$132:$BN$133,0)),VLOOKUP(I10,$CZ$115:$DD121,5,FALSE)/1000,0)+IF(ISNUMBER(MATCH(F9,$BN$134:$BN$135,0)),VLOOKUP(I10,$DE$115:$DI$126,5,FALSE)/1000,0)+IF(ISNUMBER(MATCH(F9,$BN$136:$BN$136,0)),VLOOKUP(I10,$BW$115:$CA$130,5,FALSE)/1000,0)+IF(ISNUMBER(MATCH(F9,$BN$137:$BN$137,0)),VLOOKUP(I10,$CH$115:$CL$121,4,FALSE)/1000,0)+IF(ISNUMBER(MATCH(F9,$BN$138:$BN$138,0)),VLOOKUP(I10,$CH$115:$CL$121,5,FALSE)/1000,0)+IF(ISNUMBER(MATCH(F9,$BN$139:$BN$139,0)),VLOOKUP(I10,$CB$115:$CG$118,4,FALSE)/1000,0)+IF(ISNUMBER(MATCH(F9,$BN$140:$BN$140,0)),VLOOKUP(I10,$CB$115:$CG$118,5,FALSE)/1000,0)+IF(ISNUMBER(MATCH(F9,$BN$141:$BN$141,0)),VLOOKUP(I10,$CB$115:$CG$118,6,FALSE)/1000,0)+IF(ISNUMBER(MATCH(F9,$BN$142:$BN$142,0)),VLOOKUP(I10,$CP$115:$CT$134,3,FALSE)/1000,0)+IF(ISNUMBER(MATCH(F9,$BN$143:$BN$143,0)),VLOOKUP(I10,$CP$115:$CT$134,4,FALSE)/1000,0)+IF(ISNUMBER(MATCH(F9,$BN$144:$BN$144,0)),VLOOKUP(I10,$CP$115:$CT$134,5,FALSE)/1000,0)+IF(ISNUMBER(MATCH(F9,$BN$145:$BN$145,0)),VLOOKUP(I10,$CM$115:$CO$151,3,FALSE)/1000,0))</f>
        <v>2.2591000000000001</v>
      </c>
      <c r="BK10" s="347">
        <f>BJ10*$BU$167</f>
        <v>67.772999999999996</v>
      </c>
      <c r="BL10" s="345">
        <f>(E10*(2*$BU$177+N10))</f>
        <v>43.5</v>
      </c>
      <c r="BM10" s="348"/>
      <c r="BN10" s="339"/>
      <c r="BO10" s="339"/>
      <c r="CG10" s="330"/>
    </row>
    <row r="11" spans="1:85" ht="15" customHeight="1">
      <c r="A11" s="349"/>
      <c r="B11" s="349"/>
      <c r="C11" s="350"/>
      <c r="D11" s="350"/>
      <c r="E11" s="351"/>
      <c r="F11" s="836"/>
      <c r="G11" s="839"/>
      <c r="H11" s="839"/>
      <c r="I11" s="352">
        <f>IF(OR(ISNUMBER(MATCH(F9,$BN$123:$BN$124,0)),ISNUMBER(MATCH(F9,$BN$136:$BN$136,0))),VLOOKUP(I10,$BW$115:$BX$135,2,FALSE)/1000,0)+IF(ISNUMBER(MATCH(F9,$BN$137:$BN$138,0)),VLOOKUP(I10,$CH$115:$CJ$121,3,FALSE)/1000,0)+IF(ISNUMBER(MATCH(F9,$BN$139:$BN$141,0)),VLOOKUP(I10,$CB$115:$CD$118,3,FALSE)/1000,0)+IF(ISNUMBER(MATCH(F9,$BN$142:$BN$144,0)),VLOOKUP(I10,$CP$115:$CQ$134,2,FALSE)/1000,0)+IF(ISNUMBER(MATCH(F9,$BN$132:$BN$133,0)),VLOOKUP(I10,$CZ$115:$DC$121,4,FALSE)/1000,0)+IF(ISNUMBER(MATCH(F9,$BN$134:$BN$135,0)),VLOOKUP(I10,$DE$115:$DH$127,4,FALSE)/1000,0)+IF(ISNUMBER(MATCH(F9,$BN$145:$BN$145,0)),VLOOKUP(I10,$CM$115:$CN$151,2,FALSE)/1000,0)+IF(ISNUMBER(MATCH(F9,$BN$125:$BN$131,0)),VLOOKUP(I10,$DJ$115:$DL$127,3,FALSE)/1000,0)</f>
        <v>0.42899999999999999</v>
      </c>
      <c r="J11" s="353">
        <v>662.29</v>
      </c>
      <c r="K11" s="353">
        <v>661.25</v>
      </c>
      <c r="L11" s="354">
        <f>J11-K11</f>
        <v>1.0399999999999636</v>
      </c>
      <c r="M11" s="355"/>
      <c r="N11" s="354"/>
      <c r="O11" s="354"/>
      <c r="P11" s="354"/>
      <c r="Q11" s="354"/>
      <c r="R11" s="829"/>
      <c r="S11" s="829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49"/>
      <c r="AG11" s="354"/>
      <c r="AH11" s="829"/>
      <c r="AI11" s="354"/>
      <c r="AJ11" s="354"/>
      <c r="AK11" s="354"/>
      <c r="AL11" s="354"/>
      <c r="AM11" s="354"/>
      <c r="AN11" s="354"/>
      <c r="AO11" s="356"/>
      <c r="AP11" s="354"/>
      <c r="AQ11" s="354"/>
      <c r="AR11" s="354"/>
      <c r="AS11" s="354"/>
      <c r="AT11" s="354"/>
      <c r="AU11" s="354"/>
      <c r="AV11" s="354"/>
      <c r="AW11" s="354"/>
      <c r="AX11" s="354"/>
      <c r="AY11" s="354"/>
      <c r="AZ11" s="354"/>
      <c r="BA11" s="354"/>
      <c r="BB11" s="354"/>
      <c r="BC11" s="354"/>
      <c r="BD11" s="354"/>
      <c r="BE11" s="354"/>
      <c r="BF11" s="354"/>
      <c r="BG11" s="354"/>
      <c r="BH11" s="354"/>
      <c r="BI11" s="354"/>
      <c r="BJ11" s="356"/>
      <c r="BK11" s="356"/>
      <c r="BL11" s="354"/>
      <c r="BM11" s="330"/>
      <c r="BN11" s="339"/>
      <c r="BO11" s="339"/>
      <c r="CG11" s="330"/>
    </row>
    <row r="12" spans="1:85" ht="15" customHeight="1">
      <c r="A12" s="357"/>
      <c r="B12" s="357"/>
      <c r="C12" s="357"/>
      <c r="D12" s="357"/>
      <c r="E12" s="358"/>
      <c r="F12" s="359"/>
      <c r="G12" s="357"/>
      <c r="H12" s="357"/>
      <c r="I12" s="357"/>
      <c r="J12" s="360"/>
      <c r="K12" s="360"/>
      <c r="L12" s="361"/>
      <c r="M12" s="361"/>
      <c r="N12" s="357"/>
      <c r="O12" s="357"/>
      <c r="P12" s="361"/>
      <c r="Q12" s="361"/>
      <c r="R12" s="362"/>
      <c r="S12" s="361"/>
      <c r="T12" s="357"/>
      <c r="U12" s="357"/>
      <c r="V12" s="357"/>
      <c r="W12" s="357"/>
      <c r="X12" s="357"/>
      <c r="Y12" s="357"/>
      <c r="Z12" s="357"/>
      <c r="AA12" s="357"/>
      <c r="AB12" s="357"/>
      <c r="AC12" s="357"/>
      <c r="AD12" s="357"/>
      <c r="AE12" s="357"/>
      <c r="AF12" s="357"/>
      <c r="AG12" s="361"/>
      <c r="AH12" s="357"/>
      <c r="AI12" s="357"/>
      <c r="AJ12" s="357"/>
      <c r="AK12" s="361"/>
      <c r="AL12" s="361"/>
      <c r="AM12" s="357"/>
      <c r="AN12" s="357"/>
      <c r="AO12" s="361"/>
      <c r="AP12" s="357"/>
      <c r="AQ12" s="357"/>
      <c r="AR12" s="357"/>
      <c r="AS12" s="357"/>
      <c r="AT12" s="357"/>
      <c r="AU12" s="357"/>
      <c r="AV12" s="357"/>
      <c r="AW12" s="357"/>
      <c r="AX12" s="357"/>
      <c r="AY12" s="357"/>
      <c r="AZ12" s="357"/>
      <c r="BA12" s="357"/>
      <c r="BB12" s="357"/>
      <c r="BC12" s="357"/>
      <c r="BD12" s="357"/>
      <c r="BE12" s="357"/>
      <c r="BF12" s="361"/>
      <c r="BG12" s="357"/>
      <c r="BH12" s="357"/>
      <c r="BI12" s="357"/>
      <c r="BJ12" s="357"/>
      <c r="BK12" s="357"/>
      <c r="BM12" s="330"/>
      <c r="BO12" s="363"/>
      <c r="CG12" s="330"/>
    </row>
    <row r="13" spans="1:85" s="372" customFormat="1" ht="15" customHeight="1">
      <c r="A13" s="866" t="s">
        <v>537</v>
      </c>
      <c r="B13" s="866"/>
      <c r="C13" s="866"/>
      <c r="D13" s="615">
        <v>400</v>
      </c>
      <c r="E13" s="616">
        <f>SUM(E9:E12)</f>
        <v>29</v>
      </c>
      <c r="F13" s="364"/>
      <c r="G13" s="365"/>
      <c r="H13" s="365"/>
      <c r="I13" s="365"/>
      <c r="J13" s="366"/>
      <c r="K13" s="367"/>
      <c r="L13" s="367"/>
      <c r="M13" s="368"/>
      <c r="N13" s="368"/>
      <c r="O13" s="368"/>
      <c r="P13" s="616">
        <f>SUM(P9:P12)</f>
        <v>29</v>
      </c>
      <c r="Q13" s="616">
        <f>SUM(Q9:Q12)</f>
        <v>43.5</v>
      </c>
      <c r="R13" s="369"/>
      <c r="S13" s="368"/>
      <c r="T13" s="370">
        <f t="shared" ref="T13:AE13" si="0">SUM(T9:T12)</f>
        <v>0</v>
      </c>
      <c r="U13" s="370">
        <f t="shared" si="0"/>
        <v>0</v>
      </c>
      <c r="V13" s="370">
        <f t="shared" si="0"/>
        <v>0</v>
      </c>
      <c r="W13" s="370">
        <f t="shared" si="0"/>
        <v>0</v>
      </c>
      <c r="X13" s="370">
        <f t="shared" si="0"/>
        <v>0</v>
      </c>
      <c r="Y13" s="370">
        <f t="shared" si="0"/>
        <v>0</v>
      </c>
      <c r="Z13" s="617">
        <f t="shared" si="0"/>
        <v>29.753999999999053</v>
      </c>
      <c r="AA13" s="370">
        <f t="shared" si="0"/>
        <v>0</v>
      </c>
      <c r="AB13" s="370">
        <f t="shared" si="0"/>
        <v>0</v>
      </c>
      <c r="AC13" s="370">
        <f t="shared" si="0"/>
        <v>0</v>
      </c>
      <c r="AD13" s="370">
        <f t="shared" si="0"/>
        <v>0</v>
      </c>
      <c r="AE13" s="370">
        <f t="shared" si="0"/>
        <v>0</v>
      </c>
      <c r="AF13" s="374" t="s">
        <v>538</v>
      </c>
      <c r="AG13" s="370">
        <f>SUMIF(AF$9:AF$12,AF13,AG$9:AG$12)</f>
        <v>0</v>
      </c>
      <c r="AH13" s="368"/>
      <c r="AI13" s="370">
        <f>SUM(AI9:AI12)</f>
        <v>0</v>
      </c>
      <c r="AJ13" s="370">
        <f>SUM(AJ9:AJ12)</f>
        <v>0</v>
      </c>
      <c r="AK13" s="617">
        <f>SUM(AK9:AK12)</f>
        <v>19.333333333333332</v>
      </c>
      <c r="AL13" s="617">
        <f t="shared" ref="AL13:AO13" si="1">SUM(AL9:AL12)</f>
        <v>1.5660000000000001</v>
      </c>
      <c r="AM13" s="617">
        <f t="shared" si="1"/>
        <v>2.6100000000000003</v>
      </c>
      <c r="AN13" s="617">
        <f t="shared" si="1"/>
        <v>0</v>
      </c>
      <c r="AO13" s="617">
        <f t="shared" si="1"/>
        <v>0</v>
      </c>
      <c r="AP13" s="617">
        <f t="shared" ref="AP13:BL13" si="2">SUM(AP9:AP12)</f>
        <v>29</v>
      </c>
      <c r="AQ13" s="617">
        <f t="shared" si="2"/>
        <v>8.1170999999990503</v>
      </c>
      <c r="AR13" s="617">
        <f t="shared" si="2"/>
        <v>14.835081561694937</v>
      </c>
      <c r="AS13" s="617">
        <f t="shared" si="2"/>
        <v>26.1</v>
      </c>
      <c r="AT13" s="617">
        <f t="shared" si="2"/>
        <v>0</v>
      </c>
      <c r="AU13" s="617">
        <f t="shared" si="2"/>
        <v>0</v>
      </c>
      <c r="AV13" s="617">
        <f t="shared" si="2"/>
        <v>0</v>
      </c>
      <c r="AW13" s="617">
        <f t="shared" si="2"/>
        <v>0</v>
      </c>
      <c r="AX13" s="617">
        <f t="shared" si="2"/>
        <v>0</v>
      </c>
      <c r="AY13" s="617">
        <f t="shared" si="2"/>
        <v>0</v>
      </c>
      <c r="AZ13" s="617">
        <f t="shared" si="2"/>
        <v>0</v>
      </c>
      <c r="BA13" s="617">
        <f t="shared" si="2"/>
        <v>8.8423639697965886</v>
      </c>
      <c r="BB13" s="617">
        <f t="shared" si="2"/>
        <v>132.63545954694882</v>
      </c>
      <c r="BC13" s="617">
        <f t="shared" si="2"/>
        <v>2.6100000000000003</v>
      </c>
      <c r="BD13" s="617">
        <f t="shared" si="2"/>
        <v>39.150000000000006</v>
      </c>
      <c r="BE13" s="370">
        <f t="shared" si="2"/>
        <v>0</v>
      </c>
      <c r="BF13" s="370">
        <f t="shared" si="2"/>
        <v>0</v>
      </c>
      <c r="BG13" s="370">
        <f t="shared" si="2"/>
        <v>0</v>
      </c>
      <c r="BH13" s="370">
        <f t="shared" si="2"/>
        <v>0</v>
      </c>
      <c r="BI13" s="370">
        <f t="shared" si="2"/>
        <v>0</v>
      </c>
      <c r="BJ13" s="617">
        <f t="shared" si="2"/>
        <v>2.2591000000000001</v>
      </c>
      <c r="BK13" s="617">
        <f t="shared" si="2"/>
        <v>67.772999999999996</v>
      </c>
      <c r="BL13" s="617">
        <f t="shared" si="2"/>
        <v>43.5</v>
      </c>
      <c r="BM13" s="371"/>
      <c r="BO13" s="373"/>
      <c r="CG13" s="371"/>
    </row>
    <row r="14" spans="1:85" ht="15" customHeight="1">
      <c r="A14" s="867"/>
      <c r="B14" s="867"/>
      <c r="C14" s="867"/>
      <c r="F14" s="868"/>
      <c r="G14" s="868"/>
      <c r="H14" s="868"/>
      <c r="I14" s="868"/>
      <c r="J14" s="868"/>
      <c r="K14" s="374"/>
      <c r="L14" s="374"/>
      <c r="M14" s="320"/>
      <c r="N14" s="374"/>
      <c r="O14" s="374"/>
      <c r="P14" s="374"/>
      <c r="Q14" s="374"/>
      <c r="R14" s="375"/>
      <c r="S14" s="375"/>
      <c r="T14" s="376"/>
      <c r="U14" s="374"/>
      <c r="V14" s="374"/>
      <c r="W14" s="320"/>
      <c r="X14" s="320"/>
      <c r="Y14" s="320"/>
      <c r="Z14" s="320"/>
      <c r="AA14" s="320"/>
      <c r="AB14" s="320"/>
      <c r="AC14" s="320"/>
      <c r="AD14" s="320"/>
      <c r="AE14" s="320"/>
      <c r="AF14" s="374" t="s">
        <v>539</v>
      </c>
      <c r="AG14" s="370">
        <f>SUMIF(AF$9:AF$12,AF14,AG$9:AG$12)</f>
        <v>0</v>
      </c>
      <c r="AH14" s="320"/>
      <c r="AI14" s="374"/>
      <c r="AJ14" s="320"/>
      <c r="AK14" s="374"/>
      <c r="AL14" s="374"/>
      <c r="AM14" s="374"/>
      <c r="AN14" s="320"/>
      <c r="AO14" s="320"/>
      <c r="AP14" s="320"/>
      <c r="AQ14" s="377"/>
      <c r="AR14" s="374"/>
      <c r="AS14" s="374"/>
      <c r="AT14" s="378"/>
      <c r="AU14" s="374"/>
      <c r="AV14" s="374"/>
      <c r="AW14" s="374"/>
      <c r="AX14" s="374"/>
      <c r="AY14" s="374"/>
      <c r="AZ14" s="374"/>
      <c r="BA14" s="374"/>
      <c r="BB14" s="374"/>
      <c r="BC14" s="374"/>
      <c r="BD14" s="320"/>
      <c r="BE14" s="374"/>
      <c r="BF14" s="320"/>
      <c r="BH14" s="374"/>
      <c r="BI14" s="374"/>
      <c r="BK14" s="374"/>
      <c r="BM14" s="330"/>
      <c r="CG14" s="330"/>
    </row>
    <row r="15" spans="1:85" ht="15" customHeight="1">
      <c r="A15" s="867"/>
      <c r="B15" s="867"/>
      <c r="C15" s="867"/>
      <c r="D15" s="374"/>
      <c r="E15" s="508"/>
      <c r="G15" s="319" t="s">
        <v>540</v>
      </c>
      <c r="I15" s="370"/>
      <c r="J15" s="319">
        <v>0</v>
      </c>
      <c r="K15" s="319" t="s">
        <v>541</v>
      </c>
      <c r="L15" s="375"/>
      <c r="N15" s="375" t="str">
        <f>CONCATENATE($BN$119," Nível de Interferência - vala até ",FIXED($BU$141,2)," m")</f>
        <v>Alto Nível de Interferência - vala até 0,80 m</v>
      </c>
      <c r="P15" s="375"/>
      <c r="Q15" s="375"/>
      <c r="S15" s="375"/>
      <c r="T15" s="370">
        <f>SUMIFS($T$10:$T$13,$H$9:$H$12,$BN$119,$N$10:$N$13,"&lt;=0,8")</f>
        <v>0</v>
      </c>
      <c r="U15" s="370">
        <f>SUMIFS($U$10:$U$13,$H$9:$H$12,$BN$119,$N$10:$N$13,"&lt;=0,8")</f>
        <v>0</v>
      </c>
      <c r="V15" s="370">
        <f>SUMIFS($V$10:$V$13,$H$9:$H$12,$BN$119,$N$10:$N$13,"&lt;=0,8")</f>
        <v>0</v>
      </c>
      <c r="W15" s="370">
        <f>SUMIFS($W$10:$W$13,$H$9:$H$12,$BN$119,$N$10:$N$13,"&lt;=0,8")</f>
        <v>0</v>
      </c>
      <c r="X15" s="370">
        <f>SUMIFS($X$10:$X$13,$H$9:$H$12,$BN$119,$N$10:$N$13,"&lt;=0,8")</f>
        <v>0</v>
      </c>
      <c r="Y15" s="370">
        <f>SUMIFS($Y$10:$Y$13,$H$9:$H$12,$BN$119,$N$10:$N$13,"&lt;=0,8")</f>
        <v>0</v>
      </c>
      <c r="AA15" s="379"/>
      <c r="AC15" s="379"/>
      <c r="AF15" s="374" t="s">
        <v>542</v>
      </c>
      <c r="AG15" s="370">
        <f>SUMIF(AF$9:AF$12,AF15,AG$9:AG$12)</f>
        <v>0</v>
      </c>
      <c r="AK15" s="618" t="s">
        <v>543</v>
      </c>
      <c r="AL15" s="619"/>
      <c r="AM15" s="617">
        <f>SUMIFS($AM$10:$AM$13,$N$10:$N$13,"&gt;0,0",$N$10:$N$13,"&lt;=1,5")</f>
        <v>2.6100000000000003</v>
      </c>
      <c r="AO15" s="375"/>
      <c r="AQ15" s="375"/>
      <c r="AS15" s="617">
        <f>SUMIFS($AS$10:$AS$13,$N$10:$N$13,"&gt;0,0",$N$10:$N$13,"&lt;=1,5")</f>
        <v>26.1</v>
      </c>
      <c r="AU15" s="368"/>
      <c r="AV15" s="368"/>
      <c r="AW15" s="368"/>
      <c r="AX15" s="368"/>
      <c r="AY15" s="368"/>
      <c r="BB15" s="380"/>
      <c r="BI15" s="368"/>
      <c r="BM15" s="330"/>
      <c r="CG15" s="330"/>
    </row>
    <row r="16" spans="1:85" ht="15" customHeight="1">
      <c r="A16" s="867"/>
      <c r="B16" s="867"/>
      <c r="C16" s="867"/>
      <c r="D16" s="374"/>
      <c r="E16" s="508"/>
      <c r="G16" s="319" t="s">
        <v>544</v>
      </c>
      <c r="I16" s="370"/>
      <c r="J16" s="363">
        <f>ROUNDUP(AVERAGE(N9:N12),1)</f>
        <v>0.9</v>
      </c>
      <c r="K16" s="319" t="s">
        <v>4</v>
      </c>
      <c r="L16" s="375"/>
      <c r="N16" s="375" t="str">
        <f>CONCATENATE($BN$119," Nível de Interferência - vala de ",FIXED($BU$141,2)," - ",FIXED($BU$142,2)," m")</f>
        <v>Alto Nível de Interferência - vala de 0,80 - 1,50 m</v>
      </c>
      <c r="P16" s="375"/>
      <c r="Q16" s="375"/>
      <c r="S16" s="375"/>
      <c r="T16" s="370">
        <f>SUMIFS($T$10:$T$13,$H$9:$H$12,$BN$119,$N$10:$N$13,"&gt;0,8",$N$10:$N$13,"&lt;=1,5")</f>
        <v>0</v>
      </c>
      <c r="U16" s="370">
        <f>SUMIFS($U$10:$U$13,$H$9:$H$12,$BN$119,$N$10:$N$13,"&gt;0,8",$N$10:$N$13,"&lt;=1,5")</f>
        <v>0</v>
      </c>
      <c r="V16" s="370">
        <f>SUMIFS($V$10:$V$13,$H$9:$H$12,$BN$119,$N$10:$N$13,"&gt;0,8",$N$10:$N$13,"&lt;=1,5")</f>
        <v>0</v>
      </c>
      <c r="W16" s="370">
        <f>SUMIFS($W$10:$W$13,$H$9:$H$12,$BN$119,$N$10:$N$13,"&gt;0,8",$N$10:$N$13,"&lt;=1,5")</f>
        <v>0</v>
      </c>
      <c r="X16" s="370">
        <f>SUMIFS($X$10:$X$13,$H$9:$H$12,$BN$119,$N$10:$N$13,"&gt;0,8",$N$10:$N$13,"&lt;=1,5")</f>
        <v>0</v>
      </c>
      <c r="Y16" s="370">
        <f>SUMIFS($Y$10:$Y$13,$H$9:$H$12,$BN$119,$N$10:$N$13,"&gt;0,8",$N$10:$N$13,"&lt;=1,5")</f>
        <v>0</v>
      </c>
      <c r="AA16" s="379"/>
      <c r="AB16" s="379"/>
      <c r="AC16" s="379"/>
      <c r="AD16" s="379"/>
      <c r="AF16" s="374" t="s">
        <v>545</v>
      </c>
      <c r="AG16" s="370">
        <f>SUMIF(AF$9:AF$12,AF16,AG$9:AG$12)</f>
        <v>0</v>
      </c>
      <c r="AK16" s="375" t="s">
        <v>546</v>
      </c>
      <c r="AM16" s="370">
        <f>SUMIFS($AM$10:$AM$13,$N$10:$N$13,"&gt;1,5",$N$10:$N$13,"&lt;=2,5")</f>
        <v>0</v>
      </c>
      <c r="AO16" s="375"/>
      <c r="AQ16" s="375"/>
      <c r="AS16" s="370">
        <f>SUMIFS($AS$10:$AS$13,$N$10:$N$13,"&gt;1,5",$N$10:$N$13,"&lt;=2,5")</f>
        <v>0</v>
      </c>
      <c r="AU16" s="380"/>
      <c r="AV16" s="381"/>
      <c r="AW16" s="381"/>
      <c r="AX16" s="368"/>
      <c r="AY16" s="368"/>
      <c r="BB16" s="380"/>
      <c r="BI16" s="368"/>
      <c r="BM16" s="330"/>
      <c r="BN16" s="380"/>
      <c r="CG16" s="330"/>
    </row>
    <row r="17" spans="1:85" ht="15" customHeight="1">
      <c r="A17" s="867"/>
      <c r="B17" s="867"/>
      <c r="C17" s="867"/>
      <c r="D17" s="374"/>
      <c r="E17" s="508"/>
      <c r="G17" s="380" t="s">
        <v>547</v>
      </c>
      <c r="J17" s="365">
        <f>CEILING(J15*(J16+2*$BU$173)*$BU$172,1)</f>
        <v>0</v>
      </c>
      <c r="K17" s="380" t="s">
        <v>1</v>
      </c>
      <c r="L17" s="375"/>
      <c r="N17" s="375" t="str">
        <f>CONCATENATE($BN$119," Nível de Interferência - vala de ",FIXED($BU$142,2)," - ",FIXED($BU$143,2)," m")</f>
        <v>Alto Nível de Interferência - vala de 1,50 - 2,50 m</v>
      </c>
      <c r="P17" s="375"/>
      <c r="Q17" s="375"/>
      <c r="S17" s="375"/>
      <c r="T17" s="370">
        <f>SUMIFS($T$10:$T$13,$H$9:$H$12,$BN$119,$N$10:$N$13,"&gt;1,5",$N$10:$N$13,"&lt;=2,5")</f>
        <v>0</v>
      </c>
      <c r="U17" s="370">
        <f>SUMIFS($U$10:$U$13,$H$9:$H$12,$BN$119,$N$10:$N$13,"&gt;1,5",$N$10:$N$13,"&lt;=2,5")</f>
        <v>0</v>
      </c>
      <c r="V17" s="370">
        <f>SUMIFS($V$10:$V$13,$H$9:$H$12,$BN$119,$N$10:$N$13,"&gt;1,5",$N$10:$N$13,"&lt;=2,5")</f>
        <v>0</v>
      </c>
      <c r="W17" s="370">
        <f>SUMIFS($W$10:$W$13,$H$9:$H$12,$BN$119,$N$10:$N$13,"&gt;1,5",$N$10:$N$13,"&lt;=2,5")</f>
        <v>0</v>
      </c>
      <c r="X17" s="370">
        <f>SUMIFS($X$10:$X$13,$H$9:$H$12,$BN$119,$N$10:$N$13,"&gt;1,5",$N$10:$N$13,"&lt;=2,5")</f>
        <v>0</v>
      </c>
      <c r="Y17" s="370">
        <f>SUMIFS($Y$10:$Y$13,$H$9:$H$12,$BN$119,$N$10:$N$13,"&gt;1,5",$N$10:$N$13,"&lt;=2,5")</f>
        <v>0</v>
      </c>
      <c r="AA17" s="379"/>
      <c r="AB17" s="382"/>
      <c r="AC17" s="379"/>
      <c r="AD17" s="379"/>
      <c r="AE17" s="379"/>
      <c r="AF17" s="374" t="s">
        <v>548</v>
      </c>
      <c r="AG17" s="370">
        <f>SUMIF(AF$9:AF$12,AF17,AG$9:AG$12)</f>
        <v>0</v>
      </c>
      <c r="AM17" s="382"/>
      <c r="AQ17" s="383"/>
      <c r="AS17" s="382"/>
      <c r="AV17" s="381"/>
      <c r="AW17" s="381"/>
      <c r="AX17" s="384"/>
      <c r="AY17" s="384"/>
      <c r="BI17" s="384"/>
      <c r="BM17" s="330"/>
      <c r="CG17" s="330"/>
    </row>
    <row r="18" spans="1:85" ht="15" customHeight="1">
      <c r="A18" s="867"/>
      <c r="B18" s="867"/>
      <c r="C18" s="867"/>
      <c r="D18" s="374"/>
      <c r="E18" s="508"/>
      <c r="G18" s="380" t="s">
        <v>549</v>
      </c>
      <c r="J18" s="365">
        <f>$BU$174*J15</f>
        <v>0</v>
      </c>
      <c r="K18" s="380" t="s">
        <v>4</v>
      </c>
      <c r="L18" s="375"/>
      <c r="N18" s="375" t="str">
        <f>CONCATENATE($BN$119," Nível de Interferência - vala acima de ",FIXED($BU$143,2)," m")</f>
        <v>Alto Nível de Interferência - vala acima de 2,50 m</v>
      </c>
      <c r="P18" s="375"/>
      <c r="Q18" s="375"/>
      <c r="S18" s="375"/>
      <c r="T18" s="370">
        <f>SUMIFS($T$10:$T$13,$H$9:$H$12,$BN$119,$N$10:$N$13,"&gt;2,5")</f>
        <v>0</v>
      </c>
      <c r="U18" s="370">
        <f>SUMIFS($U$10:$U$13,$H$9:$H$12,$BN$119,$N$10:$N$13,"&gt;2,5")</f>
        <v>0</v>
      </c>
      <c r="V18" s="370">
        <f>SUMIFS($V$10:$V$13,$H$9:$H$12,$BN$119,$N$10:$N$13,"&gt;2,5")</f>
        <v>0</v>
      </c>
      <c r="W18" s="370">
        <f>SUMIFS($W$10:$W$13,$H$9:$H$12,$BN$119,$N$10:$N$13,"&gt;2,5")</f>
        <v>0</v>
      </c>
      <c r="X18" s="370">
        <f>SUMIFS($X$10:$X$13,$H$9:$H$12,$BN$119,$N$10:$N$13,"&gt;2,5")</f>
        <v>0</v>
      </c>
      <c r="Y18" s="370">
        <f>SUMIFS($Y$10:$Y$13,$H$9:$H$12,$BN$119,$N$10:$N$13,"&gt;2,5")</f>
        <v>0</v>
      </c>
      <c r="AA18" s="379"/>
      <c r="AB18" s="379"/>
      <c r="AC18" s="379"/>
      <c r="AD18" s="379"/>
      <c r="AF18" s="374"/>
      <c r="AG18" s="381"/>
      <c r="AK18" s="380"/>
      <c r="AL18" s="380"/>
      <c r="AM18" s="383"/>
      <c r="AQ18" s="383"/>
      <c r="AS18" s="382"/>
      <c r="AU18" s="380"/>
      <c r="AV18" s="370"/>
      <c r="AW18" s="390"/>
      <c r="AX18" s="384"/>
      <c r="AY18" s="384"/>
      <c r="BI18" s="384"/>
      <c r="BM18" s="330"/>
      <c r="CG18" s="330"/>
    </row>
    <row r="19" spans="1:85" ht="15" customHeight="1">
      <c r="A19" s="867"/>
      <c r="B19" s="867"/>
      <c r="C19" s="867"/>
      <c r="G19" s="380" t="s">
        <v>439</v>
      </c>
      <c r="J19" s="509">
        <v>0</v>
      </c>
      <c r="K19" s="380" t="s">
        <v>8</v>
      </c>
      <c r="L19" s="375"/>
      <c r="N19" s="375" t="str">
        <f>CONCATENATE($BN$120," Nível de Interferência - vala até ",FIXED($BU$141,2)," m")</f>
        <v>Baixo Nível de Interferência - vala até 0,80 m</v>
      </c>
      <c r="P19" s="375"/>
      <c r="Q19" s="375"/>
      <c r="S19" s="375"/>
      <c r="T19" s="370">
        <f>SUMIFS($T$10:$T$13,$H$9:$H$12,$BN$120,$N$10:$N$13,"&lt;=0,8")</f>
        <v>0</v>
      </c>
      <c r="U19" s="370">
        <f>SUMIFS($U$10:$U$13,$H$9:$H$12,$BN$120,$N$10:$N$13,"&lt;=0,8")</f>
        <v>0</v>
      </c>
      <c r="V19" s="370">
        <f>SUMIFS($V$10:$V$13,$H$9:$H$12,$BN$120,$N$10:$N$13,"&lt;=0,8")</f>
        <v>0</v>
      </c>
      <c r="W19" s="370">
        <f>SUMIFS($W$10:$W$13,$H$9:$H$12,$BN$120,$N$10:$N$13,"&lt;=0,8")</f>
        <v>0</v>
      </c>
      <c r="X19" s="370">
        <f>SUMIFS($X$10:$X$13,$H$9:$H$12,$BN$120,$N$10:$N$13,"&lt;=0,8")</f>
        <v>0</v>
      </c>
      <c r="Y19" s="370">
        <f>SUMIFS($Y$10:$Y$13,$H$9:$H$12,$BN$120,$N$10:$N$13,"&lt;=0,8")</f>
        <v>0</v>
      </c>
      <c r="AA19" s="385"/>
      <c r="AB19" s="363"/>
      <c r="AC19" s="386"/>
      <c r="AD19" s="379"/>
      <c r="AQ19" s="382"/>
      <c r="AU19" s="380"/>
      <c r="AV19" s="370"/>
      <c r="AW19" s="390"/>
      <c r="AX19" s="384"/>
      <c r="AY19" s="384"/>
      <c r="BI19" s="384"/>
      <c r="CG19" s="330"/>
    </row>
    <row r="20" spans="1:85" ht="15" customHeight="1">
      <c r="A20" s="867"/>
      <c r="B20" s="867"/>
      <c r="C20" s="867"/>
      <c r="D20" s="374"/>
      <c r="E20" s="508"/>
      <c r="G20" s="374"/>
      <c r="H20" s="374"/>
      <c r="I20" s="380"/>
      <c r="K20" s="375"/>
      <c r="L20" s="375"/>
      <c r="N20" s="375" t="str">
        <f>CONCATENATE($BN$120," Nível de Interferência - vala de ",FIXED($BU$141,2)," - ",FIXED($BU$142,2)," m")</f>
        <v>Baixo Nível de Interferência - vala de 0,80 - 1,50 m</v>
      </c>
      <c r="P20" s="375"/>
      <c r="Q20" s="375"/>
      <c r="T20" s="387">
        <f>SUMIFS($T$10:$T$13,$H$9:$H$12,$BN$120,$N$10:$N$13,"&gt;0,8",$N$10:$N$13,"&lt;=1,5")</f>
        <v>0</v>
      </c>
      <c r="U20" s="387">
        <f>SUMIFS($U$10:$U$13,$H$9:$H$12,$BN$120,$N$10:$N$13,"&gt;0,8",$N$10:$N$13,"&lt;=1,5")</f>
        <v>0</v>
      </c>
      <c r="V20" s="387">
        <f>SUMIFS($V$10:$V$13,$H$9:$H$12,$BN$120,$N$10:$N$13,"&gt;0,8",$N$10:$N$13,"&lt;=1,5")</f>
        <v>0</v>
      </c>
      <c r="W20" s="387">
        <f>SUMIFS($W$10:$W$13,$H$9:$H$12,$BN$120,$N$10:$N$13,"&gt;0,8",$N$10:$N$13,"&lt;=1,5")</f>
        <v>0</v>
      </c>
      <c r="X20" s="387">
        <f>SUMIFS($X$10:$X$13,$H$9:$H$12,$BN$120,$N$10:$N$13,"&gt;0,8",$N$10:$N$13,"&lt;=1,5")</f>
        <v>0</v>
      </c>
      <c r="Y20" s="387">
        <f>SUMIFS($Y$10:$Y$13,$H$9:$H$12,$BN$120,$N$10:$N$13,"&gt;0,8",$N$10:$N$13,"&lt;=1,5")</f>
        <v>0</v>
      </c>
      <c r="AA20" s="363"/>
      <c r="AB20" s="387"/>
      <c r="AC20" s="387"/>
      <c r="AD20" s="379"/>
      <c r="AQ20" s="382"/>
      <c r="AX20" s="384"/>
      <c r="AY20" s="384"/>
      <c r="BI20" s="384"/>
      <c r="BN20" s="380"/>
      <c r="CG20" s="330"/>
    </row>
    <row r="21" spans="1:85" ht="15" customHeight="1">
      <c r="A21" s="867"/>
      <c r="B21" s="867"/>
      <c r="C21" s="867"/>
      <c r="D21" s="374"/>
      <c r="E21" s="508"/>
      <c r="G21" s="374"/>
      <c r="H21" s="374"/>
      <c r="I21" s="380"/>
      <c r="K21" s="375"/>
      <c r="L21" s="375"/>
      <c r="N21" s="375" t="str">
        <f>CONCATENATE($BN$120," Nível de Interferência - vala de ",FIXED($BU$142,2)," - ",FIXED($BU$143,2)," m")</f>
        <v>Baixo Nível de Interferência - vala de 1,50 - 2,50 m</v>
      </c>
      <c r="P21" s="375"/>
      <c r="Q21" s="375"/>
      <c r="T21" s="370">
        <f>SUMIFS($T$10:$T$13,$H$9:$H$12,$BN$120,$N$10:$N$13,"&gt;1,5",$N$10:$N$13,"&lt;=2,5")</f>
        <v>0</v>
      </c>
      <c r="U21" s="370">
        <f>SUMIFS($U$10:$U$13,$H$9:$H$12,$BN$120,$N$10:$N$13,"&gt;1,5",$N$10:$N$13,"&lt;=2,5")</f>
        <v>0</v>
      </c>
      <c r="V21" s="370">
        <f>SUMIFS($V$10:$V$13,$H$9:$H$12,$BN$120,$N$10:$N$13,"&gt;1,5",$N$10:$N$13,"&lt;=2,5")</f>
        <v>0</v>
      </c>
      <c r="W21" s="370">
        <f>SUMIFS($W$10:$W$13,$H$9:$H$12,$BN$120,$N$10:$N$13,"&gt;1,5",$N$10:$N$13,"&lt;=2,5")</f>
        <v>0</v>
      </c>
      <c r="X21" s="370">
        <f>SUMIFS($X$10:$X$13,$H$9:$H$12,$BN$120,$N$10:$N$13,"&gt;1,5",$N$10:$N$13,"&lt;=2,5")</f>
        <v>0</v>
      </c>
      <c r="Y21" s="370">
        <f>SUMIFS($Y$10:$Y$13,$H$9:$H$12,$BN$120,$N$10:$N$13,"&gt;1,5",$N$10:$N$13,"&lt;=2,5")</f>
        <v>0</v>
      </c>
      <c r="AB21" s="365"/>
      <c r="AC21" s="387"/>
      <c r="AD21" s="379"/>
      <c r="AL21" s="380"/>
      <c r="AM21" s="380"/>
      <c r="BN21" s="380"/>
      <c r="CG21" s="330"/>
    </row>
    <row r="22" spans="1:85" ht="15" customHeight="1">
      <c r="A22" s="865"/>
      <c r="B22" s="865"/>
      <c r="C22" s="865"/>
      <c r="D22" s="388"/>
      <c r="E22" s="389"/>
      <c r="G22" s="374"/>
      <c r="H22" s="374"/>
      <c r="I22" s="380"/>
      <c r="K22" s="375"/>
      <c r="L22" s="375"/>
      <c r="N22" s="375" t="str">
        <f>CONCATENATE($BN$120," Nível de Interferência - vala acima de ",FIXED($BU$143,2)," m")</f>
        <v>Baixo Nível de Interferência - vala acima de 2,50 m</v>
      </c>
      <c r="P22" s="375"/>
      <c r="Q22" s="375"/>
      <c r="T22" s="387">
        <f>SUMIFS($T$10:$T$13,$H$9:$H$12,$BN$120,$N$10:$N$13,"&gt;2,5")</f>
        <v>0</v>
      </c>
      <c r="U22" s="387">
        <f>SUMIFS($U$10:$U$13,$H$9:$H$12,$BN$120,$N$10:$N$13,"&gt;2,5")</f>
        <v>0</v>
      </c>
      <c r="V22" s="387">
        <f>SUMIFS($V$10:$V$13,$H$9:$H$12,$BN$120,$N$10:$N$13,"&gt;2,5")</f>
        <v>0</v>
      </c>
      <c r="W22" s="387">
        <f>SUMIFS($W$10:$W$13,$H$9:$H$12,$BN$120,$N$10:$N$13,"&gt;2,5")</f>
        <v>0</v>
      </c>
      <c r="X22" s="387">
        <f>SUMIFS($X$10:$X$13,$H$9:$H$12,$BN$120,$N$10:$N$13,"&gt;2,5")</f>
        <v>0</v>
      </c>
      <c r="Y22" s="387">
        <f>SUMIFS($Y$10:$Y$13,$H$9:$H$12,$BN$120,$N$10:$N$13,"&gt;2,5")</f>
        <v>0</v>
      </c>
      <c r="AC22" s="379"/>
      <c r="AJ22" s="390"/>
      <c r="AK22" s="375"/>
      <c r="AL22" s="375"/>
      <c r="AM22" s="375"/>
      <c r="AR22" s="370"/>
      <c r="AT22" s="390"/>
      <c r="BC22" s="380"/>
      <c r="CG22" s="330"/>
    </row>
    <row r="23" spans="1:85" ht="15" customHeight="1">
      <c r="F23" s="380"/>
      <c r="G23" s="380"/>
      <c r="M23" s="363"/>
      <c r="S23" s="380"/>
      <c r="T23" s="379"/>
      <c r="V23" s="382"/>
      <c r="AB23" s="379"/>
      <c r="AD23" s="379"/>
      <c r="AG23" s="363"/>
      <c r="AJ23" s="380"/>
      <c r="BC23" s="380"/>
      <c r="CG23" s="330"/>
    </row>
    <row r="24" spans="1:85" ht="15" customHeight="1">
      <c r="T24" s="379"/>
      <c r="U24" s="379"/>
      <c r="V24" s="382"/>
      <c r="AG24" s="363"/>
      <c r="BE24" s="380"/>
      <c r="BH24" s="380"/>
      <c r="BK24" s="380"/>
      <c r="BL24" s="391"/>
      <c r="CG24" s="330"/>
    </row>
    <row r="25" spans="1:85" ht="15" customHeight="1">
      <c r="E25" s="392"/>
      <c r="T25" s="393"/>
      <c r="U25" s="379"/>
      <c r="V25" s="382"/>
      <c r="BE25" s="380"/>
      <c r="BH25" s="380"/>
      <c r="BK25" s="380"/>
      <c r="BL25" s="391"/>
      <c r="CG25" s="330"/>
    </row>
    <row r="26" spans="1:85">
      <c r="E26" s="392"/>
      <c r="T26" s="382"/>
      <c r="U26" s="382"/>
      <c r="V26" s="382"/>
      <c r="BL26" s="391"/>
      <c r="BM26" s="330"/>
    </row>
    <row r="27" spans="1:85" ht="12" customHeight="1">
      <c r="D27" s="394"/>
      <c r="E27" s="392"/>
      <c r="BL27" s="391"/>
      <c r="BM27" s="330"/>
      <c r="BO27" s="395"/>
      <c r="BP27" s="395"/>
      <c r="BQ27" s="395"/>
      <c r="BR27" s="395"/>
      <c r="BS27" s="395"/>
      <c r="BT27" s="330"/>
      <c r="BV27" s="395"/>
      <c r="BW27" s="395"/>
      <c r="BX27" s="395"/>
      <c r="BY27" s="395"/>
      <c r="BZ27" s="395"/>
      <c r="CC27" s="395"/>
      <c r="CD27" s="395"/>
      <c r="CE27" s="395"/>
      <c r="CF27" s="395"/>
      <c r="CG27" s="395"/>
    </row>
    <row r="28" spans="1:85" ht="12.75" customHeight="1">
      <c r="E28" s="392"/>
      <c r="T28" s="382"/>
      <c r="BL28" s="391"/>
      <c r="BM28" s="330"/>
      <c r="BN28" s="862" t="s">
        <v>550</v>
      </c>
      <c r="BO28" s="862"/>
      <c r="BP28" s="862"/>
      <c r="BQ28" s="862"/>
      <c r="BR28" s="862"/>
      <c r="BS28" s="862"/>
      <c r="BT28" s="330"/>
      <c r="BU28" s="862" t="s">
        <v>550</v>
      </c>
      <c r="BV28" s="862"/>
      <c r="BW28" s="862"/>
      <c r="BX28" s="862"/>
      <c r="BY28" s="862"/>
      <c r="BZ28" s="862"/>
      <c r="CB28" s="862" t="s">
        <v>550</v>
      </c>
      <c r="CC28" s="862"/>
      <c r="CD28" s="862"/>
      <c r="CE28" s="862"/>
      <c r="CF28" s="862"/>
      <c r="CG28" s="862"/>
    </row>
    <row r="29" spans="1:85" ht="12" customHeight="1">
      <c r="E29" s="392"/>
      <c r="V29" s="379"/>
      <c r="BL29" s="391"/>
      <c r="BM29" s="330"/>
      <c r="BN29" s="862"/>
      <c r="BO29" s="862"/>
      <c r="BP29" s="862"/>
      <c r="BQ29" s="862"/>
      <c r="BR29" s="862"/>
      <c r="BS29" s="862"/>
      <c r="BT29" s="330"/>
      <c r="BU29" s="862"/>
      <c r="BV29" s="862"/>
      <c r="BW29" s="862"/>
      <c r="BX29" s="862"/>
      <c r="BY29" s="862"/>
      <c r="BZ29" s="862"/>
      <c r="CB29" s="862"/>
      <c r="CC29" s="862"/>
      <c r="CD29" s="862"/>
      <c r="CE29" s="862"/>
      <c r="CF29" s="862"/>
      <c r="CG29" s="862"/>
    </row>
    <row r="30" spans="1:85" ht="12" customHeight="1">
      <c r="E30" s="392"/>
      <c r="V30" s="379"/>
      <c r="BL30" s="391"/>
      <c r="BM30" s="330"/>
      <c r="BN30" s="863" t="s">
        <v>551</v>
      </c>
      <c r="BO30" s="863"/>
      <c r="BP30" s="863"/>
      <c r="BQ30" s="863"/>
      <c r="BR30" s="863"/>
      <c r="BS30" s="863"/>
      <c r="BT30" s="330"/>
      <c r="BU30" s="863" t="s">
        <v>552</v>
      </c>
      <c r="BV30" s="863"/>
      <c r="BW30" s="863"/>
      <c r="BX30" s="863"/>
      <c r="BY30" s="863"/>
      <c r="BZ30" s="863"/>
      <c r="CB30" s="863" t="s">
        <v>553</v>
      </c>
      <c r="CC30" s="863"/>
      <c r="CD30" s="863"/>
      <c r="CE30" s="863"/>
      <c r="CF30" s="863"/>
      <c r="CG30" s="863"/>
    </row>
    <row r="31" spans="1:85">
      <c r="V31" s="379"/>
      <c r="BL31" s="391"/>
      <c r="BM31" s="330"/>
      <c r="BN31" s="864" t="s">
        <v>554</v>
      </c>
      <c r="BO31" s="864"/>
      <c r="BP31" s="864"/>
      <c r="BQ31" s="864"/>
      <c r="BR31" s="864"/>
      <c r="BS31" s="864"/>
      <c r="BT31" s="330"/>
      <c r="BU31" s="864" t="s">
        <v>554</v>
      </c>
      <c r="BV31" s="864"/>
      <c r="BW31" s="864"/>
      <c r="BX31" s="864"/>
      <c r="BY31" s="864"/>
      <c r="BZ31" s="864"/>
      <c r="CB31" s="864" t="s">
        <v>554</v>
      </c>
      <c r="CC31" s="864"/>
      <c r="CD31" s="864"/>
      <c r="CE31" s="864"/>
      <c r="CF31" s="864"/>
      <c r="CG31" s="864"/>
    </row>
    <row r="32" spans="1:85" ht="12" customHeight="1">
      <c r="U32" s="379"/>
      <c r="V32" s="382"/>
      <c r="BL32" s="391"/>
      <c r="BM32" s="330"/>
      <c r="BN32" s="862" t="s">
        <v>555</v>
      </c>
      <c r="BO32" s="862" t="s">
        <v>556</v>
      </c>
      <c r="BP32" s="862" t="s">
        <v>557</v>
      </c>
      <c r="BQ32" s="862" t="s">
        <v>558</v>
      </c>
      <c r="BR32" s="862" t="s">
        <v>559</v>
      </c>
      <c r="BS32" s="862" t="s">
        <v>560</v>
      </c>
      <c r="BT32" s="330"/>
      <c r="BU32" s="862" t="s">
        <v>555</v>
      </c>
      <c r="BV32" s="862" t="s">
        <v>556</v>
      </c>
      <c r="BW32" s="862" t="s">
        <v>557</v>
      </c>
      <c r="BX32" s="862" t="s">
        <v>558</v>
      </c>
      <c r="BY32" s="862" t="s">
        <v>559</v>
      </c>
      <c r="BZ32" s="862" t="s">
        <v>560</v>
      </c>
      <c r="CB32" s="862" t="s">
        <v>555</v>
      </c>
      <c r="CC32" s="862" t="s">
        <v>556</v>
      </c>
      <c r="CD32" s="862" t="s">
        <v>557</v>
      </c>
      <c r="CE32" s="862" t="s">
        <v>558</v>
      </c>
      <c r="CF32" s="862" t="s">
        <v>559</v>
      </c>
      <c r="CG32" s="862" t="s">
        <v>560</v>
      </c>
    </row>
    <row r="33" spans="21:85">
      <c r="U33" s="379"/>
      <c r="BL33" s="391"/>
      <c r="BM33" s="330"/>
      <c r="BN33" s="862"/>
      <c r="BO33" s="862"/>
      <c r="BP33" s="862"/>
      <c r="BQ33" s="862"/>
      <c r="BR33" s="862"/>
      <c r="BS33" s="862"/>
      <c r="BU33" s="862"/>
      <c r="BV33" s="862"/>
      <c r="BW33" s="862"/>
      <c r="BX33" s="862"/>
      <c r="BY33" s="862"/>
      <c r="BZ33" s="862"/>
      <c r="CB33" s="862"/>
      <c r="CC33" s="862"/>
      <c r="CD33" s="862"/>
      <c r="CE33" s="862"/>
      <c r="CF33" s="862"/>
      <c r="CG33" s="862"/>
    </row>
    <row r="34" spans="21:85">
      <c r="U34" s="382"/>
      <c r="BL34" s="391"/>
      <c r="BM34" s="330"/>
      <c r="BN34" s="862"/>
      <c r="BO34" s="862"/>
      <c r="BP34" s="862"/>
      <c r="BQ34" s="862"/>
      <c r="BR34" s="862"/>
      <c r="BS34" s="862"/>
      <c r="BU34" s="862"/>
      <c r="BV34" s="862"/>
      <c r="BW34" s="862"/>
      <c r="BX34" s="862"/>
      <c r="BY34" s="862"/>
      <c r="BZ34" s="862"/>
      <c r="CB34" s="862"/>
      <c r="CC34" s="862"/>
      <c r="CD34" s="862"/>
      <c r="CE34" s="862"/>
      <c r="CF34" s="862"/>
      <c r="CG34" s="862"/>
    </row>
    <row r="35" spans="21:85">
      <c r="BL35" s="391"/>
      <c r="BM35" s="330"/>
      <c r="BZ35" s="330"/>
    </row>
    <row r="36" spans="21:85">
      <c r="BL36" s="391"/>
      <c r="BM36" s="330"/>
      <c r="BN36" s="396">
        <v>50</v>
      </c>
      <c r="BO36" s="396" t="s">
        <v>561</v>
      </c>
      <c r="BP36" s="397">
        <v>0.65</v>
      </c>
      <c r="BQ36" s="397">
        <v>0.7</v>
      </c>
      <c r="BR36" s="397">
        <v>0.8</v>
      </c>
      <c r="BS36" s="397">
        <v>1.3</v>
      </c>
      <c r="BT36" s="330"/>
      <c r="BU36" s="396">
        <v>50</v>
      </c>
      <c r="BV36" s="396" t="s">
        <v>561</v>
      </c>
      <c r="BW36" s="397">
        <v>0.65</v>
      </c>
      <c r="BX36" s="397">
        <v>0.7</v>
      </c>
      <c r="BY36" s="397">
        <v>0.8</v>
      </c>
      <c r="BZ36" s="397">
        <v>1.3</v>
      </c>
      <c r="CB36" s="396">
        <v>100</v>
      </c>
      <c r="CC36" s="396" t="s">
        <v>561</v>
      </c>
      <c r="CD36" s="397">
        <v>0.65</v>
      </c>
      <c r="CE36" s="397">
        <v>0.65</v>
      </c>
      <c r="CF36" s="397">
        <v>0.75</v>
      </c>
      <c r="CG36" s="397" t="s">
        <v>562</v>
      </c>
    </row>
    <row r="37" spans="21:85">
      <c r="BL37" s="391"/>
      <c r="BM37" s="330"/>
      <c r="BN37" s="396">
        <v>75</v>
      </c>
      <c r="BO37" s="396" t="s">
        <v>561</v>
      </c>
      <c r="BP37" s="397">
        <v>0.65</v>
      </c>
      <c r="BQ37" s="397">
        <v>0.7</v>
      </c>
      <c r="BR37" s="397">
        <v>0.8</v>
      </c>
      <c r="BS37" s="397">
        <v>1.3</v>
      </c>
      <c r="BT37" s="330"/>
      <c r="BU37" s="396">
        <v>75</v>
      </c>
      <c r="BV37" s="396" t="s">
        <v>561</v>
      </c>
      <c r="BW37" s="397">
        <v>0.65</v>
      </c>
      <c r="BX37" s="397">
        <v>0.7</v>
      </c>
      <c r="BY37" s="397">
        <v>0.8</v>
      </c>
      <c r="BZ37" s="397">
        <v>1.3</v>
      </c>
      <c r="CB37" s="396">
        <v>150</v>
      </c>
      <c r="CC37" s="396" t="s">
        <v>561</v>
      </c>
      <c r="CD37" s="397">
        <v>0.65</v>
      </c>
      <c r="CE37" s="397">
        <v>0.65</v>
      </c>
      <c r="CF37" s="397">
        <v>0.75</v>
      </c>
      <c r="CG37" s="397" t="s">
        <v>562</v>
      </c>
    </row>
    <row r="38" spans="21:85">
      <c r="BL38" s="391"/>
      <c r="BM38" s="330"/>
      <c r="BN38" s="396">
        <v>100</v>
      </c>
      <c r="BO38" s="396" t="s">
        <v>561</v>
      </c>
      <c r="BP38" s="397">
        <v>0.65</v>
      </c>
      <c r="BQ38" s="397">
        <v>0.7</v>
      </c>
      <c r="BR38" s="397">
        <v>0.8</v>
      </c>
      <c r="BS38" s="397">
        <v>1.3</v>
      </c>
      <c r="BT38" s="330"/>
      <c r="BU38" s="396">
        <v>100</v>
      </c>
      <c r="BV38" s="396" t="s">
        <v>561</v>
      </c>
      <c r="BW38" s="397">
        <v>0.65</v>
      </c>
      <c r="BX38" s="397">
        <v>0.7</v>
      </c>
      <c r="BY38" s="397">
        <v>0.8</v>
      </c>
      <c r="BZ38" s="397">
        <v>1.3</v>
      </c>
      <c r="CB38" s="396">
        <v>200</v>
      </c>
      <c r="CC38" s="396" t="s">
        <v>561</v>
      </c>
      <c r="CD38" s="397">
        <v>0.7</v>
      </c>
      <c r="CE38" s="397">
        <v>0.7</v>
      </c>
      <c r="CF38" s="397">
        <v>0.8</v>
      </c>
      <c r="CG38" s="397" t="s">
        <v>562</v>
      </c>
    </row>
    <row r="39" spans="21:85">
      <c r="BL39" s="391"/>
      <c r="BM39" s="330"/>
      <c r="BN39" s="396">
        <v>150</v>
      </c>
      <c r="BO39" s="396" t="s">
        <v>561</v>
      </c>
      <c r="BP39" s="397">
        <v>0.65</v>
      </c>
      <c r="BQ39" s="397">
        <v>0.7</v>
      </c>
      <c r="BR39" s="397">
        <v>0.8</v>
      </c>
      <c r="BS39" s="397">
        <v>1.3</v>
      </c>
      <c r="BT39" s="330"/>
      <c r="BU39" s="396">
        <v>150</v>
      </c>
      <c r="BV39" s="396" t="s">
        <v>561</v>
      </c>
      <c r="BW39" s="397">
        <v>0.65</v>
      </c>
      <c r="BX39" s="397">
        <v>0.7</v>
      </c>
      <c r="BY39" s="397">
        <v>0.8</v>
      </c>
      <c r="BZ39" s="397">
        <v>1.3</v>
      </c>
      <c r="CB39" s="396">
        <v>250</v>
      </c>
      <c r="CC39" s="396" t="s">
        <v>561</v>
      </c>
      <c r="CD39" s="397">
        <v>0.8</v>
      </c>
      <c r="CE39" s="397">
        <v>0.8</v>
      </c>
      <c r="CF39" s="397">
        <v>0.9</v>
      </c>
      <c r="CG39" s="397" t="s">
        <v>562</v>
      </c>
    </row>
    <row r="40" spans="21:85" ht="12" customHeight="1">
      <c r="BL40" s="391"/>
      <c r="BM40" s="330"/>
      <c r="BN40" s="396">
        <v>200</v>
      </c>
      <c r="BO40" s="396" t="s">
        <v>561</v>
      </c>
      <c r="BP40" s="397">
        <v>0.7</v>
      </c>
      <c r="BQ40" s="397">
        <v>0.75</v>
      </c>
      <c r="BR40" s="397">
        <v>0.85</v>
      </c>
      <c r="BS40" s="397">
        <v>1.35</v>
      </c>
      <c r="BT40" s="330"/>
      <c r="BU40" s="396">
        <v>200</v>
      </c>
      <c r="BV40" s="396" t="s">
        <v>561</v>
      </c>
      <c r="BW40" s="397">
        <v>0.7</v>
      </c>
      <c r="BX40" s="397">
        <v>0.75</v>
      </c>
      <c r="BY40" s="397">
        <v>0.85</v>
      </c>
      <c r="BZ40" s="397">
        <v>1.35</v>
      </c>
      <c r="CB40" s="396">
        <v>300</v>
      </c>
      <c r="CC40" s="396" t="s">
        <v>561</v>
      </c>
      <c r="CD40" s="397">
        <v>0.8</v>
      </c>
      <c r="CE40" s="397">
        <v>0.8</v>
      </c>
      <c r="CF40" s="397">
        <v>0.9</v>
      </c>
      <c r="CG40" s="397" t="s">
        <v>562</v>
      </c>
    </row>
    <row r="41" spans="21:85">
      <c r="BL41" s="391"/>
      <c r="BM41" s="330"/>
      <c r="BN41" s="396">
        <v>250</v>
      </c>
      <c r="BO41" s="396" t="s">
        <v>561</v>
      </c>
      <c r="BP41" s="397">
        <v>0.75</v>
      </c>
      <c r="BQ41" s="397">
        <v>0.8</v>
      </c>
      <c r="BR41" s="397">
        <v>0.9</v>
      </c>
      <c r="BS41" s="397">
        <v>1.4</v>
      </c>
      <c r="BT41" s="330"/>
      <c r="BU41" s="396">
        <v>250</v>
      </c>
      <c r="BV41" s="396" t="s">
        <v>561</v>
      </c>
      <c r="BW41" s="397">
        <v>0.75</v>
      </c>
      <c r="BX41" s="397">
        <v>0.8</v>
      </c>
      <c r="BY41" s="397">
        <v>0.9</v>
      </c>
      <c r="BZ41" s="397">
        <v>1.4</v>
      </c>
      <c r="CB41" s="396">
        <v>350</v>
      </c>
      <c r="CC41" s="396" t="s">
        <v>561</v>
      </c>
      <c r="CD41" s="397">
        <v>0.9</v>
      </c>
      <c r="CE41" s="397">
        <v>1.1000000000000001</v>
      </c>
      <c r="CF41" s="397">
        <v>1.2</v>
      </c>
      <c r="CG41" s="397" t="s">
        <v>562</v>
      </c>
    </row>
    <row r="42" spans="21:85">
      <c r="BL42" s="391"/>
      <c r="BM42" s="330"/>
      <c r="BN42" s="396">
        <v>300</v>
      </c>
      <c r="BO42" s="396" t="s">
        <v>561</v>
      </c>
      <c r="BP42" s="397">
        <v>0.8</v>
      </c>
      <c r="BQ42" s="397">
        <v>0.85</v>
      </c>
      <c r="BR42" s="397">
        <v>0.95</v>
      </c>
      <c r="BS42" s="397">
        <v>1.45</v>
      </c>
      <c r="BT42" s="330"/>
      <c r="BU42" s="396">
        <v>300</v>
      </c>
      <c r="BV42" s="396" t="s">
        <v>561</v>
      </c>
      <c r="BW42" s="397">
        <v>0.8</v>
      </c>
      <c r="BX42" s="397">
        <v>0.85</v>
      </c>
      <c r="BY42" s="397">
        <v>0.95</v>
      </c>
      <c r="BZ42" s="397">
        <v>1.45</v>
      </c>
      <c r="CB42" s="396">
        <v>400</v>
      </c>
      <c r="CC42" s="396" t="s">
        <v>561</v>
      </c>
      <c r="CD42" s="397">
        <v>0.9</v>
      </c>
      <c r="CE42" s="397">
        <v>1.1000000000000001</v>
      </c>
      <c r="CF42" s="397">
        <v>1.2</v>
      </c>
      <c r="CG42" s="397" t="s">
        <v>562</v>
      </c>
    </row>
    <row r="43" spans="21:85">
      <c r="BL43" s="391"/>
      <c r="BM43" s="330"/>
      <c r="BN43" s="396">
        <v>350</v>
      </c>
      <c r="BO43" s="396" t="s">
        <v>561</v>
      </c>
      <c r="BP43" s="397">
        <v>0.8</v>
      </c>
      <c r="BQ43" s="397">
        <v>0.85</v>
      </c>
      <c r="BR43" s="397">
        <v>0.95</v>
      </c>
      <c r="BS43" s="397">
        <v>1.45</v>
      </c>
      <c r="BT43" s="330"/>
      <c r="BU43" s="396">
        <v>350</v>
      </c>
      <c r="BV43" s="396" t="s">
        <v>561</v>
      </c>
      <c r="BW43" s="397">
        <v>0.8</v>
      </c>
      <c r="BX43" s="397">
        <v>0.85</v>
      </c>
      <c r="BY43" s="397">
        <v>0.95</v>
      </c>
      <c r="BZ43" s="397">
        <v>1.45</v>
      </c>
      <c r="CB43" s="396">
        <v>450</v>
      </c>
      <c r="CC43" s="396" t="s">
        <v>561</v>
      </c>
      <c r="CD43" s="397">
        <v>1</v>
      </c>
      <c r="CE43" s="397">
        <v>1.1499999999999999</v>
      </c>
      <c r="CF43" s="397">
        <v>1.25</v>
      </c>
      <c r="CG43" s="397" t="s">
        <v>562</v>
      </c>
    </row>
    <row r="44" spans="21:85">
      <c r="BL44" s="391"/>
      <c r="BM44" s="330"/>
      <c r="BN44" s="396">
        <v>400</v>
      </c>
      <c r="BO44" s="396" t="s">
        <v>561</v>
      </c>
      <c r="BP44" s="397">
        <v>0.9</v>
      </c>
      <c r="BQ44" s="397">
        <v>1</v>
      </c>
      <c r="BR44" s="397">
        <v>1.1000000000000001</v>
      </c>
      <c r="BS44" s="397">
        <v>1.6</v>
      </c>
      <c r="BT44" s="330"/>
      <c r="BU44" s="396">
        <v>400</v>
      </c>
      <c r="BV44" s="396" t="s">
        <v>561</v>
      </c>
      <c r="BW44" s="397">
        <v>0.9</v>
      </c>
      <c r="BX44" s="397">
        <v>1</v>
      </c>
      <c r="BY44" s="397">
        <v>1.1000000000000001</v>
      </c>
      <c r="BZ44" s="397">
        <v>1.6</v>
      </c>
      <c r="CB44" s="396">
        <v>500</v>
      </c>
      <c r="CC44" s="396" t="s">
        <v>561</v>
      </c>
      <c r="CD44" s="397">
        <v>1.1000000000000001</v>
      </c>
      <c r="CE44" s="397">
        <v>1.3</v>
      </c>
      <c r="CF44" s="397">
        <v>1.4</v>
      </c>
      <c r="CG44" s="397" t="s">
        <v>562</v>
      </c>
    </row>
    <row r="45" spans="21:85">
      <c r="BL45" s="391"/>
      <c r="BM45" s="330"/>
      <c r="BN45" s="396">
        <v>450</v>
      </c>
      <c r="BO45" s="396" t="s">
        <v>561</v>
      </c>
      <c r="BP45" s="397">
        <v>0.9</v>
      </c>
      <c r="BQ45" s="397">
        <v>1</v>
      </c>
      <c r="BR45" s="397">
        <v>1.1000000000000001</v>
      </c>
      <c r="BS45" s="397">
        <v>1.6</v>
      </c>
      <c r="BT45" s="330"/>
      <c r="BU45" s="396">
        <v>450</v>
      </c>
      <c r="BV45" s="396" t="s">
        <v>561</v>
      </c>
      <c r="BW45" s="397">
        <v>0.9</v>
      </c>
      <c r="BX45" s="397">
        <v>1</v>
      </c>
      <c r="BY45" s="397">
        <v>1.1000000000000001</v>
      </c>
      <c r="BZ45" s="397">
        <v>1.6</v>
      </c>
      <c r="CB45" s="396">
        <v>600</v>
      </c>
      <c r="CC45" s="396" t="s">
        <v>561</v>
      </c>
      <c r="CD45" s="397">
        <v>1.2</v>
      </c>
      <c r="CE45" s="397">
        <v>1.4</v>
      </c>
      <c r="CF45" s="397">
        <v>1.5</v>
      </c>
      <c r="CG45" s="397" t="s">
        <v>562</v>
      </c>
    </row>
    <row r="46" spans="21:85">
      <c r="BL46" s="391"/>
      <c r="BM46" s="330"/>
      <c r="BN46" s="396">
        <v>500</v>
      </c>
      <c r="BO46" s="396" t="s">
        <v>561</v>
      </c>
      <c r="BP46" s="397">
        <v>1</v>
      </c>
      <c r="BQ46" s="397">
        <v>1.1499999999999999</v>
      </c>
      <c r="BR46" s="397">
        <v>1.25</v>
      </c>
      <c r="BS46" s="397">
        <v>1.75</v>
      </c>
      <c r="BT46" s="330"/>
      <c r="BU46" s="396">
        <v>500</v>
      </c>
      <c r="BV46" s="396" t="s">
        <v>561</v>
      </c>
      <c r="BW46" s="397">
        <v>1</v>
      </c>
      <c r="BX46" s="397">
        <v>1.1499999999999999</v>
      </c>
      <c r="BY46" s="397">
        <v>1.25</v>
      </c>
      <c r="BZ46" s="397">
        <v>1.75</v>
      </c>
      <c r="CB46" s="396">
        <v>700</v>
      </c>
      <c r="CC46" s="396" t="s">
        <v>561</v>
      </c>
      <c r="CD46" s="397">
        <v>1.3</v>
      </c>
      <c r="CE46" s="397">
        <v>1.5</v>
      </c>
      <c r="CF46" s="397">
        <v>1.6</v>
      </c>
      <c r="CG46" s="397" t="s">
        <v>562</v>
      </c>
    </row>
    <row r="47" spans="21:85">
      <c r="BL47" s="391"/>
      <c r="BM47" s="330"/>
      <c r="BN47" s="396">
        <v>600</v>
      </c>
      <c r="BO47" s="396" t="s">
        <v>561</v>
      </c>
      <c r="BP47" s="397">
        <v>1.1499999999999999</v>
      </c>
      <c r="BQ47" s="397">
        <v>1.25</v>
      </c>
      <c r="BR47" s="397">
        <v>1.35</v>
      </c>
      <c r="BS47" s="397">
        <v>1.85</v>
      </c>
      <c r="BT47" s="330"/>
      <c r="BU47" s="396">
        <v>600</v>
      </c>
      <c r="BV47" s="396" t="s">
        <v>561</v>
      </c>
      <c r="BW47" s="397">
        <v>1.1499999999999999</v>
      </c>
      <c r="BX47" s="397">
        <v>1.25</v>
      </c>
      <c r="BY47" s="397">
        <v>1.35</v>
      </c>
      <c r="BZ47" s="397">
        <v>1.85</v>
      </c>
      <c r="CB47" s="396">
        <v>800</v>
      </c>
      <c r="CC47" s="396" t="s">
        <v>561</v>
      </c>
      <c r="CD47" s="397">
        <v>1.4</v>
      </c>
      <c r="CE47" s="397">
        <v>1.6</v>
      </c>
      <c r="CF47" s="397">
        <v>1.7</v>
      </c>
      <c r="CG47" s="397" t="s">
        <v>562</v>
      </c>
    </row>
    <row r="48" spans="21:85">
      <c r="BL48" s="391"/>
      <c r="BM48" s="330"/>
      <c r="BN48" s="396">
        <v>700</v>
      </c>
      <c r="BO48" s="396" t="s">
        <v>561</v>
      </c>
      <c r="BP48" s="397">
        <v>1.3</v>
      </c>
      <c r="BQ48" s="397">
        <v>1.5</v>
      </c>
      <c r="BR48" s="397">
        <v>1.6</v>
      </c>
      <c r="BS48" s="397">
        <v>2.0499999999999998</v>
      </c>
      <c r="BT48" s="330"/>
      <c r="BU48" s="396">
        <v>700</v>
      </c>
      <c r="BV48" s="396" t="s">
        <v>561</v>
      </c>
      <c r="BW48" s="397">
        <v>1.3</v>
      </c>
      <c r="BX48" s="397">
        <v>1.5</v>
      </c>
      <c r="BY48" s="397">
        <v>1.6</v>
      </c>
      <c r="BZ48" s="397">
        <v>2.0499999999999998</v>
      </c>
      <c r="CB48" s="396">
        <v>900</v>
      </c>
      <c r="CC48" s="396" t="s">
        <v>561</v>
      </c>
      <c r="CD48" s="397">
        <v>1.5</v>
      </c>
      <c r="CE48" s="397">
        <v>1.7</v>
      </c>
      <c r="CF48" s="397">
        <v>1.8</v>
      </c>
      <c r="CG48" s="397" t="s">
        <v>562</v>
      </c>
    </row>
    <row r="49" spans="64:85">
      <c r="BL49" s="391"/>
      <c r="BM49" s="330"/>
      <c r="BN49" s="396">
        <v>800</v>
      </c>
      <c r="BO49" s="396" t="s">
        <v>561</v>
      </c>
      <c r="BP49" s="397">
        <v>1.4</v>
      </c>
      <c r="BQ49" s="397">
        <v>1.6</v>
      </c>
      <c r="BR49" s="397">
        <v>1.7</v>
      </c>
      <c r="BS49" s="397">
        <v>2.15</v>
      </c>
      <c r="BT49" s="330"/>
      <c r="BU49" s="396">
        <v>800</v>
      </c>
      <c r="BV49" s="396" t="s">
        <v>561</v>
      </c>
      <c r="BW49" s="397">
        <v>1.4</v>
      </c>
      <c r="BX49" s="397">
        <v>1.6</v>
      </c>
      <c r="BY49" s="397">
        <v>1.7</v>
      </c>
      <c r="BZ49" s="397">
        <v>2.15</v>
      </c>
      <c r="CB49" s="396">
        <v>1000</v>
      </c>
      <c r="CC49" s="396" t="s">
        <v>561</v>
      </c>
      <c r="CD49" s="397">
        <v>1.6</v>
      </c>
      <c r="CE49" s="397">
        <v>1.8</v>
      </c>
      <c r="CF49" s="397">
        <v>1.9</v>
      </c>
      <c r="CG49" s="397" t="s">
        <v>562</v>
      </c>
    </row>
    <row r="50" spans="64:85">
      <c r="BL50" s="391"/>
      <c r="BM50" s="330"/>
      <c r="BT50" s="330"/>
      <c r="BU50" s="357"/>
      <c r="BV50" s="357"/>
      <c r="BW50" s="357"/>
      <c r="BX50" s="361"/>
      <c r="BY50" s="361"/>
      <c r="BZ50" s="361"/>
      <c r="CC50" s="330"/>
    </row>
    <row r="51" spans="64:85">
      <c r="BL51" s="391"/>
      <c r="BM51" s="330"/>
      <c r="BN51" s="396">
        <v>50</v>
      </c>
      <c r="BO51" s="396" t="s">
        <v>563</v>
      </c>
      <c r="BP51" s="397">
        <v>0.75</v>
      </c>
      <c r="BQ51" s="397">
        <v>0.85</v>
      </c>
      <c r="BR51" s="397">
        <v>0.95</v>
      </c>
      <c r="BS51" s="397">
        <v>1.3</v>
      </c>
      <c r="BT51" s="330"/>
      <c r="BU51" s="396">
        <v>50</v>
      </c>
      <c r="BV51" s="396" t="s">
        <v>563</v>
      </c>
      <c r="BW51" s="397">
        <v>0.75</v>
      </c>
      <c r="BX51" s="397">
        <v>0.85</v>
      </c>
      <c r="BY51" s="397">
        <v>0.95</v>
      </c>
      <c r="BZ51" s="397">
        <v>1.3</v>
      </c>
      <c r="CB51" s="396">
        <v>100</v>
      </c>
      <c r="CC51" s="396" t="s">
        <v>564</v>
      </c>
      <c r="CD51" s="397">
        <v>0.75</v>
      </c>
      <c r="CE51" s="397">
        <v>0.85</v>
      </c>
      <c r="CF51" s="397">
        <v>1.05</v>
      </c>
      <c r="CG51" s="397" t="s">
        <v>562</v>
      </c>
    </row>
    <row r="52" spans="64:85">
      <c r="BL52" s="391"/>
      <c r="BM52" s="330"/>
      <c r="BN52" s="396">
        <v>75</v>
      </c>
      <c r="BO52" s="396" t="s">
        <v>563</v>
      </c>
      <c r="BP52" s="397">
        <v>0.75</v>
      </c>
      <c r="BQ52" s="397">
        <v>0.85</v>
      </c>
      <c r="BR52" s="397">
        <v>0.95</v>
      </c>
      <c r="BS52" s="397">
        <v>1.3</v>
      </c>
      <c r="BT52" s="330"/>
      <c r="BU52" s="396">
        <v>75</v>
      </c>
      <c r="BV52" s="396" t="s">
        <v>563</v>
      </c>
      <c r="BW52" s="397">
        <v>0.75</v>
      </c>
      <c r="BX52" s="397">
        <v>0.85</v>
      </c>
      <c r="BY52" s="397">
        <v>0.95</v>
      </c>
      <c r="BZ52" s="397">
        <v>1.3</v>
      </c>
      <c r="CB52" s="396">
        <v>150</v>
      </c>
      <c r="CC52" s="396" t="s">
        <v>564</v>
      </c>
      <c r="CD52" s="397">
        <v>0.75</v>
      </c>
      <c r="CE52" s="397">
        <v>0.85</v>
      </c>
      <c r="CF52" s="397">
        <v>1.05</v>
      </c>
      <c r="CG52" s="397" t="s">
        <v>562</v>
      </c>
    </row>
    <row r="53" spans="64:85">
      <c r="BL53" s="391"/>
      <c r="BM53" s="330"/>
      <c r="BN53" s="396">
        <v>100</v>
      </c>
      <c r="BO53" s="396" t="s">
        <v>563</v>
      </c>
      <c r="BP53" s="397">
        <v>0.75</v>
      </c>
      <c r="BQ53" s="397">
        <v>0.85</v>
      </c>
      <c r="BR53" s="397">
        <v>0.95</v>
      </c>
      <c r="BS53" s="397">
        <v>1.3</v>
      </c>
      <c r="BT53" s="330"/>
      <c r="BU53" s="396">
        <v>100</v>
      </c>
      <c r="BV53" s="396" t="s">
        <v>563</v>
      </c>
      <c r="BW53" s="397">
        <v>0.75</v>
      </c>
      <c r="BX53" s="397">
        <v>0.85</v>
      </c>
      <c r="BY53" s="397">
        <v>0.95</v>
      </c>
      <c r="BZ53" s="397">
        <v>1.3</v>
      </c>
      <c r="CB53" s="396">
        <v>200</v>
      </c>
      <c r="CC53" s="396" t="s">
        <v>564</v>
      </c>
      <c r="CD53" s="397">
        <v>0.8</v>
      </c>
      <c r="CE53" s="397">
        <v>0.9</v>
      </c>
      <c r="CF53" s="397">
        <v>1.1000000000000001</v>
      </c>
      <c r="CG53" s="397">
        <v>1.75</v>
      </c>
    </row>
    <row r="54" spans="64:85">
      <c r="BL54" s="391"/>
      <c r="BM54" s="330"/>
      <c r="BN54" s="396">
        <v>150</v>
      </c>
      <c r="BO54" s="396" t="s">
        <v>563</v>
      </c>
      <c r="BP54" s="397">
        <v>0.75</v>
      </c>
      <c r="BQ54" s="397">
        <v>0.85</v>
      </c>
      <c r="BR54" s="397">
        <v>0.95</v>
      </c>
      <c r="BS54" s="397">
        <v>1.3</v>
      </c>
      <c r="BT54" s="330"/>
      <c r="BU54" s="396">
        <v>150</v>
      </c>
      <c r="BV54" s="396" t="s">
        <v>563</v>
      </c>
      <c r="BW54" s="397">
        <v>0.75</v>
      </c>
      <c r="BX54" s="397">
        <v>0.85</v>
      </c>
      <c r="BY54" s="397">
        <v>0.95</v>
      </c>
      <c r="BZ54" s="397">
        <v>1.3</v>
      </c>
      <c r="CB54" s="396">
        <v>250</v>
      </c>
      <c r="CC54" s="396" t="s">
        <v>564</v>
      </c>
      <c r="CD54" s="397">
        <v>0.9</v>
      </c>
      <c r="CE54" s="397">
        <v>1</v>
      </c>
      <c r="CF54" s="397">
        <v>1.2</v>
      </c>
      <c r="CG54" s="397">
        <v>1.85</v>
      </c>
    </row>
    <row r="55" spans="64:85">
      <c r="BL55" s="391"/>
      <c r="BM55" s="330"/>
      <c r="BN55" s="396">
        <v>200</v>
      </c>
      <c r="BO55" s="396" t="s">
        <v>563</v>
      </c>
      <c r="BP55" s="397">
        <v>0.8</v>
      </c>
      <c r="BQ55" s="397">
        <v>0.9</v>
      </c>
      <c r="BR55" s="397">
        <v>1</v>
      </c>
      <c r="BS55" s="397">
        <v>1.35</v>
      </c>
      <c r="BT55" s="330"/>
      <c r="BU55" s="396">
        <v>200</v>
      </c>
      <c r="BV55" s="396" t="s">
        <v>563</v>
      </c>
      <c r="BW55" s="397">
        <v>0.8</v>
      </c>
      <c r="BX55" s="397">
        <v>0.9</v>
      </c>
      <c r="BY55" s="397">
        <v>1</v>
      </c>
      <c r="BZ55" s="397">
        <v>1.35</v>
      </c>
      <c r="CB55" s="396">
        <v>300</v>
      </c>
      <c r="CC55" s="396" t="s">
        <v>564</v>
      </c>
      <c r="CD55" s="397">
        <v>0.9</v>
      </c>
      <c r="CE55" s="397">
        <v>1</v>
      </c>
      <c r="CF55" s="397">
        <v>1.2</v>
      </c>
      <c r="CG55" s="397">
        <v>1.85</v>
      </c>
    </row>
    <row r="56" spans="64:85">
      <c r="BL56" s="391"/>
      <c r="BM56" s="330"/>
      <c r="BN56" s="396">
        <v>250</v>
      </c>
      <c r="BO56" s="396" t="s">
        <v>563</v>
      </c>
      <c r="BP56" s="397">
        <v>0.85</v>
      </c>
      <c r="BQ56" s="397">
        <v>0.95</v>
      </c>
      <c r="BR56" s="397">
        <v>1.1499999999999999</v>
      </c>
      <c r="BS56" s="397">
        <v>1.4</v>
      </c>
      <c r="BT56" s="330"/>
      <c r="BU56" s="396">
        <v>250</v>
      </c>
      <c r="BV56" s="396" t="s">
        <v>563</v>
      </c>
      <c r="BW56" s="397">
        <v>0.85</v>
      </c>
      <c r="BX56" s="397">
        <v>0.95</v>
      </c>
      <c r="BY56" s="397">
        <v>1.1499999999999999</v>
      </c>
      <c r="BZ56" s="397">
        <v>1.4</v>
      </c>
      <c r="CB56" s="396">
        <v>350</v>
      </c>
      <c r="CC56" s="396" t="s">
        <v>564</v>
      </c>
      <c r="CD56" s="397">
        <v>1</v>
      </c>
      <c r="CE56" s="397">
        <v>1.3</v>
      </c>
      <c r="CF56" s="397">
        <v>1.5</v>
      </c>
      <c r="CG56" s="397">
        <v>2.15</v>
      </c>
    </row>
    <row r="57" spans="64:85">
      <c r="BL57" s="391"/>
      <c r="BN57" s="396">
        <v>300</v>
      </c>
      <c r="BO57" s="396" t="s">
        <v>563</v>
      </c>
      <c r="BP57" s="397">
        <v>0.9</v>
      </c>
      <c r="BQ57" s="397">
        <v>1.1000000000000001</v>
      </c>
      <c r="BR57" s="397">
        <v>1.2</v>
      </c>
      <c r="BS57" s="397">
        <v>1.45</v>
      </c>
      <c r="BT57" s="330"/>
      <c r="BU57" s="396">
        <v>300</v>
      </c>
      <c r="BV57" s="396" t="s">
        <v>563</v>
      </c>
      <c r="BW57" s="397">
        <v>0.9</v>
      </c>
      <c r="BX57" s="397">
        <v>1.1000000000000001</v>
      </c>
      <c r="BY57" s="397">
        <v>1.2</v>
      </c>
      <c r="BZ57" s="397">
        <v>1.45</v>
      </c>
      <c r="CB57" s="396">
        <v>400</v>
      </c>
      <c r="CC57" s="396" t="s">
        <v>564</v>
      </c>
      <c r="CD57" s="397">
        <v>1</v>
      </c>
      <c r="CE57" s="397">
        <v>1.3</v>
      </c>
      <c r="CF57" s="397">
        <v>1.5</v>
      </c>
      <c r="CG57" s="397">
        <v>2.15</v>
      </c>
    </row>
    <row r="58" spans="64:85">
      <c r="BL58" s="391"/>
      <c r="BN58" s="396">
        <v>350</v>
      </c>
      <c r="BO58" s="396" t="s">
        <v>563</v>
      </c>
      <c r="BP58" s="397">
        <v>0.9</v>
      </c>
      <c r="BQ58" s="397">
        <v>1.1000000000000001</v>
      </c>
      <c r="BR58" s="397">
        <v>1.2</v>
      </c>
      <c r="BS58" s="397">
        <v>1.45</v>
      </c>
      <c r="BT58" s="330"/>
      <c r="BU58" s="396">
        <v>350</v>
      </c>
      <c r="BV58" s="396" t="s">
        <v>563</v>
      </c>
      <c r="BW58" s="397">
        <v>0.9</v>
      </c>
      <c r="BX58" s="397">
        <v>1.1000000000000001</v>
      </c>
      <c r="BY58" s="397">
        <v>1.2</v>
      </c>
      <c r="BZ58" s="397">
        <v>1.45</v>
      </c>
      <c r="CB58" s="396">
        <v>450</v>
      </c>
      <c r="CC58" s="396" t="s">
        <v>564</v>
      </c>
      <c r="CD58" s="397">
        <v>1.1000000000000001</v>
      </c>
      <c r="CE58" s="397">
        <v>1.35</v>
      </c>
      <c r="CF58" s="397">
        <v>1.55</v>
      </c>
      <c r="CG58" s="397">
        <v>2.25</v>
      </c>
    </row>
    <row r="59" spans="64:85" ht="12" customHeight="1">
      <c r="BL59" s="391"/>
      <c r="BN59" s="396">
        <v>400</v>
      </c>
      <c r="BO59" s="396" t="s">
        <v>563</v>
      </c>
      <c r="BP59" s="397">
        <v>1</v>
      </c>
      <c r="BQ59" s="397">
        <v>1.2</v>
      </c>
      <c r="BR59" s="397">
        <v>1.3</v>
      </c>
      <c r="BS59" s="397">
        <v>1.6</v>
      </c>
      <c r="BT59" s="330"/>
      <c r="BU59" s="396">
        <v>400</v>
      </c>
      <c r="BV59" s="396" t="s">
        <v>563</v>
      </c>
      <c r="BW59" s="397">
        <v>1</v>
      </c>
      <c r="BX59" s="397">
        <v>1.2</v>
      </c>
      <c r="BY59" s="397">
        <v>1.3</v>
      </c>
      <c r="BZ59" s="397">
        <v>1.6</v>
      </c>
      <c r="CB59" s="396">
        <v>500</v>
      </c>
      <c r="CC59" s="396" t="s">
        <v>564</v>
      </c>
      <c r="CD59" s="397">
        <v>1.2</v>
      </c>
      <c r="CE59" s="397">
        <v>1.5</v>
      </c>
      <c r="CF59" s="397">
        <v>1.7</v>
      </c>
      <c r="CG59" s="397">
        <v>2.35</v>
      </c>
    </row>
    <row r="60" spans="64:85">
      <c r="BL60" s="391"/>
      <c r="BN60" s="396">
        <v>450</v>
      </c>
      <c r="BO60" s="396" t="s">
        <v>563</v>
      </c>
      <c r="BP60" s="397">
        <v>1</v>
      </c>
      <c r="BQ60" s="397">
        <v>1.2</v>
      </c>
      <c r="BR60" s="397">
        <v>1.3</v>
      </c>
      <c r="BS60" s="397">
        <v>1.6</v>
      </c>
      <c r="BT60" s="330"/>
      <c r="BU60" s="396">
        <v>450</v>
      </c>
      <c r="BV60" s="396" t="s">
        <v>563</v>
      </c>
      <c r="BW60" s="397">
        <v>1</v>
      </c>
      <c r="BX60" s="397">
        <v>1.2</v>
      </c>
      <c r="BY60" s="397">
        <v>1.3</v>
      </c>
      <c r="BZ60" s="397">
        <v>1.6</v>
      </c>
      <c r="CB60" s="396">
        <v>600</v>
      </c>
      <c r="CC60" s="396" t="s">
        <v>564</v>
      </c>
      <c r="CD60" s="397">
        <v>1.3</v>
      </c>
      <c r="CE60" s="397">
        <v>1.6</v>
      </c>
      <c r="CF60" s="397">
        <v>1.8</v>
      </c>
      <c r="CG60" s="397">
        <v>2.4500000000000002</v>
      </c>
    </row>
    <row r="61" spans="64:85">
      <c r="BL61" s="391"/>
      <c r="BN61" s="396">
        <v>500</v>
      </c>
      <c r="BO61" s="396" t="s">
        <v>563</v>
      </c>
      <c r="BP61" s="397">
        <v>1.2</v>
      </c>
      <c r="BQ61" s="397">
        <v>1.3</v>
      </c>
      <c r="BR61" s="397">
        <v>1.45</v>
      </c>
      <c r="BS61" s="397">
        <v>1.75</v>
      </c>
      <c r="BT61" s="330"/>
      <c r="BU61" s="396">
        <v>500</v>
      </c>
      <c r="BV61" s="396" t="s">
        <v>563</v>
      </c>
      <c r="BW61" s="397">
        <v>1.2</v>
      </c>
      <c r="BX61" s="397">
        <v>1.3</v>
      </c>
      <c r="BY61" s="397">
        <v>1.45</v>
      </c>
      <c r="BZ61" s="397">
        <v>1.75</v>
      </c>
      <c r="CA61" s="357"/>
      <c r="CB61" s="396">
        <v>700</v>
      </c>
      <c r="CC61" s="396" t="s">
        <v>564</v>
      </c>
      <c r="CD61" s="397">
        <v>1.4</v>
      </c>
      <c r="CE61" s="397">
        <v>1.7</v>
      </c>
      <c r="CF61" s="397">
        <v>1.9</v>
      </c>
      <c r="CG61" s="397">
        <v>2.5499999999999998</v>
      </c>
    </row>
    <row r="62" spans="64:85">
      <c r="BL62" s="391"/>
      <c r="BN62" s="396">
        <v>600</v>
      </c>
      <c r="BO62" s="396" t="s">
        <v>563</v>
      </c>
      <c r="BP62" s="397">
        <v>1.3</v>
      </c>
      <c r="BQ62" s="397">
        <v>1.45</v>
      </c>
      <c r="BR62" s="397">
        <v>1.65</v>
      </c>
      <c r="BS62" s="397">
        <v>1.85</v>
      </c>
      <c r="BT62" s="330"/>
      <c r="BU62" s="396">
        <v>600</v>
      </c>
      <c r="BV62" s="396" t="s">
        <v>563</v>
      </c>
      <c r="BW62" s="397">
        <v>1.3</v>
      </c>
      <c r="BX62" s="397">
        <v>1.45</v>
      </c>
      <c r="BY62" s="397">
        <v>1.65</v>
      </c>
      <c r="BZ62" s="397">
        <v>1.85</v>
      </c>
      <c r="CA62" s="357"/>
      <c r="CB62" s="396">
        <v>800</v>
      </c>
      <c r="CC62" s="396" t="s">
        <v>564</v>
      </c>
      <c r="CD62" s="397">
        <v>1.5</v>
      </c>
      <c r="CE62" s="397">
        <v>1.8</v>
      </c>
      <c r="CF62" s="397">
        <v>2</v>
      </c>
      <c r="CG62" s="397">
        <v>2.65</v>
      </c>
    </row>
    <row r="63" spans="64:85">
      <c r="BL63" s="391"/>
      <c r="BN63" s="396">
        <v>700</v>
      </c>
      <c r="BO63" s="396" t="s">
        <v>563</v>
      </c>
      <c r="BP63" s="397">
        <v>1.4</v>
      </c>
      <c r="BQ63" s="397">
        <v>1.7</v>
      </c>
      <c r="BR63" s="397">
        <v>1.9</v>
      </c>
      <c r="BS63" s="397">
        <v>2.0499999999999998</v>
      </c>
      <c r="BT63" s="330"/>
      <c r="BU63" s="396">
        <v>700</v>
      </c>
      <c r="BV63" s="396" t="s">
        <v>563</v>
      </c>
      <c r="BW63" s="397">
        <v>1.4</v>
      </c>
      <c r="BX63" s="397">
        <v>1.7</v>
      </c>
      <c r="BY63" s="397">
        <v>1.9</v>
      </c>
      <c r="BZ63" s="397">
        <v>2.0499999999999998</v>
      </c>
      <c r="CA63" s="357"/>
      <c r="CB63" s="396">
        <v>900</v>
      </c>
      <c r="CC63" s="396" t="s">
        <v>564</v>
      </c>
      <c r="CD63" s="397">
        <v>1.6</v>
      </c>
      <c r="CE63" s="397">
        <v>1.9</v>
      </c>
      <c r="CF63" s="397">
        <v>2.1</v>
      </c>
      <c r="CG63" s="397">
        <v>2.75</v>
      </c>
    </row>
    <row r="64" spans="64:85">
      <c r="BL64" s="391"/>
      <c r="BN64" s="396">
        <v>800</v>
      </c>
      <c r="BO64" s="396" t="s">
        <v>563</v>
      </c>
      <c r="BP64" s="397">
        <v>1.5</v>
      </c>
      <c r="BQ64" s="397">
        <v>1.8</v>
      </c>
      <c r="BR64" s="397">
        <v>2</v>
      </c>
      <c r="BS64" s="397">
        <v>2.15</v>
      </c>
      <c r="BT64" s="330"/>
      <c r="BU64" s="396">
        <v>800</v>
      </c>
      <c r="BV64" s="396" t="s">
        <v>563</v>
      </c>
      <c r="BW64" s="397">
        <v>1.5</v>
      </c>
      <c r="BX64" s="397">
        <v>1.8</v>
      </c>
      <c r="BY64" s="397">
        <v>2</v>
      </c>
      <c r="BZ64" s="397">
        <v>2.15</v>
      </c>
      <c r="CA64" s="330"/>
      <c r="CB64" s="396">
        <v>1000</v>
      </c>
      <c r="CC64" s="396" t="s">
        <v>564</v>
      </c>
      <c r="CD64" s="397">
        <v>1.7</v>
      </c>
      <c r="CE64" s="397">
        <v>2</v>
      </c>
      <c r="CF64" s="397">
        <v>2.1</v>
      </c>
      <c r="CG64" s="397">
        <v>2.85</v>
      </c>
    </row>
    <row r="65" spans="5:85" ht="12" customHeight="1">
      <c r="BL65" s="391"/>
      <c r="BN65" s="396">
        <v>900</v>
      </c>
      <c r="BO65" s="396" t="s">
        <v>563</v>
      </c>
      <c r="BP65" s="397">
        <v>1.6</v>
      </c>
      <c r="BQ65" s="397">
        <v>1.9</v>
      </c>
      <c r="BR65" s="397">
        <v>2.0499999999999998</v>
      </c>
      <c r="BS65" s="397">
        <v>2.25</v>
      </c>
      <c r="BT65" s="330"/>
      <c r="BU65" s="396">
        <v>900</v>
      </c>
      <c r="BV65" s="396" t="s">
        <v>563</v>
      </c>
      <c r="BW65" s="397">
        <v>1.6</v>
      </c>
      <c r="BX65" s="397">
        <v>1.9</v>
      </c>
      <c r="BY65" s="397">
        <v>2.0499999999999998</v>
      </c>
      <c r="BZ65" s="397">
        <v>2.25</v>
      </c>
      <c r="CA65" s="395"/>
      <c r="CB65" s="330"/>
      <c r="CC65" s="330"/>
      <c r="CD65" s="357"/>
      <c r="CE65" s="357"/>
      <c r="CF65" s="361"/>
      <c r="CG65" s="361"/>
    </row>
    <row r="66" spans="5:85" ht="12" customHeight="1">
      <c r="BL66" s="391"/>
      <c r="BN66" s="396">
        <v>1000</v>
      </c>
      <c r="BO66" s="396" t="s">
        <v>563</v>
      </c>
      <c r="BP66" s="397">
        <v>1.7</v>
      </c>
      <c r="BQ66" s="397">
        <v>2</v>
      </c>
      <c r="BR66" s="397">
        <v>2.1</v>
      </c>
      <c r="BS66" s="397">
        <v>2.35</v>
      </c>
      <c r="BT66" s="330"/>
      <c r="BU66" s="396">
        <v>1000</v>
      </c>
      <c r="BV66" s="396" t="s">
        <v>563</v>
      </c>
      <c r="BW66" s="397">
        <v>2</v>
      </c>
      <c r="BX66" s="397">
        <v>2.1</v>
      </c>
      <c r="BY66" s="397">
        <v>2.2000000000000002</v>
      </c>
      <c r="BZ66" s="397">
        <v>2.4</v>
      </c>
      <c r="CA66" s="395"/>
      <c r="CB66" s="396">
        <v>100</v>
      </c>
      <c r="CC66" s="396" t="s">
        <v>565</v>
      </c>
      <c r="CD66" s="397">
        <v>0.85</v>
      </c>
      <c r="CE66" s="397">
        <v>1.05</v>
      </c>
      <c r="CF66" s="397">
        <v>1.35</v>
      </c>
      <c r="CG66" s="397" t="s">
        <v>562</v>
      </c>
    </row>
    <row r="67" spans="5:85" ht="12" customHeight="1">
      <c r="BL67" s="391"/>
      <c r="BN67" s="396">
        <v>1200</v>
      </c>
      <c r="BO67" s="396" t="s">
        <v>563</v>
      </c>
      <c r="BP67" s="397" t="s">
        <v>562</v>
      </c>
      <c r="BQ67" s="397" t="s">
        <v>562</v>
      </c>
      <c r="BR67" s="397" t="s">
        <v>562</v>
      </c>
      <c r="BS67" s="397">
        <v>2.4</v>
      </c>
      <c r="BT67" s="330"/>
      <c r="BU67" s="396">
        <v>1200</v>
      </c>
      <c r="BV67" s="396" t="s">
        <v>563</v>
      </c>
      <c r="BW67" s="397" t="s">
        <v>562</v>
      </c>
      <c r="BX67" s="397" t="s">
        <v>562</v>
      </c>
      <c r="BY67" s="397" t="s">
        <v>562</v>
      </c>
      <c r="BZ67" s="397">
        <v>2.6</v>
      </c>
      <c r="CA67" s="395"/>
      <c r="CB67" s="396">
        <v>150</v>
      </c>
      <c r="CC67" s="396" t="s">
        <v>565</v>
      </c>
      <c r="CD67" s="397">
        <v>0.85</v>
      </c>
      <c r="CE67" s="397">
        <v>1.05</v>
      </c>
      <c r="CF67" s="397">
        <v>1.35</v>
      </c>
      <c r="CG67" s="397" t="s">
        <v>562</v>
      </c>
    </row>
    <row r="68" spans="5:85" ht="12" customHeight="1">
      <c r="BL68" s="391"/>
      <c r="BT68" s="330"/>
      <c r="BU68" s="396">
        <v>1500</v>
      </c>
      <c r="BV68" s="396" t="s">
        <v>563</v>
      </c>
      <c r="BW68" s="397" t="s">
        <v>562</v>
      </c>
      <c r="BX68" s="397" t="s">
        <v>562</v>
      </c>
      <c r="BY68" s="397" t="s">
        <v>562</v>
      </c>
      <c r="BZ68" s="397">
        <v>2.85</v>
      </c>
      <c r="CA68" s="395"/>
      <c r="CB68" s="396">
        <v>200</v>
      </c>
      <c r="CC68" s="396" t="s">
        <v>565</v>
      </c>
      <c r="CD68" s="397">
        <v>0.9</v>
      </c>
      <c r="CE68" s="397">
        <v>1.1000000000000001</v>
      </c>
      <c r="CF68" s="397">
        <v>1.4</v>
      </c>
      <c r="CG68" s="397">
        <v>1.9</v>
      </c>
    </row>
    <row r="69" spans="5:85" ht="12" customHeight="1">
      <c r="BL69" s="391"/>
      <c r="BT69" s="330"/>
      <c r="BU69" s="396">
        <v>1800</v>
      </c>
      <c r="BV69" s="396" t="s">
        <v>563</v>
      </c>
      <c r="BW69" s="397" t="s">
        <v>562</v>
      </c>
      <c r="BX69" s="397" t="s">
        <v>562</v>
      </c>
      <c r="BY69" s="397" t="s">
        <v>562</v>
      </c>
      <c r="BZ69" s="397">
        <v>3.15</v>
      </c>
      <c r="CA69" s="395"/>
      <c r="CB69" s="396">
        <v>250</v>
      </c>
      <c r="CC69" s="396" t="s">
        <v>565</v>
      </c>
      <c r="CD69" s="397">
        <v>1</v>
      </c>
      <c r="CE69" s="397">
        <v>1.2</v>
      </c>
      <c r="CF69" s="397">
        <v>1.5</v>
      </c>
      <c r="CG69" s="397">
        <v>2</v>
      </c>
    </row>
    <row r="70" spans="5:85" ht="12" customHeight="1">
      <c r="BL70" s="391"/>
      <c r="BT70" s="330"/>
      <c r="BU70" s="396">
        <v>2100</v>
      </c>
      <c r="BV70" s="396" t="s">
        <v>563</v>
      </c>
      <c r="BW70" s="397" t="s">
        <v>562</v>
      </c>
      <c r="BX70" s="397" t="s">
        <v>562</v>
      </c>
      <c r="BY70" s="397" t="s">
        <v>562</v>
      </c>
      <c r="BZ70" s="397">
        <v>3.45</v>
      </c>
      <c r="CA70" s="395"/>
      <c r="CB70" s="396">
        <v>300</v>
      </c>
      <c r="CC70" s="396" t="s">
        <v>565</v>
      </c>
      <c r="CD70" s="397">
        <v>1</v>
      </c>
      <c r="CE70" s="397">
        <v>1.2</v>
      </c>
      <c r="CF70" s="397">
        <v>1.5</v>
      </c>
      <c r="CG70" s="397">
        <v>2</v>
      </c>
    </row>
    <row r="71" spans="5:85" ht="12" customHeight="1">
      <c r="BL71" s="391"/>
      <c r="BT71" s="330"/>
      <c r="BU71" s="396">
        <v>2500</v>
      </c>
      <c r="BV71" s="396" t="s">
        <v>563</v>
      </c>
      <c r="BW71" s="397" t="s">
        <v>562</v>
      </c>
      <c r="BX71" s="397" t="s">
        <v>562</v>
      </c>
      <c r="BY71" s="397" t="s">
        <v>562</v>
      </c>
      <c r="BZ71" s="397">
        <v>3.9</v>
      </c>
      <c r="CA71" s="395"/>
      <c r="CB71" s="396">
        <v>350</v>
      </c>
      <c r="CC71" s="396" t="s">
        <v>565</v>
      </c>
      <c r="CD71" s="397">
        <v>1.1000000000000001</v>
      </c>
      <c r="CE71" s="397">
        <v>1.5</v>
      </c>
      <c r="CF71" s="397">
        <v>1.8</v>
      </c>
      <c r="CG71" s="397">
        <v>2.2999999999999998</v>
      </c>
    </row>
    <row r="72" spans="5:85" ht="12" customHeight="1">
      <c r="BL72" s="391"/>
      <c r="BT72" s="330"/>
      <c r="CA72" s="395"/>
      <c r="CB72" s="396">
        <v>400</v>
      </c>
      <c r="CC72" s="396" t="s">
        <v>565</v>
      </c>
      <c r="CD72" s="397">
        <v>1.1000000000000001</v>
      </c>
      <c r="CE72" s="397">
        <v>1.5</v>
      </c>
      <c r="CF72" s="397">
        <v>1.8</v>
      </c>
      <c r="CG72" s="397">
        <v>2.2999999999999998</v>
      </c>
    </row>
    <row r="73" spans="5:85" ht="12" customHeight="1">
      <c r="BL73" s="391"/>
      <c r="BT73" s="330"/>
      <c r="CA73" s="395"/>
      <c r="CB73" s="396">
        <v>450</v>
      </c>
      <c r="CC73" s="396" t="s">
        <v>565</v>
      </c>
      <c r="CD73" s="397">
        <v>1.2</v>
      </c>
      <c r="CE73" s="397">
        <v>1.55</v>
      </c>
      <c r="CF73" s="397">
        <v>1.85</v>
      </c>
      <c r="CG73" s="397">
        <v>2.4</v>
      </c>
    </row>
    <row r="74" spans="5:85" ht="12" customHeight="1">
      <c r="BL74" s="391"/>
      <c r="BT74" s="330"/>
      <c r="CA74" s="395"/>
      <c r="CB74" s="396">
        <v>500</v>
      </c>
      <c r="CC74" s="396" t="s">
        <v>565</v>
      </c>
      <c r="CD74" s="397">
        <v>1.3</v>
      </c>
      <c r="CE74" s="397">
        <v>1.7</v>
      </c>
      <c r="CF74" s="397">
        <v>2</v>
      </c>
      <c r="CG74" s="397">
        <v>2.5</v>
      </c>
    </row>
    <row r="75" spans="5:85" ht="12" customHeight="1">
      <c r="BL75" s="391"/>
      <c r="BT75" s="330"/>
      <c r="CA75" s="395"/>
      <c r="CB75" s="396">
        <v>600</v>
      </c>
      <c r="CC75" s="396" t="s">
        <v>565</v>
      </c>
      <c r="CD75" s="397">
        <v>1.4</v>
      </c>
      <c r="CE75" s="397">
        <v>1.8</v>
      </c>
      <c r="CF75" s="397">
        <v>2.1</v>
      </c>
      <c r="CG75" s="397">
        <v>2.6</v>
      </c>
    </row>
    <row r="76" spans="5:85" ht="12" customHeight="1">
      <c r="BL76" s="391"/>
      <c r="BT76" s="330"/>
      <c r="CA76" s="395"/>
      <c r="CB76" s="396">
        <v>700</v>
      </c>
      <c r="CC76" s="396" t="s">
        <v>565</v>
      </c>
      <c r="CD76" s="397">
        <v>1.5</v>
      </c>
      <c r="CE76" s="397">
        <v>1.9</v>
      </c>
      <c r="CF76" s="397">
        <v>2.2000000000000002</v>
      </c>
      <c r="CG76" s="397">
        <v>2.7</v>
      </c>
    </row>
    <row r="77" spans="5:85" ht="12" customHeight="1">
      <c r="E77" s="319"/>
      <c r="BL77" s="391"/>
      <c r="BT77" s="330"/>
      <c r="CA77" s="395"/>
      <c r="CB77" s="396">
        <v>800</v>
      </c>
      <c r="CC77" s="396" t="s">
        <v>565</v>
      </c>
      <c r="CD77" s="397">
        <v>1.6</v>
      </c>
      <c r="CE77" s="397">
        <v>2</v>
      </c>
      <c r="CF77" s="397">
        <v>2.2999999999999998</v>
      </c>
      <c r="CG77" s="397">
        <v>2.8</v>
      </c>
    </row>
    <row r="78" spans="5:85" ht="12" customHeight="1">
      <c r="E78" s="319"/>
      <c r="BL78" s="391"/>
      <c r="BT78" s="330"/>
      <c r="CA78" s="395"/>
      <c r="CB78" s="396">
        <v>900</v>
      </c>
      <c r="CC78" s="396" t="s">
        <v>565</v>
      </c>
      <c r="CD78" s="397">
        <v>1.7</v>
      </c>
      <c r="CE78" s="397">
        <v>2.1</v>
      </c>
      <c r="CF78" s="397">
        <v>2.4</v>
      </c>
      <c r="CG78" s="397">
        <v>2.9</v>
      </c>
    </row>
    <row r="79" spans="5:85" ht="12" customHeight="1">
      <c r="E79" s="319"/>
      <c r="BL79" s="391"/>
      <c r="BT79" s="330"/>
      <c r="CA79" s="395"/>
      <c r="CB79" s="396">
        <v>1000</v>
      </c>
      <c r="CC79" s="396" t="s">
        <v>565</v>
      </c>
      <c r="CD79" s="397">
        <v>1.8</v>
      </c>
      <c r="CE79" s="397">
        <v>2.2000000000000002</v>
      </c>
      <c r="CF79" s="397">
        <v>2.5</v>
      </c>
      <c r="CG79" s="397">
        <v>3</v>
      </c>
    </row>
    <row r="80" spans="5:85" ht="12" customHeight="1">
      <c r="E80" s="319"/>
      <c r="BL80" s="391"/>
      <c r="BT80" s="330"/>
      <c r="CA80" s="395"/>
      <c r="CB80" s="330"/>
      <c r="CC80" s="330"/>
      <c r="CD80" s="357"/>
      <c r="CE80" s="357"/>
      <c r="CF80" s="361"/>
      <c r="CG80" s="361"/>
    </row>
    <row r="81" spans="5:88" ht="12" customHeight="1">
      <c r="E81" s="319"/>
      <c r="BL81" s="391"/>
      <c r="BT81" s="330"/>
      <c r="CA81" s="395"/>
      <c r="CB81" s="396">
        <v>100</v>
      </c>
      <c r="CC81" s="396" t="s">
        <v>566</v>
      </c>
      <c r="CD81" s="397">
        <v>0.95</v>
      </c>
      <c r="CE81" s="397">
        <v>1.25</v>
      </c>
      <c r="CF81" s="397">
        <v>1.65</v>
      </c>
      <c r="CG81" s="397" t="s">
        <v>562</v>
      </c>
    </row>
    <row r="82" spans="5:88" ht="12" customHeight="1">
      <c r="E82" s="319"/>
      <c r="BL82" s="391"/>
      <c r="BT82" s="330"/>
      <c r="CA82" s="395"/>
      <c r="CB82" s="396">
        <v>150</v>
      </c>
      <c r="CC82" s="396" t="s">
        <v>566</v>
      </c>
      <c r="CD82" s="397">
        <v>0.95</v>
      </c>
      <c r="CE82" s="397">
        <v>1.25</v>
      </c>
      <c r="CF82" s="397">
        <v>1.65</v>
      </c>
      <c r="CG82" s="397" t="s">
        <v>562</v>
      </c>
    </row>
    <row r="83" spans="5:88" ht="12" customHeight="1">
      <c r="E83" s="319"/>
      <c r="BL83" s="391"/>
      <c r="BT83" s="330"/>
      <c r="BU83" s="395"/>
      <c r="BV83" s="395"/>
      <c r="BW83" s="395"/>
      <c r="BX83" s="395"/>
      <c r="BY83" s="395"/>
      <c r="BZ83" s="330"/>
      <c r="CA83" s="395"/>
      <c r="CB83" s="396">
        <v>200</v>
      </c>
      <c r="CC83" s="396" t="s">
        <v>566</v>
      </c>
      <c r="CD83" s="397">
        <v>1</v>
      </c>
      <c r="CE83" s="397">
        <v>1.3</v>
      </c>
      <c r="CF83" s="397">
        <v>1.7</v>
      </c>
      <c r="CG83" s="397">
        <v>2.0499999999999998</v>
      </c>
    </row>
    <row r="84" spans="5:88" ht="12" customHeight="1">
      <c r="E84" s="319"/>
      <c r="BL84" s="391"/>
      <c r="BN84" s="398"/>
      <c r="BP84" s="320"/>
      <c r="BQ84" s="357"/>
      <c r="BR84" s="357"/>
      <c r="BS84" s="357"/>
      <c r="BT84" s="330"/>
      <c r="BU84" s="395"/>
      <c r="BV84" s="395"/>
      <c r="BW84" s="395"/>
      <c r="BX84" s="395"/>
      <c r="BY84" s="395"/>
      <c r="BZ84" s="330"/>
      <c r="CA84" s="395"/>
      <c r="CB84" s="396">
        <v>250</v>
      </c>
      <c r="CC84" s="396" t="s">
        <v>566</v>
      </c>
      <c r="CD84" s="397">
        <v>1.1000000000000001</v>
      </c>
      <c r="CE84" s="397">
        <v>1.4</v>
      </c>
      <c r="CF84" s="397">
        <v>1.8</v>
      </c>
      <c r="CG84" s="397">
        <v>2.15</v>
      </c>
    </row>
    <row r="85" spans="5:88" ht="12" customHeight="1">
      <c r="E85" s="319"/>
      <c r="BL85" s="391"/>
      <c r="BN85" s="398"/>
      <c r="BP85" s="320"/>
      <c r="BQ85" s="357"/>
      <c r="BR85" s="357"/>
      <c r="BS85" s="357"/>
      <c r="BT85" s="330"/>
      <c r="BU85" s="395"/>
      <c r="BV85" s="395"/>
      <c r="BW85" s="395"/>
      <c r="BX85" s="395"/>
      <c r="BY85" s="395"/>
      <c r="BZ85" s="330"/>
      <c r="CA85" s="395"/>
      <c r="CB85" s="396">
        <v>300</v>
      </c>
      <c r="CC85" s="396" t="s">
        <v>566</v>
      </c>
      <c r="CD85" s="397">
        <v>1.1000000000000001</v>
      </c>
      <c r="CE85" s="397">
        <v>1.4</v>
      </c>
      <c r="CF85" s="397">
        <v>1.8</v>
      </c>
      <c r="CG85" s="397">
        <v>2.15</v>
      </c>
    </row>
    <row r="86" spans="5:88" ht="12" customHeight="1">
      <c r="E86" s="319"/>
      <c r="BL86" s="391"/>
      <c r="BN86" s="398"/>
      <c r="BP86" s="320"/>
      <c r="BQ86" s="357"/>
      <c r="BR86" s="357"/>
      <c r="BS86" s="357"/>
      <c r="BT86" s="330"/>
      <c r="BU86" s="395"/>
      <c r="BV86" s="395"/>
      <c r="BW86" s="395"/>
      <c r="BX86" s="395"/>
      <c r="BY86" s="395"/>
      <c r="BZ86" s="330"/>
      <c r="CA86" s="395"/>
      <c r="CB86" s="396">
        <v>350</v>
      </c>
      <c r="CC86" s="396" t="s">
        <v>566</v>
      </c>
      <c r="CD86" s="397">
        <v>1.2</v>
      </c>
      <c r="CE86" s="397">
        <v>1.7</v>
      </c>
      <c r="CF86" s="397">
        <v>2.1</v>
      </c>
      <c r="CG86" s="397">
        <v>2.4500000000000002</v>
      </c>
    </row>
    <row r="87" spans="5:88" ht="12" customHeight="1">
      <c r="E87" s="319"/>
      <c r="BL87" s="391"/>
      <c r="BW87" s="395"/>
      <c r="BX87" s="395"/>
      <c r="BY87" s="395"/>
      <c r="BZ87" s="330"/>
      <c r="CA87" s="395"/>
      <c r="CB87" s="396">
        <v>400</v>
      </c>
      <c r="CC87" s="396" t="s">
        <v>566</v>
      </c>
      <c r="CD87" s="397">
        <v>1.2</v>
      </c>
      <c r="CE87" s="397">
        <v>1.7</v>
      </c>
      <c r="CF87" s="397">
        <v>2.1</v>
      </c>
      <c r="CG87" s="397">
        <v>2.4500000000000002</v>
      </c>
    </row>
    <row r="88" spans="5:88" ht="12" customHeight="1">
      <c r="E88" s="319"/>
      <c r="BL88" s="391"/>
      <c r="BW88" s="395"/>
      <c r="BX88" s="395"/>
      <c r="BY88" s="395"/>
      <c r="BZ88" s="330"/>
      <c r="CA88" s="395"/>
      <c r="CB88" s="396">
        <v>450</v>
      </c>
      <c r="CC88" s="396" t="s">
        <v>566</v>
      </c>
      <c r="CD88" s="397">
        <v>1.3</v>
      </c>
      <c r="CE88" s="397">
        <v>1.75</v>
      </c>
      <c r="CF88" s="397">
        <v>2.15</v>
      </c>
      <c r="CG88" s="397">
        <v>2.5499999999999998</v>
      </c>
    </row>
    <row r="89" spans="5:88" ht="12" customHeight="1">
      <c r="E89" s="319"/>
      <c r="BL89" s="391"/>
      <c r="BW89" s="395"/>
      <c r="BX89" s="395"/>
      <c r="BY89" s="395"/>
      <c r="BZ89" s="330"/>
      <c r="CA89" s="395"/>
      <c r="CB89" s="396">
        <v>500</v>
      </c>
      <c r="CC89" s="396" t="s">
        <v>566</v>
      </c>
      <c r="CD89" s="397">
        <v>1.4</v>
      </c>
      <c r="CE89" s="397">
        <v>1.9</v>
      </c>
      <c r="CF89" s="397">
        <v>2.2999999999999998</v>
      </c>
      <c r="CG89" s="397">
        <v>2.65</v>
      </c>
    </row>
    <row r="90" spans="5:88" ht="12" customHeight="1">
      <c r="E90" s="319"/>
      <c r="BL90" s="391"/>
      <c r="BN90" s="330"/>
      <c r="BP90" s="357"/>
      <c r="BQ90" s="357"/>
      <c r="BR90" s="357"/>
      <c r="BS90" s="357"/>
      <c r="BT90" s="330"/>
      <c r="BU90" s="395"/>
      <c r="BV90" s="395"/>
      <c r="BW90" s="395"/>
      <c r="BX90" s="395"/>
      <c r="BY90" s="395"/>
      <c r="BZ90" s="330"/>
      <c r="CA90" s="395"/>
      <c r="CB90" s="396">
        <v>600</v>
      </c>
      <c r="CC90" s="396" t="s">
        <v>566</v>
      </c>
      <c r="CD90" s="397">
        <v>1.5</v>
      </c>
      <c r="CE90" s="397">
        <v>2</v>
      </c>
      <c r="CF90" s="397">
        <v>2.4</v>
      </c>
      <c r="CG90" s="397">
        <v>2.75</v>
      </c>
    </row>
    <row r="91" spans="5:88" ht="12" customHeight="1">
      <c r="E91" s="319"/>
      <c r="BL91" s="391"/>
      <c r="BN91" s="330"/>
      <c r="BO91" s="357"/>
      <c r="BP91" s="357"/>
      <c r="BQ91" s="357"/>
      <c r="BR91" s="357"/>
      <c r="BS91" s="357"/>
      <c r="BT91" s="330"/>
      <c r="BU91" s="395"/>
      <c r="BV91" s="395"/>
      <c r="BW91" s="395"/>
      <c r="BX91" s="395"/>
      <c r="BY91" s="395"/>
      <c r="BZ91" s="330"/>
      <c r="CA91" s="395"/>
      <c r="CB91" s="396">
        <v>700</v>
      </c>
      <c r="CC91" s="396" t="s">
        <v>566</v>
      </c>
      <c r="CD91" s="397">
        <v>1.6</v>
      </c>
      <c r="CE91" s="397">
        <v>2.1</v>
      </c>
      <c r="CF91" s="397">
        <v>2.5</v>
      </c>
      <c r="CG91" s="397">
        <v>2.85</v>
      </c>
    </row>
    <row r="92" spans="5:88" ht="12" customHeight="1">
      <c r="E92" s="319"/>
      <c r="BL92" s="391"/>
      <c r="BN92" s="330"/>
      <c r="BO92" s="357"/>
      <c r="BP92" s="357"/>
      <c r="BQ92" s="357"/>
      <c r="BR92" s="357"/>
      <c r="BS92" s="357"/>
      <c r="BT92" s="330"/>
      <c r="BU92" s="395"/>
      <c r="BV92" s="395"/>
      <c r="BW92" s="395"/>
      <c r="BX92" s="395"/>
      <c r="BY92" s="395"/>
      <c r="BZ92" s="330"/>
      <c r="CA92" s="395"/>
      <c r="CB92" s="396">
        <v>800</v>
      </c>
      <c r="CC92" s="396" t="s">
        <v>566</v>
      </c>
      <c r="CD92" s="397">
        <v>1.7</v>
      </c>
      <c r="CE92" s="397">
        <v>2.2000000000000002</v>
      </c>
      <c r="CF92" s="397">
        <v>2.6</v>
      </c>
      <c r="CG92" s="397">
        <v>2.9</v>
      </c>
    </row>
    <row r="93" spans="5:88" ht="12" customHeight="1">
      <c r="E93" s="319"/>
      <c r="BL93" s="391"/>
      <c r="BN93" s="330"/>
      <c r="BO93" s="357"/>
      <c r="BP93" s="357"/>
      <c r="BQ93" s="357"/>
      <c r="BR93" s="357"/>
      <c r="BS93" s="357"/>
      <c r="BT93" s="330"/>
      <c r="BU93" s="395"/>
      <c r="BV93" s="395"/>
      <c r="BW93" s="395"/>
      <c r="BX93" s="395"/>
      <c r="BY93" s="395"/>
      <c r="BZ93" s="330"/>
      <c r="CA93" s="395"/>
      <c r="CB93" s="396">
        <v>900</v>
      </c>
      <c r="CC93" s="396" t="s">
        <v>566</v>
      </c>
      <c r="CD93" s="397">
        <v>1.8</v>
      </c>
      <c r="CE93" s="397">
        <v>2.2999999999999998</v>
      </c>
      <c r="CF93" s="397">
        <v>2.7</v>
      </c>
      <c r="CG93" s="397">
        <v>3.05</v>
      </c>
    </row>
    <row r="94" spans="5:88" ht="12" customHeight="1">
      <c r="E94" s="319"/>
      <c r="BL94" s="391"/>
      <c r="BN94" s="330"/>
      <c r="BO94" s="357"/>
      <c r="BP94" s="357"/>
      <c r="BQ94" s="357"/>
      <c r="BR94" s="357"/>
      <c r="BS94" s="357"/>
      <c r="BT94" s="330"/>
      <c r="BU94" s="395"/>
      <c r="BV94" s="395"/>
      <c r="BW94" s="395"/>
      <c r="BX94" s="395"/>
      <c r="BY94" s="395"/>
      <c r="BZ94" s="330"/>
      <c r="CA94" s="395"/>
      <c r="CB94" s="396">
        <v>1000</v>
      </c>
      <c r="CC94" s="396" t="s">
        <v>566</v>
      </c>
      <c r="CD94" s="397">
        <v>1.9</v>
      </c>
      <c r="CE94" s="397">
        <v>2.4</v>
      </c>
      <c r="CF94" s="397">
        <v>2.8</v>
      </c>
      <c r="CG94" s="397">
        <v>3.15</v>
      </c>
    </row>
    <row r="95" spans="5:88" ht="12" customHeight="1">
      <c r="E95" s="319"/>
      <c r="BL95" s="391"/>
      <c r="BN95" s="330"/>
      <c r="BO95" s="357"/>
      <c r="BP95" s="357"/>
      <c r="BQ95" s="357"/>
      <c r="BR95" s="357"/>
      <c r="BS95" s="357"/>
      <c r="BT95" s="330"/>
      <c r="BU95" s="395"/>
      <c r="BV95" s="395"/>
      <c r="BW95" s="395"/>
      <c r="BX95" s="395"/>
      <c r="BY95" s="395"/>
      <c r="BZ95" s="330"/>
      <c r="CA95" s="395"/>
      <c r="CB95" s="395"/>
      <c r="CC95" s="395"/>
      <c r="CD95" s="395"/>
      <c r="CE95" s="395"/>
      <c r="CF95" s="395"/>
    </row>
    <row r="96" spans="5:88" ht="12" customHeight="1">
      <c r="E96" s="319"/>
      <c r="BL96" s="391"/>
      <c r="BN96" s="330"/>
      <c r="BO96" s="357"/>
      <c r="BP96" s="357"/>
      <c r="BQ96" s="357"/>
      <c r="BR96" s="357"/>
      <c r="BS96" s="357"/>
      <c r="BT96" s="330"/>
      <c r="BU96" s="395"/>
      <c r="BV96" s="395"/>
      <c r="BW96" s="395"/>
      <c r="BX96" s="395"/>
      <c r="BY96" s="395"/>
      <c r="BZ96" s="330"/>
      <c r="CA96" s="395"/>
      <c r="CB96" s="399">
        <v>100</v>
      </c>
      <c r="CC96" s="399" t="s">
        <v>567</v>
      </c>
      <c r="CD96" s="400">
        <f t="shared" ref="CD96:CG109" si="3">CEILING(1.1*CD81*CD81/CD66,0.05)</f>
        <v>1.2000000000000002</v>
      </c>
      <c r="CE96" s="400">
        <f t="shared" si="3"/>
        <v>1.6500000000000001</v>
      </c>
      <c r="CF96" s="400">
        <f t="shared" si="3"/>
        <v>2.25</v>
      </c>
      <c r="CG96" s="400">
        <f>CEILING(1.1*CG83*CG83/CG68,0.05)</f>
        <v>2.4500000000000002</v>
      </c>
      <c r="CH96" s="401" t="s">
        <v>568</v>
      </c>
      <c r="CI96" s="401"/>
      <c r="CJ96" s="401"/>
    </row>
    <row r="97" spans="5:121" ht="12" customHeight="1">
      <c r="E97" s="319"/>
      <c r="BL97" s="391"/>
      <c r="BN97" s="330"/>
      <c r="BO97" s="357"/>
      <c r="BP97" s="357"/>
      <c r="BQ97" s="357"/>
      <c r="BR97" s="357"/>
      <c r="BS97" s="357"/>
      <c r="BT97" s="330"/>
      <c r="BU97" s="395"/>
      <c r="BV97" s="395"/>
      <c r="BW97" s="395"/>
      <c r="BX97" s="395"/>
      <c r="BY97" s="395"/>
      <c r="BZ97" s="330"/>
      <c r="CA97" s="395"/>
      <c r="CB97" s="399">
        <v>150</v>
      </c>
      <c r="CC97" s="399" t="s">
        <v>567</v>
      </c>
      <c r="CD97" s="400">
        <f t="shared" si="3"/>
        <v>1.2000000000000002</v>
      </c>
      <c r="CE97" s="400">
        <f t="shared" si="3"/>
        <v>1.6500000000000001</v>
      </c>
      <c r="CF97" s="400">
        <f t="shared" si="3"/>
        <v>2.25</v>
      </c>
      <c r="CG97" s="400">
        <f>CEILING(1.1*CG83*CG83/CG68,0.05)</f>
        <v>2.4500000000000002</v>
      </c>
    </row>
    <row r="98" spans="5:121" ht="12" customHeight="1">
      <c r="E98" s="319"/>
      <c r="BL98" s="391"/>
      <c r="BN98" s="330"/>
      <c r="BO98" s="357"/>
      <c r="BP98" s="357"/>
      <c r="BQ98" s="357"/>
      <c r="BR98" s="357"/>
      <c r="BS98" s="357"/>
      <c r="BT98" s="330"/>
      <c r="BU98" s="395"/>
      <c r="BV98" s="395"/>
      <c r="BW98" s="395"/>
      <c r="BX98" s="395"/>
      <c r="BY98" s="395"/>
      <c r="BZ98" s="330"/>
      <c r="CA98" s="395"/>
      <c r="CB98" s="399">
        <v>200</v>
      </c>
      <c r="CC98" s="399" t="s">
        <v>567</v>
      </c>
      <c r="CD98" s="400">
        <f t="shared" si="3"/>
        <v>1.25</v>
      </c>
      <c r="CE98" s="400">
        <f t="shared" si="3"/>
        <v>1.7000000000000002</v>
      </c>
      <c r="CF98" s="400">
        <f t="shared" si="3"/>
        <v>2.3000000000000003</v>
      </c>
      <c r="CG98" s="400">
        <f>CEILING(1.1*CG83*CG83/CG68,0.05)</f>
        <v>2.4500000000000002</v>
      </c>
    </row>
    <row r="99" spans="5:121" ht="12" customHeight="1">
      <c r="E99" s="319"/>
      <c r="BL99" s="391"/>
      <c r="BN99" s="330"/>
      <c r="BO99" s="357"/>
      <c r="BP99" s="357"/>
      <c r="BQ99" s="357"/>
      <c r="BR99" s="357"/>
      <c r="BS99" s="357"/>
      <c r="BT99" s="330"/>
      <c r="BU99" s="395"/>
      <c r="BV99" s="395"/>
      <c r="BW99" s="395"/>
      <c r="BX99" s="395"/>
      <c r="BY99" s="395"/>
      <c r="BZ99" s="330"/>
      <c r="CA99" s="395"/>
      <c r="CB99" s="399">
        <v>250</v>
      </c>
      <c r="CC99" s="399" t="s">
        <v>567</v>
      </c>
      <c r="CD99" s="400">
        <f t="shared" si="3"/>
        <v>1.35</v>
      </c>
      <c r="CE99" s="400">
        <f t="shared" si="3"/>
        <v>1.8</v>
      </c>
      <c r="CF99" s="400">
        <f t="shared" si="3"/>
        <v>2.4000000000000004</v>
      </c>
      <c r="CG99" s="400">
        <f t="shared" si="3"/>
        <v>2.5500000000000003</v>
      </c>
    </row>
    <row r="100" spans="5:121" ht="12" customHeight="1">
      <c r="E100" s="319"/>
      <c r="BL100" s="391"/>
      <c r="BN100" s="330"/>
      <c r="BO100" s="357"/>
      <c r="BP100" s="357"/>
      <c r="BQ100" s="357"/>
      <c r="BR100" s="357"/>
      <c r="BS100" s="357"/>
      <c r="BT100" s="330"/>
      <c r="BU100" s="395"/>
      <c r="BV100" s="395"/>
      <c r="BW100" s="395"/>
      <c r="BX100" s="395"/>
      <c r="BY100" s="395"/>
      <c r="BZ100" s="330"/>
      <c r="CA100" s="395"/>
      <c r="CB100" s="399">
        <v>300</v>
      </c>
      <c r="CC100" s="399" t="s">
        <v>567</v>
      </c>
      <c r="CD100" s="400">
        <f t="shared" si="3"/>
        <v>1.35</v>
      </c>
      <c r="CE100" s="400">
        <f t="shared" si="3"/>
        <v>1.8</v>
      </c>
      <c r="CF100" s="400">
        <f t="shared" si="3"/>
        <v>2.4000000000000004</v>
      </c>
      <c r="CG100" s="400">
        <f t="shared" si="3"/>
        <v>2.5500000000000003</v>
      </c>
    </row>
    <row r="101" spans="5:121" ht="12" customHeight="1">
      <c r="E101" s="319"/>
      <c r="BL101" s="391"/>
      <c r="BN101" s="330"/>
      <c r="BO101" s="357"/>
      <c r="BP101" s="357"/>
      <c r="BQ101" s="357"/>
      <c r="BR101" s="357"/>
      <c r="BS101" s="357"/>
      <c r="BT101" s="330"/>
      <c r="BU101" s="395"/>
      <c r="BV101" s="395"/>
      <c r="BW101" s="395"/>
      <c r="BX101" s="395"/>
      <c r="BY101" s="395"/>
      <c r="BZ101" s="330"/>
      <c r="CA101" s="395"/>
      <c r="CB101" s="399">
        <v>350</v>
      </c>
      <c r="CC101" s="399" t="s">
        <v>567</v>
      </c>
      <c r="CD101" s="400">
        <f t="shared" si="3"/>
        <v>1.4500000000000002</v>
      </c>
      <c r="CE101" s="400">
        <f t="shared" si="3"/>
        <v>2.15</v>
      </c>
      <c r="CF101" s="400">
        <f t="shared" si="3"/>
        <v>2.7</v>
      </c>
      <c r="CG101" s="400">
        <f t="shared" si="3"/>
        <v>2.9000000000000004</v>
      </c>
    </row>
    <row r="102" spans="5:121" ht="12" customHeight="1">
      <c r="E102" s="319"/>
      <c r="BN102" s="330"/>
      <c r="BO102" s="357"/>
      <c r="BP102" s="357"/>
      <c r="BQ102" s="357"/>
      <c r="BR102" s="357"/>
      <c r="BS102" s="357"/>
      <c r="BT102" s="330"/>
      <c r="BU102" s="395"/>
      <c r="BV102" s="395"/>
      <c r="BW102" s="395"/>
      <c r="BX102" s="395"/>
      <c r="BY102" s="395"/>
      <c r="BZ102" s="330"/>
      <c r="CA102" s="395"/>
      <c r="CB102" s="399">
        <v>400</v>
      </c>
      <c r="CC102" s="399" t="s">
        <v>567</v>
      </c>
      <c r="CD102" s="400">
        <f t="shared" si="3"/>
        <v>1.4500000000000002</v>
      </c>
      <c r="CE102" s="400">
        <f t="shared" si="3"/>
        <v>2.15</v>
      </c>
      <c r="CF102" s="400">
        <f t="shared" si="3"/>
        <v>2.7</v>
      </c>
      <c r="CG102" s="400">
        <f t="shared" si="3"/>
        <v>2.9000000000000004</v>
      </c>
    </row>
    <row r="103" spans="5:121" ht="12" customHeight="1">
      <c r="E103" s="319"/>
      <c r="BN103" s="330"/>
      <c r="BO103" s="357"/>
      <c r="BP103" s="357"/>
      <c r="BQ103" s="357"/>
      <c r="BR103" s="357"/>
      <c r="BS103" s="357"/>
      <c r="BT103" s="330"/>
      <c r="BU103" s="395"/>
      <c r="BV103" s="395"/>
      <c r="BW103" s="395"/>
      <c r="BX103" s="395"/>
      <c r="BY103" s="395"/>
      <c r="BZ103" s="330"/>
      <c r="CA103" s="395"/>
      <c r="CB103" s="399">
        <v>450</v>
      </c>
      <c r="CC103" s="399" t="s">
        <v>567</v>
      </c>
      <c r="CD103" s="400">
        <f t="shared" si="3"/>
        <v>1.55</v>
      </c>
      <c r="CE103" s="400">
        <f t="shared" si="3"/>
        <v>2.2000000000000002</v>
      </c>
      <c r="CF103" s="400">
        <f t="shared" si="3"/>
        <v>2.75</v>
      </c>
      <c r="CG103" s="400">
        <f t="shared" si="3"/>
        <v>3</v>
      </c>
    </row>
    <row r="104" spans="5:121" ht="12" customHeight="1">
      <c r="E104" s="319"/>
      <c r="BN104" s="330"/>
      <c r="BO104" s="357"/>
      <c r="BP104" s="357"/>
      <c r="BQ104" s="357"/>
      <c r="BR104" s="357"/>
      <c r="BS104" s="357"/>
      <c r="BT104" s="330"/>
      <c r="BU104" s="395"/>
      <c r="BV104" s="395"/>
      <c r="BW104" s="395"/>
      <c r="BX104" s="395"/>
      <c r="BY104" s="395"/>
      <c r="BZ104" s="330"/>
      <c r="CA104" s="395"/>
      <c r="CB104" s="399">
        <v>500</v>
      </c>
      <c r="CC104" s="399" t="s">
        <v>567</v>
      </c>
      <c r="CD104" s="400">
        <f t="shared" si="3"/>
        <v>1.7000000000000002</v>
      </c>
      <c r="CE104" s="400">
        <f t="shared" si="3"/>
        <v>2.35</v>
      </c>
      <c r="CF104" s="400">
        <f t="shared" si="3"/>
        <v>2.95</v>
      </c>
      <c r="CG104" s="400">
        <f t="shared" si="3"/>
        <v>3.1</v>
      </c>
    </row>
    <row r="105" spans="5:121" ht="12" customHeight="1">
      <c r="E105" s="319"/>
      <c r="BN105" s="330"/>
      <c r="BO105" s="357"/>
      <c r="BP105" s="357"/>
      <c r="BQ105" s="357"/>
      <c r="BR105" s="357"/>
      <c r="BS105" s="357"/>
      <c r="BT105" s="330"/>
      <c r="BU105" s="395"/>
      <c r="BV105" s="395"/>
      <c r="BW105" s="395"/>
      <c r="BX105" s="395"/>
      <c r="BY105" s="395"/>
      <c r="BZ105" s="330"/>
      <c r="CA105" s="395"/>
      <c r="CB105" s="399">
        <v>600</v>
      </c>
      <c r="CC105" s="399" t="s">
        <v>567</v>
      </c>
      <c r="CD105" s="400">
        <f t="shared" si="3"/>
        <v>1.8</v>
      </c>
      <c r="CE105" s="400">
        <f t="shared" si="3"/>
        <v>2.4500000000000002</v>
      </c>
      <c r="CF105" s="400">
        <f t="shared" si="3"/>
        <v>3.0500000000000003</v>
      </c>
      <c r="CG105" s="400">
        <f t="shared" si="3"/>
        <v>3.2</v>
      </c>
    </row>
    <row r="106" spans="5:121" ht="12" customHeight="1">
      <c r="E106" s="319"/>
      <c r="BN106" s="330"/>
      <c r="BO106" s="357"/>
      <c r="BP106" s="357"/>
      <c r="BQ106" s="357"/>
      <c r="BR106" s="357"/>
      <c r="BS106" s="357"/>
      <c r="BT106" s="330"/>
      <c r="BU106" s="395"/>
      <c r="BV106" s="395"/>
      <c r="BW106" s="395"/>
      <c r="BX106" s="395"/>
      <c r="BY106" s="395"/>
      <c r="BZ106" s="330"/>
      <c r="CA106" s="395"/>
      <c r="CB106" s="399">
        <v>700</v>
      </c>
      <c r="CC106" s="399" t="s">
        <v>567</v>
      </c>
      <c r="CD106" s="400">
        <f t="shared" si="3"/>
        <v>1.9000000000000001</v>
      </c>
      <c r="CE106" s="400">
        <f t="shared" si="3"/>
        <v>2.6</v>
      </c>
      <c r="CF106" s="400">
        <f t="shared" si="3"/>
        <v>3.1500000000000004</v>
      </c>
      <c r="CG106" s="400">
        <f t="shared" si="3"/>
        <v>3.35</v>
      </c>
    </row>
    <row r="107" spans="5:121" ht="12" customHeight="1">
      <c r="E107" s="319"/>
      <c r="BN107" s="330"/>
      <c r="BO107" s="357"/>
      <c r="BP107" s="357"/>
      <c r="BQ107" s="357"/>
      <c r="BR107" s="357"/>
      <c r="BS107" s="357"/>
      <c r="BT107" s="330"/>
      <c r="BU107" s="395"/>
      <c r="BV107" s="395"/>
      <c r="BW107" s="395"/>
      <c r="BX107" s="395"/>
      <c r="BY107" s="395"/>
      <c r="BZ107" s="330"/>
      <c r="CA107" s="395"/>
      <c r="CB107" s="399">
        <v>800</v>
      </c>
      <c r="CC107" s="399" t="s">
        <v>567</v>
      </c>
      <c r="CD107" s="400">
        <f t="shared" si="3"/>
        <v>2</v>
      </c>
      <c r="CE107" s="400">
        <f t="shared" si="3"/>
        <v>2.7</v>
      </c>
      <c r="CF107" s="400">
        <f t="shared" si="3"/>
        <v>3.25</v>
      </c>
      <c r="CG107" s="400">
        <f t="shared" si="3"/>
        <v>3.35</v>
      </c>
    </row>
    <row r="108" spans="5:121" ht="12" customHeight="1">
      <c r="E108" s="319"/>
      <c r="BN108" s="330"/>
      <c r="BO108" s="357"/>
      <c r="BP108" s="357"/>
      <c r="BQ108" s="357"/>
      <c r="BR108" s="357"/>
      <c r="BS108" s="357"/>
      <c r="BT108" s="330"/>
      <c r="BU108" s="395"/>
      <c r="BV108" s="395"/>
      <c r="BW108" s="395"/>
      <c r="BX108" s="395"/>
      <c r="BY108" s="395"/>
      <c r="BZ108" s="330"/>
      <c r="CA108" s="395"/>
      <c r="CB108" s="399">
        <v>900</v>
      </c>
      <c r="CC108" s="399" t="s">
        <v>567</v>
      </c>
      <c r="CD108" s="400">
        <f t="shared" si="3"/>
        <v>2.1</v>
      </c>
      <c r="CE108" s="400">
        <f t="shared" si="3"/>
        <v>2.8000000000000003</v>
      </c>
      <c r="CF108" s="400">
        <f t="shared" si="3"/>
        <v>3.35</v>
      </c>
      <c r="CG108" s="400">
        <f t="shared" si="3"/>
        <v>3.5500000000000003</v>
      </c>
    </row>
    <row r="109" spans="5:121" ht="12" customHeight="1">
      <c r="E109" s="319"/>
      <c r="BN109" s="330"/>
      <c r="BO109" s="357"/>
      <c r="BP109" s="357"/>
      <c r="BQ109" s="357"/>
      <c r="BR109" s="357"/>
      <c r="BS109" s="357"/>
      <c r="BT109" s="330"/>
      <c r="BU109" s="395"/>
      <c r="BV109" s="395"/>
      <c r="BW109" s="395"/>
      <c r="BX109" s="395"/>
      <c r="BY109" s="395"/>
      <c r="BZ109" s="330"/>
      <c r="CA109" s="395"/>
      <c r="CB109" s="399">
        <v>1000</v>
      </c>
      <c r="CC109" s="399" t="s">
        <v>567</v>
      </c>
      <c r="CD109" s="400">
        <f t="shared" si="3"/>
        <v>2.25</v>
      </c>
      <c r="CE109" s="400">
        <f t="shared" si="3"/>
        <v>2.9000000000000004</v>
      </c>
      <c r="CF109" s="400">
        <f t="shared" si="3"/>
        <v>3.45</v>
      </c>
      <c r="CG109" s="400">
        <f t="shared" si="3"/>
        <v>3.6500000000000004</v>
      </c>
    </row>
    <row r="110" spans="5:121" ht="12" customHeight="1">
      <c r="BN110" s="330"/>
      <c r="BO110" s="357"/>
      <c r="BP110" s="357"/>
      <c r="BQ110" s="357"/>
      <c r="BR110" s="357"/>
      <c r="BS110" s="357"/>
      <c r="BT110" s="330"/>
      <c r="BU110" s="395"/>
      <c r="BV110" s="395"/>
      <c r="BW110" s="395"/>
      <c r="BX110" s="395"/>
      <c r="BY110" s="395"/>
      <c r="BZ110" s="330"/>
      <c r="CA110" s="395"/>
      <c r="CB110" s="395"/>
      <c r="CC110" s="395"/>
      <c r="CD110" s="395"/>
      <c r="CE110" s="395"/>
      <c r="CF110" s="395"/>
    </row>
    <row r="111" spans="5:121">
      <c r="BW111" s="855" t="s">
        <v>569</v>
      </c>
      <c r="BX111" s="856"/>
      <c r="BY111" s="856"/>
      <c r="BZ111" s="857"/>
      <c r="CA111" s="402" t="s">
        <v>570</v>
      </c>
      <c r="CB111" s="858" t="s">
        <v>570</v>
      </c>
      <c r="CC111" s="859"/>
      <c r="CD111" s="859"/>
      <c r="CE111" s="859"/>
      <c r="CF111" s="859"/>
      <c r="CG111" s="860"/>
      <c r="CH111" s="847" t="s">
        <v>570</v>
      </c>
      <c r="CI111" s="847"/>
      <c r="CJ111" s="847"/>
      <c r="CK111" s="847"/>
      <c r="CL111" s="402" t="s">
        <v>571</v>
      </c>
      <c r="CP111" s="847" t="s">
        <v>572</v>
      </c>
      <c r="CQ111" s="847"/>
      <c r="CR111" s="847"/>
      <c r="CS111" s="847"/>
      <c r="CT111" s="847"/>
      <c r="CU111" s="847" t="s">
        <v>573</v>
      </c>
      <c r="CV111" s="847"/>
      <c r="CW111" s="847"/>
      <c r="CX111" s="847"/>
      <c r="CY111" s="847"/>
      <c r="CZ111" s="847" t="s">
        <v>574</v>
      </c>
      <c r="DA111" s="847"/>
      <c r="DB111" s="847"/>
      <c r="DC111" s="847"/>
      <c r="DD111" s="847"/>
      <c r="DE111" s="847" t="s">
        <v>574</v>
      </c>
      <c r="DF111" s="847"/>
      <c r="DG111" s="847"/>
      <c r="DH111" s="847"/>
      <c r="DI111" s="847"/>
      <c r="DJ111" s="847" t="s">
        <v>575</v>
      </c>
      <c r="DK111" s="847"/>
      <c r="DL111" s="847"/>
      <c r="DM111" s="847"/>
    </row>
    <row r="112" spans="5:121">
      <c r="BN112" s="403" t="s">
        <v>576</v>
      </c>
      <c r="BO112" s="404"/>
      <c r="BP112" s="404"/>
      <c r="BQ112" s="405" t="s">
        <v>577</v>
      </c>
      <c r="BR112" s="404"/>
      <c r="BS112" s="404"/>
      <c r="BT112" s="404"/>
      <c r="BU112" s="404"/>
      <c r="BV112" s="406"/>
      <c r="BW112" s="848" t="s">
        <v>578</v>
      </c>
      <c r="BX112" s="849"/>
      <c r="BY112" s="849"/>
      <c r="BZ112" s="849"/>
      <c r="CA112" s="849"/>
      <c r="CB112" s="849"/>
      <c r="CC112" s="849"/>
      <c r="CD112" s="849"/>
      <c r="CE112" s="849"/>
      <c r="CF112" s="849"/>
      <c r="CG112" s="849"/>
      <c r="CH112" s="849"/>
      <c r="CI112" s="849"/>
      <c r="CJ112" s="849"/>
      <c r="CK112" s="849"/>
      <c r="CL112" s="849"/>
      <c r="CM112" s="849"/>
      <c r="CN112" s="849"/>
      <c r="CO112" s="849"/>
      <c r="CP112" s="849"/>
      <c r="CQ112" s="849"/>
      <c r="CR112" s="849"/>
      <c r="CS112" s="849"/>
      <c r="CT112" s="849"/>
      <c r="CU112" s="849"/>
      <c r="CV112" s="849"/>
      <c r="CW112" s="849"/>
      <c r="CX112" s="849"/>
      <c r="CY112" s="849"/>
      <c r="CZ112" s="849"/>
      <c r="DA112" s="849"/>
      <c r="DB112" s="849"/>
      <c r="DC112" s="849"/>
      <c r="DD112" s="849"/>
      <c r="DE112" s="849"/>
      <c r="DF112" s="849"/>
      <c r="DG112" s="849"/>
      <c r="DH112" s="849"/>
      <c r="DI112" s="849"/>
      <c r="DJ112" s="849"/>
      <c r="DK112" s="849"/>
      <c r="DL112" s="849"/>
      <c r="DM112" s="849"/>
      <c r="DN112" s="849"/>
      <c r="DO112" s="849"/>
      <c r="DP112" s="849"/>
      <c r="DQ112" s="850"/>
    </row>
    <row r="113" spans="56:121" ht="12.75" customHeight="1">
      <c r="BN113" s="407"/>
      <c r="BO113" s="330"/>
      <c r="BP113" s="330"/>
      <c r="BQ113" s="408"/>
      <c r="BR113" s="330"/>
      <c r="BS113" s="330"/>
      <c r="BT113" s="330"/>
      <c r="BU113" s="330"/>
      <c r="BV113" s="409"/>
      <c r="BW113" s="851" t="s">
        <v>579</v>
      </c>
      <c r="BX113" s="851"/>
      <c r="BY113" s="410" t="s">
        <v>580</v>
      </c>
      <c r="BZ113" s="410" t="s">
        <v>581</v>
      </c>
      <c r="CA113" s="411" t="s">
        <v>582</v>
      </c>
      <c r="CB113" s="852" t="s">
        <v>583</v>
      </c>
      <c r="CC113" s="852"/>
      <c r="CD113" s="852"/>
      <c r="CE113" s="853" t="s">
        <v>584</v>
      </c>
      <c r="CF113" s="842" t="s">
        <v>585</v>
      </c>
      <c r="CG113" s="842" t="s">
        <v>586</v>
      </c>
      <c r="CH113" s="844" t="s">
        <v>587</v>
      </c>
      <c r="CI113" s="846"/>
      <c r="CJ113" s="846"/>
      <c r="CK113" s="842" t="s">
        <v>588</v>
      </c>
      <c r="CL113" s="842" t="s">
        <v>589</v>
      </c>
      <c r="CM113" s="412" t="s">
        <v>590</v>
      </c>
      <c r="CN113" s="413" t="s">
        <v>591</v>
      </c>
      <c r="CO113" s="414">
        <v>0.25</v>
      </c>
      <c r="CP113" s="844" t="s">
        <v>592</v>
      </c>
      <c r="CQ113" s="845"/>
      <c r="CR113" s="415" t="s">
        <v>593</v>
      </c>
      <c r="CS113" s="415" t="s">
        <v>594</v>
      </c>
      <c r="CT113" s="415" t="s">
        <v>595</v>
      </c>
      <c r="CU113" s="844" t="s">
        <v>596</v>
      </c>
      <c r="CV113" s="846"/>
      <c r="CW113" s="846"/>
      <c r="CX113" s="846"/>
      <c r="CY113" s="845"/>
      <c r="CZ113" s="844" t="s">
        <v>597</v>
      </c>
      <c r="DA113" s="846"/>
      <c r="DB113" s="846"/>
      <c r="DC113" s="846"/>
      <c r="DD113" s="845"/>
      <c r="DE113" s="844" t="s">
        <v>598</v>
      </c>
      <c r="DF113" s="846"/>
      <c r="DG113" s="846"/>
      <c r="DH113" s="846"/>
      <c r="DI113" s="845"/>
      <c r="DJ113" s="852" t="s">
        <v>599</v>
      </c>
      <c r="DK113" s="852"/>
      <c r="DL113" s="852"/>
      <c r="DM113" s="852"/>
      <c r="DN113" s="861"/>
      <c r="DO113" s="861"/>
      <c r="DP113" s="861"/>
      <c r="DQ113" s="861"/>
    </row>
    <row r="114" spans="56:121">
      <c r="BN114" s="416" t="s">
        <v>531</v>
      </c>
      <c r="BO114" s="417"/>
      <c r="BP114" s="417"/>
      <c r="BQ114" s="416" t="s">
        <v>600</v>
      </c>
      <c r="BR114" s="417"/>
      <c r="BS114" s="418"/>
      <c r="BT114" s="417"/>
      <c r="BU114" s="418">
        <v>0.1</v>
      </c>
      <c r="BV114" s="419" t="s">
        <v>4</v>
      </c>
      <c r="BW114" s="396" t="s">
        <v>601</v>
      </c>
      <c r="BX114" s="396" t="s">
        <v>602</v>
      </c>
      <c r="BY114" s="420" t="s">
        <v>603</v>
      </c>
      <c r="BZ114" s="420" t="s">
        <v>603</v>
      </c>
      <c r="CA114" s="421" t="s">
        <v>603</v>
      </c>
      <c r="CB114" s="415" t="s">
        <v>601</v>
      </c>
      <c r="CC114" s="415" t="s">
        <v>604</v>
      </c>
      <c r="CD114" s="415" t="s">
        <v>602</v>
      </c>
      <c r="CE114" s="854"/>
      <c r="CF114" s="843"/>
      <c r="CG114" s="843"/>
      <c r="CH114" s="415" t="s">
        <v>601</v>
      </c>
      <c r="CI114" s="415" t="s">
        <v>604</v>
      </c>
      <c r="CJ114" s="415" t="s">
        <v>602</v>
      </c>
      <c r="CK114" s="843"/>
      <c r="CL114" s="843"/>
      <c r="CM114" s="412" t="s">
        <v>601</v>
      </c>
      <c r="CN114" s="412" t="s">
        <v>602</v>
      </c>
      <c r="CO114" s="412" t="s">
        <v>605</v>
      </c>
      <c r="CP114" s="422" t="s">
        <v>601</v>
      </c>
      <c r="CQ114" s="415" t="s">
        <v>602</v>
      </c>
      <c r="CR114" s="415" t="s">
        <v>605</v>
      </c>
      <c r="CS114" s="415" t="s">
        <v>605</v>
      </c>
      <c r="CT114" s="415" t="s">
        <v>605</v>
      </c>
      <c r="CU114" s="415" t="s">
        <v>601</v>
      </c>
      <c r="CV114" s="415" t="s">
        <v>604</v>
      </c>
      <c r="CW114" s="415" t="s">
        <v>606</v>
      </c>
      <c r="CX114" s="415" t="s">
        <v>607</v>
      </c>
      <c r="CY114" s="415" t="s">
        <v>605</v>
      </c>
      <c r="CZ114" s="415" t="s">
        <v>601</v>
      </c>
      <c r="DA114" s="415" t="s">
        <v>604</v>
      </c>
      <c r="DB114" s="415" t="s">
        <v>606</v>
      </c>
      <c r="DC114" s="415" t="s">
        <v>608</v>
      </c>
      <c r="DD114" s="415" t="s">
        <v>605</v>
      </c>
      <c r="DE114" s="415" t="s">
        <v>601</v>
      </c>
      <c r="DF114" s="415" t="s">
        <v>604</v>
      </c>
      <c r="DG114" s="415" t="s">
        <v>606</v>
      </c>
      <c r="DH114" s="415" t="s">
        <v>608</v>
      </c>
      <c r="DI114" s="415" t="s">
        <v>605</v>
      </c>
      <c r="DJ114" s="415" t="s">
        <v>601</v>
      </c>
      <c r="DK114" s="415" t="s">
        <v>609</v>
      </c>
      <c r="DL114" s="415" t="s">
        <v>602</v>
      </c>
      <c r="DM114" s="415" t="s">
        <v>603</v>
      </c>
      <c r="DN114" s="412"/>
      <c r="DO114" s="412"/>
      <c r="DP114" s="412"/>
      <c r="DQ114" s="412"/>
    </row>
    <row r="115" spans="56:121">
      <c r="BN115" s="416" t="s">
        <v>610</v>
      </c>
      <c r="BO115" s="417"/>
      <c r="BP115" s="417"/>
      <c r="BQ115" s="423" t="s">
        <v>611</v>
      </c>
      <c r="BR115" s="424"/>
      <c r="BS115" s="425"/>
      <c r="BT115" s="424"/>
      <c r="BU115" s="425">
        <v>0.1</v>
      </c>
      <c r="BV115" s="426" t="s">
        <v>4</v>
      </c>
      <c r="BW115" s="427">
        <v>80</v>
      </c>
      <c r="BX115" s="427">
        <v>98</v>
      </c>
      <c r="BY115" s="428"/>
      <c r="BZ115" s="428">
        <v>14.5</v>
      </c>
      <c r="CA115" s="429"/>
      <c r="CB115" s="430">
        <v>50</v>
      </c>
      <c r="CC115" s="430">
        <v>60</v>
      </c>
      <c r="CD115" s="430">
        <v>60</v>
      </c>
      <c r="CE115" s="431">
        <f>4.525/6</f>
        <v>0.75416666666666676</v>
      </c>
      <c r="CF115" s="431">
        <f>5.46/6</f>
        <v>0.91</v>
      </c>
      <c r="CG115" s="431">
        <f>6.93/6</f>
        <v>1.155</v>
      </c>
      <c r="CH115" s="430">
        <v>100</v>
      </c>
      <c r="CI115" s="431">
        <f>CJ115-2*2.5</f>
        <v>105</v>
      </c>
      <c r="CJ115" s="430">
        <v>110</v>
      </c>
      <c r="CK115" s="432">
        <f>8.049/6</f>
        <v>1.3414999999999999</v>
      </c>
      <c r="CL115" s="432"/>
      <c r="CM115" s="433">
        <v>50</v>
      </c>
      <c r="CN115" s="361">
        <f>CM115/25*25.4</f>
        <v>50.8</v>
      </c>
      <c r="CO115" s="434">
        <f>(PI()*(CN115/2000)^2-PI()*((CN115-2*($CO$113*25.4))/2000)^2)*7700</f>
        <v>6.8278832808387824</v>
      </c>
      <c r="CP115" s="435">
        <v>300</v>
      </c>
      <c r="CQ115" s="436">
        <f>(324.5+323.4)/2</f>
        <v>323.95</v>
      </c>
      <c r="CR115" s="437">
        <v>10.3</v>
      </c>
      <c r="CS115" s="437">
        <v>10.3</v>
      </c>
      <c r="CT115" s="438">
        <v>9.3000000000000007</v>
      </c>
      <c r="CU115" s="439">
        <v>250</v>
      </c>
      <c r="CV115" s="440">
        <v>250</v>
      </c>
      <c r="CW115" s="441">
        <v>296</v>
      </c>
      <c r="CX115" s="441">
        <v>1.5</v>
      </c>
      <c r="CY115" s="442"/>
      <c r="CZ115" s="435">
        <v>450</v>
      </c>
      <c r="DA115" s="443">
        <v>460</v>
      </c>
      <c r="DB115" s="437">
        <f>(DA115+2*1.9+DC115)/2</f>
        <v>504.4</v>
      </c>
      <c r="DC115" s="444">
        <v>545</v>
      </c>
      <c r="DD115" s="445">
        <f>63.4/6</f>
        <v>10.566666666666666</v>
      </c>
      <c r="DE115" s="430">
        <v>100</v>
      </c>
      <c r="DF115" s="430">
        <v>103</v>
      </c>
      <c r="DG115" s="430">
        <f>(DF115+2*0.5+DH115)/2</f>
        <v>112</v>
      </c>
      <c r="DH115" s="415">
        <v>120</v>
      </c>
      <c r="DI115" s="431">
        <f>4/6</f>
        <v>0.66666666666666663</v>
      </c>
      <c r="DJ115" s="415">
        <v>300</v>
      </c>
      <c r="DK115" s="415">
        <v>52.4</v>
      </c>
      <c r="DL115" s="415">
        <f>ROUNDUP(DJ115+2*DK115,1)</f>
        <v>404.8</v>
      </c>
      <c r="DM115" s="431">
        <v>160</v>
      </c>
      <c r="DN115" s="446"/>
      <c r="DO115" s="447"/>
      <c r="DP115" s="447"/>
      <c r="DQ115" s="442"/>
    </row>
    <row r="116" spans="56:121">
      <c r="BN116" s="416" t="s">
        <v>612</v>
      </c>
      <c r="BO116" s="417"/>
      <c r="BP116" s="417"/>
      <c r="BQ116" s="448" t="s">
        <v>613</v>
      </c>
      <c r="BR116" s="449"/>
      <c r="BS116" s="450"/>
      <c r="BT116" s="449"/>
      <c r="BU116" s="450">
        <v>0.1</v>
      </c>
      <c r="BV116" s="451" t="s">
        <v>4</v>
      </c>
      <c r="BW116" s="427">
        <v>100</v>
      </c>
      <c r="BX116" s="427">
        <v>118</v>
      </c>
      <c r="BY116" s="428"/>
      <c r="BZ116" s="428">
        <v>18.100000000000001</v>
      </c>
      <c r="CA116" s="431">
        <f>15.119/6</f>
        <v>2.5198333333333331</v>
      </c>
      <c r="CB116" s="430">
        <v>60</v>
      </c>
      <c r="CC116" s="430">
        <v>75</v>
      </c>
      <c r="CD116" s="430">
        <v>75</v>
      </c>
      <c r="CE116" s="431">
        <f>7.118/6</f>
        <v>1.1863333333333335</v>
      </c>
      <c r="CF116" s="431">
        <f>8.638/6</f>
        <v>1.4396666666666667</v>
      </c>
      <c r="CG116" s="431">
        <f>10.568/6</f>
        <v>1.7613333333333332</v>
      </c>
      <c r="CH116" s="430">
        <v>150</v>
      </c>
      <c r="CI116" s="431">
        <f>CJ116-2*3.6</f>
        <v>152.80000000000001</v>
      </c>
      <c r="CJ116" s="430">
        <v>160</v>
      </c>
      <c r="CK116" s="432">
        <f>16.71/6</f>
        <v>2.7850000000000001</v>
      </c>
      <c r="CL116" s="432">
        <f>11.17782/6</f>
        <v>1.86297</v>
      </c>
      <c r="CM116" s="452">
        <v>100</v>
      </c>
      <c r="CN116" s="361">
        <f t="shared" ref="CN116:CN151" si="4">CM116/25*25.4</f>
        <v>101.6</v>
      </c>
      <c r="CO116" s="434">
        <f>(PI()*(CN116/2000)^2-PI()*((CN116-2*($CO$113*25.4))/2000)^2)*7700</f>
        <v>14.631178458940248</v>
      </c>
      <c r="CP116" s="433">
        <v>350</v>
      </c>
      <c r="CQ116" s="453">
        <f>(376.4+375.4)/2</f>
        <v>375.9</v>
      </c>
      <c r="CR116" s="454">
        <v>13.8</v>
      </c>
      <c r="CS116" s="454">
        <v>14.3</v>
      </c>
      <c r="CT116" s="455">
        <v>12.3</v>
      </c>
      <c r="CU116" s="452">
        <v>300</v>
      </c>
      <c r="CV116" s="456">
        <v>300</v>
      </c>
      <c r="CW116" s="361">
        <v>371</v>
      </c>
      <c r="CX116" s="361">
        <v>1.7</v>
      </c>
      <c r="CY116" s="434"/>
      <c r="CZ116" s="433">
        <v>600</v>
      </c>
      <c r="DA116" s="457">
        <v>614</v>
      </c>
      <c r="DB116" s="454">
        <f>(DA116+2*2.2+DC116)/2</f>
        <v>667.7</v>
      </c>
      <c r="DC116" s="458">
        <v>717</v>
      </c>
      <c r="DD116" s="459">
        <f>109.1/6</f>
        <v>18.183333333333334</v>
      </c>
      <c r="DE116" s="430">
        <v>150</v>
      </c>
      <c r="DF116" s="430">
        <v>153</v>
      </c>
      <c r="DG116" s="430">
        <f>(DF116+2*0.5+DH116)/2</f>
        <v>165</v>
      </c>
      <c r="DH116" s="415">
        <v>176</v>
      </c>
      <c r="DI116" s="431">
        <f>8/6</f>
        <v>1.3333333333333333</v>
      </c>
      <c r="DJ116" s="415">
        <v>400</v>
      </c>
      <c r="DK116" s="415">
        <v>59.4</v>
      </c>
      <c r="DL116" s="415">
        <f t="shared" ref="DL116:DL122" si="5">ROUNDUP(DJ116+2*DK116,1)</f>
        <v>518.79999999999995</v>
      </c>
      <c r="DM116" s="431">
        <v>228</v>
      </c>
      <c r="DN116" s="460"/>
      <c r="DO116" s="357"/>
      <c r="DP116" s="357"/>
      <c r="DQ116" s="434"/>
    </row>
    <row r="117" spans="56:121">
      <c r="BN117" s="407"/>
      <c r="BO117" s="330"/>
      <c r="BP117" s="330"/>
      <c r="BQ117" s="448" t="s">
        <v>614</v>
      </c>
      <c r="BR117" s="449"/>
      <c r="BS117" s="450"/>
      <c r="BT117" s="449"/>
      <c r="BU117" s="450">
        <v>0.1</v>
      </c>
      <c r="BV117" s="451" t="s">
        <v>4</v>
      </c>
      <c r="BW117" s="427">
        <v>150</v>
      </c>
      <c r="BX117" s="427">
        <v>170</v>
      </c>
      <c r="BY117" s="428">
        <v>23.3</v>
      </c>
      <c r="BZ117" s="428">
        <v>27.3</v>
      </c>
      <c r="CA117" s="431">
        <f>30.67/6</f>
        <v>5.1116666666666672</v>
      </c>
      <c r="CB117" s="430">
        <v>75</v>
      </c>
      <c r="CC117" s="430">
        <v>85</v>
      </c>
      <c r="CD117" s="430">
        <v>85</v>
      </c>
      <c r="CE117" s="431">
        <f>9.193/6</f>
        <v>1.5321666666666667</v>
      </c>
      <c r="CF117" s="431">
        <f>10.948/6</f>
        <v>1.8246666666666667</v>
      </c>
      <c r="CG117" s="431">
        <f>13.704/6</f>
        <v>2.2840000000000003</v>
      </c>
      <c r="CH117" s="430">
        <v>200</v>
      </c>
      <c r="CI117" s="431">
        <f>CJ117-2*4.5</f>
        <v>191</v>
      </c>
      <c r="CJ117" s="430">
        <v>200</v>
      </c>
      <c r="CK117" s="432">
        <f>26.698/6</f>
        <v>4.4496666666666664</v>
      </c>
      <c r="CL117" s="432">
        <f>15.98697/6</f>
        <v>2.6644950000000001</v>
      </c>
      <c r="CM117" s="452">
        <v>150</v>
      </c>
      <c r="CN117" s="361">
        <f t="shared" si="4"/>
        <v>152.39999999999998</v>
      </c>
      <c r="CO117" s="434">
        <f t="shared" ref="CO117:CO151" si="6">(PI()*(CN117/2000)^2-PI()*((CN117-2*($CO$113*25.4))/2000)^2)*7700</f>
        <v>22.434473637041712</v>
      </c>
      <c r="CP117" s="433">
        <v>400</v>
      </c>
      <c r="CQ117" s="453">
        <f>(427.3+426.3)/2</f>
        <v>426.8</v>
      </c>
      <c r="CR117" s="454">
        <v>17.600000000000001</v>
      </c>
      <c r="CS117" s="454">
        <v>18.5</v>
      </c>
      <c r="CT117" s="455">
        <v>15.8</v>
      </c>
      <c r="CU117" s="452">
        <v>400</v>
      </c>
      <c r="CV117" s="456">
        <v>400</v>
      </c>
      <c r="CW117" s="361">
        <v>465</v>
      </c>
      <c r="CX117" s="361">
        <v>2.2999999999999998</v>
      </c>
      <c r="CY117" s="434"/>
      <c r="CZ117" s="433">
        <v>750</v>
      </c>
      <c r="DA117" s="457">
        <v>774</v>
      </c>
      <c r="DB117" s="454">
        <f>(DA117+2*2.4+DC117)/2</f>
        <v>839.4</v>
      </c>
      <c r="DC117" s="458">
        <v>900</v>
      </c>
      <c r="DD117" s="459">
        <f>150/6</f>
        <v>25</v>
      </c>
      <c r="DE117" s="430">
        <v>200</v>
      </c>
      <c r="DF117" s="430">
        <v>200</v>
      </c>
      <c r="DG117" s="430">
        <f>(DF117+2*0.6+DH117)/2</f>
        <v>216.6</v>
      </c>
      <c r="DH117" s="415">
        <v>232</v>
      </c>
      <c r="DI117" s="431">
        <f>14/6</f>
        <v>2.3333333333333335</v>
      </c>
      <c r="DJ117" s="415">
        <v>500</v>
      </c>
      <c r="DK117" s="415">
        <v>68.900000000000006</v>
      </c>
      <c r="DL117" s="415">
        <f t="shared" si="5"/>
        <v>637.79999999999995</v>
      </c>
      <c r="DM117" s="431">
        <v>344</v>
      </c>
      <c r="DN117" s="460"/>
      <c r="DO117" s="357"/>
      <c r="DP117" s="357"/>
      <c r="DQ117" s="434"/>
    </row>
    <row r="118" spans="56:121">
      <c r="BN118" s="407"/>
      <c r="BO118" s="330"/>
      <c r="BP118" s="330"/>
      <c r="BQ118" s="407"/>
      <c r="BR118" s="330"/>
      <c r="BS118" s="348"/>
      <c r="BT118" s="330"/>
      <c r="BU118" s="348"/>
      <c r="BV118" s="409"/>
      <c r="BW118" s="427">
        <v>200</v>
      </c>
      <c r="BX118" s="427">
        <v>222</v>
      </c>
      <c r="BY118" s="428">
        <v>31.9</v>
      </c>
      <c r="BZ118" s="428">
        <v>36.700000000000003</v>
      </c>
      <c r="CA118" s="431">
        <f>52.752/6</f>
        <v>8.7919999999999998</v>
      </c>
      <c r="CB118" s="430">
        <v>100</v>
      </c>
      <c r="CC118" s="430">
        <v>110</v>
      </c>
      <c r="CD118" s="430">
        <v>110</v>
      </c>
      <c r="CE118" s="431">
        <f>15.433/6</f>
        <v>2.5721666666666665</v>
      </c>
      <c r="CF118" s="431">
        <f>18.463/6</f>
        <v>3.0771666666666668</v>
      </c>
      <c r="CG118" s="431">
        <f>23.035/6</f>
        <v>3.8391666666666668</v>
      </c>
      <c r="CH118" s="430">
        <v>250</v>
      </c>
      <c r="CI118" s="431">
        <f>CJ118-2*6.1</f>
        <v>237.8</v>
      </c>
      <c r="CJ118" s="430">
        <v>250</v>
      </c>
      <c r="CK118" s="432">
        <f>44.777/6</f>
        <v>7.4628333333333332</v>
      </c>
      <c r="CL118" s="432">
        <f>23.608665/6</f>
        <v>3.9347774999999996</v>
      </c>
      <c r="CM118" s="452">
        <v>200</v>
      </c>
      <c r="CN118" s="361">
        <f t="shared" si="4"/>
        <v>203.2</v>
      </c>
      <c r="CO118" s="434">
        <f t="shared" si="6"/>
        <v>30.237768815143131</v>
      </c>
      <c r="CP118" s="433">
        <v>450</v>
      </c>
      <c r="CQ118" s="453">
        <f>(478.2+477.2)/2</f>
        <v>477.7</v>
      </c>
      <c r="CR118" s="454">
        <v>22</v>
      </c>
      <c r="CS118" s="454">
        <v>24</v>
      </c>
      <c r="CT118" s="455">
        <v>19.600000000000001</v>
      </c>
      <c r="CU118" s="452">
        <v>500</v>
      </c>
      <c r="CV118" s="456">
        <v>500</v>
      </c>
      <c r="CW118" s="361">
        <v>586</v>
      </c>
      <c r="CX118" s="361">
        <v>3</v>
      </c>
      <c r="CY118" s="434"/>
      <c r="CZ118" s="461">
        <v>800</v>
      </c>
      <c r="DA118" s="462">
        <v>800</v>
      </c>
      <c r="DB118" s="463">
        <v>903</v>
      </c>
      <c r="DC118" s="464">
        <v>900</v>
      </c>
      <c r="DD118" s="465">
        <v>30.5</v>
      </c>
      <c r="DE118" s="430">
        <v>250</v>
      </c>
      <c r="DF118" s="430">
        <v>249</v>
      </c>
      <c r="DG118" s="430">
        <f>(DF118+2*0.6+DH118)/2</f>
        <v>270.10000000000002</v>
      </c>
      <c r="DH118" s="415">
        <v>290</v>
      </c>
      <c r="DI118" s="431">
        <f>21/6</f>
        <v>3.5</v>
      </c>
      <c r="DJ118" s="415">
        <v>600</v>
      </c>
      <c r="DK118" s="415">
        <v>74.3</v>
      </c>
      <c r="DL118" s="415">
        <f t="shared" si="5"/>
        <v>748.6</v>
      </c>
      <c r="DM118" s="431">
        <v>440</v>
      </c>
      <c r="DN118" s="460"/>
      <c r="DO118" s="357"/>
      <c r="DP118" s="357"/>
      <c r="DQ118" s="434"/>
    </row>
    <row r="119" spans="56:121">
      <c r="BN119" s="416" t="s">
        <v>532</v>
      </c>
      <c r="BO119" s="417"/>
      <c r="BP119" s="417"/>
      <c r="BQ119" s="448" t="s">
        <v>615</v>
      </c>
      <c r="BR119" s="449"/>
      <c r="BS119" s="450"/>
      <c r="BT119" s="449"/>
      <c r="BU119" s="450">
        <v>0.15</v>
      </c>
      <c r="BV119" s="451" t="s">
        <v>4</v>
      </c>
      <c r="BW119" s="427">
        <v>250</v>
      </c>
      <c r="BX119" s="427">
        <v>274</v>
      </c>
      <c r="BY119" s="428">
        <v>40.299999999999997</v>
      </c>
      <c r="BZ119" s="428">
        <v>48</v>
      </c>
      <c r="CA119" s="431">
        <f>79.112/6</f>
        <v>13.185333333333332</v>
      </c>
      <c r="CB119" s="466"/>
      <c r="CC119" s="466"/>
      <c r="CD119" s="466"/>
      <c r="CE119" s="466"/>
      <c r="CF119" s="466"/>
      <c r="CG119" s="466"/>
      <c r="CH119" s="430">
        <v>300</v>
      </c>
      <c r="CI119" s="431">
        <f>CJ119-2*7.7</f>
        <v>299.60000000000002</v>
      </c>
      <c r="CJ119" s="430">
        <v>315</v>
      </c>
      <c r="CK119" s="432">
        <f>71.483/6</f>
        <v>11.913833333333335</v>
      </c>
      <c r="CL119" s="432">
        <f>35.363151/6</f>
        <v>5.8938585000000003</v>
      </c>
      <c r="CM119" s="452">
        <v>250</v>
      </c>
      <c r="CN119" s="361">
        <f t="shared" si="4"/>
        <v>254</v>
      </c>
      <c r="CO119" s="434">
        <f>(PI()*(CN119/2000)^2-PI()*((CN119-2*($CO$113*25.4))/2000)^2)*7700</f>
        <v>38.041063993244627</v>
      </c>
      <c r="CP119" s="433">
        <v>500</v>
      </c>
      <c r="CQ119" s="453">
        <f>(530.1+529.1)/2</f>
        <v>529.6</v>
      </c>
      <c r="CR119" s="454">
        <v>27</v>
      </c>
      <c r="CS119" s="454">
        <v>30</v>
      </c>
      <c r="CT119" s="455">
        <v>24</v>
      </c>
      <c r="CU119" s="452">
        <v>600</v>
      </c>
      <c r="CV119" s="456">
        <v>600</v>
      </c>
      <c r="CW119" s="361">
        <v>704</v>
      </c>
      <c r="CX119" s="361">
        <v>3.5</v>
      </c>
      <c r="CY119" s="434"/>
      <c r="CZ119" s="433">
        <v>900</v>
      </c>
      <c r="DA119" s="457">
        <v>914</v>
      </c>
      <c r="DB119" s="454">
        <f>(DA119+2*2.7+DC119)/2</f>
        <v>981.7</v>
      </c>
      <c r="DC119" s="458">
        <v>1044</v>
      </c>
      <c r="DD119" s="459">
        <f>183/6</f>
        <v>30.5</v>
      </c>
      <c r="DE119" s="430">
        <v>300</v>
      </c>
      <c r="DF119" s="430">
        <v>308</v>
      </c>
      <c r="DG119" s="430">
        <f>(DF119+2*0.9+DH119)/2</f>
        <v>338.4</v>
      </c>
      <c r="DH119" s="415">
        <v>367</v>
      </c>
      <c r="DI119" s="431">
        <f>29/6</f>
        <v>4.833333333333333</v>
      </c>
      <c r="DJ119" s="415">
        <v>700</v>
      </c>
      <c r="DK119" s="415">
        <v>74.900000000000006</v>
      </c>
      <c r="DL119" s="415">
        <f t="shared" si="5"/>
        <v>849.8</v>
      </c>
      <c r="DM119" s="431">
        <v>540</v>
      </c>
      <c r="DN119" s="467"/>
      <c r="DO119" s="468"/>
      <c r="DP119" s="468"/>
      <c r="DQ119" s="469"/>
    </row>
    <row r="120" spans="56:121">
      <c r="BN120" s="416" t="s">
        <v>616</v>
      </c>
      <c r="BO120" s="417"/>
      <c r="BP120" s="417"/>
      <c r="BQ120" s="448" t="s">
        <v>617</v>
      </c>
      <c r="BR120" s="449"/>
      <c r="BS120" s="450"/>
      <c r="BT120" s="449"/>
      <c r="BU120" s="450">
        <v>0.15</v>
      </c>
      <c r="BV120" s="451" t="s">
        <v>4</v>
      </c>
      <c r="BW120" s="427">
        <v>300</v>
      </c>
      <c r="BX120" s="427">
        <v>326</v>
      </c>
      <c r="BY120" s="428">
        <v>49.8</v>
      </c>
      <c r="BZ120" s="428">
        <v>60.4</v>
      </c>
      <c r="CA120" s="431">
        <f>112.389/6</f>
        <v>18.7315</v>
      </c>
      <c r="CB120" s="466"/>
      <c r="CC120" s="466"/>
      <c r="CD120" s="466"/>
      <c r="CE120" s="466"/>
      <c r="CF120" s="466"/>
      <c r="CG120" s="466"/>
      <c r="CH120" s="430">
        <v>350</v>
      </c>
      <c r="CI120" s="431">
        <f>CJ120-2*8.7</f>
        <v>337.6</v>
      </c>
      <c r="CJ120" s="430">
        <v>355</v>
      </c>
      <c r="CK120" s="432">
        <f>91.38/6</f>
        <v>15.229999999999999</v>
      </c>
      <c r="CL120" s="432">
        <f>44.0781/6</f>
        <v>7.3463500000000002</v>
      </c>
      <c r="CM120" s="452">
        <v>300</v>
      </c>
      <c r="CN120" s="361">
        <f t="shared" si="4"/>
        <v>304.79999999999995</v>
      </c>
      <c r="CO120" s="434">
        <f t="shared" si="6"/>
        <v>45.844359171346127</v>
      </c>
      <c r="CP120" s="433">
        <v>600</v>
      </c>
      <c r="CQ120" s="453">
        <f>(617+616)/2</f>
        <v>616.5</v>
      </c>
      <c r="CR120" s="454">
        <v>37</v>
      </c>
      <c r="CS120" s="454">
        <v>40</v>
      </c>
      <c r="CT120" s="455">
        <v>32</v>
      </c>
      <c r="CU120" s="452">
        <v>800</v>
      </c>
      <c r="CV120" s="456">
        <v>800</v>
      </c>
      <c r="CW120" s="361">
        <v>903</v>
      </c>
      <c r="CX120" s="361">
        <v>4.5</v>
      </c>
      <c r="CY120" s="434">
        <v>30.5</v>
      </c>
      <c r="CZ120" s="433">
        <v>1050</v>
      </c>
      <c r="DA120" s="457">
        <v>1050</v>
      </c>
      <c r="DB120" s="454">
        <f>(DA120+2*3.2+DC120)/2</f>
        <v>1134.2</v>
      </c>
      <c r="DC120" s="458">
        <v>1212</v>
      </c>
      <c r="DD120" s="459">
        <f>250/6</f>
        <v>41.666666666666664</v>
      </c>
      <c r="DE120" s="430">
        <v>375</v>
      </c>
      <c r="DF120" s="430">
        <v>382</v>
      </c>
      <c r="DG120" s="430">
        <f>(DF120+2*1+DH120)/2</f>
        <v>414.5</v>
      </c>
      <c r="DH120" s="415">
        <v>445</v>
      </c>
      <c r="DI120" s="431">
        <f>41/6</f>
        <v>6.833333333333333</v>
      </c>
      <c r="DJ120" s="415">
        <v>800</v>
      </c>
      <c r="DK120" s="415">
        <v>90.2</v>
      </c>
      <c r="DL120" s="415">
        <f t="shared" si="5"/>
        <v>980.4</v>
      </c>
      <c r="DM120" s="431">
        <v>700</v>
      </c>
    </row>
    <row r="121" spans="56:121">
      <c r="BN121" s="407"/>
      <c r="BO121" s="330"/>
      <c r="BP121" s="330"/>
      <c r="BQ121" s="423" t="s">
        <v>618</v>
      </c>
      <c r="BR121" s="424"/>
      <c r="BS121" s="425"/>
      <c r="BT121" s="424"/>
      <c r="BU121" s="470">
        <v>2</v>
      </c>
      <c r="BV121" s="426"/>
      <c r="BW121" s="427">
        <v>350</v>
      </c>
      <c r="BX121" s="427">
        <v>378</v>
      </c>
      <c r="BY121" s="428">
        <v>64.900000000000006</v>
      </c>
      <c r="BZ121" s="428">
        <v>79.7</v>
      </c>
      <c r="CA121" s="431">
        <f>155.675/6</f>
        <v>25.945833333333336</v>
      </c>
      <c r="CB121" s="466"/>
      <c r="CC121" s="466"/>
      <c r="CD121" s="466"/>
      <c r="CE121" s="466"/>
      <c r="CF121" s="466"/>
      <c r="CG121" s="466"/>
      <c r="CH121" s="430">
        <v>400</v>
      </c>
      <c r="CI121" s="431">
        <f>CJ121-2*9.8</f>
        <v>380.4</v>
      </c>
      <c r="CJ121" s="430">
        <v>400</v>
      </c>
      <c r="CK121" s="432">
        <f>112.634/6</f>
        <v>18.772333333333332</v>
      </c>
      <c r="CL121" s="432">
        <f>57.565485/6</f>
        <v>9.5942474999999998</v>
      </c>
      <c r="CM121" s="452">
        <v>350</v>
      </c>
      <c r="CN121" s="361">
        <f t="shared" si="4"/>
        <v>355.59999999999997</v>
      </c>
      <c r="CO121" s="434">
        <f t="shared" si="6"/>
        <v>53.64765434944762</v>
      </c>
      <c r="CP121" s="433">
        <v>700</v>
      </c>
      <c r="CQ121" s="453">
        <f>(719+718)/2</f>
        <v>718.5</v>
      </c>
      <c r="CR121" s="454">
        <v>49</v>
      </c>
      <c r="CS121" s="454">
        <v>54</v>
      </c>
      <c r="CT121" s="455">
        <v>43</v>
      </c>
      <c r="CU121" s="452">
        <v>1000</v>
      </c>
      <c r="CV121" s="456">
        <v>1000</v>
      </c>
      <c r="CW121" s="361">
        <v>1141</v>
      </c>
      <c r="CX121" s="361">
        <v>5</v>
      </c>
      <c r="CY121" s="434"/>
      <c r="CZ121" s="471">
        <v>1200</v>
      </c>
      <c r="DA121" s="472">
        <v>1204</v>
      </c>
      <c r="DB121" s="473">
        <f>(DA121+2*3.5+DC121)/2</f>
        <v>1289</v>
      </c>
      <c r="DC121" s="474">
        <v>1367</v>
      </c>
      <c r="DD121" s="475">
        <f>307.5/6</f>
        <v>51.25</v>
      </c>
      <c r="DE121" s="430">
        <v>450</v>
      </c>
      <c r="DF121" s="430">
        <v>460</v>
      </c>
      <c r="DG121" s="430">
        <f>(DF121+2*1.3+DH121)/2</f>
        <v>503.8</v>
      </c>
      <c r="DH121" s="415">
        <v>545</v>
      </c>
      <c r="DI121" s="431">
        <f>59/6</f>
        <v>9.8333333333333339</v>
      </c>
      <c r="DJ121" s="415">
        <v>900</v>
      </c>
      <c r="DK121" s="415">
        <v>99.1</v>
      </c>
      <c r="DL121" s="415">
        <f t="shared" si="5"/>
        <v>1098.2</v>
      </c>
      <c r="DM121" s="431">
        <v>860</v>
      </c>
    </row>
    <row r="122" spans="56:121">
      <c r="BN122" s="407"/>
      <c r="BO122" s="330"/>
      <c r="BP122" s="330"/>
      <c r="BQ122" s="423" t="s">
        <v>619</v>
      </c>
      <c r="BR122" s="424"/>
      <c r="BS122" s="425"/>
      <c r="BT122" s="424"/>
      <c r="BU122" s="425">
        <v>0.3</v>
      </c>
      <c r="BV122" s="426" t="s">
        <v>4</v>
      </c>
      <c r="BW122" s="427">
        <v>400</v>
      </c>
      <c r="BX122" s="427">
        <v>429</v>
      </c>
      <c r="BY122" s="428">
        <v>77.900000000000006</v>
      </c>
      <c r="BZ122" s="428">
        <v>94.7</v>
      </c>
      <c r="CA122" s="431">
        <f>194.226/6</f>
        <v>32.371000000000002</v>
      </c>
      <c r="CB122" s="466"/>
      <c r="CC122" s="466"/>
      <c r="CD122" s="466"/>
      <c r="CE122" s="466"/>
      <c r="CF122" s="466"/>
      <c r="CG122" s="466"/>
      <c r="CH122" s="476"/>
      <c r="CI122" s="476"/>
      <c r="CJ122" s="476"/>
      <c r="CK122" s="466"/>
      <c r="CL122" s="466"/>
      <c r="CM122" s="452">
        <v>400</v>
      </c>
      <c r="CN122" s="361">
        <f t="shared" si="4"/>
        <v>406.4</v>
      </c>
      <c r="CO122" s="434">
        <f t="shared" si="6"/>
        <v>61.450949527549014</v>
      </c>
      <c r="CP122" s="433">
        <v>800</v>
      </c>
      <c r="CQ122" s="453">
        <f>(821+820)/2</f>
        <v>820.5</v>
      </c>
      <c r="CR122" s="454">
        <v>64</v>
      </c>
      <c r="CS122" s="454">
        <v>69</v>
      </c>
      <c r="CT122" s="455">
        <v>56</v>
      </c>
      <c r="CU122" s="477">
        <v>1200</v>
      </c>
      <c r="CV122" s="478">
        <v>1200</v>
      </c>
      <c r="CW122" s="479">
        <v>1387</v>
      </c>
      <c r="CX122" s="479">
        <v>5</v>
      </c>
      <c r="CY122" s="469"/>
      <c r="CZ122" s="476"/>
      <c r="DA122" s="476"/>
      <c r="DB122" s="320"/>
      <c r="DE122" s="430">
        <v>600</v>
      </c>
      <c r="DF122" s="430">
        <v>614</v>
      </c>
      <c r="DG122" s="430">
        <f>(DF122+2*1.5+DH122)/2</f>
        <v>667</v>
      </c>
      <c r="DH122" s="415">
        <v>717</v>
      </c>
      <c r="DI122" s="431">
        <f>98/6</f>
        <v>16.333333333333332</v>
      </c>
      <c r="DJ122" s="415">
        <v>1000</v>
      </c>
      <c r="DK122" s="415">
        <v>106.4</v>
      </c>
      <c r="DL122" s="415">
        <f t="shared" si="5"/>
        <v>1212.8</v>
      </c>
      <c r="DM122" s="431">
        <v>1006.7</v>
      </c>
    </row>
    <row r="123" spans="56:121" ht="12.75" customHeight="1">
      <c r="BJ123" s="840" t="s">
        <v>620</v>
      </c>
      <c r="BK123" s="840"/>
      <c r="BL123" s="840"/>
      <c r="BM123" s="841"/>
      <c r="BN123" s="416" t="s">
        <v>530</v>
      </c>
      <c r="BO123" s="417"/>
      <c r="BP123" s="417"/>
      <c r="BQ123" s="423" t="s">
        <v>621</v>
      </c>
      <c r="BR123" s="424"/>
      <c r="BS123" s="425"/>
      <c r="BT123" s="424"/>
      <c r="BU123" s="425">
        <v>0.4</v>
      </c>
      <c r="BV123" s="426" t="s">
        <v>4</v>
      </c>
      <c r="BW123" s="427">
        <v>450</v>
      </c>
      <c r="BX123" s="427">
        <v>480</v>
      </c>
      <c r="BY123" s="428">
        <v>91.7</v>
      </c>
      <c r="BZ123" s="428">
        <v>111.8</v>
      </c>
      <c r="CA123" s="480"/>
      <c r="CB123" s="466"/>
      <c r="CC123" s="466"/>
      <c r="CD123" s="466"/>
      <c r="CE123" s="466"/>
      <c r="CF123" s="466"/>
      <c r="CG123" s="466"/>
      <c r="CH123" s="476"/>
      <c r="CI123" s="476"/>
      <c r="CJ123" s="476"/>
      <c r="CK123" s="466"/>
      <c r="CL123" s="466"/>
      <c r="CM123" s="452">
        <v>450</v>
      </c>
      <c r="CN123" s="361">
        <f t="shared" si="4"/>
        <v>457.2</v>
      </c>
      <c r="CO123" s="434">
        <f t="shared" si="6"/>
        <v>69.254244705650407</v>
      </c>
      <c r="CP123" s="433">
        <v>900</v>
      </c>
      <c r="CQ123" s="453">
        <f>(923+922)/2</f>
        <v>922.5</v>
      </c>
      <c r="CR123" s="454">
        <v>81</v>
      </c>
      <c r="CS123" s="454">
        <v>87</v>
      </c>
      <c r="CT123" s="455">
        <v>70</v>
      </c>
      <c r="CZ123" s="476"/>
      <c r="DA123" s="384"/>
      <c r="DB123" s="481"/>
      <c r="DE123" s="430">
        <v>750</v>
      </c>
      <c r="DF123" s="430">
        <v>774</v>
      </c>
      <c r="DG123" s="430">
        <f>(DF123+2*1.5+DH123)/2</f>
        <v>838.5</v>
      </c>
      <c r="DH123" s="415">
        <v>900</v>
      </c>
      <c r="DI123" s="431">
        <f>144/6</f>
        <v>24</v>
      </c>
      <c r="DJ123" s="415">
        <v>1200</v>
      </c>
      <c r="DK123" s="415">
        <v>122.9</v>
      </c>
      <c r="DL123" s="415">
        <f>ROUNDUP(DJ123+2*DK123,1)</f>
        <v>1445.8</v>
      </c>
      <c r="DM123" s="431">
        <v>1392</v>
      </c>
    </row>
    <row r="124" spans="56:121" ht="12">
      <c r="BJ124" s="824" t="s">
        <v>620</v>
      </c>
      <c r="BK124" s="824"/>
      <c r="BL124" s="824"/>
      <c r="BM124" s="825"/>
      <c r="BN124" s="423" t="s">
        <v>622</v>
      </c>
      <c r="BO124" s="424"/>
      <c r="BP124" s="424"/>
      <c r="BQ124" s="423" t="s">
        <v>623</v>
      </c>
      <c r="BR124" s="424"/>
      <c r="BS124" s="425"/>
      <c r="BT124" s="424"/>
      <c r="BU124" s="425">
        <v>0.3</v>
      </c>
      <c r="BV124" s="426" t="s">
        <v>4</v>
      </c>
      <c r="BW124" s="427">
        <v>500</v>
      </c>
      <c r="BX124" s="427">
        <v>532</v>
      </c>
      <c r="BY124" s="428">
        <v>106.1</v>
      </c>
      <c r="BZ124" s="428">
        <v>129.30000000000001</v>
      </c>
      <c r="CA124" s="431">
        <f>298.26/6</f>
        <v>49.71</v>
      </c>
      <c r="CB124" s="466"/>
      <c r="CC124" s="466"/>
      <c r="CD124" s="466"/>
      <c r="CE124" s="466"/>
      <c r="CF124" s="466"/>
      <c r="CG124" s="466"/>
      <c r="CH124" s="476"/>
      <c r="CI124" s="476"/>
      <c r="CJ124" s="476"/>
      <c r="CK124" s="476"/>
      <c r="CL124" s="476"/>
      <c r="CM124" s="452">
        <v>500</v>
      </c>
      <c r="CN124" s="361">
        <f t="shared" si="4"/>
        <v>508</v>
      </c>
      <c r="CO124" s="434">
        <f t="shared" si="6"/>
        <v>77.057539883752014</v>
      </c>
      <c r="CP124" s="433">
        <v>1000</v>
      </c>
      <c r="CQ124" s="453">
        <f>(1025+1024)/2</f>
        <v>1024.5</v>
      </c>
      <c r="CR124" s="454">
        <v>100</v>
      </c>
      <c r="CS124" s="454">
        <v>110</v>
      </c>
      <c r="CT124" s="455">
        <v>86</v>
      </c>
      <c r="CZ124" s="476"/>
      <c r="DA124" s="384"/>
      <c r="DE124" s="430">
        <v>900</v>
      </c>
      <c r="DF124" s="430">
        <v>912</v>
      </c>
      <c r="DG124" s="430">
        <f>(DF124+2*1.7+DH124)/2</f>
        <v>979.7</v>
      </c>
      <c r="DH124" s="415">
        <v>1044</v>
      </c>
      <c r="DI124" s="431">
        <f>169.8/6</f>
        <v>28.3</v>
      </c>
      <c r="DJ124" s="415">
        <v>1500</v>
      </c>
      <c r="DK124" s="415">
        <v>122</v>
      </c>
      <c r="DL124" s="415">
        <f>ROUNDUP(DJ124+2*DK124,1)</f>
        <v>1744</v>
      </c>
      <c r="DM124" s="431">
        <v>1760</v>
      </c>
    </row>
    <row r="125" spans="56:121" ht="12.75" customHeight="1">
      <c r="BD125" s="824" t="s">
        <v>624</v>
      </c>
      <c r="BE125" s="824"/>
      <c r="BF125" s="824" t="s">
        <v>625</v>
      </c>
      <c r="BG125" s="824"/>
      <c r="BH125" s="824"/>
      <c r="BI125" s="824"/>
      <c r="BJ125" s="824"/>
      <c r="BK125" s="824"/>
      <c r="BL125" s="824"/>
      <c r="BM125" s="825"/>
      <c r="BN125" s="423" t="s">
        <v>626</v>
      </c>
      <c r="BO125" s="424"/>
      <c r="BP125" s="424"/>
      <c r="BQ125" s="407"/>
      <c r="BR125" s="330"/>
      <c r="BS125" s="348"/>
      <c r="BT125" s="330"/>
      <c r="BU125" s="348"/>
      <c r="BV125" s="409"/>
      <c r="BW125" s="427">
        <v>600</v>
      </c>
      <c r="BX125" s="427">
        <v>635</v>
      </c>
      <c r="BY125" s="428">
        <v>137.9</v>
      </c>
      <c r="BZ125" s="428">
        <v>168.4</v>
      </c>
      <c r="CA125" s="480"/>
      <c r="CB125" s="466"/>
      <c r="CC125" s="466"/>
      <c r="CD125" s="466"/>
      <c r="CE125" s="466"/>
      <c r="CF125" s="466"/>
      <c r="CG125" s="466"/>
      <c r="CH125" s="476"/>
      <c r="CI125" s="476"/>
      <c r="CJ125" s="476"/>
      <c r="CK125" s="476"/>
      <c r="CL125" s="476"/>
      <c r="CM125" s="452">
        <v>550</v>
      </c>
      <c r="CN125" s="361">
        <f t="shared" si="4"/>
        <v>558.79999999999995</v>
      </c>
      <c r="CO125" s="434">
        <f t="shared" si="6"/>
        <v>84.860835061853621</v>
      </c>
      <c r="CP125" s="433">
        <v>1200</v>
      </c>
      <c r="CQ125" s="453">
        <f>(1229+1228)/2</f>
        <v>1228.5</v>
      </c>
      <c r="CR125" s="454">
        <v>145</v>
      </c>
      <c r="CS125" s="454">
        <v>155</v>
      </c>
      <c r="CT125" s="455">
        <v>125</v>
      </c>
      <c r="CZ125" s="476"/>
      <c r="DA125" s="384"/>
      <c r="DE125" s="430">
        <v>1050</v>
      </c>
      <c r="DF125" s="430">
        <v>1060</v>
      </c>
      <c r="DG125" s="430">
        <f>(DF125+2*1.8+DH125)/2</f>
        <v>1142.3</v>
      </c>
      <c r="DH125" s="415">
        <v>1221</v>
      </c>
      <c r="DI125" s="431">
        <f>224.1/6</f>
        <v>37.35</v>
      </c>
      <c r="DJ125" s="415">
        <v>2000</v>
      </c>
      <c r="DK125" s="415">
        <v>192.1</v>
      </c>
      <c r="DL125" s="415">
        <f>ROUNDUP(DJ125+2*DK125,1)</f>
        <v>2384.1999999999998</v>
      </c>
      <c r="DM125" s="431">
        <v>3580</v>
      </c>
    </row>
    <row r="126" spans="56:121" ht="12">
      <c r="BD126" s="824" t="s">
        <v>624</v>
      </c>
      <c r="BE126" s="824"/>
      <c r="BF126" s="824" t="s">
        <v>625</v>
      </c>
      <c r="BG126" s="824"/>
      <c r="BH126" s="824"/>
      <c r="BI126" s="824"/>
      <c r="BJ126" s="824"/>
      <c r="BK126" s="824"/>
      <c r="BL126" s="824"/>
      <c r="BM126" s="825"/>
      <c r="BN126" s="423" t="s">
        <v>627</v>
      </c>
      <c r="BO126" s="424"/>
      <c r="BP126" s="424"/>
      <c r="BQ126" s="407"/>
      <c r="BR126" s="330"/>
      <c r="BS126" s="348"/>
      <c r="BT126" s="330"/>
      <c r="BU126" s="348"/>
      <c r="BV126" s="409"/>
      <c r="BW126" s="427">
        <v>700</v>
      </c>
      <c r="BX126" s="427">
        <v>738</v>
      </c>
      <c r="BY126" s="428">
        <v>176.5</v>
      </c>
      <c r="BZ126" s="428">
        <v>215.1</v>
      </c>
      <c r="CA126" s="480"/>
      <c r="CB126" s="466"/>
      <c r="CC126" s="466"/>
      <c r="CD126" s="466"/>
      <c r="CE126" s="466"/>
      <c r="CF126" s="466"/>
      <c r="CG126" s="466"/>
      <c r="CH126" s="476"/>
      <c r="CI126" s="476"/>
      <c r="CJ126" s="476"/>
      <c r="CK126" s="476"/>
      <c r="CL126" s="476"/>
      <c r="CM126" s="452">
        <v>600</v>
      </c>
      <c r="CN126" s="361">
        <f t="shared" si="4"/>
        <v>609.59999999999991</v>
      </c>
      <c r="CO126" s="434">
        <f t="shared" si="6"/>
        <v>92.664130239955426</v>
      </c>
      <c r="CP126" s="433">
        <v>1400</v>
      </c>
      <c r="CQ126" s="453">
        <f>(1433+1432)/2</f>
        <v>1432.5</v>
      </c>
      <c r="CR126" s="454">
        <v>195</v>
      </c>
      <c r="CS126" s="454">
        <v>210</v>
      </c>
      <c r="CT126" s="455">
        <v>165</v>
      </c>
      <c r="CZ126" s="476"/>
      <c r="DA126" s="384"/>
      <c r="DE126" s="430">
        <v>1200</v>
      </c>
      <c r="DF126" s="430">
        <v>1204</v>
      </c>
      <c r="DG126" s="430">
        <f>(DF126+2*1.8+DH126)/2</f>
        <v>1287.3</v>
      </c>
      <c r="DH126" s="415">
        <v>1367</v>
      </c>
      <c r="DI126" s="431">
        <f>278/6</f>
        <v>46.333333333333336</v>
      </c>
    </row>
    <row r="127" spans="56:121" ht="12">
      <c r="BD127" s="824" t="s">
        <v>624</v>
      </c>
      <c r="BE127" s="824"/>
      <c r="BF127" s="824" t="s">
        <v>625</v>
      </c>
      <c r="BG127" s="824"/>
      <c r="BH127" s="824"/>
      <c r="BI127" s="824"/>
      <c r="BJ127" s="824"/>
      <c r="BK127" s="824"/>
      <c r="BL127" s="824"/>
      <c r="BM127" s="825"/>
      <c r="BN127" s="423" t="s">
        <v>628</v>
      </c>
      <c r="BO127" s="424"/>
      <c r="BP127" s="424"/>
      <c r="BQ127" s="407"/>
      <c r="BR127" s="330"/>
      <c r="BS127" s="348"/>
      <c r="BT127" s="330"/>
      <c r="BU127" s="348"/>
      <c r="BV127" s="409"/>
      <c r="BW127" s="427">
        <v>800</v>
      </c>
      <c r="BX127" s="427">
        <v>842</v>
      </c>
      <c r="BY127" s="428">
        <v>216.3</v>
      </c>
      <c r="BZ127" s="428">
        <v>264.10000000000002</v>
      </c>
      <c r="CA127" s="480"/>
      <c r="CB127" s="466"/>
      <c r="CC127" s="466"/>
      <c r="CD127" s="466"/>
      <c r="CE127" s="466"/>
      <c r="CF127" s="466"/>
      <c r="CG127" s="466"/>
      <c r="CH127" s="476"/>
      <c r="CI127" s="476"/>
      <c r="CJ127" s="476"/>
      <c r="CK127" s="476"/>
      <c r="CL127" s="476"/>
      <c r="CM127" s="452">
        <v>650</v>
      </c>
      <c r="CN127" s="361">
        <f t="shared" si="4"/>
        <v>660.4</v>
      </c>
      <c r="CO127" s="434">
        <f t="shared" si="6"/>
        <v>100.46742541805661</v>
      </c>
      <c r="CP127" s="433">
        <v>1600</v>
      </c>
      <c r="CQ127" s="453">
        <f>(1637+1636)/2</f>
        <v>1636.5</v>
      </c>
      <c r="CR127" s="454">
        <v>255</v>
      </c>
      <c r="CS127" s="454">
        <v>270</v>
      </c>
      <c r="CT127" s="455">
        <v>336.79</v>
      </c>
      <c r="CZ127" s="476"/>
      <c r="DA127" s="384"/>
    </row>
    <row r="128" spans="56:121" ht="12">
      <c r="BD128" s="824" t="s">
        <v>624</v>
      </c>
      <c r="BE128" s="824"/>
      <c r="BF128" s="824" t="s">
        <v>625</v>
      </c>
      <c r="BG128" s="824"/>
      <c r="BH128" s="824"/>
      <c r="BI128" s="824"/>
      <c r="BJ128" s="824"/>
      <c r="BK128" s="824"/>
      <c r="BL128" s="824"/>
      <c r="BM128" s="825"/>
      <c r="BN128" s="423" t="s">
        <v>629</v>
      </c>
      <c r="BO128" s="424"/>
      <c r="BP128" s="424"/>
      <c r="BQ128" s="407"/>
      <c r="BR128" s="330"/>
      <c r="BS128" s="348"/>
      <c r="BT128" s="330"/>
      <c r="BU128" s="348"/>
      <c r="BV128" s="409"/>
      <c r="BW128" s="427">
        <v>900</v>
      </c>
      <c r="BX128" s="427">
        <v>945</v>
      </c>
      <c r="BY128" s="428">
        <v>259.39999999999998</v>
      </c>
      <c r="BZ128" s="428">
        <v>317.2</v>
      </c>
      <c r="CA128" s="480"/>
      <c r="CB128" s="466"/>
      <c r="CC128" s="466"/>
      <c r="CD128" s="466"/>
      <c r="CE128" s="466"/>
      <c r="CF128" s="466"/>
      <c r="CG128" s="466"/>
      <c r="CH128" s="476"/>
      <c r="CI128" s="476"/>
      <c r="CJ128" s="476"/>
      <c r="CK128" s="476"/>
      <c r="CL128" s="476"/>
      <c r="CM128" s="452">
        <v>700</v>
      </c>
      <c r="CN128" s="361">
        <f t="shared" si="4"/>
        <v>711.19999999999993</v>
      </c>
      <c r="CO128" s="434">
        <f t="shared" si="6"/>
        <v>108.27072059615821</v>
      </c>
      <c r="CP128" s="433">
        <v>1800</v>
      </c>
      <c r="CQ128" s="453">
        <f>(1841+1840)/2</f>
        <v>1840.5</v>
      </c>
      <c r="CR128" s="454">
        <v>320</v>
      </c>
      <c r="CS128" s="454">
        <v>345</v>
      </c>
      <c r="CT128" s="455">
        <v>424.91</v>
      </c>
      <c r="CZ128" s="476"/>
      <c r="DA128" s="384"/>
    </row>
    <row r="129" spans="56:105" ht="12">
      <c r="BD129" s="824" t="s">
        <v>624</v>
      </c>
      <c r="BE129" s="824"/>
      <c r="BF129" s="824" t="s">
        <v>625</v>
      </c>
      <c r="BG129" s="824"/>
      <c r="BH129" s="824"/>
      <c r="BI129" s="824"/>
      <c r="BJ129" s="824"/>
      <c r="BK129" s="824"/>
      <c r="BL129" s="824"/>
      <c r="BM129" s="825"/>
      <c r="BN129" s="423" t="s">
        <v>630</v>
      </c>
      <c r="BO129" s="424"/>
      <c r="BP129" s="424"/>
      <c r="BQ129" s="407"/>
      <c r="BR129" s="330"/>
      <c r="BS129" s="348"/>
      <c r="BT129" s="330"/>
      <c r="BU129" s="348"/>
      <c r="BV129" s="409"/>
      <c r="BW129" s="427">
        <v>1000</v>
      </c>
      <c r="BX129" s="427">
        <v>1048</v>
      </c>
      <c r="BY129" s="428">
        <v>316.2</v>
      </c>
      <c r="BZ129" s="428">
        <v>375</v>
      </c>
      <c r="CA129" s="480"/>
      <c r="CB129" s="466"/>
      <c r="CC129" s="466"/>
      <c r="CD129" s="466"/>
      <c r="CE129" s="466"/>
      <c r="CF129" s="466"/>
      <c r="CG129" s="466"/>
      <c r="CH129" s="476"/>
      <c r="CI129" s="476"/>
      <c r="CJ129" s="476"/>
      <c r="CK129" s="476"/>
      <c r="CL129" s="476"/>
      <c r="CM129" s="452">
        <v>750</v>
      </c>
      <c r="CN129" s="361">
        <f t="shared" si="4"/>
        <v>762</v>
      </c>
      <c r="CO129" s="434">
        <f t="shared" si="6"/>
        <v>116.07401577426025</v>
      </c>
      <c r="CP129" s="433">
        <v>2000</v>
      </c>
      <c r="CQ129" s="453">
        <f>(2045+2044)/2</f>
        <v>2044.5</v>
      </c>
      <c r="CR129" s="454">
        <v>390</v>
      </c>
      <c r="CS129" s="454">
        <v>420</v>
      </c>
      <c r="CT129" s="455">
        <v>522.72</v>
      </c>
      <c r="CZ129" s="476"/>
      <c r="DA129" s="384"/>
    </row>
    <row r="130" spans="56:105" ht="12">
      <c r="BD130" s="824" t="s">
        <v>624</v>
      </c>
      <c r="BE130" s="824"/>
      <c r="BF130" s="824" t="s">
        <v>625</v>
      </c>
      <c r="BG130" s="824"/>
      <c r="BH130" s="824"/>
      <c r="BI130" s="824"/>
      <c r="BJ130" s="824"/>
      <c r="BK130" s="824"/>
      <c r="BL130" s="824"/>
      <c r="BM130" s="825"/>
      <c r="BN130" s="423" t="s">
        <v>631</v>
      </c>
      <c r="BO130" s="424"/>
      <c r="BP130" s="424"/>
      <c r="BQ130" s="407"/>
      <c r="BR130" s="330"/>
      <c r="BS130" s="348"/>
      <c r="BT130" s="330"/>
      <c r="BU130" s="348"/>
      <c r="BV130" s="409"/>
      <c r="BW130" s="427">
        <v>1200</v>
      </c>
      <c r="BX130" s="427">
        <v>1255</v>
      </c>
      <c r="BY130" s="428">
        <v>411.9</v>
      </c>
      <c r="BZ130" s="428">
        <v>505.3</v>
      </c>
      <c r="CA130" s="480"/>
      <c r="CB130" s="466"/>
      <c r="CC130" s="466"/>
      <c r="CD130" s="466"/>
      <c r="CE130" s="466"/>
      <c r="CF130" s="466"/>
      <c r="CG130" s="466"/>
      <c r="CH130" s="476"/>
      <c r="CI130" s="476"/>
      <c r="CJ130" s="476"/>
      <c r="CK130" s="476"/>
      <c r="CL130" s="476"/>
      <c r="CM130" s="452">
        <v>800</v>
      </c>
      <c r="CN130" s="361">
        <f t="shared" si="4"/>
        <v>812.8</v>
      </c>
      <c r="CO130" s="434">
        <f t="shared" si="6"/>
        <v>123.877310952361</v>
      </c>
      <c r="CP130" s="433">
        <v>2200</v>
      </c>
      <c r="CQ130" s="453">
        <f>(2249+2248)/2</f>
        <v>2248.5</v>
      </c>
      <c r="CR130" s="454">
        <v>470</v>
      </c>
      <c r="CS130" s="454">
        <v>510</v>
      </c>
      <c r="CT130" s="455">
        <v>632.04</v>
      </c>
      <c r="CZ130" s="476"/>
      <c r="DA130" s="384"/>
    </row>
    <row r="131" spans="56:105" ht="12">
      <c r="BD131" s="824" t="s">
        <v>624</v>
      </c>
      <c r="BE131" s="824"/>
      <c r="BF131" s="824" t="s">
        <v>625</v>
      </c>
      <c r="BG131" s="824"/>
      <c r="BH131" s="824"/>
      <c r="BI131" s="824"/>
      <c r="BJ131" s="824"/>
      <c r="BK131" s="824"/>
      <c r="BL131" s="824"/>
      <c r="BM131" s="825"/>
      <c r="BN131" s="423" t="s">
        <v>632</v>
      </c>
      <c r="BO131" s="424"/>
      <c r="BP131" s="424"/>
      <c r="BQ131" s="407"/>
      <c r="BR131" s="330"/>
      <c r="BS131" s="348"/>
      <c r="BT131" s="330"/>
      <c r="BU131" s="348"/>
      <c r="BV131" s="409"/>
      <c r="BW131" s="482"/>
      <c r="BX131" s="482"/>
      <c r="BY131" s="429"/>
      <c r="BZ131" s="429"/>
      <c r="CA131" s="480"/>
      <c r="CB131" s="466"/>
      <c r="CC131" s="466"/>
      <c r="CD131" s="466"/>
      <c r="CE131" s="466"/>
      <c r="CF131" s="466"/>
      <c r="CG131" s="466"/>
      <c r="CH131" s="476"/>
      <c r="CI131" s="476"/>
      <c r="CJ131" s="476"/>
      <c r="CK131" s="476"/>
      <c r="CL131" s="476"/>
      <c r="CM131" s="452">
        <v>850</v>
      </c>
      <c r="CN131" s="361">
        <f t="shared" si="4"/>
        <v>863.59999999999991</v>
      </c>
      <c r="CO131" s="434">
        <f t="shared" si="6"/>
        <v>131.68060613046302</v>
      </c>
      <c r="CP131" s="433">
        <v>2400</v>
      </c>
      <c r="CQ131" s="453">
        <f>(2453+2452)/2</f>
        <v>2452.5</v>
      </c>
      <c r="CR131" s="454">
        <v>560</v>
      </c>
      <c r="CS131" s="454">
        <v>610</v>
      </c>
      <c r="CT131" s="455">
        <v>749.92</v>
      </c>
      <c r="CZ131" s="476"/>
      <c r="DA131" s="384"/>
    </row>
    <row r="132" spans="56:105">
      <c r="BN132" s="483" t="s">
        <v>633</v>
      </c>
      <c r="BO132" s="484"/>
      <c r="BP132" s="484"/>
      <c r="BQ132" s="407"/>
      <c r="BR132" s="330"/>
      <c r="BS132" s="348"/>
      <c r="BT132" s="330"/>
      <c r="BU132" s="348"/>
      <c r="BV132" s="409"/>
      <c r="BW132" s="482"/>
      <c r="BX132" s="482"/>
      <c r="BY132" s="429"/>
      <c r="BZ132" s="429"/>
      <c r="CA132" s="480"/>
      <c r="CB132" s="466"/>
      <c r="CC132" s="466"/>
      <c r="CD132" s="466"/>
      <c r="CE132" s="466"/>
      <c r="CF132" s="466"/>
      <c r="CG132" s="466"/>
      <c r="CH132" s="476"/>
      <c r="CI132" s="476"/>
      <c r="CJ132" s="476"/>
      <c r="CK132" s="476"/>
      <c r="CL132" s="476"/>
      <c r="CM132" s="452">
        <v>900</v>
      </c>
      <c r="CN132" s="361">
        <f t="shared" si="4"/>
        <v>914.4</v>
      </c>
      <c r="CO132" s="434">
        <f t="shared" si="6"/>
        <v>139.48390130856421</v>
      </c>
      <c r="CP132" s="433">
        <v>2600</v>
      </c>
      <c r="CQ132" s="453">
        <f>(2657+2656)/2</f>
        <v>2656.5</v>
      </c>
      <c r="CR132" s="454">
        <v>660</v>
      </c>
      <c r="CS132" s="454">
        <v>710</v>
      </c>
      <c r="CT132" s="455">
        <v>880.87</v>
      </c>
      <c r="CZ132" s="476"/>
      <c r="DA132" s="384"/>
    </row>
    <row r="133" spans="56:105">
      <c r="BN133" s="483" t="s">
        <v>634</v>
      </c>
      <c r="BO133" s="484"/>
      <c r="BP133" s="484"/>
      <c r="BQ133" s="407"/>
      <c r="BR133" s="330"/>
      <c r="BS133" s="348"/>
      <c r="BT133" s="330"/>
      <c r="BU133" s="348"/>
      <c r="BV133" s="409"/>
      <c r="BW133" s="482"/>
      <c r="BX133" s="482"/>
      <c r="BY133" s="429"/>
      <c r="BZ133" s="429"/>
      <c r="CA133" s="429"/>
      <c r="CB133" s="384"/>
      <c r="CC133" s="384"/>
      <c r="CD133" s="384"/>
      <c r="CE133" s="384"/>
      <c r="CF133" s="384"/>
      <c r="CG133" s="384"/>
      <c r="CH133" s="476"/>
      <c r="CI133" s="476"/>
      <c r="CJ133" s="476"/>
      <c r="CK133" s="476"/>
      <c r="CL133" s="476"/>
      <c r="CM133" s="452">
        <v>950</v>
      </c>
      <c r="CN133" s="361">
        <f t="shared" si="4"/>
        <v>965.19999999999993</v>
      </c>
      <c r="CO133" s="434">
        <f t="shared" si="6"/>
        <v>147.28719648666623</v>
      </c>
      <c r="CP133" s="433">
        <v>2800</v>
      </c>
      <c r="CQ133" s="453">
        <f>(2861+2860)/2</f>
        <v>2860.5</v>
      </c>
      <c r="CR133" s="454">
        <v>760</v>
      </c>
      <c r="CS133" s="454">
        <v>820</v>
      </c>
      <c r="CT133" s="455">
        <v>1020.67</v>
      </c>
      <c r="CZ133" s="476"/>
      <c r="DA133" s="384"/>
    </row>
    <row r="134" spans="56:105">
      <c r="BN134" s="483" t="s">
        <v>635</v>
      </c>
      <c r="BO134" s="484"/>
      <c r="BP134" s="484"/>
      <c r="BQ134" s="407"/>
      <c r="BR134" s="330"/>
      <c r="BS134" s="348"/>
      <c r="BT134" s="330"/>
      <c r="BU134" s="348"/>
      <c r="BV134" s="409"/>
      <c r="BW134" s="482"/>
      <c r="BX134" s="482"/>
      <c r="BY134" s="429"/>
      <c r="BZ134" s="429"/>
      <c r="CA134" s="429"/>
      <c r="CB134" s="384"/>
      <c r="CC134" s="384"/>
      <c r="CD134" s="384"/>
      <c r="CE134" s="384"/>
      <c r="CF134" s="384"/>
      <c r="CG134" s="384"/>
      <c r="CH134" s="476"/>
      <c r="CI134" s="476"/>
      <c r="CJ134" s="476"/>
      <c r="CK134" s="476"/>
      <c r="CL134" s="476"/>
      <c r="CM134" s="452">
        <v>1000</v>
      </c>
      <c r="CN134" s="361">
        <f t="shared" si="4"/>
        <v>1016</v>
      </c>
      <c r="CO134" s="434">
        <f t="shared" si="6"/>
        <v>155.09049166476913</v>
      </c>
      <c r="CP134" s="471">
        <v>3000</v>
      </c>
      <c r="CQ134" s="485">
        <f>(3065+3064)/2</f>
        <v>3064.5</v>
      </c>
      <c r="CR134" s="473">
        <v>870</v>
      </c>
      <c r="CS134" s="473">
        <v>940</v>
      </c>
      <c r="CT134" s="486">
        <v>1169.9000000000001</v>
      </c>
      <c r="CZ134" s="476"/>
      <c r="DA134" s="384"/>
    </row>
    <row r="135" spans="56:105">
      <c r="BN135" s="483" t="s">
        <v>636</v>
      </c>
      <c r="BO135" s="484"/>
      <c r="BP135" s="484"/>
      <c r="BQ135" s="407"/>
      <c r="BR135" s="330"/>
      <c r="BS135" s="348"/>
      <c r="BT135" s="330"/>
      <c r="BU135" s="487"/>
      <c r="BV135" s="409"/>
      <c r="BW135" s="482"/>
      <c r="BX135" s="482"/>
      <c r="BY135" s="429"/>
      <c r="BZ135" s="429"/>
      <c r="CA135" s="429"/>
      <c r="CB135" s="384"/>
      <c r="CC135" s="384"/>
      <c r="CD135" s="384"/>
      <c r="CE135" s="384"/>
      <c r="CF135" s="384"/>
      <c r="CG135" s="384"/>
      <c r="CH135" s="384"/>
      <c r="CI135" s="384"/>
      <c r="CJ135" s="384"/>
      <c r="CK135" s="384"/>
      <c r="CL135" s="384"/>
      <c r="CM135" s="452">
        <v>1050</v>
      </c>
      <c r="CN135" s="361">
        <f t="shared" si="4"/>
        <v>1066.8</v>
      </c>
      <c r="CO135" s="434">
        <f t="shared" si="6"/>
        <v>162.8937868428703</v>
      </c>
      <c r="CZ135" s="476"/>
      <c r="DA135" s="384"/>
    </row>
    <row r="136" spans="56:105" ht="12">
      <c r="BJ136" s="824" t="s">
        <v>637</v>
      </c>
      <c r="BK136" s="824"/>
      <c r="BL136" s="824"/>
      <c r="BM136" s="825"/>
      <c r="BN136" s="423" t="s">
        <v>582</v>
      </c>
      <c r="BO136" s="424"/>
      <c r="BP136" s="424"/>
      <c r="BQ136" s="407"/>
      <c r="BR136" s="330"/>
      <c r="BS136" s="348"/>
      <c r="BT136" s="330"/>
      <c r="BU136" s="348"/>
      <c r="BV136" s="409"/>
      <c r="BW136" s="384"/>
      <c r="BX136" s="384"/>
      <c r="BY136" s="384"/>
      <c r="BZ136" s="384"/>
      <c r="CA136" s="384"/>
      <c r="CB136" s="384"/>
      <c r="CC136" s="384"/>
      <c r="CD136" s="384"/>
      <c r="CE136" s="384"/>
      <c r="CF136" s="384"/>
      <c r="CG136" s="384"/>
      <c r="CH136" s="384"/>
      <c r="CI136" s="384"/>
      <c r="CJ136" s="384"/>
      <c r="CK136" s="384"/>
      <c r="CL136" s="384"/>
      <c r="CM136" s="452">
        <v>1100</v>
      </c>
      <c r="CN136" s="361">
        <f t="shared" si="4"/>
        <v>1117.5999999999999</v>
      </c>
      <c r="CO136" s="434">
        <f t="shared" si="6"/>
        <v>170.69708202097061</v>
      </c>
      <c r="CZ136" s="476"/>
      <c r="DA136" s="384"/>
    </row>
    <row r="137" spans="56:105">
      <c r="BN137" s="483" t="s">
        <v>638</v>
      </c>
      <c r="BO137" s="484"/>
      <c r="BP137" s="484"/>
      <c r="BQ137" s="407"/>
      <c r="BR137" s="330"/>
      <c r="BS137" s="348"/>
      <c r="BT137" s="330"/>
      <c r="BU137" s="348"/>
      <c r="BV137" s="409"/>
      <c r="BW137" s="384"/>
      <c r="BX137" s="384"/>
      <c r="BY137" s="384"/>
      <c r="BZ137" s="384"/>
      <c r="CA137" s="384"/>
      <c r="CB137" s="384"/>
      <c r="CC137" s="384"/>
      <c r="CD137" s="384"/>
      <c r="CE137" s="384"/>
      <c r="CF137" s="384"/>
      <c r="CG137" s="384"/>
      <c r="CH137" s="384"/>
      <c r="CI137" s="384"/>
      <c r="CJ137" s="384"/>
      <c r="CK137" s="384"/>
      <c r="CL137" s="384"/>
      <c r="CM137" s="452">
        <v>1150</v>
      </c>
      <c r="CN137" s="361">
        <f t="shared" si="4"/>
        <v>1168.3999999999999</v>
      </c>
      <c r="CO137" s="434">
        <f t="shared" si="6"/>
        <v>178.50037719907266</v>
      </c>
      <c r="CZ137" s="476"/>
      <c r="DA137" s="384"/>
    </row>
    <row r="138" spans="56:105">
      <c r="BN138" s="483" t="s">
        <v>639</v>
      </c>
      <c r="BO138" s="484"/>
      <c r="BP138" s="484"/>
      <c r="BQ138" s="483" t="s">
        <v>640</v>
      </c>
      <c r="BR138" s="484"/>
      <c r="BS138" s="488"/>
      <c r="BT138" s="484"/>
      <c r="BU138" s="488">
        <v>0.5</v>
      </c>
      <c r="BV138" s="489" t="s">
        <v>641</v>
      </c>
      <c r="BW138" s="384"/>
      <c r="BX138" s="384"/>
      <c r="BY138" s="384"/>
      <c r="BZ138" s="384"/>
      <c r="CA138" s="384"/>
      <c r="CB138" s="384"/>
      <c r="CC138" s="384"/>
      <c r="CD138" s="384"/>
      <c r="CE138" s="384"/>
      <c r="CF138" s="384"/>
      <c r="CG138" s="384"/>
      <c r="CH138" s="384"/>
      <c r="CI138" s="384"/>
      <c r="CJ138" s="384"/>
      <c r="CK138" s="384"/>
      <c r="CL138" s="384"/>
      <c r="CM138" s="452">
        <v>1200</v>
      </c>
      <c r="CN138" s="361">
        <f t="shared" si="4"/>
        <v>1219.1999999999998</v>
      </c>
      <c r="CO138" s="434">
        <f t="shared" si="6"/>
        <v>186.30367237717468</v>
      </c>
      <c r="CZ138" s="476"/>
      <c r="DA138" s="384"/>
    </row>
    <row r="139" spans="56:105">
      <c r="BN139" s="483" t="s">
        <v>642</v>
      </c>
      <c r="BO139" s="484"/>
      <c r="BP139" s="484"/>
      <c r="BQ139" s="423" t="s">
        <v>643</v>
      </c>
      <c r="BR139" s="424"/>
      <c r="BS139" s="425"/>
      <c r="BT139" s="424"/>
      <c r="BU139" s="425">
        <v>3</v>
      </c>
      <c r="BV139" s="426" t="s">
        <v>4</v>
      </c>
      <c r="BW139" s="384"/>
      <c r="BX139" s="384"/>
      <c r="BY139" s="384"/>
      <c r="BZ139" s="384"/>
      <c r="CA139" s="384"/>
      <c r="CB139" s="384"/>
      <c r="CC139" s="384"/>
      <c r="CD139" s="384"/>
      <c r="CE139" s="384"/>
      <c r="CF139" s="384"/>
      <c r="CG139" s="384"/>
      <c r="CH139" s="384"/>
      <c r="CI139" s="384"/>
      <c r="CJ139" s="384"/>
      <c r="CK139" s="384"/>
      <c r="CL139" s="384"/>
      <c r="CM139" s="452">
        <v>1300</v>
      </c>
      <c r="CN139" s="361">
        <f t="shared" si="4"/>
        <v>1320.8</v>
      </c>
      <c r="CO139" s="434">
        <f t="shared" si="6"/>
        <v>201.91026273337704</v>
      </c>
      <c r="CZ139" s="476"/>
      <c r="DA139" s="384"/>
    </row>
    <row r="140" spans="56:105">
      <c r="BN140" s="483" t="s">
        <v>644</v>
      </c>
      <c r="BO140" s="484"/>
      <c r="BP140" s="484"/>
      <c r="BQ140" s="423" t="s">
        <v>645</v>
      </c>
      <c r="BR140" s="424"/>
      <c r="BS140" s="425"/>
      <c r="BT140" s="424"/>
      <c r="BU140" s="425">
        <v>6</v>
      </c>
      <c r="BV140" s="426" t="s">
        <v>4</v>
      </c>
      <c r="BW140" s="384"/>
      <c r="BX140" s="384"/>
      <c r="BY140" s="384"/>
      <c r="BZ140" s="384"/>
      <c r="CA140" s="384"/>
      <c r="CB140" s="384"/>
      <c r="CC140" s="384"/>
      <c r="CD140" s="384"/>
      <c r="CE140" s="384"/>
      <c r="CF140" s="384"/>
      <c r="CG140" s="384"/>
      <c r="CH140" s="384"/>
      <c r="CI140" s="384"/>
      <c r="CJ140" s="384"/>
      <c r="CK140" s="384"/>
      <c r="CL140" s="384"/>
      <c r="CM140" s="452">
        <v>1350</v>
      </c>
      <c r="CN140" s="361">
        <f t="shared" si="4"/>
        <v>1371.6</v>
      </c>
      <c r="CO140" s="434">
        <f t="shared" si="6"/>
        <v>209.71355791147909</v>
      </c>
      <c r="CP140" s="384"/>
      <c r="CZ140" s="476"/>
      <c r="DA140" s="384"/>
    </row>
    <row r="141" spans="56:105">
      <c r="BN141" s="483" t="s">
        <v>646</v>
      </c>
      <c r="BO141" s="484"/>
      <c r="BP141" s="484"/>
      <c r="BQ141" s="483" t="s">
        <v>647</v>
      </c>
      <c r="BR141" s="484"/>
      <c r="BS141" s="488"/>
      <c r="BT141" s="484"/>
      <c r="BU141" s="488">
        <v>0.8</v>
      </c>
      <c r="BV141" s="489" t="s">
        <v>4</v>
      </c>
      <c r="BW141" s="384"/>
      <c r="BX141" s="384"/>
      <c r="BY141" s="384"/>
      <c r="BZ141" s="384"/>
      <c r="CA141" s="384"/>
      <c r="CB141" s="384"/>
      <c r="CC141" s="384"/>
      <c r="CD141" s="384"/>
      <c r="CE141" s="384"/>
      <c r="CF141" s="384"/>
      <c r="CG141" s="384"/>
      <c r="CH141" s="384"/>
      <c r="CI141" s="384"/>
      <c r="CJ141" s="384"/>
      <c r="CK141" s="384"/>
      <c r="CL141" s="384"/>
      <c r="CM141" s="460">
        <v>1500</v>
      </c>
      <c r="CN141" s="361">
        <f t="shared" si="4"/>
        <v>1524</v>
      </c>
      <c r="CO141" s="434">
        <f t="shared" si="6"/>
        <v>233.12344344578688</v>
      </c>
      <c r="CP141" s="384"/>
    </row>
    <row r="142" spans="56:105">
      <c r="BN142" s="483" t="s">
        <v>648</v>
      </c>
      <c r="BO142" s="484"/>
      <c r="BP142" s="484"/>
      <c r="BQ142" s="483" t="s">
        <v>649</v>
      </c>
      <c r="BR142" s="484"/>
      <c r="BS142" s="488"/>
      <c r="BT142" s="484"/>
      <c r="BU142" s="488">
        <v>1.5</v>
      </c>
      <c r="BV142" s="489" t="s">
        <v>4</v>
      </c>
      <c r="BW142" s="384"/>
      <c r="BX142" s="384"/>
      <c r="BY142" s="384"/>
      <c r="BZ142" s="384"/>
      <c r="CA142" s="384"/>
      <c r="CB142" s="384"/>
      <c r="CC142" s="384"/>
      <c r="CD142" s="384"/>
      <c r="CE142" s="384"/>
      <c r="CF142" s="384"/>
      <c r="CG142" s="384"/>
      <c r="CH142" s="384"/>
      <c r="CI142" s="384"/>
      <c r="CJ142" s="384"/>
      <c r="CK142" s="384"/>
      <c r="CL142" s="384"/>
      <c r="CM142" s="460">
        <v>1800</v>
      </c>
      <c r="CN142" s="361">
        <f t="shared" si="4"/>
        <v>1828.8</v>
      </c>
      <c r="CO142" s="434">
        <f t="shared" si="6"/>
        <v>279.94321451439396</v>
      </c>
      <c r="CP142" s="384"/>
    </row>
    <row r="143" spans="56:105">
      <c r="BN143" s="483" t="s">
        <v>650</v>
      </c>
      <c r="BO143" s="484"/>
      <c r="BP143" s="484"/>
      <c r="BQ143" s="483" t="s">
        <v>651</v>
      </c>
      <c r="BR143" s="484"/>
      <c r="BS143" s="488"/>
      <c r="BT143" s="484"/>
      <c r="BU143" s="488">
        <v>2.5</v>
      </c>
      <c r="BV143" s="489" t="s">
        <v>4</v>
      </c>
      <c r="BW143" s="384"/>
      <c r="BX143" s="384"/>
      <c r="BY143" s="384"/>
      <c r="BZ143" s="384"/>
      <c r="CA143" s="384"/>
      <c r="CB143" s="384"/>
      <c r="CC143" s="384"/>
      <c r="CD143" s="384"/>
      <c r="CE143" s="384"/>
      <c r="CF143" s="384"/>
      <c r="CG143" s="384"/>
      <c r="CH143" s="384"/>
      <c r="CI143" s="384"/>
      <c r="CJ143" s="384"/>
      <c r="CK143" s="384"/>
      <c r="CL143" s="384"/>
      <c r="CM143" s="460">
        <v>1900</v>
      </c>
      <c r="CN143" s="361">
        <f t="shared" si="4"/>
        <v>1930.3999999999999</v>
      </c>
      <c r="CO143" s="434">
        <f t="shared" si="6"/>
        <v>295.549804870598</v>
      </c>
      <c r="CP143" s="384"/>
    </row>
    <row r="144" spans="56:105">
      <c r="BN144" s="483" t="s">
        <v>652</v>
      </c>
      <c r="BO144" s="484"/>
      <c r="BP144" s="484"/>
      <c r="BQ144" s="483" t="s">
        <v>653</v>
      </c>
      <c r="BR144" s="484"/>
      <c r="BS144" s="488"/>
      <c r="BT144" s="484"/>
      <c r="BU144" s="488">
        <f>MAX(BP36:BS49,BP51:BS72,BW36:BZ49,BW51:BZ71,CD36:CG49,CD51:CG64,CD66:CG79,CD81:CG94)</f>
        <v>3.9</v>
      </c>
      <c r="BV144" s="489" t="s">
        <v>4</v>
      </c>
      <c r="BW144" s="384"/>
      <c r="BX144" s="384"/>
      <c r="BY144" s="384"/>
      <c r="BZ144" s="384"/>
      <c r="CA144" s="384"/>
      <c r="CB144" s="384"/>
      <c r="CC144" s="384"/>
      <c r="CD144" s="384"/>
      <c r="CE144" s="384"/>
      <c r="CF144" s="384"/>
      <c r="CG144" s="384"/>
      <c r="CH144" s="384"/>
      <c r="CI144" s="384"/>
      <c r="CJ144" s="384"/>
      <c r="CK144" s="384"/>
      <c r="CL144" s="384"/>
      <c r="CM144" s="460">
        <v>2000</v>
      </c>
      <c r="CN144" s="361">
        <f t="shared" si="4"/>
        <v>2032</v>
      </c>
      <c r="CO144" s="434">
        <f t="shared" si="6"/>
        <v>311.15639522679868</v>
      </c>
      <c r="CP144" s="384"/>
    </row>
    <row r="145" spans="66:93">
      <c r="BN145" s="483" t="s">
        <v>590</v>
      </c>
      <c r="BO145" s="484"/>
      <c r="BP145" s="484"/>
      <c r="BQ145" s="407"/>
      <c r="BR145" s="330"/>
      <c r="BS145" s="348"/>
      <c r="BT145" s="330"/>
      <c r="BU145" s="348"/>
      <c r="BV145" s="409"/>
      <c r="BW145" s="384"/>
      <c r="BX145" s="384"/>
      <c r="BY145" s="384"/>
      <c r="BZ145" s="384"/>
      <c r="CA145" s="384"/>
      <c r="CH145" s="384"/>
      <c r="CI145" s="384"/>
      <c r="CJ145" s="384"/>
      <c r="CK145" s="384"/>
      <c r="CL145" s="384"/>
      <c r="CM145" s="460">
        <v>2100</v>
      </c>
      <c r="CN145" s="361">
        <f t="shared" si="4"/>
        <v>2133.6</v>
      </c>
      <c r="CO145" s="434">
        <f t="shared" si="6"/>
        <v>326.7629855829959</v>
      </c>
    </row>
    <row r="146" spans="66:93">
      <c r="BN146" s="407"/>
      <c r="BQ146" s="407"/>
      <c r="BR146" s="330"/>
      <c r="BS146" s="348"/>
      <c r="BT146" s="330"/>
      <c r="BU146" s="348"/>
      <c r="BV146" s="409"/>
      <c r="BW146" s="384"/>
      <c r="BX146" s="384"/>
      <c r="BY146" s="384"/>
      <c r="BZ146" s="384"/>
      <c r="CA146" s="384"/>
      <c r="CH146" s="384"/>
      <c r="CM146" s="460">
        <v>2200</v>
      </c>
      <c r="CN146" s="361">
        <f t="shared" si="4"/>
        <v>2235.1999999999998</v>
      </c>
      <c r="CO146" s="434">
        <f t="shared" si="6"/>
        <v>342.3695759391897</v>
      </c>
    </row>
    <row r="147" spans="66:93">
      <c r="BN147" s="407"/>
      <c r="BO147" s="330"/>
      <c r="BP147" s="330"/>
      <c r="BQ147" s="483" t="s">
        <v>654</v>
      </c>
      <c r="BR147" s="484"/>
      <c r="BS147" s="488"/>
      <c r="BT147" s="484"/>
      <c r="BU147" s="488">
        <v>1.5</v>
      </c>
      <c r="BV147" s="489" t="s">
        <v>4</v>
      </c>
      <c r="BW147" s="384"/>
      <c r="BX147" s="384"/>
      <c r="BY147" s="384"/>
      <c r="BZ147" s="384"/>
      <c r="CA147" s="384"/>
      <c r="CH147" s="384"/>
      <c r="CM147" s="460">
        <v>2300</v>
      </c>
      <c r="CN147" s="361">
        <f t="shared" si="4"/>
        <v>2336.7999999999997</v>
      </c>
      <c r="CO147" s="434">
        <f t="shared" si="6"/>
        <v>357.97616629539374</v>
      </c>
    </row>
    <row r="148" spans="66:93">
      <c r="BN148" s="407"/>
      <c r="BO148" s="330"/>
      <c r="BP148" s="330"/>
      <c r="BQ148" s="483" t="s">
        <v>655</v>
      </c>
      <c r="BR148" s="484"/>
      <c r="BS148" s="488"/>
      <c r="BT148" s="484"/>
      <c r="BU148" s="488">
        <v>1.5</v>
      </c>
      <c r="BV148" s="489" t="s">
        <v>4</v>
      </c>
      <c r="BW148" s="384"/>
      <c r="CM148" s="460">
        <v>2400</v>
      </c>
      <c r="CN148" s="361">
        <f t="shared" si="4"/>
        <v>2438.3999999999996</v>
      </c>
      <c r="CO148" s="434">
        <f t="shared" si="6"/>
        <v>373.58275665160124</v>
      </c>
    </row>
    <row r="149" spans="66:93">
      <c r="BN149" s="407"/>
      <c r="BQ149" s="407"/>
      <c r="BR149" s="330"/>
      <c r="BS149" s="348"/>
      <c r="BT149" s="330"/>
      <c r="BU149" s="348"/>
      <c r="BV149" s="409"/>
      <c r="CM149" s="460">
        <v>2500</v>
      </c>
      <c r="CN149" s="361">
        <f t="shared" si="4"/>
        <v>2540</v>
      </c>
      <c r="CO149" s="434">
        <f t="shared" si="6"/>
        <v>389.18934700779505</v>
      </c>
    </row>
    <row r="150" spans="66:93" ht="12" customHeight="1">
      <c r="BN150" s="407"/>
      <c r="BO150" s="330"/>
      <c r="BP150" s="330"/>
      <c r="BQ150" s="407"/>
      <c r="BR150" s="330"/>
      <c r="BS150" s="348"/>
      <c r="BT150" s="330"/>
      <c r="BU150" s="348"/>
      <c r="BV150" s="409"/>
      <c r="CM150" s="460">
        <v>2800</v>
      </c>
      <c r="CN150" s="361">
        <f t="shared" si="4"/>
        <v>2844.7999999999997</v>
      </c>
      <c r="CO150" s="434">
        <f t="shared" si="6"/>
        <v>436.00911807641063</v>
      </c>
    </row>
    <row r="151" spans="66:93" ht="12" customHeight="1">
      <c r="BN151" s="407"/>
      <c r="BQ151" s="407"/>
      <c r="BR151" s="330"/>
      <c r="BS151" s="348"/>
      <c r="BT151" s="330"/>
      <c r="BU151" s="348"/>
      <c r="BV151" s="409"/>
      <c r="CB151" s="490"/>
      <c r="CM151" s="467">
        <v>3500</v>
      </c>
      <c r="CN151" s="479">
        <f t="shared" si="4"/>
        <v>3556</v>
      </c>
      <c r="CO151" s="469">
        <f t="shared" si="6"/>
        <v>545.25525056983565</v>
      </c>
    </row>
    <row r="152" spans="66:93" ht="12" customHeight="1">
      <c r="BN152" s="407"/>
      <c r="BQ152" s="407"/>
      <c r="BR152" s="330"/>
      <c r="BS152" s="348"/>
      <c r="BT152" s="330"/>
      <c r="BU152" s="348"/>
      <c r="BV152" s="409"/>
      <c r="CB152" s="490"/>
    </row>
    <row r="153" spans="66:93" ht="12" customHeight="1">
      <c r="BN153" s="407"/>
      <c r="BQ153" s="407"/>
      <c r="BR153" s="330"/>
      <c r="BS153" s="348"/>
      <c r="BT153" s="330"/>
      <c r="BU153" s="348"/>
      <c r="BV153" s="409"/>
      <c r="BZ153" s="398"/>
    </row>
    <row r="154" spans="66:93" ht="12" customHeight="1">
      <c r="BN154" s="407"/>
      <c r="BQ154" s="407"/>
      <c r="BR154" s="330"/>
      <c r="BS154" s="348"/>
      <c r="BT154" s="330"/>
      <c r="BU154" s="348"/>
      <c r="BV154" s="409"/>
      <c r="BZ154" s="398"/>
      <c r="CA154" s="490"/>
    </row>
    <row r="155" spans="66:93" ht="12" customHeight="1">
      <c r="BN155" s="407"/>
      <c r="BO155" s="330"/>
      <c r="BP155" s="330"/>
      <c r="BQ155" s="407"/>
      <c r="BR155" s="330"/>
      <c r="BS155" s="348"/>
      <c r="BT155" s="330"/>
      <c r="BU155" s="348"/>
      <c r="BV155" s="409"/>
      <c r="BZ155" s="398"/>
      <c r="CA155" s="490"/>
    </row>
    <row r="156" spans="66:93" ht="12" customHeight="1">
      <c r="BN156" s="407"/>
      <c r="BO156" s="330"/>
      <c r="BP156" s="330"/>
      <c r="BQ156" s="407"/>
      <c r="BR156" s="330"/>
      <c r="BS156" s="348"/>
      <c r="BT156" s="330"/>
      <c r="BU156" s="348"/>
      <c r="BV156" s="409"/>
      <c r="BZ156" s="398"/>
    </row>
    <row r="157" spans="66:93" ht="12" customHeight="1">
      <c r="BN157" s="483" t="s">
        <v>446</v>
      </c>
      <c r="BO157" s="330"/>
      <c r="BP157" s="330"/>
      <c r="BQ157" s="483" t="s">
        <v>656</v>
      </c>
      <c r="BR157" s="484"/>
      <c r="BS157" s="488"/>
      <c r="BT157" s="484"/>
      <c r="BU157" s="488">
        <v>1.3</v>
      </c>
      <c r="BV157" s="489"/>
      <c r="BZ157" s="398"/>
    </row>
    <row r="158" spans="66:93" ht="12" customHeight="1">
      <c r="BN158" s="491" t="s">
        <v>657</v>
      </c>
      <c r="BO158" s="484"/>
      <c r="BP158" s="492" t="s">
        <v>658</v>
      </c>
      <c r="BQ158" s="407"/>
      <c r="BR158" s="330"/>
      <c r="BS158" s="348"/>
      <c r="BT158" s="330"/>
      <c r="BU158" s="348"/>
      <c r="BV158" s="409"/>
      <c r="BZ158" s="398"/>
    </row>
    <row r="159" spans="66:93" ht="12" customHeight="1">
      <c r="BN159" s="493">
        <v>0</v>
      </c>
      <c r="BO159" s="494" t="s">
        <v>562</v>
      </c>
      <c r="BP159" s="492">
        <v>3</v>
      </c>
      <c r="BQ159" s="483" t="s">
        <v>659</v>
      </c>
      <c r="BR159" s="484"/>
      <c r="BS159" s="488"/>
      <c r="BT159" s="484"/>
      <c r="BU159" s="488">
        <v>1</v>
      </c>
      <c r="BV159" s="489"/>
    </row>
    <row r="160" spans="66:93" ht="12" customHeight="1">
      <c r="BN160" s="493">
        <v>1.2</v>
      </c>
      <c r="BO160" s="494" t="s">
        <v>538</v>
      </c>
      <c r="BP160" s="492">
        <v>3</v>
      </c>
      <c r="BQ160" s="483" t="s">
        <v>660</v>
      </c>
      <c r="BR160" s="484"/>
      <c r="BS160" s="488"/>
      <c r="BT160" s="484"/>
      <c r="BU160" s="488">
        <v>1.3</v>
      </c>
      <c r="BV160" s="489"/>
    </row>
    <row r="161" spans="64:78">
      <c r="BL161" s="495" t="s">
        <v>661</v>
      </c>
      <c r="BM161" s="401"/>
      <c r="BN161" s="493">
        <v>1.5</v>
      </c>
      <c r="BO161" s="494" t="s">
        <v>539</v>
      </c>
      <c r="BP161" s="492">
        <v>4</v>
      </c>
      <c r="BQ161" s="483" t="s">
        <v>662</v>
      </c>
      <c r="BR161" s="484"/>
      <c r="BS161" s="488"/>
      <c r="BT161" s="484"/>
      <c r="BU161" s="488">
        <v>1.5</v>
      </c>
      <c r="BV161" s="489"/>
    </row>
    <row r="162" spans="64:78">
      <c r="BL162" s="495" t="s">
        <v>663</v>
      </c>
      <c r="BM162" s="401"/>
      <c r="BN162" s="493">
        <v>2</v>
      </c>
      <c r="BO162" s="494" t="s">
        <v>542</v>
      </c>
      <c r="BP162" s="492">
        <v>4</v>
      </c>
      <c r="BQ162" s="483" t="s">
        <v>664</v>
      </c>
      <c r="BR162" s="484"/>
      <c r="BS162" s="488"/>
      <c r="BT162" s="484"/>
      <c r="BU162" s="488">
        <v>15</v>
      </c>
      <c r="BV162" s="489" t="s">
        <v>346</v>
      </c>
      <c r="BZ162" s="398"/>
    </row>
    <row r="163" spans="64:78">
      <c r="BL163" s="495" t="s">
        <v>665</v>
      </c>
      <c r="BM163" s="401"/>
      <c r="BN163" s="493">
        <v>4</v>
      </c>
      <c r="BO163" s="494" t="s">
        <v>548</v>
      </c>
      <c r="BP163" s="492">
        <v>6</v>
      </c>
      <c r="BQ163" s="407"/>
      <c r="BR163" s="330"/>
      <c r="BS163" s="348"/>
      <c r="BT163" s="330"/>
      <c r="BU163" s="348"/>
      <c r="BV163" s="409"/>
      <c r="BZ163" s="398"/>
    </row>
    <row r="164" spans="64:78">
      <c r="BL164" s="495" t="s">
        <v>666</v>
      </c>
      <c r="BM164" s="401"/>
      <c r="BN164" s="493">
        <v>4.0000001000000003</v>
      </c>
      <c r="BO164" s="494" t="s">
        <v>548</v>
      </c>
      <c r="BP164" s="492">
        <v>6</v>
      </c>
      <c r="BQ164" s="483" t="s">
        <v>667</v>
      </c>
      <c r="BR164" s="484"/>
      <c r="BS164" s="488"/>
      <c r="BT164" s="484"/>
      <c r="BU164" s="488">
        <v>15</v>
      </c>
      <c r="BV164" s="489" t="s">
        <v>346</v>
      </c>
    </row>
    <row r="165" spans="64:78" ht="12" customHeight="1">
      <c r="BN165" s="407"/>
      <c r="BO165" s="330"/>
      <c r="BP165" s="330"/>
      <c r="BQ165" s="483" t="s">
        <v>668</v>
      </c>
      <c r="BR165" s="484"/>
      <c r="BS165" s="488"/>
      <c r="BT165" s="484"/>
      <c r="BU165" s="488">
        <v>15</v>
      </c>
      <c r="BV165" s="489" t="s">
        <v>346</v>
      </c>
      <c r="BZ165" s="398"/>
    </row>
    <row r="166" spans="64:78">
      <c r="BN166" s="407"/>
      <c r="BO166" s="330"/>
      <c r="BP166" s="330"/>
      <c r="BQ166" s="483" t="s">
        <v>669</v>
      </c>
      <c r="BR166" s="484"/>
      <c r="BS166" s="488"/>
      <c r="BT166" s="484"/>
      <c r="BU166" s="488">
        <v>15</v>
      </c>
      <c r="BV166" s="489" t="s">
        <v>346</v>
      </c>
      <c r="BZ166" s="398"/>
    </row>
    <row r="167" spans="64:78">
      <c r="BN167" s="407"/>
      <c r="BO167" s="330"/>
      <c r="BP167" s="330"/>
      <c r="BQ167" s="483" t="s">
        <v>670</v>
      </c>
      <c r="BR167" s="484"/>
      <c r="BS167" s="488"/>
      <c r="BT167" s="484"/>
      <c r="BU167" s="488">
        <v>30</v>
      </c>
      <c r="BV167" s="489" t="s">
        <v>346</v>
      </c>
      <c r="BZ167" s="398"/>
    </row>
    <row r="168" spans="64:78">
      <c r="BN168" s="460"/>
      <c r="BO168" s="357"/>
      <c r="BP168" s="357"/>
      <c r="BQ168" s="483" t="s">
        <v>671</v>
      </c>
      <c r="BR168" s="484"/>
      <c r="BS168" s="488"/>
      <c r="BT168" s="484"/>
      <c r="BU168" s="488">
        <v>100</v>
      </c>
      <c r="BV168" s="489" t="s">
        <v>4</v>
      </c>
      <c r="BZ168" s="398"/>
    </row>
    <row r="169" spans="64:78">
      <c r="BN169" s="496"/>
      <c r="BO169" s="497"/>
      <c r="BP169" s="357"/>
      <c r="BQ169" s="483" t="s">
        <v>672</v>
      </c>
      <c r="BR169" s="484"/>
      <c r="BS169" s="488"/>
      <c r="BT169" s="484"/>
      <c r="BU169" s="488">
        <v>2</v>
      </c>
      <c r="BV169" s="489" t="s">
        <v>4</v>
      </c>
      <c r="BZ169" s="398"/>
    </row>
    <row r="170" spans="64:78">
      <c r="BN170" s="496"/>
      <c r="BO170" s="497"/>
      <c r="BP170" s="357"/>
      <c r="BQ170" s="407"/>
      <c r="BR170" s="330"/>
      <c r="BS170" s="348"/>
      <c r="BT170" s="330"/>
      <c r="BU170" s="348"/>
      <c r="BV170" s="409"/>
      <c r="BZ170" s="398"/>
    </row>
    <row r="171" spans="64:78">
      <c r="BN171" s="496"/>
      <c r="BO171" s="497"/>
      <c r="BP171" s="357"/>
      <c r="BQ171" s="407"/>
      <c r="BR171" s="330"/>
      <c r="BS171" s="348"/>
      <c r="BT171" s="330"/>
      <c r="BU171" s="348"/>
      <c r="BV171" s="409"/>
      <c r="BZ171" s="398"/>
    </row>
    <row r="172" spans="64:78">
      <c r="BN172" s="496"/>
      <c r="BO172" s="497"/>
      <c r="BP172" s="357"/>
      <c r="BQ172" s="483" t="s">
        <v>673</v>
      </c>
      <c r="BR172" s="484"/>
      <c r="BS172" s="488"/>
      <c r="BT172" s="484"/>
      <c r="BU172" s="488">
        <v>6</v>
      </c>
      <c r="BV172" s="489" t="s">
        <v>4</v>
      </c>
      <c r="BZ172" s="398"/>
    </row>
    <row r="173" spans="64:78">
      <c r="BN173" s="407"/>
      <c r="BO173" s="330"/>
      <c r="BP173" s="330"/>
      <c r="BQ173" s="483" t="s">
        <v>674</v>
      </c>
      <c r="BR173" s="484"/>
      <c r="BS173" s="488"/>
      <c r="BT173" s="484"/>
      <c r="BU173" s="488">
        <v>2</v>
      </c>
      <c r="BV173" s="489" t="s">
        <v>4</v>
      </c>
      <c r="BZ173" s="398"/>
    </row>
    <row r="174" spans="64:78">
      <c r="BN174" s="483"/>
      <c r="BO174" s="492" t="s">
        <v>675</v>
      </c>
      <c r="BP174" s="492" t="s">
        <v>676</v>
      </c>
      <c r="BQ174" s="483" t="s">
        <v>677</v>
      </c>
      <c r="BR174" s="484"/>
      <c r="BS174" s="488"/>
      <c r="BT174" s="484"/>
      <c r="BU174" s="488">
        <v>50</v>
      </c>
      <c r="BV174" s="489" t="s">
        <v>4</v>
      </c>
      <c r="BZ174" s="398"/>
    </row>
    <row r="175" spans="64:78">
      <c r="BN175" s="483" t="s">
        <v>533</v>
      </c>
      <c r="BO175" s="498">
        <v>0</v>
      </c>
      <c r="BP175" s="498">
        <v>0.3</v>
      </c>
      <c r="BQ175" s="483" t="s">
        <v>678</v>
      </c>
      <c r="BR175" s="484"/>
      <c r="BS175" s="488"/>
      <c r="BT175" s="484"/>
      <c r="BU175" s="499">
        <v>3</v>
      </c>
      <c r="BV175" s="489" t="s">
        <v>679</v>
      </c>
      <c r="BZ175" s="398"/>
    </row>
    <row r="176" spans="64:78">
      <c r="BN176" s="483" t="s">
        <v>536</v>
      </c>
      <c r="BO176" s="498">
        <v>0.05</v>
      </c>
      <c r="BP176" s="498">
        <v>0.3</v>
      </c>
      <c r="BQ176" s="483" t="s">
        <v>680</v>
      </c>
      <c r="BR176" s="484"/>
      <c r="BS176" s="488"/>
      <c r="BT176" s="484"/>
      <c r="BU176" s="488">
        <v>1</v>
      </c>
      <c r="BV176" s="489" t="s">
        <v>4</v>
      </c>
      <c r="BZ176" s="398"/>
    </row>
    <row r="177" spans="66:86">
      <c r="BN177" s="483" t="s">
        <v>681</v>
      </c>
      <c r="BO177" s="498">
        <f>$AZ$7</f>
        <v>0.1</v>
      </c>
      <c r="BP177" s="498">
        <v>0.2</v>
      </c>
      <c r="BQ177" s="483" t="s">
        <v>682</v>
      </c>
      <c r="BR177" s="484"/>
      <c r="BS177" s="488"/>
      <c r="BT177" s="484"/>
      <c r="BU177" s="488">
        <v>0.3</v>
      </c>
      <c r="BV177" s="489" t="s">
        <v>4</v>
      </c>
      <c r="BZ177" s="398"/>
    </row>
    <row r="178" spans="66:86">
      <c r="BN178" s="407"/>
      <c r="BO178" s="361"/>
      <c r="BP178" s="361"/>
      <c r="BQ178" s="407"/>
      <c r="BR178" s="330"/>
      <c r="BS178" s="348"/>
      <c r="BT178" s="330"/>
      <c r="BU178" s="348"/>
      <c r="BV178" s="409"/>
      <c r="BZ178" s="398"/>
    </row>
    <row r="179" spans="66:86">
      <c r="BN179" s="407"/>
      <c r="BO179" s="361"/>
      <c r="BP179" s="361"/>
      <c r="BQ179" s="407"/>
      <c r="BR179" s="330"/>
      <c r="BS179" s="348"/>
      <c r="BT179" s="330"/>
      <c r="BU179" s="348"/>
      <c r="BV179" s="409"/>
      <c r="BZ179" s="398"/>
    </row>
    <row r="180" spans="66:86">
      <c r="BN180" s="407"/>
      <c r="BQ180" s="407"/>
      <c r="BR180" s="330"/>
      <c r="BS180" s="348"/>
      <c r="BT180" s="330"/>
      <c r="BU180" s="348"/>
      <c r="BV180" s="409"/>
    </row>
    <row r="181" spans="66:86">
      <c r="BN181" s="407"/>
      <c r="BO181" s="330"/>
      <c r="BP181" s="330"/>
      <c r="BQ181" s="407"/>
      <c r="BR181" s="330"/>
      <c r="BS181" s="348"/>
      <c r="BT181" s="330"/>
      <c r="BU181" s="348"/>
      <c r="BV181" s="409"/>
      <c r="CH181" s="500"/>
    </row>
    <row r="182" spans="66:86">
      <c r="BN182" s="407"/>
      <c r="BO182" s="330"/>
      <c r="BP182" s="330"/>
      <c r="BQ182" s="407"/>
      <c r="BR182" s="330"/>
      <c r="BS182" s="348"/>
      <c r="BT182" s="330"/>
      <c r="BU182" s="348"/>
      <c r="BV182" s="409"/>
      <c r="CH182" s="500"/>
    </row>
    <row r="183" spans="66:86">
      <c r="BN183" s="483" t="s">
        <v>535</v>
      </c>
      <c r="BO183" s="484"/>
      <c r="BP183" s="484"/>
      <c r="BQ183" s="407"/>
      <c r="BR183" s="330"/>
      <c r="BS183" s="348"/>
      <c r="BT183" s="330"/>
      <c r="BU183" s="348"/>
      <c r="BV183" s="409"/>
      <c r="CD183" s="501"/>
      <c r="CH183" s="500"/>
    </row>
    <row r="184" spans="66:86">
      <c r="BN184" s="483" t="s">
        <v>683</v>
      </c>
      <c r="BO184" s="484"/>
      <c r="BP184" s="484"/>
      <c r="BQ184" s="407"/>
      <c r="BR184" s="330"/>
      <c r="BS184" s="348"/>
      <c r="BT184" s="330"/>
      <c r="BU184" s="348"/>
      <c r="BV184" s="409"/>
      <c r="CH184" s="500"/>
    </row>
    <row r="185" spans="66:86">
      <c r="BN185" s="483" t="s">
        <v>684</v>
      </c>
      <c r="BO185" s="484"/>
      <c r="BP185" s="484"/>
      <c r="BQ185" s="407"/>
      <c r="BR185" s="330"/>
      <c r="BS185" s="348"/>
      <c r="BT185" s="330"/>
      <c r="BU185" s="348"/>
      <c r="BV185" s="409"/>
      <c r="BX185" s="372"/>
      <c r="BY185" s="384"/>
      <c r="CD185" s="501"/>
      <c r="CE185" s="372"/>
      <c r="CF185" s="384"/>
      <c r="CG185" s="501"/>
      <c r="CH185" s="500"/>
    </row>
    <row r="186" spans="66:86">
      <c r="BN186" s="407"/>
      <c r="BO186" s="330"/>
      <c r="BP186" s="330"/>
      <c r="BQ186" s="407"/>
      <c r="BR186" s="330"/>
      <c r="BS186" s="348"/>
      <c r="BT186" s="330"/>
      <c r="BU186" s="348"/>
      <c r="BV186" s="409"/>
      <c r="BX186" s="372"/>
      <c r="BY186" s="384"/>
      <c r="CE186" s="372"/>
      <c r="CF186" s="384"/>
    </row>
    <row r="187" spans="66:86">
      <c r="BN187" s="407"/>
      <c r="BO187" s="330"/>
      <c r="BP187" s="330"/>
      <c r="BQ187" s="407"/>
      <c r="BR187" s="330"/>
      <c r="BS187" s="348"/>
      <c r="BT187" s="330"/>
      <c r="BU187" s="348"/>
      <c r="BV187" s="409"/>
      <c r="CD187" s="372"/>
      <c r="CE187" s="500"/>
      <c r="CF187" s="500"/>
      <c r="CG187" s="502"/>
      <c r="CH187" s="363"/>
    </row>
    <row r="188" spans="66:86">
      <c r="BN188" s="483" t="s">
        <v>534</v>
      </c>
      <c r="BO188" s="484"/>
      <c r="BP188" s="484"/>
      <c r="BQ188" s="407"/>
      <c r="BR188" s="330"/>
      <c r="BS188" s="348"/>
      <c r="BT188" s="330"/>
      <c r="BU188" s="348"/>
      <c r="BV188" s="409"/>
      <c r="BY188" s="379"/>
      <c r="CD188" s="372"/>
      <c r="CE188" s="500"/>
      <c r="CF188" s="500"/>
      <c r="CG188" s="502"/>
      <c r="CH188" s="363"/>
    </row>
    <row r="189" spans="66:86">
      <c r="BN189" s="483" t="s">
        <v>685</v>
      </c>
      <c r="BO189" s="484"/>
      <c r="BP189" s="484"/>
      <c r="BQ189" s="407"/>
      <c r="BR189" s="330"/>
      <c r="BS189" s="348"/>
      <c r="BT189" s="330"/>
      <c r="BU189" s="348"/>
      <c r="BV189" s="409"/>
      <c r="CD189" s="372"/>
      <c r="CE189" s="500"/>
      <c r="CF189" s="500"/>
      <c r="CG189" s="502"/>
    </row>
    <row r="190" spans="66:86">
      <c r="BN190" s="407"/>
      <c r="BO190" s="330"/>
      <c r="BP190" s="330"/>
      <c r="BQ190" s="407"/>
      <c r="BR190" s="330"/>
      <c r="BS190" s="348"/>
      <c r="BT190" s="330"/>
      <c r="BU190" s="348"/>
      <c r="BV190" s="409"/>
      <c r="CE190" s="500"/>
      <c r="CF190" s="500"/>
      <c r="CG190" s="500"/>
      <c r="CH190" s="363"/>
    </row>
    <row r="191" spans="66:86">
      <c r="BN191" s="407"/>
      <c r="BO191" s="330"/>
      <c r="BP191" s="330"/>
      <c r="BQ191" s="407"/>
      <c r="BR191" s="330"/>
      <c r="BS191" s="348"/>
      <c r="BT191" s="330"/>
      <c r="BU191" s="348"/>
      <c r="BV191" s="409"/>
      <c r="CF191" s="500"/>
      <c r="CG191" s="500"/>
      <c r="CH191" s="500"/>
    </row>
    <row r="192" spans="66:86">
      <c r="BN192" s="407"/>
      <c r="BO192" s="330"/>
      <c r="BP192" s="330"/>
      <c r="BQ192" s="407"/>
      <c r="BR192" s="330"/>
      <c r="BS192" s="348"/>
      <c r="BT192" s="330"/>
      <c r="BU192" s="348"/>
      <c r="BV192" s="409"/>
    </row>
    <row r="193" spans="66:74">
      <c r="BN193" s="407"/>
      <c r="BO193" s="330"/>
      <c r="BP193" s="330"/>
      <c r="BQ193" s="407"/>
      <c r="BR193" s="330"/>
      <c r="BS193" s="348"/>
      <c r="BT193" s="330"/>
      <c r="BU193" s="348"/>
      <c r="BV193" s="409"/>
    </row>
    <row r="194" spans="66:74">
      <c r="BN194" s="407"/>
      <c r="BO194" s="330"/>
      <c r="BP194" s="330"/>
      <c r="BQ194" s="407"/>
      <c r="BR194" s="330"/>
      <c r="BS194" s="348"/>
      <c r="BT194" s="330"/>
      <c r="BU194" s="348"/>
      <c r="BV194" s="409"/>
    </row>
    <row r="195" spans="66:74">
      <c r="BN195" s="407"/>
      <c r="BO195" s="330"/>
      <c r="BP195" s="330"/>
      <c r="BQ195" s="407"/>
      <c r="BR195" s="330"/>
      <c r="BS195" s="348"/>
      <c r="BT195" s="330"/>
      <c r="BU195" s="348"/>
      <c r="BV195" s="409"/>
    </row>
    <row r="196" spans="66:74">
      <c r="BN196" s="407"/>
      <c r="BO196" s="330"/>
      <c r="BP196" s="361"/>
      <c r="BQ196" s="407"/>
      <c r="BR196" s="330"/>
      <c r="BS196" s="348"/>
      <c r="BT196" s="330"/>
      <c r="BU196" s="348"/>
      <c r="BV196" s="409"/>
    </row>
    <row r="197" spans="66:74">
      <c r="BN197" s="407"/>
      <c r="BO197" s="330"/>
      <c r="BP197" s="361"/>
      <c r="BQ197" s="460"/>
      <c r="BR197" s="330"/>
      <c r="BS197" s="330"/>
      <c r="BT197" s="348"/>
      <c r="BU197" s="330"/>
      <c r="BV197" s="409"/>
    </row>
    <row r="198" spans="66:74">
      <c r="BN198" s="407"/>
      <c r="BO198" s="330"/>
      <c r="BP198" s="361"/>
      <c r="BQ198" s="460"/>
      <c r="BR198" s="330"/>
      <c r="BS198" s="330"/>
      <c r="BT198" s="348"/>
      <c r="BU198" s="330"/>
      <c r="BV198" s="409"/>
    </row>
    <row r="199" spans="66:74">
      <c r="BN199" s="407"/>
      <c r="BO199" s="330"/>
      <c r="BP199" s="361"/>
      <c r="BQ199" s="460"/>
      <c r="BR199" s="330"/>
      <c r="BS199" s="330"/>
      <c r="BT199" s="348"/>
      <c r="BU199" s="330"/>
      <c r="BV199" s="409"/>
    </row>
    <row r="200" spans="66:74">
      <c r="BN200" s="407"/>
      <c r="BO200" s="330"/>
      <c r="BP200" s="361"/>
      <c r="BQ200" s="460"/>
      <c r="BR200" s="330"/>
      <c r="BS200" s="330"/>
      <c r="BT200" s="348"/>
      <c r="BU200" s="330"/>
      <c r="BV200" s="409"/>
    </row>
    <row r="201" spans="66:74">
      <c r="BN201" s="503"/>
      <c r="BO201" s="504"/>
      <c r="BP201" s="504"/>
      <c r="BQ201" s="467"/>
      <c r="BR201" s="504"/>
      <c r="BS201" s="504"/>
      <c r="BT201" s="505"/>
      <c r="BU201" s="504"/>
      <c r="BV201" s="506"/>
    </row>
    <row r="202" spans="66:74">
      <c r="BQ202" s="320"/>
      <c r="BT202" s="363"/>
    </row>
    <row r="203" spans="66:74">
      <c r="BQ203" s="320"/>
      <c r="BT203" s="363"/>
      <c r="BV203" s="330"/>
    </row>
    <row r="204" spans="66:74">
      <c r="BV204" s="507"/>
    </row>
    <row r="207" spans="66:74">
      <c r="BQ207" s="320"/>
      <c r="BU207" s="320"/>
    </row>
    <row r="208" spans="66:74">
      <c r="BO208" s="384"/>
      <c r="BQ208" s="320"/>
      <c r="BS208" s="384"/>
      <c r="BU208" s="320"/>
      <c r="BV208" s="330"/>
    </row>
    <row r="209" spans="66:74">
      <c r="BN209" s="320"/>
      <c r="BO209" s="384"/>
      <c r="BP209" s="320"/>
      <c r="BQ209" s="320"/>
      <c r="BR209" s="320"/>
      <c r="BS209" s="384"/>
      <c r="BT209" s="320"/>
      <c r="BU209" s="320"/>
      <c r="BV209" s="330"/>
    </row>
    <row r="210" spans="66:74">
      <c r="BN210" s="384"/>
      <c r="BO210" s="384"/>
      <c r="BP210" s="320"/>
      <c r="BQ210" s="320"/>
      <c r="BR210" s="384"/>
      <c r="BS210" s="384"/>
      <c r="BT210" s="320"/>
      <c r="BU210" s="320"/>
      <c r="BV210" s="330"/>
    </row>
    <row r="211" spans="66:74">
      <c r="BN211" s="384"/>
      <c r="BO211" s="384"/>
      <c r="BP211" s="320"/>
      <c r="BQ211" s="320"/>
      <c r="BR211" s="384"/>
      <c r="BS211" s="384"/>
      <c r="BT211" s="320"/>
      <c r="BU211" s="320"/>
      <c r="BV211" s="330"/>
    </row>
    <row r="212" spans="66:74">
      <c r="BN212" s="384"/>
      <c r="BO212" s="384"/>
      <c r="BP212" s="320"/>
      <c r="BQ212" s="320"/>
      <c r="BR212" s="384"/>
      <c r="BS212" s="384"/>
      <c r="BT212" s="320"/>
      <c r="BU212" s="320"/>
      <c r="BV212" s="330"/>
    </row>
    <row r="213" spans="66:74">
      <c r="BN213" s="384"/>
      <c r="BO213" s="384"/>
      <c r="BP213" s="320"/>
      <c r="BQ213" s="320"/>
      <c r="BR213" s="384"/>
      <c r="BS213" s="384"/>
      <c r="BT213" s="320"/>
      <c r="BU213" s="320"/>
      <c r="BV213" s="330"/>
    </row>
    <row r="214" spans="66:74">
      <c r="BN214" s="384"/>
      <c r="BO214" s="384"/>
      <c r="BP214" s="320"/>
      <c r="BQ214" s="320"/>
      <c r="BR214" s="384"/>
      <c r="BS214" s="384"/>
      <c r="BT214" s="320"/>
      <c r="BU214" s="320"/>
      <c r="BV214" s="330"/>
    </row>
    <row r="215" spans="66:74">
      <c r="BN215" s="384"/>
      <c r="BO215" s="384"/>
      <c r="BP215" s="320"/>
      <c r="BQ215" s="320"/>
      <c r="BR215" s="384"/>
      <c r="BS215" s="384"/>
      <c r="BT215" s="320"/>
      <c r="BU215" s="320"/>
      <c r="BV215" s="330"/>
    </row>
    <row r="216" spans="66:74">
      <c r="BN216" s="384"/>
      <c r="BO216" s="384"/>
      <c r="BP216" s="320"/>
      <c r="BQ216" s="320"/>
      <c r="BR216" s="384"/>
      <c r="BS216" s="384"/>
      <c r="BT216" s="320"/>
      <c r="BU216" s="320"/>
      <c r="BV216" s="330"/>
    </row>
    <row r="217" spans="66:74">
      <c r="BN217" s="384"/>
      <c r="BO217" s="384"/>
      <c r="BP217" s="320"/>
      <c r="BQ217" s="320"/>
      <c r="BR217" s="384"/>
      <c r="BS217" s="384"/>
      <c r="BT217" s="320"/>
      <c r="BU217" s="320"/>
      <c r="BV217" s="330"/>
    </row>
    <row r="218" spans="66:74">
      <c r="BN218" s="384"/>
      <c r="BO218" s="384"/>
      <c r="BP218" s="320"/>
      <c r="BQ218" s="320"/>
      <c r="BR218" s="384"/>
      <c r="BS218" s="384"/>
      <c r="BT218" s="320"/>
      <c r="BU218" s="320"/>
    </row>
    <row r="219" spans="66:74">
      <c r="BN219" s="384"/>
      <c r="BO219" s="384"/>
      <c r="BP219" s="320"/>
      <c r="BQ219" s="320"/>
      <c r="BR219" s="384"/>
      <c r="BS219" s="384"/>
      <c r="BT219" s="320"/>
      <c r="BU219" s="320"/>
    </row>
    <row r="220" spans="66:74">
      <c r="BN220" s="384"/>
      <c r="BO220" s="384"/>
      <c r="BP220" s="320"/>
      <c r="BQ220" s="320"/>
      <c r="BR220" s="384"/>
      <c r="BS220" s="384"/>
      <c r="BT220" s="320"/>
      <c r="BU220" s="320"/>
    </row>
    <row r="221" spans="66:74">
      <c r="BN221" s="384"/>
      <c r="BO221" s="384"/>
      <c r="BP221" s="320"/>
      <c r="BQ221" s="320"/>
      <c r="BR221" s="384"/>
      <c r="BS221" s="384"/>
      <c r="BT221" s="320"/>
      <c r="BU221" s="320"/>
    </row>
    <row r="222" spans="66:74">
      <c r="BN222" s="384"/>
      <c r="BO222" s="384"/>
      <c r="BP222" s="320"/>
      <c r="BQ222" s="320"/>
      <c r="BR222" s="384"/>
      <c r="BS222" s="384"/>
      <c r="BT222" s="320"/>
      <c r="BU222" s="320"/>
    </row>
    <row r="223" spans="66:74">
      <c r="BN223" s="384"/>
      <c r="BO223" s="384"/>
      <c r="BP223" s="320"/>
      <c r="BQ223" s="320"/>
      <c r="BR223" s="384"/>
      <c r="BS223" s="384"/>
      <c r="BT223" s="320"/>
      <c r="BU223" s="320"/>
    </row>
    <row r="224" spans="66:74">
      <c r="BN224" s="384"/>
      <c r="BO224" s="384"/>
      <c r="BP224" s="320"/>
      <c r="BQ224" s="320"/>
      <c r="BR224" s="384"/>
      <c r="BS224" s="384"/>
      <c r="BT224" s="320"/>
      <c r="BU224" s="320"/>
    </row>
    <row r="225" spans="66:73">
      <c r="BN225" s="384"/>
      <c r="BO225" s="384"/>
      <c r="BP225" s="320"/>
      <c r="BQ225" s="320"/>
      <c r="BR225" s="384"/>
      <c r="BS225" s="384"/>
      <c r="BT225" s="320"/>
      <c r="BU225" s="320"/>
    </row>
    <row r="226" spans="66:73">
      <c r="BN226" s="384"/>
      <c r="BO226" s="384"/>
      <c r="BP226" s="320"/>
      <c r="BQ226" s="320"/>
    </row>
    <row r="227" spans="66:73">
      <c r="BN227" s="384"/>
      <c r="BO227" s="384"/>
      <c r="BP227" s="320"/>
      <c r="BQ227" s="320"/>
    </row>
    <row r="228" spans="66:73">
      <c r="BN228" s="384"/>
      <c r="BO228" s="384"/>
      <c r="BP228" s="320"/>
      <c r="BQ228" s="320"/>
    </row>
    <row r="229" spans="66:73">
      <c r="BN229" s="384"/>
      <c r="BO229" s="384"/>
      <c r="BP229" s="320"/>
      <c r="BQ229" s="320"/>
    </row>
    <row r="230" spans="66:73">
      <c r="BN230" s="384"/>
      <c r="BO230" s="384"/>
      <c r="BP230" s="320"/>
      <c r="BQ230" s="320"/>
    </row>
    <row r="231" spans="66:73">
      <c r="BN231" s="384"/>
      <c r="BO231" s="384"/>
      <c r="BP231" s="320"/>
      <c r="BQ231" s="320"/>
    </row>
    <row r="232" spans="66:73">
      <c r="BN232" s="384"/>
      <c r="BO232" s="384"/>
      <c r="BP232" s="320"/>
      <c r="BQ232" s="320"/>
    </row>
    <row r="233" spans="66:73">
      <c r="BN233" s="384"/>
      <c r="BO233" s="384"/>
      <c r="BP233" s="320"/>
      <c r="BQ233" s="320"/>
    </row>
    <row r="234" spans="66:73">
      <c r="BN234" s="384"/>
      <c r="BO234" s="384"/>
      <c r="BP234" s="320"/>
      <c r="BQ234" s="320"/>
      <c r="BT234" s="363"/>
    </row>
    <row r="235" spans="66:73">
      <c r="BN235" s="384"/>
      <c r="BO235" s="384"/>
      <c r="BP235" s="320"/>
      <c r="BT235" s="363"/>
    </row>
    <row r="236" spans="66:73">
      <c r="BN236" s="384"/>
      <c r="BO236" s="384"/>
      <c r="BP236" s="320"/>
      <c r="BS236" s="363"/>
    </row>
    <row r="237" spans="66:73">
      <c r="BP237" s="320"/>
      <c r="BQ237" s="320"/>
    </row>
    <row r="238" spans="66:73">
      <c r="BQ238" s="320"/>
    </row>
    <row r="239" spans="66:73">
      <c r="BP239" s="320"/>
    </row>
    <row r="240" spans="66:73">
      <c r="BN240" s="384"/>
      <c r="BO240" s="384"/>
      <c r="BP240" s="320"/>
    </row>
    <row r="241" spans="66:69">
      <c r="BN241" s="384"/>
      <c r="BO241" s="384"/>
      <c r="BP241" s="320"/>
    </row>
    <row r="242" spans="66:69">
      <c r="BQ242" s="320"/>
    </row>
    <row r="243" spans="66:69">
      <c r="BO243" s="384"/>
      <c r="BQ243" s="320"/>
    </row>
    <row r="244" spans="66:69">
      <c r="BN244" s="320"/>
      <c r="BO244" s="384"/>
      <c r="BP244" s="320"/>
      <c r="BQ244" s="320"/>
    </row>
    <row r="245" spans="66:69">
      <c r="BN245" s="384"/>
      <c r="BO245" s="384"/>
      <c r="BP245" s="320"/>
      <c r="BQ245" s="320"/>
    </row>
    <row r="246" spans="66:69">
      <c r="BN246" s="384"/>
      <c r="BO246" s="384"/>
      <c r="BP246" s="320"/>
      <c r="BQ246" s="320"/>
    </row>
    <row r="247" spans="66:69">
      <c r="BN247" s="384"/>
      <c r="BO247" s="384"/>
      <c r="BP247" s="320"/>
      <c r="BQ247" s="320"/>
    </row>
    <row r="248" spans="66:69">
      <c r="BN248" s="384"/>
      <c r="BO248" s="384"/>
      <c r="BP248" s="320"/>
      <c r="BQ248" s="320"/>
    </row>
    <row r="249" spans="66:69">
      <c r="BN249" s="384"/>
      <c r="BO249" s="384"/>
      <c r="BP249" s="320"/>
      <c r="BQ249" s="320"/>
    </row>
    <row r="250" spans="66:69">
      <c r="BN250" s="384"/>
      <c r="BO250" s="384"/>
      <c r="BP250" s="320"/>
      <c r="BQ250" s="320"/>
    </row>
    <row r="251" spans="66:69">
      <c r="BN251" s="384"/>
      <c r="BO251" s="384"/>
      <c r="BP251" s="320"/>
      <c r="BQ251" s="320"/>
    </row>
    <row r="252" spans="66:69">
      <c r="BN252" s="384"/>
      <c r="BO252" s="384"/>
      <c r="BP252" s="320"/>
      <c r="BQ252" s="320"/>
    </row>
    <row r="253" spans="66:69">
      <c r="BN253" s="384"/>
      <c r="BO253" s="384"/>
      <c r="BP253" s="320"/>
      <c r="BQ253" s="320"/>
    </row>
    <row r="254" spans="66:69">
      <c r="BN254" s="384"/>
      <c r="BO254" s="384"/>
      <c r="BP254" s="320"/>
      <c r="BQ254" s="320"/>
    </row>
    <row r="255" spans="66:69">
      <c r="BN255" s="384"/>
      <c r="BO255" s="384"/>
      <c r="BP255" s="320"/>
      <c r="BQ255" s="320"/>
    </row>
    <row r="256" spans="66:69">
      <c r="BN256" s="384"/>
      <c r="BO256" s="384"/>
      <c r="BP256" s="320"/>
      <c r="BQ256" s="320"/>
    </row>
    <row r="257" spans="66:69">
      <c r="BN257" s="384"/>
      <c r="BO257" s="384"/>
      <c r="BP257" s="320"/>
      <c r="BQ257" s="320"/>
    </row>
    <row r="258" spans="66:69">
      <c r="BN258" s="384"/>
      <c r="BO258" s="384"/>
      <c r="BP258" s="320"/>
      <c r="BQ258" s="320"/>
    </row>
    <row r="259" spans="66:69">
      <c r="BN259" s="384"/>
      <c r="BO259" s="384"/>
      <c r="BP259" s="320"/>
      <c r="BQ259" s="320"/>
    </row>
    <row r="260" spans="66:69">
      <c r="BN260" s="384"/>
      <c r="BO260" s="384"/>
      <c r="BP260" s="320"/>
      <c r="BQ260" s="320"/>
    </row>
    <row r="261" spans="66:69">
      <c r="BN261" s="384"/>
      <c r="BO261" s="384"/>
      <c r="BP261" s="320"/>
      <c r="BQ261" s="320"/>
    </row>
    <row r="262" spans="66:69">
      <c r="BN262" s="384"/>
      <c r="BO262" s="384"/>
      <c r="BP262" s="320"/>
      <c r="BQ262" s="320"/>
    </row>
    <row r="263" spans="66:69">
      <c r="BN263" s="384"/>
      <c r="BO263" s="384"/>
      <c r="BP263" s="320"/>
      <c r="BQ263" s="320"/>
    </row>
    <row r="264" spans="66:69">
      <c r="BN264" s="384"/>
      <c r="BO264" s="384"/>
      <c r="BP264" s="320"/>
      <c r="BQ264" s="320"/>
    </row>
    <row r="265" spans="66:69">
      <c r="BN265" s="384"/>
      <c r="BO265" s="384"/>
      <c r="BP265" s="320"/>
      <c r="BQ265" s="320"/>
    </row>
    <row r="266" spans="66:69">
      <c r="BN266" s="384"/>
      <c r="BO266" s="384"/>
      <c r="BP266" s="320"/>
      <c r="BQ266" s="320"/>
    </row>
    <row r="267" spans="66:69">
      <c r="BN267" s="384"/>
      <c r="BO267" s="384"/>
      <c r="BP267" s="320"/>
      <c r="BQ267" s="320"/>
    </row>
    <row r="268" spans="66:69">
      <c r="BN268" s="384"/>
      <c r="BO268" s="384"/>
      <c r="BP268" s="320"/>
      <c r="BQ268" s="320"/>
    </row>
    <row r="269" spans="66:69">
      <c r="BN269" s="384"/>
      <c r="BO269" s="384"/>
      <c r="BP269" s="320"/>
      <c r="BQ269" s="320"/>
    </row>
    <row r="270" spans="66:69">
      <c r="BN270" s="384"/>
      <c r="BO270" s="384"/>
      <c r="BP270" s="320"/>
    </row>
    <row r="271" spans="66:69">
      <c r="BN271" s="384"/>
      <c r="BO271" s="384"/>
      <c r="BP271" s="320"/>
    </row>
    <row r="272" spans="66:69">
      <c r="BP272" s="320"/>
    </row>
  </sheetData>
  <dataConsolidate/>
  <mergeCells count="147">
    <mergeCell ref="M5:M7"/>
    <mergeCell ref="N5:N7"/>
    <mergeCell ref="O5:O7"/>
    <mergeCell ref="P5:P7"/>
    <mergeCell ref="A5:B8"/>
    <mergeCell ref="C5:D8"/>
    <mergeCell ref="E5:E7"/>
    <mergeCell ref="F5:F8"/>
    <mergeCell ref="G5:G8"/>
    <mergeCell ref="H5:H8"/>
    <mergeCell ref="I5:I7"/>
    <mergeCell ref="J5:J6"/>
    <mergeCell ref="BL5:BL7"/>
    <mergeCell ref="T6:T7"/>
    <mergeCell ref="U6:U7"/>
    <mergeCell ref="V6:V7"/>
    <mergeCell ref="W6:W7"/>
    <mergeCell ref="X6:X7"/>
    <mergeCell ref="AI5:AJ5"/>
    <mergeCell ref="AL5:AL7"/>
    <mergeCell ref="AM5:AO5"/>
    <mergeCell ref="AP5:AP7"/>
    <mergeCell ref="AQ5:AR5"/>
    <mergeCell ref="AS5:AS7"/>
    <mergeCell ref="AI6:AI7"/>
    <mergeCell ref="AJ6:AJ7"/>
    <mergeCell ref="AM6:AM7"/>
    <mergeCell ref="AN6:AN7"/>
    <mergeCell ref="AO6:AO7"/>
    <mergeCell ref="AQ6:AQ7"/>
    <mergeCell ref="AR6:AR7"/>
    <mergeCell ref="BA6:BA7"/>
    <mergeCell ref="BC6:BC7"/>
    <mergeCell ref="BE6:BE7"/>
    <mergeCell ref="AC6:AC7"/>
    <mergeCell ref="AD6:AD7"/>
    <mergeCell ref="AH6:AH8"/>
    <mergeCell ref="AT5:AT6"/>
    <mergeCell ref="AU5:AY5"/>
    <mergeCell ref="AZ5:AZ6"/>
    <mergeCell ref="BA5:BK5"/>
    <mergeCell ref="A18:C18"/>
    <mergeCell ref="A19:C19"/>
    <mergeCell ref="A20:C20"/>
    <mergeCell ref="A21:C21"/>
    <mergeCell ref="Q5:Q7"/>
    <mergeCell ref="R5:R8"/>
    <mergeCell ref="S5:S8"/>
    <mergeCell ref="T5:Y5"/>
    <mergeCell ref="Z5:AE5"/>
    <mergeCell ref="AF5:AG5"/>
    <mergeCell ref="Y6:Y7"/>
    <mergeCell ref="Z6:Z7"/>
    <mergeCell ref="AA6:AA7"/>
    <mergeCell ref="AB6:AB7"/>
    <mergeCell ref="AE6:AE7"/>
    <mergeCell ref="AF6:AF8"/>
    <mergeCell ref="AG6:AG7"/>
    <mergeCell ref="K5:K6"/>
    <mergeCell ref="L5:L6"/>
    <mergeCell ref="A22:C22"/>
    <mergeCell ref="BN28:BS29"/>
    <mergeCell ref="A13:C13"/>
    <mergeCell ref="A14:C14"/>
    <mergeCell ref="F14:J14"/>
    <mergeCell ref="A15:C15"/>
    <mergeCell ref="A16:C16"/>
    <mergeCell ref="A17:C17"/>
    <mergeCell ref="BN32:BN34"/>
    <mergeCell ref="BO32:BO34"/>
    <mergeCell ref="BP32:BP34"/>
    <mergeCell ref="BQ32:BQ34"/>
    <mergeCell ref="BR32:BR34"/>
    <mergeCell ref="BS32:BS34"/>
    <mergeCell ref="BU28:BZ29"/>
    <mergeCell ref="CB28:CG29"/>
    <mergeCell ref="BN30:BS30"/>
    <mergeCell ref="BU30:BZ30"/>
    <mergeCell ref="CB30:CG30"/>
    <mergeCell ref="BN31:BS31"/>
    <mergeCell ref="BU31:BZ31"/>
    <mergeCell ref="CB31:CG31"/>
    <mergeCell ref="CB32:CB34"/>
    <mergeCell ref="CC32:CC34"/>
    <mergeCell ref="CD32:CD34"/>
    <mergeCell ref="CE32:CE34"/>
    <mergeCell ref="CF32:CF34"/>
    <mergeCell ref="CG32:CG34"/>
    <mergeCell ref="BU32:BU34"/>
    <mergeCell ref="BV32:BV34"/>
    <mergeCell ref="BW32:BW34"/>
    <mergeCell ref="BX32:BX34"/>
    <mergeCell ref="BY32:BY34"/>
    <mergeCell ref="BZ32:BZ34"/>
    <mergeCell ref="DE111:DI111"/>
    <mergeCell ref="DJ111:DM111"/>
    <mergeCell ref="BW112:DQ112"/>
    <mergeCell ref="BW113:BX113"/>
    <mergeCell ref="CB113:CD113"/>
    <mergeCell ref="CE113:CE114"/>
    <mergeCell ref="CF113:CF114"/>
    <mergeCell ref="CG113:CG114"/>
    <mergeCell ref="CH113:CJ113"/>
    <mergeCell ref="CK113:CK114"/>
    <mergeCell ref="BW111:BZ111"/>
    <mergeCell ref="CB111:CG111"/>
    <mergeCell ref="CH111:CK111"/>
    <mergeCell ref="CP111:CT111"/>
    <mergeCell ref="CU111:CY111"/>
    <mergeCell ref="CZ111:DD111"/>
    <mergeCell ref="DN113:DQ113"/>
    <mergeCell ref="CZ113:DD113"/>
    <mergeCell ref="DE113:DI113"/>
    <mergeCell ref="DJ113:DM113"/>
    <mergeCell ref="BJ123:BM123"/>
    <mergeCell ref="BJ124:BM124"/>
    <mergeCell ref="BD125:BE125"/>
    <mergeCell ref="BF125:BM125"/>
    <mergeCell ref="BD126:BE126"/>
    <mergeCell ref="BF126:BM126"/>
    <mergeCell ref="CL113:CL114"/>
    <mergeCell ref="CP113:CQ113"/>
    <mergeCell ref="CU113:CY113"/>
    <mergeCell ref="BD130:BE130"/>
    <mergeCell ref="BF130:BM130"/>
    <mergeCell ref="BD131:BE131"/>
    <mergeCell ref="BF131:BM131"/>
    <mergeCell ref="BJ136:BM136"/>
    <mergeCell ref="E4:AE4"/>
    <mergeCell ref="AF4:BL4"/>
    <mergeCell ref="BD127:BE127"/>
    <mergeCell ref="BF127:BM127"/>
    <mergeCell ref="BD128:BE128"/>
    <mergeCell ref="BF128:BM128"/>
    <mergeCell ref="BD129:BE129"/>
    <mergeCell ref="BF129:BM129"/>
    <mergeCell ref="AH9:AH11"/>
    <mergeCell ref="BG6:BG7"/>
    <mergeCell ref="BJ6:BJ7"/>
    <mergeCell ref="J7:J8"/>
    <mergeCell ref="K7:K8"/>
    <mergeCell ref="L7:L8"/>
    <mergeCell ref="F9:F11"/>
    <mergeCell ref="G9:G11"/>
    <mergeCell ref="H9:H11"/>
    <mergeCell ref="R9:R11"/>
    <mergeCell ref="S9:S11"/>
  </mergeCells>
  <conditionalFormatting sqref="H12:I12 AS23 BC22:BD23 BG22:BH23 G20:J23 F23 J12:J13 K20:L22 K23:AO23 AQ23 F12:G13 AR22:AR23 N15:N22 AT22:AU23 AU21 AZ20:AZ21 AZ16:AZ18 AZ22:BA23 BJ22:BK23 G15:G19 I15:L19 AV21:AY23 BI21:BI23 BC14:BD17 BB14:BB23 BE14:BF23 R12:BK12 AU14:AU19 R14:AT14 BG14:BH17 BJ14:BK17 BI14:BI16 AX14:AY16 AV14:AW15 AZ14:BA15 G9:I9 A9:E9 A11:E12 A10:D10 G10:H10 G11:I11 L9:BL11 A15 P15:AJ21 P22:AO22 AP17:AP23 AO15:AO16 E16:E18 D13:E13 D15:E15 E22 K12:Q14 S13:BL13">
    <cfRule type="cellIs" dxfId="126" priority="1085" operator="lessThan">
      <formula>0</formula>
    </cfRule>
  </conditionalFormatting>
  <conditionalFormatting sqref="AK10">
    <cfRule type="cellIs" dxfId="125" priority="1084" operator="lessThan">
      <formula>0</formula>
    </cfRule>
  </conditionalFormatting>
  <conditionalFormatting sqref="AK10">
    <cfRule type="cellIs" dxfId="124" priority="1083" operator="lessThan">
      <formula>0</formula>
    </cfRule>
  </conditionalFormatting>
  <conditionalFormatting sqref="AK10">
    <cfRule type="cellIs" dxfId="123" priority="1082" operator="lessThan">
      <formula>0</formula>
    </cfRule>
  </conditionalFormatting>
  <conditionalFormatting sqref="AK10">
    <cfRule type="cellIs" dxfId="122" priority="1081" operator="lessThan">
      <formula>0</formula>
    </cfRule>
  </conditionalFormatting>
  <conditionalFormatting sqref="E10">
    <cfRule type="cellIs" dxfId="121" priority="1074" operator="lessThan">
      <formula>0</formula>
    </cfRule>
  </conditionalFormatting>
  <conditionalFormatting sqref="I10">
    <cfRule type="cellIs" dxfId="120" priority="1029" operator="lessThan">
      <formula>0</formula>
    </cfRule>
  </conditionalFormatting>
  <conditionalFormatting sqref="J9:K11">
    <cfRule type="cellIs" dxfId="119" priority="1006" operator="lessThan">
      <formula>0</formula>
    </cfRule>
  </conditionalFormatting>
  <conditionalFormatting sqref="AQ15:AQ16">
    <cfRule type="cellIs" dxfId="118" priority="42" operator="lessThan">
      <formula>0</formula>
    </cfRule>
  </conditionalFormatting>
  <conditionalFormatting sqref="AM16">
    <cfRule type="cellIs" dxfId="117" priority="40" operator="lessThan">
      <formula>0</formula>
    </cfRule>
  </conditionalFormatting>
  <conditionalFormatting sqref="AK15:AK16">
    <cfRule type="cellIs" dxfId="116" priority="45" operator="lessThan">
      <formula>0</formula>
    </cfRule>
  </conditionalFormatting>
  <conditionalFormatting sqref="AS15">
    <cfRule type="cellIs" dxfId="115" priority="44" operator="lessThan">
      <formula>0</formula>
    </cfRule>
  </conditionalFormatting>
  <conditionalFormatting sqref="AS16">
    <cfRule type="cellIs" dxfId="114" priority="43" operator="lessThan">
      <formula>0</formula>
    </cfRule>
  </conditionalFormatting>
  <conditionalFormatting sqref="AM15">
    <cfRule type="cellIs" dxfId="113" priority="41" operator="lessThan">
      <formula>0</formula>
    </cfRule>
  </conditionalFormatting>
  <conditionalFormatting sqref="A16 D16">
    <cfRule type="cellIs" dxfId="112" priority="39" operator="lessThan">
      <formula>0</formula>
    </cfRule>
  </conditionalFormatting>
  <conditionalFormatting sqref="A17 D17">
    <cfRule type="cellIs" dxfId="111" priority="38" operator="lessThan">
      <formula>0</formula>
    </cfRule>
  </conditionalFormatting>
  <conditionalFormatting sqref="A18 D18">
    <cfRule type="cellIs" dxfId="110" priority="37" operator="lessThan">
      <formula>0</formula>
    </cfRule>
  </conditionalFormatting>
  <conditionalFormatting sqref="A13">
    <cfRule type="cellIs" dxfId="109" priority="36" operator="lessThan">
      <formula>0</formula>
    </cfRule>
  </conditionalFormatting>
  <conditionalFormatting sqref="A14">
    <cfRule type="cellIs" dxfId="108" priority="6" operator="lessThan">
      <formula>0</formula>
    </cfRule>
  </conditionalFormatting>
  <conditionalFormatting sqref="A22 D22">
    <cfRule type="cellIs" dxfId="107" priority="5" operator="lessThan">
      <formula>0</formula>
    </cfRule>
  </conditionalFormatting>
  <conditionalFormatting sqref="A19">
    <cfRule type="cellIs" dxfId="106" priority="4" operator="lessThan">
      <formula>0</formula>
    </cfRule>
  </conditionalFormatting>
  <conditionalFormatting sqref="E20:E21">
    <cfRule type="cellIs" dxfId="105" priority="3" operator="lessThan">
      <formula>0</formula>
    </cfRule>
  </conditionalFormatting>
  <conditionalFormatting sqref="A20:A21 D20:D21">
    <cfRule type="cellIs" dxfId="104" priority="2" operator="lessThan">
      <formula>0</formula>
    </cfRule>
  </conditionalFormatting>
  <conditionalFormatting sqref="AV18:AV19">
    <cfRule type="cellIs" dxfId="103" priority="1" operator="lessThan">
      <formula>0</formula>
    </cfRule>
  </conditionalFormatting>
  <dataValidations count="6">
    <dataValidation type="list" showInputMessage="1" showErrorMessage="1" sqref="AH9">
      <formula1>$BN$183:$BN$185</formula1>
    </dataValidation>
    <dataValidation type="list" showErrorMessage="1" sqref="G9">
      <formula1>$BN$114:$BN$116</formula1>
    </dataValidation>
    <dataValidation type="list" showInputMessage="1" showErrorMessage="1" sqref="F9">
      <formula1>$BN$123:$BN$150</formula1>
    </dataValidation>
    <dataValidation type="list" showInputMessage="1" showErrorMessage="1" sqref="S9:S11">
      <formula1>$BN$188:$BN$189</formula1>
    </dataValidation>
    <dataValidation type="list" showErrorMessage="1" sqref="H9:H11">
      <formula1>$BN$119:$BN$120</formula1>
    </dataValidation>
    <dataValidation type="list" showInputMessage="1" showErrorMessage="1" sqref="R9:R11">
      <formula1>$BN$175:$BN$179</formula1>
    </dataValidation>
  </dataValidations>
  <printOptions horizontalCentered="1"/>
  <pageMargins left="0.59055118110236227" right="0.51181102362204722" top="0.98425196850393704" bottom="0.78740157480314965" header="0.39370078740157483" footer="0.39370078740157483"/>
  <pageSetup paperSize="9" scale="62" orientation="landscape" r:id="rId1"/>
  <headerFooter scaleWithDoc="0">
    <oddHeader>&amp;R&amp;G</oddHeader>
    <oddFooter>&amp;L&amp;"Arial,Negrito"&amp;10CTR 477F&amp;C&amp;"Arial,Negrito"&amp;10A.&amp;P</oddFooter>
  </headerFooter>
  <colBreaks count="1" manualBreakCount="1">
    <brk id="31" max="1048575" man="1"/>
  </colBreaks>
  <legacyDrawingHF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B2:H240"/>
  <sheetViews>
    <sheetView topLeftCell="A19" zoomScaleSheetLayoutView="110" workbookViewId="0">
      <selection activeCell="P38" sqref="P38"/>
    </sheetView>
  </sheetViews>
  <sheetFormatPr defaultColWidth="9.140625" defaultRowHeight="12.75" customHeight="1"/>
  <cols>
    <col min="1" max="1" width="9.140625" style="20"/>
    <col min="2" max="2" width="62.85546875" style="20" customWidth="1"/>
    <col min="3" max="3" width="13.7109375" style="20" customWidth="1"/>
    <col min="4" max="4" width="11.28515625" style="20" customWidth="1"/>
    <col min="5" max="5" width="9.140625" style="20"/>
    <col min="6" max="6" width="9.140625" style="20" customWidth="1"/>
    <col min="7" max="16384" width="9.140625" style="20"/>
  </cols>
  <sheetData>
    <row r="2" spans="2:8" s="2" customFormat="1" ht="15.75" customHeight="1">
      <c r="B2" s="894" t="s">
        <v>7</v>
      </c>
      <c r="C2" s="894"/>
      <c r="D2" s="894"/>
      <c r="E2" s="232"/>
    </row>
    <row r="3" spans="2:8" s="2" customFormat="1" ht="15.75" customHeight="1">
      <c r="B3" s="895" t="s">
        <v>400</v>
      </c>
      <c r="C3" s="895"/>
      <c r="D3" s="895"/>
      <c r="E3" s="232"/>
    </row>
    <row r="4" spans="2:8" s="2" customFormat="1" ht="12.75" customHeight="1">
      <c r="B4" s="3"/>
      <c r="C4" s="4"/>
      <c r="D4" s="4"/>
    </row>
    <row r="5" spans="2:8" s="2" customFormat="1" ht="12.75" customHeight="1">
      <c r="B5" s="3" t="s">
        <v>311</v>
      </c>
      <c r="C5" s="4"/>
      <c r="D5" s="4"/>
    </row>
    <row r="6" spans="2:8" s="2" customFormat="1" ht="12.75" customHeight="1">
      <c r="C6" s="4"/>
      <c r="D6" s="4"/>
    </row>
    <row r="7" spans="2:8" s="2" customFormat="1" ht="12.75" customHeight="1">
      <c r="B7" s="234" t="s">
        <v>312</v>
      </c>
      <c r="C7" s="4"/>
      <c r="D7" s="4"/>
    </row>
    <row r="8" spans="2:8" s="2" customFormat="1" ht="12.75" customHeight="1">
      <c r="B8" s="235" t="s">
        <v>313</v>
      </c>
      <c r="C8" s="5">
        <v>5.8</v>
      </c>
      <c r="D8" s="235" t="s">
        <v>4</v>
      </c>
    </row>
    <row r="9" spans="2:8" s="2" customFormat="1" ht="12.75" customHeight="1">
      <c r="B9" s="235" t="s">
        <v>314</v>
      </c>
      <c r="C9" s="5">
        <v>3.2</v>
      </c>
      <c r="D9" s="235" t="s">
        <v>4</v>
      </c>
      <c r="E9" s="232"/>
      <c r="F9" s="236"/>
      <c r="G9" s="236"/>
      <c r="H9" s="233"/>
    </row>
    <row r="10" spans="2:8" s="2" customFormat="1" ht="12.75" customHeight="1">
      <c r="B10" s="235" t="s">
        <v>354</v>
      </c>
      <c r="C10" s="5">
        <v>0.25</v>
      </c>
      <c r="D10" s="235" t="s">
        <v>4</v>
      </c>
      <c r="E10" s="232"/>
      <c r="F10" s="236"/>
      <c r="G10" s="236"/>
      <c r="H10" s="233"/>
    </row>
    <row r="11" spans="2:8" s="2" customFormat="1" ht="12.75" customHeight="1">
      <c r="B11" s="4" t="s">
        <v>315</v>
      </c>
      <c r="C11" s="6">
        <v>0.05</v>
      </c>
      <c r="D11" s="4" t="s">
        <v>4</v>
      </c>
      <c r="E11" s="232"/>
      <c r="F11" s="236"/>
      <c r="G11" s="236"/>
      <c r="H11" s="233"/>
    </row>
    <row r="12" spans="2:8" s="2" customFormat="1" ht="12.75" customHeight="1">
      <c r="B12" s="4" t="s">
        <v>316</v>
      </c>
      <c r="C12" s="6">
        <v>0.05</v>
      </c>
      <c r="D12" s="4" t="s">
        <v>4</v>
      </c>
      <c r="E12" s="232"/>
      <c r="F12" s="237"/>
    </row>
    <row r="13" spans="2:8" s="2" customFormat="1" ht="12.75" customHeight="1">
      <c r="B13" s="234" t="s">
        <v>317</v>
      </c>
      <c r="C13" s="238">
        <v>2</v>
      </c>
      <c r="D13" s="235" t="s">
        <v>8</v>
      </c>
      <c r="E13" s="232"/>
      <c r="F13" s="236"/>
      <c r="G13" s="236"/>
      <c r="H13" s="233"/>
    </row>
    <row r="14" spans="2:8" s="2" customFormat="1" ht="12.75" customHeight="1">
      <c r="B14" s="4" t="s">
        <v>313</v>
      </c>
      <c r="C14" s="6">
        <v>5.4</v>
      </c>
      <c r="D14" s="4" t="s">
        <v>4</v>
      </c>
      <c r="E14" s="232"/>
      <c r="F14" s="236"/>
      <c r="G14" s="236"/>
      <c r="H14" s="233"/>
    </row>
    <row r="15" spans="2:8" s="2" customFormat="1" ht="12.75" customHeight="1">
      <c r="B15" s="4" t="s">
        <v>314</v>
      </c>
      <c r="C15" s="6">
        <v>0.2</v>
      </c>
      <c r="D15" s="4" t="s">
        <v>4</v>
      </c>
      <c r="E15" s="232"/>
      <c r="F15" s="236"/>
      <c r="G15" s="236"/>
      <c r="H15" s="233"/>
    </row>
    <row r="16" spans="2:8" s="2" customFormat="1" ht="12.75" customHeight="1">
      <c r="B16" s="234" t="s">
        <v>318</v>
      </c>
      <c r="C16" s="238">
        <v>2</v>
      </c>
      <c r="D16" s="235" t="s">
        <v>8</v>
      </c>
      <c r="E16" s="232"/>
      <c r="F16" s="239"/>
      <c r="G16" s="240"/>
    </row>
    <row r="17" spans="2:8" s="2" customFormat="1" ht="12.75" customHeight="1">
      <c r="B17" s="4" t="s">
        <v>313</v>
      </c>
      <c r="C17" s="6">
        <v>2.4</v>
      </c>
      <c r="D17" s="4" t="s">
        <v>4</v>
      </c>
      <c r="E17" s="232"/>
      <c r="F17" s="236"/>
      <c r="G17" s="236"/>
      <c r="H17" s="233"/>
    </row>
    <row r="18" spans="2:8" s="2" customFormat="1" ht="12.75" customHeight="1">
      <c r="B18" s="4" t="s">
        <v>314</v>
      </c>
      <c r="C18" s="6">
        <v>0.2</v>
      </c>
      <c r="D18" s="4" t="s">
        <v>4</v>
      </c>
      <c r="E18" s="232"/>
      <c r="F18" s="236"/>
      <c r="G18" s="236"/>
      <c r="H18" s="233"/>
    </row>
    <row r="19" spans="2:8" s="2" customFormat="1" ht="12.75" customHeight="1">
      <c r="B19" s="235" t="s">
        <v>354</v>
      </c>
      <c r="C19" s="6">
        <v>1.4</v>
      </c>
      <c r="D19" s="4" t="s">
        <v>4</v>
      </c>
      <c r="E19" s="232"/>
      <c r="F19" s="237"/>
    </row>
    <row r="20" spans="2:8" s="2" customFormat="1" ht="12.75" customHeight="1">
      <c r="E20" s="232"/>
      <c r="F20" s="237"/>
    </row>
    <row r="21" spans="2:8" s="2" customFormat="1" ht="12.75" customHeight="1">
      <c r="F21" s="237"/>
    </row>
    <row r="22" spans="2:8" s="8" customFormat="1" ht="12.75" customHeight="1">
      <c r="B22" s="241" t="s">
        <v>319</v>
      </c>
      <c r="C22" s="242"/>
      <c r="D22" s="243"/>
      <c r="E22" s="244"/>
      <c r="F22" s="7"/>
      <c r="G22" s="141"/>
    </row>
    <row r="23" spans="2:8" s="8" customFormat="1" ht="12.75" customHeight="1">
      <c r="B23" s="241"/>
      <c r="C23" s="242"/>
      <c r="D23" s="243"/>
      <c r="E23" s="244"/>
      <c r="F23" s="7"/>
      <c r="G23" s="141"/>
    </row>
    <row r="24" spans="2:8" s="8" customFormat="1" ht="12.75" customHeight="1">
      <c r="B24" s="9" t="s">
        <v>320</v>
      </c>
      <c r="C24" s="242"/>
      <c r="D24" s="243"/>
      <c r="E24" s="244"/>
      <c r="F24" s="7"/>
      <c r="G24" s="141"/>
    </row>
    <row r="25" spans="2:8" s="8" customFormat="1" ht="12.75" customHeight="1">
      <c r="B25" s="9"/>
      <c r="C25" s="242"/>
      <c r="D25" s="243"/>
      <c r="E25" s="244"/>
      <c r="F25" s="7"/>
      <c r="G25" s="141"/>
    </row>
    <row r="26" spans="2:8" s="8" customFormat="1" ht="12.75" customHeight="1">
      <c r="B26" s="9" t="s">
        <v>376</v>
      </c>
      <c r="C26" s="9">
        <v>1</v>
      </c>
      <c r="D26" s="9" t="s">
        <v>377</v>
      </c>
      <c r="E26" s="244"/>
      <c r="F26" s="7"/>
      <c r="G26" s="141"/>
    </row>
    <row r="27" spans="2:8" s="8" customFormat="1" ht="12.75" customHeight="1">
      <c r="B27" s="9" t="s">
        <v>321</v>
      </c>
      <c r="C27" s="9">
        <v>1</v>
      </c>
      <c r="D27" s="9" t="s">
        <v>62</v>
      </c>
      <c r="E27" s="244"/>
      <c r="F27" s="7"/>
      <c r="G27" s="141"/>
    </row>
    <row r="28" spans="2:8" s="8" customFormat="1" ht="12.75" customHeight="1">
      <c r="B28" s="9" t="s">
        <v>9</v>
      </c>
      <c r="C28" s="245">
        <f>(C26*C27)</f>
        <v>1</v>
      </c>
      <c r="D28" s="9" t="str">
        <f>D27</f>
        <v>eqxdia</v>
      </c>
      <c r="E28" s="244"/>
      <c r="F28" s="7"/>
      <c r="G28" s="141"/>
    </row>
    <row r="29" spans="2:8" s="8" customFormat="1" ht="12.75" customHeight="1">
      <c r="B29" s="9"/>
      <c r="C29" s="242"/>
      <c r="D29" s="243"/>
      <c r="E29" s="244"/>
      <c r="F29" s="7"/>
      <c r="G29" s="141"/>
    </row>
    <row r="30" spans="2:8" s="8" customFormat="1" ht="12.75" customHeight="1">
      <c r="B30" s="584" t="s">
        <v>322</v>
      </c>
      <c r="C30" s="620">
        <f>(C28)</f>
        <v>1</v>
      </c>
      <c r="D30" s="621" t="str">
        <f>D28</f>
        <v>eqxdia</v>
      </c>
      <c r="E30" s="587">
        <v>70010008</v>
      </c>
      <c r="F30" s="587" t="s">
        <v>5</v>
      </c>
      <c r="G30" s="141"/>
    </row>
    <row r="31" spans="2:8" s="8" customFormat="1" ht="12.75" customHeight="1">
      <c r="B31" s="241"/>
      <c r="C31" s="246"/>
      <c r="D31" s="247"/>
      <c r="E31" s="244"/>
      <c r="F31" s="7"/>
      <c r="G31" s="141"/>
    </row>
    <row r="32" spans="2:8" s="8" customFormat="1" ht="12.75" customHeight="1">
      <c r="B32" s="241"/>
      <c r="C32" s="246"/>
      <c r="D32" s="247"/>
      <c r="E32" s="244"/>
      <c r="F32" s="7"/>
      <c r="G32" s="141"/>
    </row>
    <row r="33" spans="2:7" s="2" customFormat="1" ht="12.75" customHeight="1">
      <c r="B33" s="241" t="s">
        <v>323</v>
      </c>
      <c r="C33" s="242"/>
      <c r="D33" s="243"/>
      <c r="E33" s="232"/>
      <c r="F33" s="248"/>
      <c r="G33" s="249"/>
    </row>
    <row r="34" spans="2:7" s="2" customFormat="1" ht="12.75" customHeight="1">
      <c r="B34" s="10"/>
      <c r="C34" s="5"/>
      <c r="D34" s="11"/>
      <c r="E34" s="232"/>
      <c r="F34" s="248"/>
      <c r="G34" s="249"/>
    </row>
    <row r="35" spans="2:7" s="2" customFormat="1" ht="12.75" customHeight="1">
      <c r="B35" s="235" t="s">
        <v>402</v>
      </c>
      <c r="C35" s="5"/>
      <c r="D35" s="11"/>
      <c r="E35" s="232"/>
      <c r="F35" s="248"/>
      <c r="G35" s="249"/>
    </row>
    <row r="36" spans="2:7" s="2" customFormat="1" ht="12.75" customHeight="1">
      <c r="B36" s="235"/>
      <c r="C36" s="5"/>
      <c r="D36" s="11"/>
      <c r="E36" s="232"/>
      <c r="F36" s="248"/>
      <c r="G36" s="249"/>
    </row>
    <row r="37" spans="2:7" s="2" customFormat="1" ht="12.75" customHeight="1">
      <c r="B37" s="162" t="s">
        <v>325</v>
      </c>
      <c r="C37" s="12">
        <v>0.5</v>
      </c>
      <c r="D37" s="13" t="s">
        <v>4</v>
      </c>
      <c r="E37" s="232"/>
      <c r="F37" s="248"/>
      <c r="G37" s="249"/>
    </row>
    <row r="38" spans="2:7" s="2" customFormat="1" ht="12.75" customHeight="1">
      <c r="B38" s="14" t="s">
        <v>326</v>
      </c>
      <c r="C38" s="12">
        <f>(C10+C19+C11+C12)</f>
        <v>1.75</v>
      </c>
      <c r="D38" s="13" t="s">
        <v>4</v>
      </c>
      <c r="E38" s="232"/>
      <c r="F38" s="248"/>
      <c r="G38" s="249"/>
    </row>
    <row r="39" spans="2:7" s="2" customFormat="1" ht="12.75" customHeight="1">
      <c r="B39" s="14" t="str">
        <f t="shared" ref="B39:D40" si="0">B8</f>
        <v xml:space="preserve">Comprimento </v>
      </c>
      <c r="C39" s="250">
        <f t="shared" si="0"/>
        <v>5.8</v>
      </c>
      <c r="D39" s="14" t="str">
        <f t="shared" si="0"/>
        <v>m</v>
      </c>
      <c r="E39" s="232"/>
      <c r="F39" s="248"/>
      <c r="G39" s="249"/>
    </row>
    <row r="40" spans="2:7" s="2" customFormat="1" ht="12.75" customHeight="1">
      <c r="B40" s="14" t="str">
        <f t="shared" si="0"/>
        <v xml:space="preserve">Largura </v>
      </c>
      <c r="C40" s="250">
        <f t="shared" si="0"/>
        <v>3.2</v>
      </c>
      <c r="D40" s="14" t="str">
        <f t="shared" si="0"/>
        <v>m</v>
      </c>
      <c r="E40" s="232"/>
      <c r="F40" s="248"/>
      <c r="G40" s="249"/>
    </row>
    <row r="41" spans="2:7" s="2" customFormat="1" ht="12.75" customHeight="1">
      <c r="B41" s="14" t="s">
        <v>327</v>
      </c>
      <c r="C41" s="250">
        <f>(C37+C39+C37)</f>
        <v>6.8</v>
      </c>
      <c r="D41" s="14" t="s">
        <v>4</v>
      </c>
      <c r="E41" s="232"/>
      <c r="F41" s="248"/>
      <c r="G41" s="249"/>
    </row>
    <row r="42" spans="2:7" s="2" customFormat="1" ht="12.75" customHeight="1">
      <c r="B42" s="14" t="s">
        <v>328</v>
      </c>
      <c r="C42" s="250">
        <f>(C37+C40+C37)</f>
        <v>4.2</v>
      </c>
      <c r="D42" s="14" t="s">
        <v>4</v>
      </c>
      <c r="E42" s="232"/>
      <c r="F42" s="248"/>
      <c r="G42" s="249"/>
    </row>
    <row r="43" spans="2:7" s="2" customFormat="1" ht="12.75" customHeight="1">
      <c r="B43" s="9" t="s">
        <v>329</v>
      </c>
      <c r="C43" s="12">
        <f>(C41*C42)</f>
        <v>28.56</v>
      </c>
      <c r="D43" s="142" t="s">
        <v>1</v>
      </c>
      <c r="E43" s="232"/>
      <c r="F43" s="248"/>
      <c r="G43" s="249"/>
    </row>
    <row r="44" spans="2:7" s="2" customFormat="1" ht="12.75" customHeight="1">
      <c r="B44" s="14" t="s">
        <v>330</v>
      </c>
      <c r="C44" s="12">
        <f>C41+C37+C37</f>
        <v>7.8</v>
      </c>
      <c r="D44" s="13" t="s">
        <v>4</v>
      </c>
      <c r="E44" s="232"/>
      <c r="F44" s="248"/>
      <c r="G44" s="249"/>
    </row>
    <row r="45" spans="2:7" s="2" customFormat="1" ht="12.75" customHeight="1">
      <c r="B45" s="14" t="s">
        <v>331</v>
      </c>
      <c r="C45" s="12">
        <f>C42+C37+C37</f>
        <v>5.2</v>
      </c>
      <c r="D45" s="142" t="s">
        <v>4</v>
      </c>
      <c r="E45" s="232"/>
      <c r="F45" s="248"/>
      <c r="G45" s="249"/>
    </row>
    <row r="46" spans="2:7" s="2" customFormat="1" ht="12.75" customHeight="1">
      <c r="B46" s="9" t="s">
        <v>332</v>
      </c>
      <c r="C46" s="12">
        <f>(C44*C45)</f>
        <v>40.56</v>
      </c>
      <c r="D46" s="142" t="s">
        <v>1</v>
      </c>
      <c r="E46" s="232"/>
      <c r="F46" s="248"/>
      <c r="G46" s="249"/>
    </row>
    <row r="47" spans="2:7" s="2" customFormat="1" ht="12.75" customHeight="1">
      <c r="B47" s="251" t="s">
        <v>9</v>
      </c>
      <c r="C47" s="146">
        <f>((C38/3)*(C43+(SQRT(C43*C46))+C46))</f>
        <v>60.173856048637006</v>
      </c>
      <c r="D47" s="142" t="s">
        <v>6</v>
      </c>
      <c r="E47" s="232"/>
      <c r="F47" s="248"/>
      <c r="G47" s="249"/>
    </row>
    <row r="48" spans="2:7" s="2" customFormat="1" ht="12.75" customHeight="1">
      <c r="B48" s="251"/>
      <c r="C48" s="146"/>
      <c r="D48" s="142"/>
      <c r="E48" s="232"/>
      <c r="F48" s="248"/>
      <c r="G48" s="249"/>
    </row>
    <row r="49" spans="2:7" s="2" customFormat="1" ht="12.75" customHeight="1">
      <c r="B49" s="622" t="s">
        <v>401</v>
      </c>
      <c r="C49" s="623">
        <f>(C47)</f>
        <v>60.173856048637006</v>
      </c>
      <c r="D49" s="586" t="s">
        <v>6</v>
      </c>
      <c r="E49" s="624">
        <v>70030008</v>
      </c>
      <c r="F49" s="587" t="s">
        <v>5</v>
      </c>
      <c r="G49" s="249"/>
    </row>
    <row r="50" spans="2:7" s="2" customFormat="1" ht="12.75" customHeight="1">
      <c r="B50" s="10"/>
      <c r="C50" s="252"/>
      <c r="D50" s="11"/>
      <c r="E50" s="232"/>
      <c r="F50" s="248"/>
      <c r="G50" s="249"/>
    </row>
    <row r="51" spans="2:7" s="2" customFormat="1" ht="12.75" customHeight="1">
      <c r="B51" s="10"/>
      <c r="C51" s="252"/>
      <c r="D51" s="11"/>
      <c r="E51" s="232"/>
      <c r="F51" s="248"/>
      <c r="G51" s="249"/>
    </row>
    <row r="52" spans="2:7" s="2" customFormat="1" ht="12.75" customHeight="1">
      <c r="B52" s="253" t="s">
        <v>334</v>
      </c>
      <c r="C52" s="254"/>
      <c r="D52" s="255"/>
      <c r="E52" s="232"/>
      <c r="F52" s="248"/>
      <c r="G52" s="249"/>
    </row>
    <row r="53" spans="2:7" s="2" customFormat="1" ht="12.75" customHeight="1">
      <c r="B53" s="255"/>
      <c r="C53" s="256"/>
      <c r="D53" s="255"/>
      <c r="E53" s="232"/>
      <c r="F53" s="248"/>
      <c r="G53" s="249"/>
    </row>
    <row r="54" spans="2:7" s="2" customFormat="1" ht="12.75" customHeight="1">
      <c r="B54" s="255" t="s">
        <v>335</v>
      </c>
      <c r="C54" s="257">
        <f>C49</f>
        <v>60.173856048637006</v>
      </c>
      <c r="D54" s="255" t="s">
        <v>6</v>
      </c>
      <c r="E54" s="232"/>
      <c r="F54" s="248"/>
      <c r="G54" s="249"/>
    </row>
    <row r="55" spans="2:7" s="2" customFormat="1" ht="12.75" customHeight="1">
      <c r="B55" s="255" t="s">
        <v>336</v>
      </c>
      <c r="C55" s="257">
        <f>C92</f>
        <v>0.92799999999999994</v>
      </c>
      <c r="D55" s="257" t="str">
        <f>D92</f>
        <v>m³</v>
      </c>
      <c r="E55" s="232"/>
      <c r="F55" s="248"/>
      <c r="G55" s="249"/>
    </row>
    <row r="56" spans="2:7" s="2" customFormat="1" ht="12.75" customHeight="1">
      <c r="B56" s="255" t="s">
        <v>337</v>
      </c>
      <c r="C56" s="257">
        <f>C103</f>
        <v>0.92799999999999994</v>
      </c>
      <c r="D56" s="257" t="s">
        <v>6</v>
      </c>
      <c r="E56" s="232"/>
      <c r="F56" s="248"/>
      <c r="G56" s="249"/>
    </row>
    <row r="57" spans="2:7" s="2" customFormat="1" ht="12.75" customHeight="1">
      <c r="B57" s="255" t="s">
        <v>338</v>
      </c>
      <c r="C57" s="257">
        <f>(C8*C9*C10)+(C14*(C17+C18+C18)*C19)</f>
        <v>25.808000000000003</v>
      </c>
      <c r="D57" s="257" t="str">
        <f>D134</f>
        <v>m³</v>
      </c>
      <c r="E57" s="232"/>
      <c r="F57" s="248"/>
      <c r="G57" s="249"/>
    </row>
    <row r="58" spans="2:7" s="2" customFormat="1" ht="12.75" customHeight="1">
      <c r="B58" s="255" t="s">
        <v>9</v>
      </c>
      <c r="C58" s="146">
        <f>C54-(C55+C56+C57)</f>
        <v>32.509856048637005</v>
      </c>
      <c r="D58" s="142" t="s">
        <v>6</v>
      </c>
      <c r="E58" s="232"/>
      <c r="F58" s="248"/>
      <c r="G58" s="249"/>
    </row>
    <row r="59" spans="2:7" s="2" customFormat="1" ht="12.75" customHeight="1">
      <c r="B59" s="255"/>
      <c r="C59" s="257"/>
      <c r="D59" s="255"/>
      <c r="E59" s="232"/>
      <c r="F59" s="248"/>
      <c r="G59" s="249"/>
    </row>
    <row r="60" spans="2:7" s="2" customFormat="1" ht="12.75" customHeight="1">
      <c r="B60" s="622" t="s">
        <v>339</v>
      </c>
      <c r="C60" s="623">
        <f>(C58)</f>
        <v>32.509856048637005</v>
      </c>
      <c r="D60" s="586" t="s">
        <v>6</v>
      </c>
      <c r="E60" s="624">
        <v>70030025</v>
      </c>
      <c r="F60" s="587" t="s">
        <v>5</v>
      </c>
      <c r="G60" s="249"/>
    </row>
    <row r="61" spans="2:7" s="2" customFormat="1" ht="12.75" customHeight="1">
      <c r="B61" s="15"/>
      <c r="C61" s="258"/>
      <c r="D61" s="15"/>
      <c r="E61" s="232"/>
      <c r="F61" s="248"/>
      <c r="G61" s="249"/>
    </row>
    <row r="62" spans="2:7" s="2" customFormat="1" ht="12.75" customHeight="1">
      <c r="B62" s="15"/>
      <c r="C62" s="258"/>
      <c r="D62" s="15"/>
      <c r="E62" s="232"/>
      <c r="F62" s="248"/>
      <c r="G62" s="249"/>
    </row>
    <row r="63" spans="2:7" s="17" customFormat="1" ht="12.75" customHeight="1">
      <c r="B63" s="255" t="s">
        <v>340</v>
      </c>
      <c r="C63" s="254"/>
      <c r="D63" s="255"/>
      <c r="E63" s="16"/>
      <c r="F63" s="259"/>
      <c r="G63" s="260"/>
    </row>
    <row r="64" spans="2:7" s="17" customFormat="1" ht="12.75" customHeight="1">
      <c r="B64" s="15"/>
      <c r="C64" s="258"/>
      <c r="D64" s="15"/>
      <c r="E64" s="16"/>
      <c r="F64" s="259"/>
      <c r="G64" s="260"/>
    </row>
    <row r="65" spans="2:7" s="17" customFormat="1" ht="12.75" customHeight="1">
      <c r="B65" s="255" t="s">
        <v>341</v>
      </c>
      <c r="C65" s="256">
        <f>C49</f>
        <v>60.173856048637006</v>
      </c>
      <c r="D65" s="255" t="s">
        <v>6</v>
      </c>
      <c r="E65" s="16"/>
      <c r="F65" s="259"/>
      <c r="G65" s="260"/>
    </row>
    <row r="66" spans="2:7" s="17" customFormat="1" ht="12.75" customHeight="1">
      <c r="B66" s="254" t="s">
        <v>342</v>
      </c>
      <c r="C66" s="256">
        <f>C60</f>
        <v>32.509856048637005</v>
      </c>
      <c r="D66" s="255" t="s">
        <v>6</v>
      </c>
      <c r="E66" s="16"/>
      <c r="F66" s="259"/>
      <c r="G66" s="260"/>
    </row>
    <row r="67" spans="2:7" s="17" customFormat="1" ht="12.75" customHeight="1">
      <c r="B67" s="14" t="s">
        <v>343</v>
      </c>
      <c r="C67" s="254">
        <v>1.3</v>
      </c>
      <c r="D67" s="255"/>
      <c r="E67" s="16"/>
      <c r="F67" s="259"/>
      <c r="G67" s="260"/>
    </row>
    <row r="68" spans="2:7" s="17" customFormat="1" ht="12.75" customHeight="1">
      <c r="B68" s="14" t="s">
        <v>9</v>
      </c>
      <c r="C68" s="254">
        <f>((C65-C66)*C67)</f>
        <v>35.963200000000001</v>
      </c>
      <c r="D68" s="255" t="s">
        <v>6</v>
      </c>
      <c r="E68" s="16"/>
      <c r="F68" s="259"/>
      <c r="G68" s="260"/>
    </row>
    <row r="69" spans="2:7" s="17" customFormat="1" ht="12.75" customHeight="1">
      <c r="B69" s="255"/>
      <c r="C69" s="254"/>
      <c r="D69" s="255"/>
      <c r="E69" s="16"/>
      <c r="F69" s="259"/>
      <c r="G69" s="260"/>
    </row>
    <row r="70" spans="2:7" s="17" customFormat="1" ht="12.75" customHeight="1">
      <c r="B70" s="622" t="s">
        <v>396</v>
      </c>
      <c r="C70" s="623">
        <f>(C68)</f>
        <v>35.963200000000001</v>
      </c>
      <c r="D70" s="586" t="s">
        <v>6</v>
      </c>
      <c r="E70" s="624">
        <v>100978</v>
      </c>
      <c r="F70" s="587" t="s">
        <v>2</v>
      </c>
      <c r="G70" s="260"/>
    </row>
    <row r="71" spans="2:7" s="17" customFormat="1" ht="12.75" customHeight="1">
      <c r="B71" s="255"/>
      <c r="C71" s="18"/>
      <c r="D71" s="255"/>
      <c r="E71" s="16"/>
      <c r="F71" s="259"/>
      <c r="G71" s="260"/>
    </row>
    <row r="72" spans="2:7" s="17" customFormat="1" ht="12.75" customHeight="1">
      <c r="B72" s="255"/>
      <c r="C72" s="256"/>
      <c r="D72" s="255"/>
      <c r="E72" s="16"/>
      <c r="F72" s="259"/>
      <c r="G72" s="260"/>
    </row>
    <row r="73" spans="2:7" s="2" customFormat="1" ht="12.75" customHeight="1">
      <c r="B73" s="253" t="s">
        <v>344</v>
      </c>
      <c r="C73" s="254"/>
      <c r="D73" s="255"/>
      <c r="E73" s="232"/>
      <c r="F73" s="248"/>
      <c r="G73" s="249"/>
    </row>
    <row r="74" spans="2:7" s="2" customFormat="1" ht="12.75" customHeight="1">
      <c r="B74" s="235"/>
      <c r="C74" s="5"/>
      <c r="D74" s="261"/>
      <c r="E74" s="232"/>
      <c r="F74" s="248"/>
      <c r="G74" s="249"/>
    </row>
    <row r="75" spans="2:7" s="2" customFormat="1" ht="12.75" customHeight="1">
      <c r="B75" s="235" t="s">
        <v>345</v>
      </c>
      <c r="C75" s="238">
        <v>15</v>
      </c>
      <c r="D75" s="261" t="s">
        <v>346</v>
      </c>
      <c r="E75" s="232"/>
      <c r="F75" s="248"/>
      <c r="G75" s="249"/>
    </row>
    <row r="76" spans="2:7" s="2" customFormat="1" ht="12.75" customHeight="1">
      <c r="B76" s="235" t="str">
        <f>B70</f>
        <v>Volume total de carga, manobra e descarga de solos</v>
      </c>
      <c r="C76" s="5">
        <f>ROUND(C70,2)</f>
        <v>35.96</v>
      </c>
      <c r="D76" s="235" t="str">
        <f>D70</f>
        <v>m³</v>
      </c>
      <c r="E76" s="232"/>
      <c r="F76" s="248"/>
      <c r="G76" s="249"/>
    </row>
    <row r="77" spans="2:7" s="2" customFormat="1" ht="12.75" customHeight="1">
      <c r="B77" s="235" t="s">
        <v>9</v>
      </c>
      <c r="C77" s="5">
        <f>(C76*C75)</f>
        <v>539.4</v>
      </c>
      <c r="D77" s="261" t="s">
        <v>397</v>
      </c>
      <c r="E77" s="232"/>
      <c r="F77" s="248"/>
      <c r="G77" s="249"/>
    </row>
    <row r="78" spans="2:7" s="2" customFormat="1" ht="12.75" customHeight="1">
      <c r="B78" s="235"/>
      <c r="C78" s="5"/>
      <c r="D78" s="261"/>
      <c r="E78" s="232"/>
      <c r="F78" s="248"/>
      <c r="G78" s="249"/>
    </row>
    <row r="79" spans="2:7" s="2" customFormat="1" ht="12.75" customHeight="1">
      <c r="B79" s="622" t="s">
        <v>347</v>
      </c>
      <c r="C79" s="623">
        <f>(C77)</f>
        <v>539.4</v>
      </c>
      <c r="D79" s="586" t="s">
        <v>397</v>
      </c>
      <c r="E79" s="624">
        <v>95875</v>
      </c>
      <c r="F79" s="587" t="s">
        <v>2</v>
      </c>
      <c r="G79" s="249"/>
    </row>
    <row r="80" spans="2:7" s="2" customFormat="1" ht="12.75" customHeight="1">
      <c r="B80" s="10"/>
      <c r="C80" s="252"/>
      <c r="D80" s="11"/>
      <c r="E80" s="232"/>
      <c r="F80" s="248"/>
      <c r="G80" s="249"/>
    </row>
    <row r="81" spans="2:7" s="2" customFormat="1" ht="12.75" customHeight="1">
      <c r="B81" s="10"/>
      <c r="C81" s="252"/>
      <c r="D81" s="11"/>
      <c r="E81" s="232"/>
      <c r="F81" s="248"/>
      <c r="G81" s="249"/>
    </row>
    <row r="82" spans="2:7" ht="12.75" customHeight="1">
      <c r="B82" s="241" t="s">
        <v>348</v>
      </c>
      <c r="C82" s="242"/>
      <c r="D82" s="243"/>
      <c r="E82" s="19"/>
      <c r="F82" s="262"/>
      <c r="G82" s="262"/>
    </row>
    <row r="83" spans="2:7" ht="12.75" customHeight="1">
      <c r="B83" s="3"/>
      <c r="C83" s="254"/>
      <c r="D83" s="143"/>
      <c r="E83" s="19"/>
      <c r="F83" s="262"/>
      <c r="G83" s="262"/>
    </row>
    <row r="84" spans="2:7" ht="12.75" customHeight="1">
      <c r="B84" s="263" t="s">
        <v>349</v>
      </c>
      <c r="C84" s="264"/>
      <c r="D84" s="265"/>
      <c r="E84" s="19"/>
      <c r="F84" s="262"/>
      <c r="G84" s="262"/>
    </row>
    <row r="85" spans="2:7" ht="12.75" customHeight="1">
      <c r="B85" s="4"/>
      <c r="C85" s="254"/>
      <c r="D85" s="255"/>
      <c r="E85" s="19"/>
      <c r="F85" s="262"/>
      <c r="G85" s="262"/>
    </row>
    <row r="86" spans="2:7" ht="12.75" customHeight="1">
      <c r="B86" s="22" t="str">
        <f>B7</f>
        <v>Laje de Fundo em Concreto Armado</v>
      </c>
      <c r="C86" s="4"/>
      <c r="D86" s="4"/>
      <c r="E86" s="19"/>
      <c r="F86" s="262"/>
      <c r="G86" s="262"/>
    </row>
    <row r="87" spans="2:7" ht="12.75" customHeight="1">
      <c r="B87" s="4" t="str">
        <f>B8</f>
        <v xml:space="preserve">Comprimento </v>
      </c>
      <c r="C87" s="6">
        <f>C8</f>
        <v>5.8</v>
      </c>
      <c r="D87" s="4" t="str">
        <f>D8</f>
        <v>m</v>
      </c>
      <c r="E87" s="19"/>
      <c r="F87" s="262"/>
      <c r="G87" s="262"/>
    </row>
    <row r="88" spans="2:7" ht="12.75" customHeight="1">
      <c r="B88" s="4" t="str">
        <f>B9</f>
        <v xml:space="preserve">Largura </v>
      </c>
      <c r="C88" s="6">
        <f>C9</f>
        <v>3.2</v>
      </c>
      <c r="D88" s="4" t="str">
        <f>D9</f>
        <v>m</v>
      </c>
      <c r="E88" s="19"/>
      <c r="F88" s="262"/>
      <c r="G88" s="262"/>
    </row>
    <row r="89" spans="2:7" ht="12.75" customHeight="1">
      <c r="B89" s="4" t="str">
        <f>B11</f>
        <v>Altura do lastro de brita</v>
      </c>
      <c r="C89" s="4">
        <f>C11</f>
        <v>0.05</v>
      </c>
      <c r="D89" s="4" t="str">
        <f>D11</f>
        <v>m</v>
      </c>
      <c r="E89" s="19"/>
      <c r="F89" s="262"/>
      <c r="G89" s="262"/>
    </row>
    <row r="90" spans="2:7" ht="12.75" customHeight="1">
      <c r="B90" s="4" t="s">
        <v>9</v>
      </c>
      <c r="C90" s="6">
        <f>(C87*C88*C89)</f>
        <v>0.92799999999999994</v>
      </c>
      <c r="D90" s="4" t="s">
        <v>6</v>
      </c>
      <c r="E90" s="19"/>
      <c r="F90" s="262"/>
      <c r="G90" s="262"/>
    </row>
    <row r="91" spans="2:7" ht="12.75" customHeight="1">
      <c r="B91" s="4"/>
      <c r="C91" s="4"/>
      <c r="D91" s="4"/>
      <c r="E91" s="19"/>
      <c r="F91" s="262"/>
      <c r="G91" s="262"/>
    </row>
    <row r="92" spans="2:7" ht="12.75" customHeight="1">
      <c r="B92" s="622" t="s">
        <v>350</v>
      </c>
      <c r="C92" s="623">
        <f>(C90)</f>
        <v>0.92799999999999994</v>
      </c>
      <c r="D92" s="586" t="s">
        <v>6</v>
      </c>
      <c r="E92" s="624">
        <v>96622</v>
      </c>
      <c r="F92" s="587" t="s">
        <v>2</v>
      </c>
      <c r="G92" s="262"/>
    </row>
    <row r="93" spans="2:7" ht="12.75" customHeight="1">
      <c r="B93" s="254"/>
      <c r="C93" s="254"/>
      <c r="D93" s="255"/>
      <c r="E93" s="19"/>
      <c r="F93" s="262"/>
      <c r="G93" s="262"/>
    </row>
    <row r="94" spans="2:7" ht="12.75" customHeight="1">
      <c r="B94" s="254"/>
      <c r="C94" s="254"/>
      <c r="D94" s="255"/>
      <c r="E94" s="19"/>
      <c r="F94" s="262"/>
      <c r="G94" s="262"/>
    </row>
    <row r="95" spans="2:7" ht="12.75" customHeight="1">
      <c r="B95" s="253" t="s">
        <v>351</v>
      </c>
      <c r="C95" s="254"/>
      <c r="D95" s="255"/>
      <c r="E95" s="19"/>
      <c r="F95" s="262"/>
      <c r="G95" s="262"/>
    </row>
    <row r="96" spans="2:7" ht="12.75" customHeight="1">
      <c r="B96" s="4"/>
      <c r="C96" s="254"/>
      <c r="D96" s="255"/>
      <c r="E96" s="19"/>
      <c r="F96" s="262"/>
      <c r="G96" s="262"/>
    </row>
    <row r="97" spans="2:7" ht="12.75" customHeight="1">
      <c r="B97" s="22" t="str">
        <f>B7</f>
        <v>Laje de Fundo em Concreto Armado</v>
      </c>
      <c r="C97" s="4"/>
      <c r="D97" s="4"/>
      <c r="E97" s="19"/>
      <c r="F97" s="262"/>
      <c r="G97" s="262"/>
    </row>
    <row r="98" spans="2:7" ht="12.75" customHeight="1">
      <c r="B98" s="4" t="str">
        <f>B8</f>
        <v xml:space="preserve">Comprimento </v>
      </c>
      <c r="C98" s="6">
        <f>C8</f>
        <v>5.8</v>
      </c>
      <c r="D98" s="4" t="str">
        <f>D8</f>
        <v>m</v>
      </c>
      <c r="E98" s="19"/>
      <c r="F98" s="262"/>
      <c r="G98" s="262"/>
    </row>
    <row r="99" spans="2:7" ht="12.75" customHeight="1">
      <c r="B99" s="4" t="str">
        <f>B9</f>
        <v xml:space="preserve">Largura </v>
      </c>
      <c r="C99" s="6">
        <f>C9</f>
        <v>3.2</v>
      </c>
      <c r="D99" s="4" t="str">
        <f>D9</f>
        <v>m</v>
      </c>
      <c r="E99" s="19"/>
      <c r="F99" s="262"/>
      <c r="G99" s="262"/>
    </row>
    <row r="100" spans="2:7" ht="12.75" customHeight="1">
      <c r="B100" s="4" t="str">
        <f>B12</f>
        <v>Altura do lastro de concreto magro</v>
      </c>
      <c r="C100" s="6">
        <f>C12</f>
        <v>0.05</v>
      </c>
      <c r="D100" s="4" t="str">
        <f>D12</f>
        <v>m</v>
      </c>
      <c r="E100" s="19"/>
      <c r="F100" s="262"/>
      <c r="G100" s="262"/>
    </row>
    <row r="101" spans="2:7" ht="12.75" customHeight="1">
      <c r="B101" s="4" t="s">
        <v>9</v>
      </c>
      <c r="C101" s="6">
        <f>(C98*C99*C100)</f>
        <v>0.92799999999999994</v>
      </c>
      <c r="D101" s="4" t="s">
        <v>6</v>
      </c>
      <c r="E101" s="19"/>
      <c r="F101" s="262"/>
      <c r="G101" s="262"/>
    </row>
    <row r="102" spans="2:7" ht="12.75" customHeight="1">
      <c r="B102" s="4"/>
      <c r="C102" s="6"/>
      <c r="D102" s="4"/>
      <c r="E102" s="19"/>
      <c r="F102" s="262"/>
      <c r="G102" s="262"/>
    </row>
    <row r="103" spans="2:7" ht="12.75" customHeight="1">
      <c r="B103" s="622" t="s">
        <v>352</v>
      </c>
      <c r="C103" s="623">
        <f>(C101)</f>
        <v>0.92799999999999994</v>
      </c>
      <c r="D103" s="586" t="s">
        <v>6</v>
      </c>
      <c r="E103" s="624">
        <v>96620</v>
      </c>
      <c r="F103" s="587" t="s">
        <v>2</v>
      </c>
      <c r="G103" s="262"/>
    </row>
    <row r="104" spans="2:7" ht="12.75" customHeight="1">
      <c r="B104" s="4"/>
      <c r="C104" s="254"/>
      <c r="D104" s="255"/>
      <c r="E104" s="19"/>
      <c r="F104" s="262"/>
      <c r="G104" s="262"/>
    </row>
    <row r="105" spans="2:7" ht="12.75" customHeight="1">
      <c r="B105" s="4"/>
      <c r="C105" s="254"/>
      <c r="D105" s="255"/>
      <c r="E105" s="19"/>
      <c r="F105" s="262"/>
      <c r="G105" s="262"/>
    </row>
    <row r="106" spans="2:7" ht="12.75" customHeight="1">
      <c r="B106" s="255" t="s">
        <v>353</v>
      </c>
      <c r="C106" s="254"/>
      <c r="D106" s="255"/>
      <c r="E106" s="19"/>
      <c r="F106" s="262"/>
      <c r="G106" s="262"/>
    </row>
    <row r="107" spans="2:7" ht="12.75" customHeight="1">
      <c r="B107" s="4"/>
      <c r="C107" s="6"/>
      <c r="D107" s="4"/>
      <c r="E107" s="19"/>
      <c r="F107" s="262"/>
      <c r="G107" s="262"/>
    </row>
    <row r="108" spans="2:7" ht="12.75" customHeight="1">
      <c r="B108" s="22" t="str">
        <f>B7</f>
        <v>Laje de Fundo em Concreto Armado</v>
      </c>
      <c r="C108" s="4"/>
      <c r="D108" s="4"/>
      <c r="E108" s="19"/>
      <c r="F108" s="262"/>
      <c r="G108" s="262"/>
    </row>
    <row r="109" spans="2:7" ht="12.75" customHeight="1">
      <c r="B109" s="4" t="str">
        <f>B8</f>
        <v xml:space="preserve">Comprimento </v>
      </c>
      <c r="C109" s="6">
        <f t="shared" ref="C109:D111" si="1">C8</f>
        <v>5.8</v>
      </c>
      <c r="D109" s="4" t="str">
        <f t="shared" si="1"/>
        <v>m</v>
      </c>
      <c r="E109" s="19"/>
      <c r="F109" s="262"/>
      <c r="G109" s="262"/>
    </row>
    <row r="110" spans="2:7" ht="12.75" customHeight="1">
      <c r="B110" s="4" t="str">
        <f>B9</f>
        <v xml:space="preserve">Largura </v>
      </c>
      <c r="C110" s="6">
        <f t="shared" si="1"/>
        <v>3.2</v>
      </c>
      <c r="D110" s="4" t="str">
        <f t="shared" si="1"/>
        <v>m</v>
      </c>
      <c r="E110" s="19"/>
      <c r="F110" s="262"/>
      <c r="G110" s="262"/>
    </row>
    <row r="111" spans="2:7" ht="12.75" customHeight="1">
      <c r="B111" s="4" t="str">
        <f>B10</f>
        <v>Altura</v>
      </c>
      <c r="C111" s="6">
        <f t="shared" si="1"/>
        <v>0.25</v>
      </c>
      <c r="D111" s="4" t="str">
        <f t="shared" si="1"/>
        <v>m</v>
      </c>
      <c r="E111" s="19"/>
      <c r="F111" s="262"/>
      <c r="G111" s="262"/>
    </row>
    <row r="112" spans="2:7" ht="12.75" customHeight="1">
      <c r="B112" s="4" t="s">
        <v>9</v>
      </c>
      <c r="C112" s="6">
        <f>((C109*C111*2)+(C110*C111*2))</f>
        <v>4.5</v>
      </c>
      <c r="D112" s="4" t="s">
        <v>1</v>
      </c>
      <c r="E112" s="19"/>
      <c r="F112" s="262"/>
      <c r="G112" s="262"/>
    </row>
    <row r="113" spans="2:7" ht="12.75" customHeight="1">
      <c r="B113" s="4"/>
      <c r="C113" s="6"/>
      <c r="D113" s="4"/>
      <c r="E113" s="19"/>
      <c r="F113" s="262"/>
      <c r="G113" s="262"/>
    </row>
    <row r="114" spans="2:7" ht="12.75" customHeight="1">
      <c r="B114" s="622" t="s">
        <v>355</v>
      </c>
      <c r="C114" s="623">
        <f>(C112)</f>
        <v>4.5</v>
      </c>
      <c r="D114" s="586" t="s">
        <v>1</v>
      </c>
      <c r="E114" s="624">
        <v>70070127</v>
      </c>
      <c r="F114" s="587" t="s">
        <v>5</v>
      </c>
      <c r="G114" s="262"/>
    </row>
    <row r="115" spans="2:7" ht="12.75" customHeight="1">
      <c r="B115" s="3"/>
      <c r="C115" s="258"/>
      <c r="D115" s="3"/>
      <c r="E115" s="19"/>
      <c r="F115" s="262"/>
      <c r="G115" s="262"/>
    </row>
    <row r="116" spans="2:7" ht="12.75" customHeight="1">
      <c r="B116" s="3"/>
      <c r="C116" s="258"/>
      <c r="D116" s="3"/>
      <c r="E116" s="19"/>
      <c r="F116" s="262"/>
      <c r="G116" s="262"/>
    </row>
    <row r="117" spans="2:7" s="266" customFormat="1" ht="12.75" customHeight="1">
      <c r="B117" s="255" t="s">
        <v>358</v>
      </c>
      <c r="C117" s="21"/>
      <c r="D117" s="3"/>
      <c r="E117" s="19"/>
      <c r="F117" s="259"/>
      <c r="G117" s="262"/>
    </row>
    <row r="118" spans="2:7" s="266" customFormat="1" ht="12.75" customHeight="1">
      <c r="B118" s="144"/>
      <c r="C118" s="21"/>
      <c r="D118" s="3"/>
      <c r="E118" s="19"/>
      <c r="F118" s="259"/>
      <c r="G118" s="262"/>
    </row>
    <row r="119" spans="2:7" s="266" customFormat="1" ht="12.75" customHeight="1">
      <c r="B119" s="144" t="s">
        <v>378</v>
      </c>
      <c r="C119" s="6">
        <v>100</v>
      </c>
      <c r="D119" s="4" t="s">
        <v>379</v>
      </c>
      <c r="E119" s="19"/>
      <c r="F119" s="259"/>
      <c r="G119" s="262"/>
    </row>
    <row r="120" spans="2:7" s="266" customFormat="1" ht="12.75" customHeight="1">
      <c r="B120" s="144" t="str">
        <f>B134</f>
        <v>Volume total de concreto estrutural, FCK = 30,0 MPa</v>
      </c>
      <c r="C120" s="276">
        <f t="shared" ref="C120:D120" si="2">C134</f>
        <v>4.6399999999999997</v>
      </c>
      <c r="D120" s="144" t="str">
        <f t="shared" si="2"/>
        <v>m³</v>
      </c>
      <c r="E120" s="19"/>
      <c r="F120" s="259"/>
      <c r="G120" s="262"/>
    </row>
    <row r="121" spans="2:7" s="266" customFormat="1" ht="12.75" customHeight="1">
      <c r="B121" s="144" t="s">
        <v>9</v>
      </c>
      <c r="C121" s="256">
        <f>(C119*C120)</f>
        <v>463.99999999999994</v>
      </c>
      <c r="D121" s="256" t="s">
        <v>61</v>
      </c>
      <c r="E121" s="19"/>
      <c r="F121" s="259"/>
      <c r="G121" s="262"/>
    </row>
    <row r="122" spans="2:7" s="266" customFormat="1" ht="12.75" customHeight="1">
      <c r="B122" s="144"/>
      <c r="C122" s="256"/>
      <c r="D122" s="256"/>
      <c r="E122" s="19"/>
      <c r="F122" s="259"/>
      <c r="G122" s="262"/>
    </row>
    <row r="123" spans="2:7" ht="12.75" customHeight="1">
      <c r="B123" s="622" t="s">
        <v>359</v>
      </c>
      <c r="C123" s="623">
        <f>(C121)</f>
        <v>463.99999999999994</v>
      </c>
      <c r="D123" s="586" t="s">
        <v>61</v>
      </c>
      <c r="E123" s="624">
        <v>70070135</v>
      </c>
      <c r="F123" s="587" t="s">
        <v>5</v>
      </c>
      <c r="G123" s="262"/>
    </row>
    <row r="124" spans="2:7" ht="12.75" customHeight="1">
      <c r="B124" s="267"/>
      <c r="C124" s="268"/>
      <c r="D124" s="269"/>
      <c r="E124" s="19"/>
      <c r="F124" s="262"/>
      <c r="G124" s="262"/>
    </row>
    <row r="125" spans="2:7" ht="12.75" customHeight="1">
      <c r="B125" s="3"/>
      <c r="C125" s="258"/>
      <c r="D125" s="3"/>
      <c r="E125" s="19"/>
      <c r="F125" s="262"/>
      <c r="G125" s="262"/>
    </row>
    <row r="126" spans="2:7" ht="12.75" customHeight="1">
      <c r="B126" s="4" t="s">
        <v>360</v>
      </c>
      <c r="C126" s="3"/>
      <c r="D126" s="3"/>
      <c r="E126" s="19"/>
      <c r="F126" s="262"/>
      <c r="G126" s="262"/>
    </row>
    <row r="127" spans="2:7" ht="12.75" customHeight="1">
      <c r="B127" s="4"/>
      <c r="C127" s="4"/>
      <c r="D127" s="4"/>
      <c r="E127" s="19"/>
      <c r="F127" s="262"/>
      <c r="G127" s="262"/>
    </row>
    <row r="128" spans="2:7" ht="12.75" customHeight="1">
      <c r="B128" s="22" t="str">
        <f>B7</f>
        <v>Laje de Fundo em Concreto Armado</v>
      </c>
      <c r="C128" s="4"/>
      <c r="D128" s="4"/>
      <c r="E128" s="19"/>
      <c r="F128" s="262"/>
      <c r="G128" s="262"/>
    </row>
    <row r="129" spans="2:7" ht="12.75" customHeight="1">
      <c r="B129" s="4" t="str">
        <f>B8</f>
        <v xml:space="preserve">Comprimento </v>
      </c>
      <c r="C129" s="6">
        <f t="shared" ref="C129:D129" si="3">C8</f>
        <v>5.8</v>
      </c>
      <c r="D129" s="4" t="str">
        <f t="shared" si="3"/>
        <v>m</v>
      </c>
      <c r="E129" s="19"/>
      <c r="F129" s="262"/>
      <c r="G129" s="262"/>
    </row>
    <row r="130" spans="2:7" ht="12.75" customHeight="1">
      <c r="B130" s="4" t="str">
        <f t="shared" ref="B130:D131" si="4">B9</f>
        <v xml:space="preserve">Largura </v>
      </c>
      <c r="C130" s="6">
        <f t="shared" si="4"/>
        <v>3.2</v>
      </c>
      <c r="D130" s="4" t="str">
        <f t="shared" si="4"/>
        <v>m</v>
      </c>
      <c r="E130" s="19"/>
      <c r="F130" s="262"/>
      <c r="G130" s="262"/>
    </row>
    <row r="131" spans="2:7" ht="12.75" customHeight="1">
      <c r="B131" s="4" t="str">
        <f t="shared" si="4"/>
        <v>Altura</v>
      </c>
      <c r="C131" s="4">
        <f t="shared" si="4"/>
        <v>0.25</v>
      </c>
      <c r="D131" s="4" t="str">
        <f t="shared" si="4"/>
        <v>m</v>
      </c>
      <c r="E131" s="19"/>
      <c r="F131" s="262"/>
      <c r="G131" s="262"/>
    </row>
    <row r="132" spans="2:7" ht="12.75" customHeight="1">
      <c r="B132" s="144" t="s">
        <v>9</v>
      </c>
      <c r="C132" s="6">
        <f>(C129*C130*C131)</f>
        <v>4.6399999999999997</v>
      </c>
      <c r="D132" s="4" t="s">
        <v>6</v>
      </c>
      <c r="E132" s="19"/>
      <c r="F132" s="262"/>
      <c r="G132" s="262"/>
    </row>
    <row r="133" spans="2:7" ht="12.75" customHeight="1">
      <c r="B133" s="4"/>
      <c r="C133" s="6"/>
      <c r="D133" s="4"/>
      <c r="E133" s="19"/>
      <c r="F133" s="262"/>
      <c r="G133" s="262"/>
    </row>
    <row r="134" spans="2:7" ht="12.75" customHeight="1">
      <c r="B134" s="622" t="s">
        <v>361</v>
      </c>
      <c r="C134" s="623">
        <f>(C132)</f>
        <v>4.6399999999999997</v>
      </c>
      <c r="D134" s="586" t="s">
        <v>6</v>
      </c>
      <c r="E134" s="624">
        <v>70070147</v>
      </c>
      <c r="F134" s="587" t="s">
        <v>5</v>
      </c>
      <c r="G134" s="262"/>
    </row>
    <row r="135" spans="2:7" ht="12.75" customHeight="1">
      <c r="B135" s="270"/>
      <c r="C135" s="270"/>
      <c r="D135" s="270"/>
      <c r="E135" s="19"/>
      <c r="F135" s="262"/>
      <c r="G135" s="262"/>
    </row>
    <row r="136" spans="2:7" ht="12.75" customHeight="1">
      <c r="B136" s="4"/>
      <c r="C136" s="271"/>
      <c r="D136" s="4"/>
      <c r="E136" s="19"/>
      <c r="F136" s="262"/>
      <c r="G136" s="262"/>
    </row>
    <row r="137" spans="2:7" s="2" customFormat="1" ht="12.75" customHeight="1">
      <c r="B137" s="4" t="s">
        <v>362</v>
      </c>
      <c r="C137" s="235"/>
      <c r="D137" s="4"/>
      <c r="E137" s="232"/>
      <c r="F137" s="237"/>
    </row>
    <row r="138" spans="2:7" s="2" customFormat="1" ht="12.75" customHeight="1">
      <c r="B138" s="22"/>
      <c r="C138" s="235"/>
      <c r="D138" s="4"/>
      <c r="E138" s="232"/>
      <c r="F138" s="237"/>
    </row>
    <row r="139" spans="2:7" s="2" customFormat="1" ht="12.75" customHeight="1">
      <c r="B139" s="22" t="s">
        <v>380</v>
      </c>
      <c r="C139" s="4"/>
      <c r="D139" s="4"/>
      <c r="E139" s="232"/>
      <c r="F139" s="237"/>
    </row>
    <row r="140" spans="2:7" s="2" customFormat="1" ht="12.75" customHeight="1">
      <c r="B140" s="4" t="s">
        <v>356</v>
      </c>
      <c r="C140" s="6">
        <f>(C14-C15-C15)</f>
        <v>5</v>
      </c>
      <c r="D140" s="4" t="s">
        <v>4</v>
      </c>
      <c r="E140" s="232"/>
      <c r="F140" s="237"/>
    </row>
    <row r="141" spans="2:7" s="2" customFormat="1" ht="12.75" customHeight="1">
      <c r="B141" s="4" t="s">
        <v>357</v>
      </c>
      <c r="C141" s="6">
        <f>C17</f>
        <v>2.4</v>
      </c>
      <c r="D141" s="4" t="s">
        <v>4</v>
      </c>
      <c r="E141" s="232"/>
      <c r="F141" s="237"/>
    </row>
    <row r="142" spans="2:7" ht="12.75" customHeight="1">
      <c r="B142" s="4" t="s">
        <v>381</v>
      </c>
      <c r="C142" s="6">
        <v>0.1</v>
      </c>
      <c r="D142" s="4" t="s">
        <v>4</v>
      </c>
      <c r="E142" s="19"/>
      <c r="F142" s="262"/>
      <c r="G142" s="262"/>
    </row>
    <row r="143" spans="2:7" ht="12.75" customHeight="1">
      <c r="B143" s="4" t="s">
        <v>9</v>
      </c>
      <c r="C143" s="6">
        <f>(C140*C141*C142)</f>
        <v>1.2000000000000002</v>
      </c>
      <c r="D143" s="4" t="s">
        <v>6</v>
      </c>
      <c r="E143" s="19"/>
      <c r="F143" s="262"/>
      <c r="G143" s="262"/>
    </row>
    <row r="144" spans="2:7" ht="12.75" customHeight="1">
      <c r="B144" s="4"/>
      <c r="C144" s="6"/>
      <c r="D144" s="4"/>
      <c r="E144" s="19"/>
      <c r="F144" s="262"/>
      <c r="G144" s="262"/>
    </row>
    <row r="145" spans="2:7" ht="12.75" customHeight="1">
      <c r="B145" s="622" t="s">
        <v>363</v>
      </c>
      <c r="C145" s="623">
        <f>(C143)</f>
        <v>1.2000000000000002</v>
      </c>
      <c r="D145" s="586" t="s">
        <v>6</v>
      </c>
      <c r="E145" s="624">
        <v>70070142</v>
      </c>
      <c r="F145" s="587" t="s">
        <v>5</v>
      </c>
      <c r="G145" s="262"/>
    </row>
    <row r="146" spans="2:7" ht="12.75" customHeight="1">
      <c r="B146" s="4"/>
      <c r="C146" s="6"/>
      <c r="D146" s="4"/>
      <c r="E146" s="19"/>
      <c r="F146" s="262"/>
      <c r="G146" s="262"/>
    </row>
    <row r="147" spans="2:7" ht="12.75" customHeight="1">
      <c r="B147" s="4"/>
      <c r="C147" s="6"/>
      <c r="D147" s="4"/>
      <c r="E147" s="19"/>
      <c r="F147" s="262"/>
      <c r="G147" s="262"/>
    </row>
    <row r="148" spans="2:7" s="235" customFormat="1" ht="12.75" customHeight="1">
      <c r="B148" s="3" t="s">
        <v>364</v>
      </c>
      <c r="D148" s="4"/>
      <c r="E148" s="232"/>
      <c r="F148" s="237"/>
      <c r="G148" s="272"/>
    </row>
    <row r="149" spans="2:7" s="235" customFormat="1" ht="12.75" customHeight="1">
      <c r="B149" s="22"/>
      <c r="D149" s="4"/>
      <c r="E149" s="232"/>
      <c r="F149" s="237"/>
      <c r="G149" s="272"/>
    </row>
    <row r="150" spans="2:7" s="235" customFormat="1" ht="12.75" customHeight="1">
      <c r="B150" s="263" t="s">
        <v>365</v>
      </c>
      <c r="C150" s="256"/>
      <c r="D150" s="6"/>
      <c r="E150" s="232"/>
      <c r="F150" s="237"/>
      <c r="G150" s="272"/>
    </row>
    <row r="151" spans="2:7" s="235" customFormat="1" ht="12.75" customHeight="1">
      <c r="B151" s="22"/>
      <c r="D151" s="4"/>
      <c r="E151" s="232"/>
      <c r="F151" s="237"/>
      <c r="G151" s="272"/>
    </row>
    <row r="152" spans="2:7" s="235" customFormat="1" ht="12.75" customHeight="1">
      <c r="B152" s="22" t="str">
        <f t="shared" ref="B152:D158" si="5">B13</f>
        <v>Paredes em Alvenaria (1)</v>
      </c>
      <c r="C152" s="4">
        <f t="shared" si="5"/>
        <v>2</v>
      </c>
      <c r="D152" s="4" t="str">
        <f t="shared" si="5"/>
        <v>unid</v>
      </c>
      <c r="E152" s="232"/>
      <c r="F152" s="237"/>
      <c r="G152" s="272"/>
    </row>
    <row r="153" spans="2:7" s="235" customFormat="1" ht="12.75" customHeight="1">
      <c r="B153" s="4" t="str">
        <f t="shared" si="5"/>
        <v xml:space="preserve">Comprimento </v>
      </c>
      <c r="C153" s="6">
        <f t="shared" si="5"/>
        <v>5.4</v>
      </c>
      <c r="D153" s="4" t="str">
        <f t="shared" si="5"/>
        <v>m</v>
      </c>
      <c r="E153" s="232"/>
      <c r="F153" s="237"/>
      <c r="G153" s="272"/>
    </row>
    <row r="154" spans="2:7" s="235" customFormat="1" ht="12.75" customHeight="1">
      <c r="B154" s="4" t="str">
        <f t="shared" si="5"/>
        <v xml:space="preserve">Largura </v>
      </c>
      <c r="C154" s="6">
        <f t="shared" si="5"/>
        <v>0.2</v>
      </c>
      <c r="D154" s="4" t="str">
        <f t="shared" si="5"/>
        <v>m</v>
      </c>
      <c r="E154" s="232"/>
      <c r="F154" s="237"/>
      <c r="G154" s="272"/>
    </row>
    <row r="155" spans="2:7" s="235" customFormat="1" ht="12.75" customHeight="1">
      <c r="B155" s="22" t="str">
        <f t="shared" si="5"/>
        <v>Paredes em Alvenaria (2)</v>
      </c>
      <c r="C155" s="4">
        <f t="shared" si="5"/>
        <v>2</v>
      </c>
      <c r="D155" s="4" t="str">
        <f t="shared" si="5"/>
        <v>unid</v>
      </c>
      <c r="E155" s="232"/>
      <c r="F155" s="237"/>
      <c r="G155" s="272"/>
    </row>
    <row r="156" spans="2:7" s="235" customFormat="1" ht="12.75" customHeight="1">
      <c r="B156" s="4" t="str">
        <f t="shared" si="5"/>
        <v xml:space="preserve">Comprimento </v>
      </c>
      <c r="C156" s="6">
        <f t="shared" si="5"/>
        <v>2.4</v>
      </c>
      <c r="D156" s="4" t="str">
        <f t="shared" si="5"/>
        <v>m</v>
      </c>
      <c r="E156" s="232"/>
      <c r="F156" s="237"/>
      <c r="G156" s="272"/>
    </row>
    <row r="157" spans="2:7" s="235" customFormat="1" ht="12.75" customHeight="1">
      <c r="B157" s="4" t="str">
        <f t="shared" si="5"/>
        <v xml:space="preserve">Largura </v>
      </c>
      <c r="C157" s="6">
        <f t="shared" si="5"/>
        <v>0.2</v>
      </c>
      <c r="D157" s="4" t="str">
        <f t="shared" si="5"/>
        <v>m</v>
      </c>
      <c r="E157" s="232"/>
      <c r="F157" s="237"/>
      <c r="G157" s="272"/>
    </row>
    <row r="158" spans="2:7" s="235" customFormat="1" ht="12.75" customHeight="1">
      <c r="B158" s="4" t="str">
        <f t="shared" si="5"/>
        <v>Altura</v>
      </c>
      <c r="C158" s="6">
        <f t="shared" si="5"/>
        <v>1.4</v>
      </c>
      <c r="D158" s="4" t="str">
        <f t="shared" si="5"/>
        <v>m</v>
      </c>
      <c r="E158" s="232"/>
      <c r="F158" s="237"/>
      <c r="G158" s="272"/>
    </row>
    <row r="159" spans="2:7" s="235" customFormat="1" ht="12.75" customHeight="1">
      <c r="B159" s="4" t="s">
        <v>9</v>
      </c>
      <c r="C159" s="6">
        <f>((C153*C158*C152)+(C156*C158*C155))</f>
        <v>21.84</v>
      </c>
      <c r="D159" s="4" t="s">
        <v>1</v>
      </c>
      <c r="E159" s="232"/>
      <c r="F159" s="237"/>
      <c r="G159" s="272"/>
    </row>
    <row r="160" spans="2:7" s="235" customFormat="1" ht="12.75" customHeight="1">
      <c r="B160" s="4"/>
      <c r="C160" s="6"/>
      <c r="D160" s="4"/>
      <c r="E160" s="232"/>
      <c r="F160" s="237"/>
      <c r="G160" s="272"/>
    </row>
    <row r="161" spans="2:7" s="235" customFormat="1" ht="12.75" customHeight="1">
      <c r="B161" s="622" t="s">
        <v>366</v>
      </c>
      <c r="C161" s="623">
        <f>(C159)</f>
        <v>21.84</v>
      </c>
      <c r="D161" s="586" t="s">
        <v>1</v>
      </c>
      <c r="E161" s="624">
        <v>70110015</v>
      </c>
      <c r="F161" s="587" t="s">
        <v>5</v>
      </c>
      <c r="G161" s="272"/>
    </row>
    <row r="162" spans="2:7" s="235" customFormat="1" ht="12.75" customHeight="1">
      <c r="B162" s="4"/>
      <c r="D162" s="4"/>
      <c r="E162" s="232"/>
      <c r="F162" s="237"/>
      <c r="G162" s="272"/>
    </row>
    <row r="163" spans="2:7" s="235" customFormat="1" ht="12.75" customHeight="1">
      <c r="B163" s="4"/>
      <c r="D163" s="4"/>
      <c r="E163" s="232"/>
      <c r="F163" s="237"/>
    </row>
    <row r="164" spans="2:7" s="9" customFormat="1" ht="12.75" customHeight="1">
      <c r="B164" s="241" t="s">
        <v>367</v>
      </c>
      <c r="C164" s="273"/>
      <c r="D164" s="243"/>
      <c r="E164" s="244"/>
      <c r="F164" s="274"/>
    </row>
    <row r="165" spans="2:7" s="9" customFormat="1" ht="12.75" customHeight="1">
      <c r="B165" s="241"/>
      <c r="C165" s="273"/>
      <c r="D165" s="243"/>
      <c r="E165" s="244"/>
      <c r="F165" s="274"/>
    </row>
    <row r="166" spans="2:7" s="9" customFormat="1" ht="12.75" customHeight="1">
      <c r="B166" s="4" t="s">
        <v>403</v>
      </c>
      <c r="C166" s="3"/>
      <c r="D166" s="3"/>
      <c r="E166" s="244"/>
      <c r="F166" s="274"/>
    </row>
    <row r="167" spans="2:7" s="9" customFormat="1" ht="12.75" customHeight="1">
      <c r="C167" s="273"/>
      <c r="D167" s="243"/>
      <c r="E167" s="244"/>
      <c r="F167" s="274"/>
    </row>
    <row r="168" spans="2:7" s="9" customFormat="1" ht="12.75" customHeight="1">
      <c r="B168" s="9" t="s">
        <v>368</v>
      </c>
      <c r="C168" s="9">
        <v>2</v>
      </c>
      <c r="D168" s="9" t="s">
        <v>8</v>
      </c>
      <c r="E168" s="244"/>
      <c r="F168" s="274"/>
    </row>
    <row r="169" spans="2:7" s="9" customFormat="1" ht="12.75" customHeight="1">
      <c r="B169" s="9" t="s">
        <v>9</v>
      </c>
      <c r="C169" s="245">
        <f>(C168)</f>
        <v>2</v>
      </c>
      <c r="D169" s="243" t="s">
        <v>8</v>
      </c>
      <c r="E169" s="244"/>
      <c r="F169" s="274"/>
    </row>
    <row r="170" spans="2:7" s="9" customFormat="1" ht="12.75" customHeight="1">
      <c r="B170" s="241"/>
      <c r="C170" s="273"/>
      <c r="D170" s="243"/>
      <c r="E170" s="244"/>
      <c r="F170" s="274"/>
    </row>
    <row r="171" spans="2:7" s="9" customFormat="1" ht="12.75" customHeight="1">
      <c r="B171" s="625" t="s">
        <v>404</v>
      </c>
      <c r="C171" s="626">
        <f>(C169)</f>
        <v>2</v>
      </c>
      <c r="D171" s="585" t="s">
        <v>8</v>
      </c>
      <c r="E171" s="624">
        <v>90730</v>
      </c>
      <c r="F171" s="587" t="s">
        <v>2</v>
      </c>
    </row>
    <row r="172" spans="2:7" s="9" customFormat="1" ht="12.75" customHeight="1">
      <c r="B172" s="241"/>
      <c r="C172" s="273"/>
      <c r="D172" s="243"/>
      <c r="E172" s="244"/>
      <c r="F172" s="274"/>
    </row>
    <row r="173" spans="2:7" s="2" customFormat="1" ht="12.75" customHeight="1">
      <c r="B173" s="10"/>
      <c r="C173" s="5"/>
      <c r="D173" s="11"/>
      <c r="E173" s="232"/>
    </row>
    <row r="174" spans="2:7" s="23" customFormat="1" ht="12.75" customHeight="1">
      <c r="B174" s="15" t="s">
        <v>392</v>
      </c>
      <c r="C174" s="257"/>
      <c r="D174" s="4"/>
    </row>
    <row r="175" spans="2:7" s="23" customFormat="1" ht="12.75" customHeight="1">
      <c r="B175" s="15"/>
      <c r="C175" s="21"/>
      <c r="D175" s="4"/>
    </row>
    <row r="176" spans="2:7" s="23" customFormat="1" ht="12.75" customHeight="1">
      <c r="B176" s="4" t="s">
        <v>369</v>
      </c>
      <c r="C176" s="235"/>
      <c r="D176" s="4"/>
    </row>
    <row r="177" spans="2:6" s="23" customFormat="1" ht="12.75" customHeight="1">
      <c r="B177" s="22"/>
      <c r="C177" s="4"/>
      <c r="D177" s="4"/>
    </row>
    <row r="178" spans="2:6" s="23" customFormat="1" ht="12.75" customHeight="1">
      <c r="B178" s="22" t="s">
        <v>370</v>
      </c>
      <c r="C178" s="4"/>
      <c r="D178" s="4"/>
    </row>
    <row r="179" spans="2:6" s="23" customFormat="1" ht="12.75" customHeight="1">
      <c r="B179" s="4" t="str">
        <f>B140</f>
        <v>Comprimento interno</v>
      </c>
      <c r="C179" s="6">
        <f t="shared" ref="C179:D180" si="6">C140</f>
        <v>5</v>
      </c>
      <c r="D179" s="4" t="str">
        <f t="shared" si="6"/>
        <v>m</v>
      </c>
    </row>
    <row r="180" spans="2:6" s="23" customFormat="1" ht="12.75" customHeight="1">
      <c r="B180" s="4" t="str">
        <f>B141</f>
        <v>Largura interna</v>
      </c>
      <c r="C180" s="6">
        <f t="shared" si="6"/>
        <v>2.4</v>
      </c>
      <c r="D180" s="4" t="str">
        <f t="shared" si="6"/>
        <v>m</v>
      </c>
    </row>
    <row r="181" spans="2:6" s="23" customFormat="1" ht="12.75" customHeight="1">
      <c r="B181" s="4" t="str">
        <f>B19</f>
        <v>Altura</v>
      </c>
      <c r="C181" s="6">
        <f t="shared" ref="C181:D181" si="7">C19</f>
        <v>1.4</v>
      </c>
      <c r="D181" s="4" t="str">
        <f t="shared" si="7"/>
        <v>m</v>
      </c>
    </row>
    <row r="182" spans="2:6" s="23" customFormat="1" ht="12.75" customHeight="1">
      <c r="B182" s="4" t="s">
        <v>9</v>
      </c>
      <c r="C182" s="6">
        <f>((C179*C181*2)+(C180*C181*2))</f>
        <v>20.72</v>
      </c>
      <c r="D182" s="4" t="s">
        <v>1</v>
      </c>
    </row>
    <row r="183" spans="2:6" s="23" customFormat="1" ht="12.75" customHeight="1">
      <c r="B183" s="4"/>
      <c r="C183" s="4"/>
      <c r="D183" s="4"/>
    </row>
    <row r="184" spans="2:6" s="23" customFormat="1" ht="12.75" customHeight="1">
      <c r="B184" s="625" t="s">
        <v>371</v>
      </c>
      <c r="C184" s="585">
        <f>(C182)</f>
        <v>20.72</v>
      </c>
      <c r="D184" s="625" t="s">
        <v>1</v>
      </c>
      <c r="E184" s="624">
        <v>70120002</v>
      </c>
      <c r="F184" s="587" t="s">
        <v>5</v>
      </c>
    </row>
    <row r="185" spans="2:6" s="23" customFormat="1" ht="12.75" customHeight="1">
      <c r="B185" s="3"/>
      <c r="C185" s="21"/>
      <c r="D185" s="3"/>
    </row>
    <row r="186" spans="2:6" s="23" customFormat="1" ht="12.75" customHeight="1"/>
    <row r="187" spans="2:6" s="23" customFormat="1" ht="12.75" customHeight="1">
      <c r="B187" s="4" t="s">
        <v>388</v>
      </c>
      <c r="C187" s="235"/>
      <c r="D187" s="4"/>
    </row>
    <row r="188" spans="2:6" s="23" customFormat="1" ht="12.75" customHeight="1">
      <c r="B188" s="22"/>
      <c r="C188" s="4"/>
      <c r="D188" s="4"/>
    </row>
    <row r="189" spans="2:6" s="23" customFormat="1" ht="12.75" customHeight="1">
      <c r="B189" s="22" t="s">
        <v>370</v>
      </c>
      <c r="C189" s="4"/>
      <c r="D189" s="4"/>
    </row>
    <row r="190" spans="2:6" s="23" customFormat="1" ht="12.75" customHeight="1">
      <c r="B190" s="4" t="str">
        <f>B140</f>
        <v>Comprimento interno</v>
      </c>
      <c r="C190" s="6">
        <f t="shared" ref="C190:D191" si="8">C140</f>
        <v>5</v>
      </c>
      <c r="D190" s="4" t="str">
        <f t="shared" si="8"/>
        <v>m</v>
      </c>
    </row>
    <row r="191" spans="2:6" s="23" customFormat="1" ht="12.75" customHeight="1">
      <c r="B191" s="4" t="str">
        <f>B141</f>
        <v>Largura interna</v>
      </c>
      <c r="C191" s="6">
        <f t="shared" si="8"/>
        <v>2.4</v>
      </c>
      <c r="D191" s="4" t="str">
        <f t="shared" si="8"/>
        <v>m</v>
      </c>
    </row>
    <row r="192" spans="2:6" s="23" customFormat="1" ht="12.75" customHeight="1">
      <c r="B192" s="4" t="str">
        <f>B19</f>
        <v>Altura</v>
      </c>
      <c r="C192" s="6">
        <f t="shared" ref="C192:D192" si="9">C19</f>
        <v>1.4</v>
      </c>
      <c r="D192" s="4" t="str">
        <f t="shared" si="9"/>
        <v>m</v>
      </c>
    </row>
    <row r="193" spans="2:6" s="23" customFormat="1" ht="12.75" customHeight="1">
      <c r="B193" s="4" t="s">
        <v>9</v>
      </c>
      <c r="C193" s="6">
        <f>((C190*C192*2)+(C191*C192*2))</f>
        <v>20.72</v>
      </c>
      <c r="D193" s="4" t="s">
        <v>1</v>
      </c>
    </row>
    <row r="194" spans="2:6" s="23" customFormat="1" ht="12.75" customHeight="1">
      <c r="B194" s="4"/>
      <c r="C194" s="4"/>
      <c r="D194" s="4"/>
    </row>
    <row r="195" spans="2:6" s="23" customFormat="1" ht="12.75" customHeight="1">
      <c r="B195" s="625" t="s">
        <v>389</v>
      </c>
      <c r="C195" s="585">
        <f>(C193)</f>
        <v>20.72</v>
      </c>
      <c r="D195" s="625" t="s">
        <v>1</v>
      </c>
      <c r="E195" s="624">
        <v>70120003</v>
      </c>
      <c r="F195" s="587" t="s">
        <v>5</v>
      </c>
    </row>
    <row r="196" spans="2:6" s="23" customFormat="1" ht="12.75" customHeight="1">
      <c r="B196" s="3"/>
      <c r="C196" s="21"/>
      <c r="D196" s="3"/>
    </row>
    <row r="197" spans="2:6" s="23" customFormat="1" ht="12.75" customHeight="1"/>
    <row r="198" spans="2:6" s="23" customFormat="1" ht="12.75" customHeight="1">
      <c r="B198" s="4" t="s">
        <v>390</v>
      </c>
      <c r="C198" s="235"/>
      <c r="D198" s="4"/>
    </row>
    <row r="199" spans="2:6" s="23" customFormat="1" ht="12.75" customHeight="1">
      <c r="B199" s="22"/>
      <c r="C199" s="4"/>
      <c r="D199" s="4"/>
    </row>
    <row r="200" spans="2:6" s="23" customFormat="1" ht="12.75" customHeight="1">
      <c r="B200" s="22" t="s">
        <v>370</v>
      </c>
      <c r="C200" s="4"/>
      <c r="D200" s="4"/>
    </row>
    <row r="201" spans="2:6" s="23" customFormat="1" ht="12.75" customHeight="1">
      <c r="B201" s="4" t="str">
        <f>B140</f>
        <v>Comprimento interno</v>
      </c>
      <c r="C201" s="6">
        <f t="shared" ref="C201:D202" si="10">C140</f>
        <v>5</v>
      </c>
      <c r="D201" s="4" t="str">
        <f t="shared" si="10"/>
        <v>m</v>
      </c>
    </row>
    <row r="202" spans="2:6" s="23" customFormat="1" ht="12.75" customHeight="1">
      <c r="B202" s="4" t="str">
        <f>B141</f>
        <v>Largura interna</v>
      </c>
      <c r="C202" s="6">
        <f t="shared" si="10"/>
        <v>2.4</v>
      </c>
      <c r="D202" s="4" t="str">
        <f t="shared" si="10"/>
        <v>m</v>
      </c>
    </row>
    <row r="203" spans="2:6" s="23" customFormat="1" ht="12.75" customHeight="1">
      <c r="B203" s="4" t="str">
        <f>B19</f>
        <v>Altura</v>
      </c>
      <c r="C203" s="6">
        <f t="shared" ref="C203:D203" si="11">C19</f>
        <v>1.4</v>
      </c>
      <c r="D203" s="4" t="str">
        <f t="shared" si="11"/>
        <v>m</v>
      </c>
    </row>
    <row r="204" spans="2:6" s="23" customFormat="1" ht="12.75" customHeight="1">
      <c r="B204" s="4" t="s">
        <v>9</v>
      </c>
      <c r="C204" s="6">
        <f>((C201*C203*2)+(C202*C203*2))</f>
        <v>20.72</v>
      </c>
      <c r="D204" s="4" t="s">
        <v>1</v>
      </c>
    </row>
    <row r="205" spans="2:6" s="23" customFormat="1" ht="12.75" customHeight="1">
      <c r="B205" s="4"/>
      <c r="C205" s="4"/>
      <c r="D205" s="4"/>
    </row>
    <row r="206" spans="2:6" s="23" customFormat="1" ht="12.75" customHeight="1">
      <c r="B206" s="625" t="s">
        <v>391</v>
      </c>
      <c r="C206" s="585">
        <f>(C204)</f>
        <v>20.72</v>
      </c>
      <c r="D206" s="625" t="s">
        <v>1</v>
      </c>
      <c r="E206" s="624">
        <v>70120004</v>
      </c>
      <c r="F206" s="587" t="s">
        <v>5</v>
      </c>
    </row>
    <row r="207" spans="2:6" s="23" customFormat="1" ht="12.75" customHeight="1">
      <c r="B207" s="3"/>
      <c r="C207" s="21"/>
      <c r="D207" s="3"/>
    </row>
    <row r="208" spans="2:6" s="23" customFormat="1" ht="12.75" customHeight="1"/>
    <row r="209" spans="2:6" s="23" customFormat="1" ht="12.75" customHeight="1">
      <c r="B209" s="15" t="s">
        <v>393</v>
      </c>
      <c r="C209" s="257"/>
      <c r="D209" s="4"/>
    </row>
    <row r="210" spans="2:6" s="23" customFormat="1" ht="12.75" customHeight="1">
      <c r="B210" s="15"/>
      <c r="C210" s="21"/>
      <c r="D210" s="4"/>
    </row>
    <row r="211" spans="2:6" s="23" customFormat="1" ht="12.75" customHeight="1">
      <c r="B211" s="4" t="s">
        <v>394</v>
      </c>
      <c r="C211" s="235"/>
      <c r="D211" s="4"/>
    </row>
    <row r="212" spans="2:6" s="23" customFormat="1" ht="12.75" customHeight="1">
      <c r="B212" s="22"/>
      <c r="C212" s="4"/>
      <c r="D212" s="4"/>
    </row>
    <row r="213" spans="2:6" s="23" customFormat="1" ht="12.75" customHeight="1">
      <c r="B213" s="22" t="s">
        <v>372</v>
      </c>
      <c r="C213" s="4"/>
      <c r="D213" s="4"/>
    </row>
    <row r="214" spans="2:6" s="23" customFormat="1" ht="12.75" customHeight="1">
      <c r="B214" s="4" t="str">
        <f>B140</f>
        <v>Comprimento interno</v>
      </c>
      <c r="C214" s="6">
        <f t="shared" ref="C214:D215" si="12">C140</f>
        <v>5</v>
      </c>
      <c r="D214" s="4" t="str">
        <f t="shared" si="12"/>
        <v>m</v>
      </c>
    </row>
    <row r="215" spans="2:6" s="23" customFormat="1" ht="12.75" customHeight="1">
      <c r="B215" s="4" t="str">
        <f>B141</f>
        <v>Largura interna</v>
      </c>
      <c r="C215" s="6">
        <f t="shared" si="12"/>
        <v>2.4</v>
      </c>
      <c r="D215" s="4" t="str">
        <f t="shared" si="12"/>
        <v>m</v>
      </c>
    </row>
    <row r="216" spans="2:6" s="23" customFormat="1" ht="12.75" customHeight="1">
      <c r="B216" s="4" t="str">
        <f>B19</f>
        <v>Altura</v>
      </c>
      <c r="C216" s="6">
        <f t="shared" ref="C216:D216" si="13">C19</f>
        <v>1.4</v>
      </c>
      <c r="D216" s="4" t="str">
        <f t="shared" si="13"/>
        <v>m</v>
      </c>
    </row>
    <row r="217" spans="2:6" s="23" customFormat="1" ht="12.75" customHeight="1">
      <c r="B217" s="4" t="s">
        <v>9</v>
      </c>
      <c r="C217" s="6">
        <f>((C214*C216*2)+(C215*C216*2)+(C214*C215))</f>
        <v>32.72</v>
      </c>
      <c r="D217" s="4" t="s">
        <v>1</v>
      </c>
    </row>
    <row r="218" spans="2:6" s="23" customFormat="1" ht="12.75" customHeight="1">
      <c r="B218" s="4"/>
      <c r="C218" s="4"/>
      <c r="D218" s="4"/>
    </row>
    <row r="219" spans="2:6" s="23" customFormat="1" ht="12.75" customHeight="1">
      <c r="B219" s="625" t="s">
        <v>395</v>
      </c>
      <c r="C219" s="585">
        <f>(C217)</f>
        <v>32.72</v>
      </c>
      <c r="D219" s="625" t="s">
        <v>1</v>
      </c>
      <c r="E219" s="624">
        <v>70190171</v>
      </c>
      <c r="F219" s="587" t="s">
        <v>5</v>
      </c>
    </row>
    <row r="220" spans="2:6" s="23" customFormat="1" ht="12.75" customHeight="1">
      <c r="B220" s="3"/>
      <c r="C220" s="21"/>
      <c r="D220" s="3"/>
    </row>
    <row r="221" spans="2:6" s="23" customFormat="1" ht="12.75" customHeight="1"/>
    <row r="222" spans="2:6" s="23" customFormat="1" ht="12.75" customHeight="1">
      <c r="B222" s="155" t="s">
        <v>373</v>
      </c>
      <c r="C222" s="144"/>
      <c r="D222" s="4"/>
    </row>
    <row r="223" spans="2:6" s="23" customFormat="1" ht="12.75" customHeight="1">
      <c r="B223" s="22"/>
      <c r="C223" s="4"/>
      <c r="D223" s="4"/>
    </row>
    <row r="224" spans="2:6" s="23" customFormat="1" ht="12.75" customHeight="1">
      <c r="B224" s="22" t="str">
        <f>B7</f>
        <v>Laje de Fundo em Concreto Armado</v>
      </c>
      <c r="C224" s="4"/>
      <c r="D224" s="4"/>
    </row>
    <row r="225" spans="2:6" s="23" customFormat="1" ht="12.75" customHeight="1">
      <c r="B225" s="4" t="str">
        <f>B8</f>
        <v xml:space="preserve">Comprimento </v>
      </c>
      <c r="C225" s="6">
        <f t="shared" ref="C225:D227" si="14">C8</f>
        <v>5.8</v>
      </c>
      <c r="D225" s="4" t="str">
        <f t="shared" si="14"/>
        <v>m</v>
      </c>
    </row>
    <row r="226" spans="2:6" s="23" customFormat="1" ht="12.75" customHeight="1">
      <c r="B226" s="4" t="str">
        <f>B9</f>
        <v xml:space="preserve">Largura </v>
      </c>
      <c r="C226" s="6">
        <f t="shared" si="14"/>
        <v>3.2</v>
      </c>
      <c r="D226" s="4" t="str">
        <f t="shared" si="14"/>
        <v>m</v>
      </c>
    </row>
    <row r="227" spans="2:6" s="23" customFormat="1" ht="12.75" customHeight="1">
      <c r="B227" s="4" t="str">
        <f>B10</f>
        <v>Altura</v>
      </c>
      <c r="C227" s="4">
        <f t="shared" si="14"/>
        <v>0.25</v>
      </c>
      <c r="D227" s="4" t="str">
        <f t="shared" si="14"/>
        <v>m</v>
      </c>
    </row>
    <row r="228" spans="2:6" s="23" customFormat="1" ht="12.75" customHeight="1">
      <c r="B228" s="4" t="s">
        <v>9</v>
      </c>
      <c r="C228" s="6">
        <f>((C225*C227*2)+(C226*C227*2))</f>
        <v>4.5</v>
      </c>
      <c r="D228" s="4" t="s">
        <v>1</v>
      </c>
    </row>
    <row r="229" spans="2:6" s="23" customFormat="1" ht="12.75" customHeight="1">
      <c r="B229" s="4"/>
      <c r="C229" s="4"/>
      <c r="D229" s="4"/>
    </row>
    <row r="230" spans="2:6" s="23" customFormat="1" ht="12.75" customHeight="1">
      <c r="B230" s="22" t="str">
        <f t="shared" ref="B230:D236" si="15">B13</f>
        <v>Paredes em Alvenaria (1)</v>
      </c>
      <c r="C230" s="4">
        <f t="shared" si="15"/>
        <v>2</v>
      </c>
      <c r="D230" s="4" t="str">
        <f t="shared" si="15"/>
        <v>unid</v>
      </c>
    </row>
    <row r="231" spans="2:6" s="23" customFormat="1" ht="12.75" customHeight="1">
      <c r="B231" s="4" t="str">
        <f t="shared" si="15"/>
        <v xml:space="preserve">Comprimento </v>
      </c>
      <c r="C231" s="6">
        <f t="shared" si="15"/>
        <v>5.4</v>
      </c>
      <c r="D231" s="4" t="str">
        <f t="shared" si="15"/>
        <v>m</v>
      </c>
    </row>
    <row r="232" spans="2:6" s="23" customFormat="1" ht="12.75" customHeight="1">
      <c r="B232" s="4" t="str">
        <f t="shared" si="15"/>
        <v xml:space="preserve">Largura </v>
      </c>
      <c r="C232" s="6">
        <f t="shared" si="15"/>
        <v>0.2</v>
      </c>
      <c r="D232" s="4" t="str">
        <f t="shared" si="15"/>
        <v>m</v>
      </c>
    </row>
    <row r="233" spans="2:6" s="23" customFormat="1" ht="12.75" customHeight="1">
      <c r="B233" s="22" t="str">
        <f t="shared" si="15"/>
        <v>Paredes em Alvenaria (2)</v>
      </c>
      <c r="C233" s="4">
        <f t="shared" si="15"/>
        <v>2</v>
      </c>
      <c r="D233" s="4" t="str">
        <f t="shared" si="15"/>
        <v>unid</v>
      </c>
    </row>
    <row r="234" spans="2:6" s="23" customFormat="1" ht="12.75" customHeight="1">
      <c r="B234" s="4" t="str">
        <f t="shared" si="15"/>
        <v xml:space="preserve">Comprimento </v>
      </c>
      <c r="C234" s="6">
        <f t="shared" si="15"/>
        <v>2.4</v>
      </c>
      <c r="D234" s="4" t="str">
        <f t="shared" si="15"/>
        <v>m</v>
      </c>
    </row>
    <row r="235" spans="2:6" s="23" customFormat="1" ht="12.75" customHeight="1">
      <c r="B235" s="4" t="str">
        <f t="shared" si="15"/>
        <v xml:space="preserve">Largura </v>
      </c>
      <c r="C235" s="6">
        <f t="shared" si="15"/>
        <v>0.2</v>
      </c>
      <c r="D235" s="4" t="str">
        <f t="shared" si="15"/>
        <v>m</v>
      </c>
    </row>
    <row r="236" spans="2:6" s="23" customFormat="1" ht="12.75" customHeight="1">
      <c r="B236" s="4" t="str">
        <f t="shared" si="15"/>
        <v>Altura</v>
      </c>
      <c r="C236" s="6">
        <f t="shared" si="15"/>
        <v>1.4</v>
      </c>
      <c r="D236" s="4" t="str">
        <f t="shared" si="15"/>
        <v>m</v>
      </c>
    </row>
    <row r="237" spans="2:6" s="23" customFormat="1" ht="12.75" customHeight="1">
      <c r="B237" s="4" t="s">
        <v>9</v>
      </c>
      <c r="C237" s="6">
        <f>((C231*C236*C230)+((C234+C235+C235)*C236*C233))</f>
        <v>22.96</v>
      </c>
      <c r="D237" s="4" t="s">
        <v>1</v>
      </c>
    </row>
    <row r="238" spans="2:6" s="23" customFormat="1" ht="12.75" customHeight="1">
      <c r="B238" s="4"/>
      <c r="C238" s="6"/>
      <c r="D238" s="4"/>
    </row>
    <row r="239" spans="2:6" s="23" customFormat="1" ht="12.75" customHeight="1">
      <c r="B239" s="625" t="s">
        <v>374</v>
      </c>
      <c r="C239" s="585">
        <f>(C228+C237)</f>
        <v>27.46</v>
      </c>
      <c r="D239" s="625" t="s">
        <v>1</v>
      </c>
      <c r="E239" s="624">
        <v>98557</v>
      </c>
      <c r="F239" s="587" t="s">
        <v>2</v>
      </c>
    </row>
    <row r="240" spans="2:6" s="23" customFormat="1" ht="12.75" customHeight="1">
      <c r="B240" s="267"/>
      <c r="C240" s="269"/>
      <c r="D240" s="267"/>
      <c r="E240" s="275"/>
    </row>
  </sheetData>
  <mergeCells count="2">
    <mergeCell ref="B2:D2"/>
    <mergeCell ref="B3:D3"/>
  </mergeCells>
  <printOptions horizontalCentered="1"/>
  <pageMargins left="0.78740157480314965" right="0.59055118110236227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477F&amp;C&amp;"Arial,Negrito"&amp;10A.&amp;P</oddFooter>
  </headerFooter>
  <rowBreaks count="4" manualBreakCount="4">
    <brk id="51" max="16383" man="1"/>
    <brk id="105" max="16383" man="1"/>
    <brk id="154" max="16383" man="1"/>
    <brk id="208" max="16383" man="1"/>
  </rowBreaks>
  <ignoredErrors>
    <ignoredError sqref="C76" formula="1"/>
  </ignoredErrors>
  <legacyDrawingHF r:id="rId2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B2:H45"/>
  <sheetViews>
    <sheetView zoomScaleSheetLayoutView="110" workbookViewId="0">
      <selection activeCell="P38" sqref="P38"/>
    </sheetView>
  </sheetViews>
  <sheetFormatPr defaultColWidth="9.140625" defaultRowHeight="12.75" customHeight="1"/>
  <cols>
    <col min="1" max="1" width="9.140625" style="20"/>
    <col min="2" max="2" width="62.85546875" style="20" customWidth="1"/>
    <col min="3" max="3" width="13.7109375" style="20" customWidth="1"/>
    <col min="4" max="4" width="11.28515625" style="20" customWidth="1"/>
    <col min="5" max="5" width="9.140625" style="20"/>
    <col min="6" max="6" width="9.140625" style="20" customWidth="1"/>
    <col min="7" max="16384" width="9.140625" style="20"/>
  </cols>
  <sheetData>
    <row r="2" spans="2:8" s="2" customFormat="1" ht="15.75" customHeight="1">
      <c r="B2" s="894" t="s">
        <v>7</v>
      </c>
      <c r="C2" s="894"/>
      <c r="D2" s="894"/>
      <c r="E2" s="278"/>
    </row>
    <row r="3" spans="2:8" s="2" customFormat="1" ht="15.75" customHeight="1">
      <c r="B3" s="895" t="s">
        <v>700</v>
      </c>
      <c r="C3" s="895"/>
      <c r="D3" s="895"/>
      <c r="E3" s="278"/>
    </row>
    <row r="4" spans="2:8" s="2" customFormat="1" ht="12.75" customHeight="1">
      <c r="B4" s="3"/>
      <c r="C4" s="4"/>
      <c r="D4" s="4"/>
    </row>
    <row r="5" spans="2:8" s="2" customFormat="1" ht="12.75" customHeight="1">
      <c r="B5" s="3" t="s">
        <v>311</v>
      </c>
      <c r="C5" s="4"/>
      <c r="D5" s="4"/>
    </row>
    <row r="6" spans="2:8" s="2" customFormat="1" ht="12.75" customHeight="1">
      <c r="C6" s="4"/>
      <c r="D6" s="4"/>
    </row>
    <row r="7" spans="2:8" s="2" customFormat="1" ht="12.75" customHeight="1">
      <c r="B7" s="235" t="s">
        <v>313</v>
      </c>
      <c r="C7" s="5">
        <v>0.6</v>
      </c>
      <c r="D7" s="235" t="s">
        <v>4</v>
      </c>
    </row>
    <row r="8" spans="2:8" s="2" customFormat="1" ht="12.75" customHeight="1">
      <c r="B8" s="235" t="s">
        <v>314</v>
      </c>
      <c r="C8" s="5">
        <v>0.6</v>
      </c>
      <c r="D8" s="235" t="s">
        <v>4</v>
      </c>
      <c r="E8" s="278"/>
      <c r="F8" s="236"/>
      <c r="G8" s="236"/>
      <c r="H8" s="233"/>
    </row>
    <row r="9" spans="2:8" s="2" customFormat="1" ht="12.75" customHeight="1">
      <c r="B9" s="235" t="s">
        <v>354</v>
      </c>
      <c r="C9" s="5">
        <v>0.2</v>
      </c>
      <c r="D9" s="235" t="s">
        <v>4</v>
      </c>
      <c r="E9" s="278"/>
      <c r="F9" s="236"/>
      <c r="G9" s="236"/>
      <c r="H9" s="233"/>
    </row>
    <row r="10" spans="2:8" s="2" customFormat="1" ht="12.75" customHeight="1">
      <c r="E10" s="278"/>
      <c r="F10" s="237"/>
    </row>
    <row r="11" spans="2:8" s="2" customFormat="1" ht="12.75" customHeight="1">
      <c r="F11" s="237"/>
    </row>
    <row r="12" spans="2:8" ht="12.75" customHeight="1">
      <c r="B12" s="241" t="s">
        <v>348</v>
      </c>
      <c r="C12" s="242"/>
      <c r="D12" s="243"/>
      <c r="E12" s="19"/>
      <c r="F12" s="262"/>
      <c r="G12" s="262"/>
    </row>
    <row r="13" spans="2:8" ht="12.75" customHeight="1">
      <c r="B13" s="3"/>
      <c r="C13" s="254"/>
      <c r="D13" s="143"/>
      <c r="E13" s="19"/>
      <c r="F13" s="262"/>
      <c r="G13" s="262"/>
    </row>
    <row r="14" spans="2:8" ht="12.75" customHeight="1">
      <c r="B14" s="255" t="s">
        <v>353</v>
      </c>
      <c r="C14" s="254"/>
      <c r="D14" s="255"/>
      <c r="E14" s="19"/>
      <c r="F14" s="262"/>
      <c r="G14" s="262"/>
    </row>
    <row r="15" spans="2:8" ht="12.75" customHeight="1">
      <c r="B15" s="4"/>
      <c r="C15" s="6"/>
      <c r="D15" s="4"/>
      <c r="E15" s="19"/>
      <c r="F15" s="262"/>
      <c r="G15" s="262"/>
    </row>
    <row r="16" spans="2:8" ht="12.75" customHeight="1">
      <c r="B16" s="4" t="str">
        <f t="shared" ref="B16:D18" si="0">B7</f>
        <v xml:space="preserve">Comprimento </v>
      </c>
      <c r="C16" s="6">
        <f t="shared" si="0"/>
        <v>0.6</v>
      </c>
      <c r="D16" s="4" t="str">
        <f t="shared" si="0"/>
        <v>m</v>
      </c>
      <c r="E16" s="19"/>
      <c r="F16" s="262"/>
      <c r="G16" s="262"/>
    </row>
    <row r="17" spans="2:7" ht="12.75" customHeight="1">
      <c r="B17" s="4" t="str">
        <f t="shared" si="0"/>
        <v xml:space="preserve">Largura </v>
      </c>
      <c r="C17" s="6">
        <f t="shared" si="0"/>
        <v>0.6</v>
      </c>
      <c r="D17" s="4" t="str">
        <f t="shared" si="0"/>
        <v>m</v>
      </c>
      <c r="E17" s="19"/>
      <c r="F17" s="262"/>
      <c r="G17" s="262"/>
    </row>
    <row r="18" spans="2:7" ht="12.75" customHeight="1">
      <c r="B18" s="4" t="str">
        <f t="shared" si="0"/>
        <v>Altura</v>
      </c>
      <c r="C18" s="6">
        <f t="shared" si="0"/>
        <v>0.2</v>
      </c>
      <c r="D18" s="4" t="str">
        <f t="shared" si="0"/>
        <v>m</v>
      </c>
      <c r="E18" s="19"/>
      <c r="F18" s="262"/>
      <c r="G18" s="262"/>
    </row>
    <row r="19" spans="2:7" ht="12.75" customHeight="1">
      <c r="B19" s="4" t="s">
        <v>9</v>
      </c>
      <c r="C19" s="6">
        <f>((C16*C18*2)+(C17*C18*2))</f>
        <v>0.48</v>
      </c>
      <c r="D19" s="4" t="s">
        <v>1</v>
      </c>
      <c r="E19" s="19"/>
      <c r="F19" s="262"/>
      <c r="G19" s="262"/>
    </row>
    <row r="20" spans="2:7" ht="12.75" customHeight="1">
      <c r="B20" s="4"/>
      <c r="C20" s="6"/>
      <c r="D20" s="4"/>
      <c r="E20" s="19"/>
      <c r="F20" s="262"/>
      <c r="G20" s="262"/>
    </row>
    <row r="21" spans="2:7" ht="12.75" customHeight="1">
      <c r="B21" s="622" t="s">
        <v>355</v>
      </c>
      <c r="C21" s="623">
        <f>(C19)</f>
        <v>0.48</v>
      </c>
      <c r="D21" s="586" t="s">
        <v>1</v>
      </c>
      <c r="E21" s="624">
        <v>70070127</v>
      </c>
      <c r="F21" s="587" t="s">
        <v>5</v>
      </c>
      <c r="G21" s="262"/>
    </row>
    <row r="22" spans="2:7" ht="12.75" customHeight="1">
      <c r="B22" s="3"/>
      <c r="C22" s="258"/>
      <c r="D22" s="3"/>
      <c r="E22" s="19"/>
      <c r="F22" s="262"/>
      <c r="G22" s="262"/>
    </row>
    <row r="23" spans="2:7" ht="12.75" customHeight="1">
      <c r="B23" s="3"/>
      <c r="C23" s="258"/>
      <c r="D23" s="3"/>
      <c r="E23" s="19"/>
      <c r="F23" s="262"/>
      <c r="G23" s="262"/>
    </row>
    <row r="24" spans="2:7" ht="12.75" customHeight="1">
      <c r="B24" s="4" t="s">
        <v>360</v>
      </c>
      <c r="C24" s="3"/>
      <c r="D24" s="3"/>
      <c r="E24" s="19"/>
      <c r="F24" s="262"/>
      <c r="G24" s="262"/>
    </row>
    <row r="25" spans="2:7" ht="12.75" customHeight="1">
      <c r="B25" s="4"/>
      <c r="C25" s="4"/>
      <c r="D25" s="4"/>
      <c r="E25" s="19"/>
      <c r="F25" s="262"/>
      <c r="G25" s="262"/>
    </row>
    <row r="26" spans="2:7" ht="12.75" customHeight="1">
      <c r="B26" s="4" t="str">
        <f t="shared" ref="B26:D28" si="1">B7</f>
        <v xml:space="preserve">Comprimento </v>
      </c>
      <c r="C26" s="6">
        <f t="shared" si="1"/>
        <v>0.6</v>
      </c>
      <c r="D26" s="4" t="str">
        <f t="shared" si="1"/>
        <v>m</v>
      </c>
      <c r="E26" s="19"/>
      <c r="F26" s="262"/>
      <c r="G26" s="262"/>
    </row>
    <row r="27" spans="2:7" ht="12.75" customHeight="1">
      <c r="B27" s="4" t="str">
        <f t="shared" si="1"/>
        <v xml:space="preserve">Largura </v>
      </c>
      <c r="C27" s="6">
        <f t="shared" si="1"/>
        <v>0.6</v>
      </c>
      <c r="D27" s="4" t="str">
        <f t="shared" si="1"/>
        <v>m</v>
      </c>
      <c r="E27" s="19"/>
      <c r="F27" s="262"/>
      <c r="G27" s="262"/>
    </row>
    <row r="28" spans="2:7" ht="12.75" customHeight="1">
      <c r="B28" s="4" t="str">
        <f t="shared" si="1"/>
        <v>Altura</v>
      </c>
      <c r="C28" s="6">
        <f t="shared" si="1"/>
        <v>0.2</v>
      </c>
      <c r="D28" s="4" t="str">
        <f t="shared" si="1"/>
        <v>m</v>
      </c>
      <c r="E28" s="19"/>
      <c r="F28" s="262"/>
      <c r="G28" s="262"/>
    </row>
    <row r="29" spans="2:7" ht="12.75" customHeight="1">
      <c r="B29" s="144" t="s">
        <v>9</v>
      </c>
      <c r="C29" s="6">
        <f>(C26*C27*C28)</f>
        <v>7.1999999999999995E-2</v>
      </c>
      <c r="D29" s="4" t="s">
        <v>6</v>
      </c>
      <c r="E29" s="19"/>
      <c r="F29" s="262"/>
      <c r="G29" s="262"/>
    </row>
    <row r="30" spans="2:7" ht="12.75" customHeight="1">
      <c r="B30" s="4"/>
      <c r="C30" s="6"/>
      <c r="D30" s="4"/>
      <c r="E30" s="19"/>
      <c r="F30" s="262"/>
      <c r="G30" s="262"/>
    </row>
    <row r="31" spans="2:7" ht="12.75" customHeight="1">
      <c r="B31" s="622" t="s">
        <v>361</v>
      </c>
      <c r="C31" s="623">
        <f>(C29)</f>
        <v>7.1999999999999995E-2</v>
      </c>
      <c r="D31" s="586" t="s">
        <v>6</v>
      </c>
      <c r="E31" s="624">
        <v>70070147</v>
      </c>
      <c r="F31" s="587" t="s">
        <v>5</v>
      </c>
      <c r="G31" s="262"/>
    </row>
    <row r="32" spans="2:7" ht="12.75" customHeight="1">
      <c r="B32" s="270"/>
      <c r="C32" s="270"/>
      <c r="D32" s="270"/>
      <c r="E32" s="19"/>
      <c r="F32" s="262"/>
      <c r="G32" s="262"/>
    </row>
    <row r="33" spans="2:7" ht="12.75" customHeight="1">
      <c r="B33" s="4"/>
      <c r="C33" s="271"/>
      <c r="D33" s="4"/>
      <c r="E33" s="19"/>
      <c r="F33" s="262"/>
      <c r="G33" s="262"/>
    </row>
    <row r="34" spans="2:7" s="23" customFormat="1" ht="12.75" customHeight="1">
      <c r="B34" s="15" t="s">
        <v>701</v>
      </c>
      <c r="C34" s="257"/>
      <c r="D34" s="4"/>
    </row>
    <row r="35" spans="2:7" s="23" customFormat="1" ht="12.75" customHeight="1">
      <c r="B35" s="15"/>
      <c r="C35" s="21"/>
      <c r="D35" s="4"/>
    </row>
    <row r="36" spans="2:7" s="23" customFormat="1" ht="12.75" customHeight="1">
      <c r="B36" s="4" t="s">
        <v>702</v>
      </c>
      <c r="C36" s="235"/>
      <c r="D36" s="4"/>
    </row>
    <row r="37" spans="2:7" s="23" customFormat="1" ht="12.75" customHeight="1">
      <c r="B37" s="22"/>
      <c r="C37" s="4"/>
      <c r="D37" s="4"/>
    </row>
    <row r="38" spans="2:7" s="23" customFormat="1" ht="12.75" customHeight="1">
      <c r="B38" s="4" t="str">
        <f>B7</f>
        <v xml:space="preserve">Comprimento </v>
      </c>
      <c r="C38" s="6">
        <f t="shared" ref="C38:D38" si="2">C7</f>
        <v>0.6</v>
      </c>
      <c r="D38" s="4" t="str">
        <f t="shared" si="2"/>
        <v>m</v>
      </c>
    </row>
    <row r="39" spans="2:7" s="23" customFormat="1" ht="12.75" customHeight="1">
      <c r="B39" s="4" t="str">
        <f t="shared" ref="B39:D40" si="3">B8</f>
        <v xml:space="preserve">Largura </v>
      </c>
      <c r="C39" s="6">
        <f t="shared" si="3"/>
        <v>0.6</v>
      </c>
      <c r="D39" s="4" t="str">
        <f t="shared" si="3"/>
        <v>m</v>
      </c>
    </row>
    <row r="40" spans="2:7" s="23" customFormat="1" ht="12.75" customHeight="1">
      <c r="B40" s="4" t="str">
        <f t="shared" si="3"/>
        <v>Altura</v>
      </c>
      <c r="C40" s="6">
        <f t="shared" si="3"/>
        <v>0.2</v>
      </c>
      <c r="D40" s="4" t="str">
        <f t="shared" si="3"/>
        <v>m</v>
      </c>
    </row>
    <row r="41" spans="2:7" s="23" customFormat="1" ht="12.75" customHeight="1">
      <c r="B41" s="4" t="s">
        <v>9</v>
      </c>
      <c r="C41" s="6">
        <f>((C38*C40*2)+(C39*C40*2))</f>
        <v>0.48</v>
      </c>
      <c r="D41" s="4" t="s">
        <v>1</v>
      </c>
    </row>
    <row r="42" spans="2:7" s="23" customFormat="1" ht="12.75" customHeight="1">
      <c r="B42" s="4"/>
      <c r="C42" s="4"/>
      <c r="D42" s="4"/>
    </row>
    <row r="43" spans="2:7" s="23" customFormat="1" ht="12.75" customHeight="1">
      <c r="B43" s="625" t="s">
        <v>703</v>
      </c>
      <c r="C43" s="585">
        <f>(C41)</f>
        <v>0.48</v>
      </c>
      <c r="D43" s="625" t="s">
        <v>1</v>
      </c>
      <c r="E43" s="624">
        <v>70120057</v>
      </c>
      <c r="F43" s="587" t="s">
        <v>5</v>
      </c>
    </row>
    <row r="44" spans="2:7" s="23" customFormat="1" ht="12.75" customHeight="1">
      <c r="B44" s="3"/>
      <c r="C44" s="21"/>
      <c r="D44" s="3"/>
    </row>
    <row r="45" spans="2:7" s="23" customFormat="1" ht="12.75" customHeight="1"/>
  </sheetData>
  <mergeCells count="2">
    <mergeCell ref="B2:D2"/>
    <mergeCell ref="B3:D3"/>
  </mergeCells>
  <printOptions horizontalCentered="1"/>
  <pageMargins left="0.78740157480314965" right="0.59055118110236227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477F&amp;C&amp;"Arial,Negrito"&amp;10A.&amp;P</oddFooter>
  </headerFooter>
  <legacyDrawingHF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DQ289"/>
  <sheetViews>
    <sheetView showGridLines="0" zoomScaleNormal="100" zoomScaleSheetLayoutView="100" workbookViewId="0">
      <selection activeCell="P38" sqref="P38"/>
    </sheetView>
  </sheetViews>
  <sheetFormatPr defaultColWidth="9.140625" defaultRowHeight="12.75"/>
  <cols>
    <col min="1" max="4" width="6.5703125" style="319" customWidth="1"/>
    <col min="5" max="5" width="8.7109375" style="320" customWidth="1"/>
    <col min="6" max="7" width="8.7109375" style="319" customWidth="1"/>
    <col min="8" max="8" width="9.7109375" style="319" customWidth="1"/>
    <col min="9" max="9" width="4.85546875" style="319" customWidth="1"/>
    <col min="10" max="10" width="9" style="319" customWidth="1"/>
    <col min="11" max="11" width="9.140625" style="319" customWidth="1"/>
    <col min="12" max="12" width="6.7109375" style="319" customWidth="1"/>
    <col min="13" max="13" width="10.42578125" style="319" customWidth="1"/>
    <col min="14" max="14" width="7.5703125" style="319" customWidth="1"/>
    <col min="15" max="15" width="7" style="319" customWidth="1"/>
    <col min="16" max="17" width="8.5703125" style="319" customWidth="1"/>
    <col min="18" max="19" width="8.7109375" style="319" customWidth="1"/>
    <col min="20" max="21" width="8.140625" style="319" customWidth="1"/>
    <col min="22" max="25" width="8.140625" style="319" hidden="1" customWidth="1"/>
    <col min="26" max="31" width="8.140625" style="319" customWidth="1"/>
    <col min="32" max="32" width="6" style="319" customWidth="1"/>
    <col min="33" max="33" width="8.28515625" style="319" customWidth="1"/>
    <col min="34" max="34" width="13.140625" style="319" customWidth="1"/>
    <col min="35" max="35" width="10.5703125" style="319" hidden="1" customWidth="1"/>
    <col min="36" max="36" width="11" style="319" hidden="1" customWidth="1"/>
    <col min="37" max="37" width="9.140625" style="319" customWidth="1"/>
    <col min="38" max="38" width="8.5703125" style="319" customWidth="1"/>
    <col min="39" max="39" width="10.5703125" style="319" customWidth="1"/>
    <col min="40" max="40" width="10.5703125" style="319" hidden="1" customWidth="1"/>
    <col min="41" max="41" width="10.5703125" style="319" customWidth="1"/>
    <col min="42" max="42" width="10.7109375" style="319" customWidth="1"/>
    <col min="43" max="43" width="7.5703125" style="319" customWidth="1"/>
    <col min="44" max="44" width="8.42578125" style="319" customWidth="1"/>
    <col min="45" max="45" width="8.28515625" style="319" customWidth="1"/>
    <col min="46" max="46" width="10.42578125" style="319" hidden="1" customWidth="1"/>
    <col min="47" max="49" width="7.140625" style="319" hidden="1" customWidth="1"/>
    <col min="50" max="51" width="9.140625" style="319" hidden="1" customWidth="1"/>
    <col min="52" max="52" width="10.28515625" style="319" hidden="1" customWidth="1"/>
    <col min="53" max="53" width="7.42578125" style="319" customWidth="1"/>
    <col min="54" max="54" width="9.5703125" style="319" customWidth="1"/>
    <col min="55" max="55" width="7.42578125" style="319" customWidth="1"/>
    <col min="56" max="56" width="9.5703125" style="319" customWidth="1"/>
    <col min="57" max="57" width="8.85546875" style="319" customWidth="1"/>
    <col min="58" max="58" width="9.28515625" style="319" customWidth="1"/>
    <col min="59" max="59" width="7.42578125" style="319" hidden="1" customWidth="1"/>
    <col min="60" max="61" width="9.28515625" style="319" hidden="1" customWidth="1"/>
    <col min="62" max="62" width="7.85546875" style="319" customWidth="1"/>
    <col min="63" max="63" width="9.5703125" style="319" customWidth="1"/>
    <col min="64" max="64" width="8.42578125" style="328" customWidth="1"/>
    <col min="65" max="65" width="8.140625" style="319" customWidth="1"/>
    <col min="66" max="85" width="13.7109375" style="319" customWidth="1"/>
    <col min="86" max="101" width="11.5703125" style="319" customWidth="1"/>
    <col min="102" max="102" width="13.28515625" style="319" customWidth="1"/>
    <col min="103" max="121" width="11.5703125" style="319" customWidth="1"/>
    <col min="122" max="16384" width="9.140625" style="319"/>
  </cols>
  <sheetData>
    <row r="1" spans="1:85" ht="12">
      <c r="BI1" s="321">
        <v>2.4</v>
      </c>
      <c r="BJ1" s="322" t="s">
        <v>457</v>
      </c>
      <c r="BL1" s="319"/>
    </row>
    <row r="2" spans="1:85" ht="15.75" customHeight="1">
      <c r="P2" s="323"/>
      <c r="Q2" s="323"/>
      <c r="T2" s="323"/>
      <c r="U2" s="323"/>
      <c r="V2" s="323"/>
      <c r="W2" s="323"/>
      <c r="AK2" s="323"/>
      <c r="AL2" s="323"/>
      <c r="AM2" s="323"/>
      <c r="AN2" s="323" t="s">
        <v>2</v>
      </c>
      <c r="AO2" s="323" t="s">
        <v>2</v>
      </c>
      <c r="AT2" s="323"/>
      <c r="BI2" s="324">
        <v>1.1499999999999999</v>
      </c>
      <c r="BJ2" s="322" t="s">
        <v>462</v>
      </c>
      <c r="BL2" s="319"/>
    </row>
    <row r="3" spans="1:85" ht="15.75" customHeight="1">
      <c r="A3" s="325"/>
      <c r="B3" s="325"/>
      <c r="C3" s="325"/>
      <c r="D3" s="325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3"/>
      <c r="Q3" s="323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6"/>
      <c r="AF3" s="326"/>
      <c r="AG3" s="326"/>
      <c r="AH3" s="326"/>
      <c r="AI3" s="326"/>
      <c r="AJ3" s="325"/>
      <c r="AK3" s="323"/>
      <c r="AL3" s="323"/>
      <c r="AM3" s="326"/>
      <c r="AN3" s="326"/>
      <c r="AO3" s="326"/>
      <c r="AP3" s="326"/>
      <c r="AQ3" s="326"/>
      <c r="AR3" s="326"/>
      <c r="AS3" s="326"/>
      <c r="AT3" s="323"/>
      <c r="AU3" s="327">
        <f>ROUND(AU7+AV7+AW7+AX7+AY7,2)</f>
        <v>0.3</v>
      </c>
      <c r="AV3" s="326"/>
      <c r="AW3" s="326"/>
      <c r="AX3" s="326"/>
      <c r="AY3" s="326"/>
      <c r="AZ3" s="326"/>
      <c r="BA3" s="326"/>
      <c r="BB3" s="326"/>
      <c r="BC3" s="326"/>
      <c r="BD3" s="326"/>
      <c r="BE3" s="326"/>
      <c r="BF3" s="326"/>
      <c r="BG3" s="326"/>
      <c r="BH3" s="326"/>
      <c r="BI3" s="324">
        <v>20</v>
      </c>
      <c r="BJ3" s="322" t="s">
        <v>463</v>
      </c>
      <c r="BK3" s="325"/>
    </row>
    <row r="4" spans="1:85" ht="20.100000000000001" customHeight="1">
      <c r="B4" s="329"/>
      <c r="C4" s="329"/>
      <c r="D4" s="329"/>
      <c r="E4" s="826" t="s">
        <v>732</v>
      </c>
      <c r="F4" s="826"/>
      <c r="G4" s="826"/>
      <c r="H4" s="826"/>
      <c r="I4" s="826"/>
      <c r="J4" s="826"/>
      <c r="K4" s="826"/>
      <c r="L4" s="826"/>
      <c r="M4" s="826"/>
      <c r="N4" s="826"/>
      <c r="O4" s="826"/>
      <c r="P4" s="826"/>
      <c r="Q4" s="826"/>
      <c r="R4" s="826"/>
      <c r="S4" s="826"/>
      <c r="T4" s="826"/>
      <c r="U4" s="826"/>
      <c r="V4" s="826"/>
      <c r="W4" s="826"/>
      <c r="X4" s="826"/>
      <c r="Y4" s="826"/>
      <c r="Z4" s="826"/>
      <c r="AA4" s="826"/>
      <c r="AB4" s="826"/>
      <c r="AC4" s="826"/>
      <c r="AD4" s="826"/>
      <c r="AE4" s="826"/>
      <c r="AF4" s="826" t="s">
        <v>732</v>
      </c>
      <c r="AG4" s="826"/>
      <c r="AH4" s="826"/>
      <c r="AI4" s="826"/>
      <c r="AJ4" s="826"/>
      <c r="AK4" s="826"/>
      <c r="AL4" s="826"/>
      <c r="AM4" s="826"/>
      <c r="AN4" s="826"/>
      <c r="AO4" s="826"/>
      <c r="AP4" s="826"/>
      <c r="AQ4" s="826"/>
      <c r="AR4" s="826"/>
      <c r="AS4" s="826"/>
      <c r="AT4" s="826"/>
      <c r="AU4" s="826"/>
      <c r="AV4" s="826"/>
      <c r="AW4" s="826"/>
      <c r="AX4" s="826"/>
      <c r="AY4" s="826"/>
      <c r="AZ4" s="826"/>
      <c r="BA4" s="826"/>
      <c r="BB4" s="826"/>
      <c r="BC4" s="826"/>
      <c r="BD4" s="826"/>
      <c r="BE4" s="826"/>
      <c r="BF4" s="826"/>
      <c r="BG4" s="826"/>
      <c r="BH4" s="826"/>
      <c r="BI4" s="826"/>
      <c r="BJ4" s="826"/>
      <c r="BK4" s="826"/>
      <c r="BL4" s="826"/>
    </row>
    <row r="5" spans="1:85" ht="24" customHeight="1">
      <c r="A5" s="887" t="s">
        <v>464</v>
      </c>
      <c r="B5" s="888"/>
      <c r="C5" s="887" t="s">
        <v>465</v>
      </c>
      <c r="D5" s="888"/>
      <c r="E5" s="879" t="s">
        <v>466</v>
      </c>
      <c r="F5" s="879" t="s">
        <v>467</v>
      </c>
      <c r="G5" s="830" t="s">
        <v>468</v>
      </c>
      <c r="H5" s="830" t="s">
        <v>469</v>
      </c>
      <c r="I5" s="879" t="s">
        <v>470</v>
      </c>
      <c r="J5" s="832" t="s">
        <v>471</v>
      </c>
      <c r="K5" s="832" t="s">
        <v>472</v>
      </c>
      <c r="L5" s="832" t="s">
        <v>473</v>
      </c>
      <c r="M5" s="830" t="s">
        <v>474</v>
      </c>
      <c r="N5" s="830" t="s">
        <v>475</v>
      </c>
      <c r="O5" s="830" t="s">
        <v>476</v>
      </c>
      <c r="P5" s="830" t="s">
        <v>477</v>
      </c>
      <c r="Q5" s="873" t="s">
        <v>686</v>
      </c>
      <c r="R5" s="832" t="s">
        <v>478</v>
      </c>
      <c r="S5" s="832" t="s">
        <v>479</v>
      </c>
      <c r="T5" s="876" t="s">
        <v>480</v>
      </c>
      <c r="U5" s="877"/>
      <c r="V5" s="877"/>
      <c r="W5" s="877"/>
      <c r="X5" s="877"/>
      <c r="Y5" s="878"/>
      <c r="Z5" s="876" t="s">
        <v>481</v>
      </c>
      <c r="AA5" s="877"/>
      <c r="AB5" s="877"/>
      <c r="AC5" s="877"/>
      <c r="AD5" s="877"/>
      <c r="AE5" s="878"/>
      <c r="AF5" s="832" t="s">
        <v>446</v>
      </c>
      <c r="AG5" s="832"/>
      <c r="AH5" s="603" t="s">
        <v>448</v>
      </c>
      <c r="AI5" s="870" t="s">
        <v>448</v>
      </c>
      <c r="AJ5" s="872"/>
      <c r="AK5" s="604" t="s">
        <v>482</v>
      </c>
      <c r="AL5" s="873" t="s">
        <v>483</v>
      </c>
      <c r="AM5" s="884" t="s">
        <v>484</v>
      </c>
      <c r="AN5" s="885"/>
      <c r="AO5" s="886"/>
      <c r="AP5" s="881" t="s">
        <v>485</v>
      </c>
      <c r="AQ5" s="832" t="s">
        <v>486</v>
      </c>
      <c r="AR5" s="832"/>
      <c r="AS5" s="881" t="s">
        <v>487</v>
      </c>
      <c r="AT5" s="832" t="s">
        <v>488</v>
      </c>
      <c r="AU5" s="870" t="s">
        <v>489</v>
      </c>
      <c r="AV5" s="871"/>
      <c r="AW5" s="871"/>
      <c r="AX5" s="871"/>
      <c r="AY5" s="871"/>
      <c r="AZ5" s="832" t="s">
        <v>490</v>
      </c>
      <c r="BA5" s="870" t="s">
        <v>491</v>
      </c>
      <c r="BB5" s="871"/>
      <c r="BC5" s="871"/>
      <c r="BD5" s="871"/>
      <c r="BE5" s="871"/>
      <c r="BF5" s="871"/>
      <c r="BG5" s="871"/>
      <c r="BH5" s="871"/>
      <c r="BI5" s="871"/>
      <c r="BJ5" s="871"/>
      <c r="BK5" s="872"/>
      <c r="BL5" s="881" t="s">
        <v>492</v>
      </c>
      <c r="BM5" s="320"/>
      <c r="BN5" s="320"/>
      <c r="BO5" s="320"/>
      <c r="BP5" s="320"/>
      <c r="BQ5" s="320"/>
      <c r="BR5" s="320"/>
      <c r="BS5" s="320"/>
      <c r="BT5" s="320"/>
      <c r="BU5" s="320"/>
      <c r="BV5" s="320"/>
      <c r="BW5" s="320"/>
      <c r="BX5" s="320"/>
      <c r="BY5" s="320"/>
      <c r="BZ5" s="320"/>
      <c r="CA5" s="320"/>
      <c r="CB5" s="320"/>
      <c r="CC5" s="320"/>
      <c r="CD5" s="320"/>
      <c r="CE5" s="320"/>
      <c r="CF5" s="320"/>
      <c r="CG5" s="320"/>
    </row>
    <row r="6" spans="1:85" ht="27" customHeight="1">
      <c r="A6" s="889"/>
      <c r="B6" s="890"/>
      <c r="C6" s="889"/>
      <c r="D6" s="890"/>
      <c r="E6" s="893"/>
      <c r="F6" s="893"/>
      <c r="G6" s="869"/>
      <c r="H6" s="869"/>
      <c r="I6" s="893"/>
      <c r="J6" s="832"/>
      <c r="K6" s="832"/>
      <c r="L6" s="832"/>
      <c r="M6" s="869"/>
      <c r="N6" s="869"/>
      <c r="O6" s="869"/>
      <c r="P6" s="869"/>
      <c r="Q6" s="874"/>
      <c r="R6" s="832"/>
      <c r="S6" s="832"/>
      <c r="T6" s="873" t="str">
        <f>CONCATENATE("até ",FIXED($BU$164,2)," m")</f>
        <v>até 1,50 m</v>
      </c>
      <c r="U6" s="873" t="str">
        <f>CONCATENATE("de ",FIXED($BU$164,2)," até ",FIXED(2*$BU$164,2)," m")</f>
        <v>de 1,50 até 3,00 m</v>
      </c>
      <c r="V6" s="873" t="str">
        <f>CONCATENATE("de ",FIXED(2*$BU$164,2)," até ",FIXED(3*$BU$164,2)," m")</f>
        <v>de 3,00 até 4,50 m</v>
      </c>
      <c r="W6" s="873" t="str">
        <f>CONCATENATE("de ",FIXED(3*$BU$164,2)," até ",FIXED(4*$BU$164,2)," m")</f>
        <v>de 4,50 até 6,00 m</v>
      </c>
      <c r="X6" s="873" t="str">
        <f>CONCATENATE("de ",FIXED(4*$BU$164,2)," até ",FIXED(5*$BU$164,2)," m")</f>
        <v>de 6,00 até 7,50 m</v>
      </c>
      <c r="Y6" s="873" t="str">
        <f>CONCATENATE("de ",FIXED(5*$BU$164,2)," até ",FIXED(6*$BU$164,2)," m")</f>
        <v>de 7,50 até 9,00 m</v>
      </c>
      <c r="Z6" s="873" t="str">
        <f>CONCATENATE("até ",FIXED($BU$165,2)," m")</f>
        <v>até 1,50 m</v>
      </c>
      <c r="AA6" s="873" t="str">
        <f>CONCATENATE("de ",FIXED($BU$165,2)," até ",FIXED(2*$BU$165,2)," m")</f>
        <v>de 1,50 até 3,00 m</v>
      </c>
      <c r="AB6" s="873" t="str">
        <f>CONCATENATE("de ",FIXED(2*$BU$165,2)," até ",FIXED(3*$BU$165,2)," m")</f>
        <v>de 3,00 até 4,50 m</v>
      </c>
      <c r="AC6" s="873" t="str">
        <f>CONCATENATE("de ",FIXED(3*$BU$165,2)," até ",FIXED(4*$BU$165,2)," m")</f>
        <v>de 4,50 até 6,00 m</v>
      </c>
      <c r="AD6" s="873" t="str">
        <f>CONCATENATE("de ",FIXED(4*$BU$165,2)," até ",FIXED(5*$BU$165,2)," m")</f>
        <v>de 6,00 até 7,50 m</v>
      </c>
      <c r="AE6" s="873" t="str">
        <f>CONCATENATE("de ",FIXED(5*$BU$165,2)," até ",FIXED(6*$BU$165,2)," m")</f>
        <v>de 7,50 até 9,00 m</v>
      </c>
      <c r="AF6" s="832" t="s">
        <v>493</v>
      </c>
      <c r="AG6" s="879" t="s">
        <v>295</v>
      </c>
      <c r="AH6" s="830" t="s">
        <v>493</v>
      </c>
      <c r="AI6" s="830" t="s">
        <v>494</v>
      </c>
      <c r="AJ6" s="830" t="s">
        <v>495</v>
      </c>
      <c r="AK6" s="605" t="s">
        <v>496</v>
      </c>
      <c r="AL6" s="874"/>
      <c r="AM6" s="830" t="s">
        <v>497</v>
      </c>
      <c r="AN6" s="830" t="s">
        <v>498</v>
      </c>
      <c r="AO6" s="830" t="s">
        <v>499</v>
      </c>
      <c r="AP6" s="882"/>
      <c r="AQ6" s="830" t="s">
        <v>500</v>
      </c>
      <c r="AR6" s="830" t="s">
        <v>501</v>
      </c>
      <c r="AS6" s="882"/>
      <c r="AT6" s="832"/>
      <c r="AU6" s="606" t="s">
        <v>502</v>
      </c>
      <c r="AV6" s="606" t="s">
        <v>503</v>
      </c>
      <c r="AW6" s="606" t="s">
        <v>504</v>
      </c>
      <c r="AX6" s="606" t="s">
        <v>505</v>
      </c>
      <c r="AY6" s="607" t="s">
        <v>506</v>
      </c>
      <c r="AZ6" s="832"/>
      <c r="BA6" s="830" t="s">
        <v>507</v>
      </c>
      <c r="BB6" s="608" t="s">
        <v>508</v>
      </c>
      <c r="BC6" s="830" t="s">
        <v>509</v>
      </c>
      <c r="BD6" s="608" t="s">
        <v>510</v>
      </c>
      <c r="BE6" s="830" t="s">
        <v>511</v>
      </c>
      <c r="BF6" s="608" t="s">
        <v>512</v>
      </c>
      <c r="BG6" s="830" t="s">
        <v>513</v>
      </c>
      <c r="BH6" s="608" t="s">
        <v>514</v>
      </c>
      <c r="BI6" s="608" t="s">
        <v>515</v>
      </c>
      <c r="BJ6" s="830" t="s">
        <v>516</v>
      </c>
      <c r="BK6" s="608" t="s">
        <v>517</v>
      </c>
      <c r="BL6" s="882"/>
      <c r="BM6" s="320"/>
      <c r="BN6" s="320"/>
      <c r="BO6" s="320"/>
      <c r="BP6" s="320"/>
      <c r="BQ6" s="320"/>
      <c r="BR6" s="320"/>
      <c r="BS6" s="320"/>
      <c r="BT6" s="320"/>
      <c r="BU6" s="320"/>
      <c r="BV6" s="320"/>
      <c r="BW6" s="320"/>
      <c r="BX6" s="320"/>
      <c r="BY6" s="320"/>
      <c r="BZ6" s="320"/>
      <c r="CA6" s="320"/>
      <c r="CB6" s="320"/>
      <c r="CC6" s="320"/>
      <c r="CD6" s="320"/>
      <c r="CE6" s="320"/>
      <c r="CF6" s="320"/>
      <c r="CG6" s="320"/>
    </row>
    <row r="7" spans="1:85" ht="27" customHeight="1">
      <c r="A7" s="889"/>
      <c r="B7" s="890"/>
      <c r="C7" s="889"/>
      <c r="D7" s="890"/>
      <c r="E7" s="880"/>
      <c r="F7" s="893"/>
      <c r="G7" s="869"/>
      <c r="H7" s="869"/>
      <c r="I7" s="880"/>
      <c r="J7" s="832" t="s">
        <v>518</v>
      </c>
      <c r="K7" s="832" t="s">
        <v>519</v>
      </c>
      <c r="L7" s="833" t="s">
        <v>520</v>
      </c>
      <c r="M7" s="831"/>
      <c r="N7" s="831"/>
      <c r="O7" s="831"/>
      <c r="P7" s="831"/>
      <c r="Q7" s="875"/>
      <c r="R7" s="832"/>
      <c r="S7" s="832"/>
      <c r="T7" s="875"/>
      <c r="U7" s="875"/>
      <c r="V7" s="875"/>
      <c r="W7" s="875"/>
      <c r="X7" s="875"/>
      <c r="Y7" s="875"/>
      <c r="Z7" s="875"/>
      <c r="AA7" s="875"/>
      <c r="AB7" s="875"/>
      <c r="AC7" s="875"/>
      <c r="AD7" s="875"/>
      <c r="AE7" s="875"/>
      <c r="AF7" s="832"/>
      <c r="AG7" s="880"/>
      <c r="AH7" s="869"/>
      <c r="AI7" s="831"/>
      <c r="AJ7" s="831"/>
      <c r="AK7" s="609" t="s">
        <v>521</v>
      </c>
      <c r="AL7" s="875"/>
      <c r="AM7" s="831"/>
      <c r="AN7" s="831"/>
      <c r="AO7" s="831"/>
      <c r="AP7" s="883"/>
      <c r="AQ7" s="831"/>
      <c r="AR7" s="831"/>
      <c r="AS7" s="883"/>
      <c r="AT7" s="604" t="s">
        <v>522</v>
      </c>
      <c r="AU7" s="606">
        <v>0</v>
      </c>
      <c r="AV7" s="606">
        <v>0.15</v>
      </c>
      <c r="AW7" s="606">
        <v>0.1</v>
      </c>
      <c r="AX7" s="606">
        <v>0</v>
      </c>
      <c r="AY7" s="606">
        <v>0.05</v>
      </c>
      <c r="AZ7" s="610">
        <v>0.1</v>
      </c>
      <c r="BA7" s="831"/>
      <c r="BB7" s="611" t="str">
        <f>CONCATENATE("d = ",FIXED($BU$179,1),"km")</f>
        <v>d = 15,0km</v>
      </c>
      <c r="BC7" s="831"/>
      <c r="BD7" s="611" t="str">
        <f>CONCATENATE("d = ",FIXED($BU$181,1),"km")</f>
        <v>d = 15,0km</v>
      </c>
      <c r="BE7" s="831"/>
      <c r="BF7" s="611" t="str">
        <f>CONCATENATE("d = ",FIXED($BU$182,1),"km")</f>
        <v>d = 15,0km</v>
      </c>
      <c r="BG7" s="831"/>
      <c r="BH7" s="611" t="str">
        <f>CONCATENATE("d = ",FIXED($BU$183,1),"km")</f>
        <v>d = 15,0km</v>
      </c>
      <c r="BI7" s="611" t="str">
        <f>CONCATENATE("d = ",FIXED($BI$3,1),"km")</f>
        <v>d = 20,0km</v>
      </c>
      <c r="BJ7" s="831"/>
      <c r="BK7" s="611" t="str">
        <f>CONCATENATE("d = ",FIXED($BU$184,1),"km")</f>
        <v>d = 30,0km</v>
      </c>
      <c r="BL7" s="883"/>
      <c r="BM7" s="330"/>
      <c r="BN7" s="331"/>
      <c r="BO7" s="331"/>
      <c r="BP7" s="330"/>
      <c r="BQ7" s="330"/>
      <c r="BR7" s="330"/>
      <c r="BS7" s="330"/>
      <c r="BT7" s="330"/>
      <c r="BU7" s="330"/>
      <c r="BV7" s="330"/>
      <c r="BW7" s="330"/>
      <c r="BX7" s="330"/>
      <c r="BY7" s="330"/>
      <c r="BZ7" s="330"/>
      <c r="CA7" s="330"/>
      <c r="CB7" s="330"/>
      <c r="CC7" s="330"/>
      <c r="CD7" s="330"/>
      <c r="CE7" s="330"/>
      <c r="CF7" s="330"/>
      <c r="CG7" s="330"/>
    </row>
    <row r="8" spans="1:85" ht="20.100000000000001" customHeight="1">
      <c r="A8" s="891"/>
      <c r="B8" s="892"/>
      <c r="C8" s="891"/>
      <c r="D8" s="892"/>
      <c r="E8" s="612" t="s">
        <v>4</v>
      </c>
      <c r="F8" s="880"/>
      <c r="G8" s="831"/>
      <c r="H8" s="831"/>
      <c r="I8" s="613" t="s">
        <v>523</v>
      </c>
      <c r="J8" s="832"/>
      <c r="K8" s="832"/>
      <c r="L8" s="833"/>
      <c r="M8" s="613" t="s">
        <v>4</v>
      </c>
      <c r="N8" s="613" t="s">
        <v>4</v>
      </c>
      <c r="O8" s="613" t="s">
        <v>4</v>
      </c>
      <c r="P8" s="613" t="s">
        <v>4</v>
      </c>
      <c r="Q8" s="613" t="s">
        <v>1</v>
      </c>
      <c r="R8" s="832"/>
      <c r="S8" s="832"/>
      <c r="T8" s="613" t="s">
        <v>6</v>
      </c>
      <c r="U8" s="613" t="s">
        <v>6</v>
      </c>
      <c r="V8" s="613" t="s">
        <v>6</v>
      </c>
      <c r="W8" s="613" t="s">
        <v>6</v>
      </c>
      <c r="X8" s="613" t="s">
        <v>6</v>
      </c>
      <c r="Y8" s="613" t="s">
        <v>6</v>
      </c>
      <c r="Z8" s="613" t="s">
        <v>6</v>
      </c>
      <c r="AA8" s="613" t="s">
        <v>6</v>
      </c>
      <c r="AB8" s="613" t="s">
        <v>6</v>
      </c>
      <c r="AC8" s="613" t="s">
        <v>6</v>
      </c>
      <c r="AD8" s="613" t="s">
        <v>6</v>
      </c>
      <c r="AE8" s="613" t="s">
        <v>6</v>
      </c>
      <c r="AF8" s="832"/>
      <c r="AG8" s="613" t="s">
        <v>1</v>
      </c>
      <c r="AH8" s="831"/>
      <c r="AI8" s="613" t="s">
        <v>524</v>
      </c>
      <c r="AJ8" s="612" t="s">
        <v>4</v>
      </c>
      <c r="AK8" s="611" t="s">
        <v>4</v>
      </c>
      <c r="AL8" s="613" t="s">
        <v>1</v>
      </c>
      <c r="AM8" s="613" t="s">
        <v>6</v>
      </c>
      <c r="AN8" s="613" t="s">
        <v>6</v>
      </c>
      <c r="AO8" s="613" t="s">
        <v>6</v>
      </c>
      <c r="AP8" s="613" t="s">
        <v>4</v>
      </c>
      <c r="AQ8" s="613" t="s">
        <v>6</v>
      </c>
      <c r="AR8" s="613" t="s">
        <v>6</v>
      </c>
      <c r="AS8" s="613" t="s">
        <v>1</v>
      </c>
      <c r="AT8" s="614" t="s">
        <v>525</v>
      </c>
      <c r="AU8" s="612" t="s">
        <v>1</v>
      </c>
      <c r="AV8" s="612" t="s">
        <v>6</v>
      </c>
      <c r="AW8" s="612" t="s">
        <v>6</v>
      </c>
      <c r="AX8" s="612" t="s">
        <v>1</v>
      </c>
      <c r="AY8" s="612" t="s">
        <v>6</v>
      </c>
      <c r="AZ8" s="612" t="s">
        <v>1</v>
      </c>
      <c r="BA8" s="612" t="s">
        <v>6</v>
      </c>
      <c r="BB8" s="611" t="s">
        <v>526</v>
      </c>
      <c r="BC8" s="612" t="s">
        <v>6</v>
      </c>
      <c r="BD8" s="611" t="s">
        <v>526</v>
      </c>
      <c r="BE8" s="612" t="s">
        <v>6</v>
      </c>
      <c r="BF8" s="611" t="s">
        <v>526</v>
      </c>
      <c r="BG8" s="612" t="s">
        <v>6</v>
      </c>
      <c r="BH8" s="611" t="s">
        <v>526</v>
      </c>
      <c r="BI8" s="612" t="s">
        <v>527</v>
      </c>
      <c r="BJ8" s="613" t="s">
        <v>528</v>
      </c>
      <c r="BK8" s="611" t="s">
        <v>529</v>
      </c>
      <c r="BL8" s="613" t="s">
        <v>1</v>
      </c>
      <c r="BM8" s="330"/>
      <c r="BN8" s="331"/>
      <c r="BO8" s="331"/>
      <c r="BP8" s="330"/>
      <c r="BQ8" s="330"/>
      <c r="BR8" s="330"/>
      <c r="BS8" s="330"/>
      <c r="BT8" s="330"/>
      <c r="BU8" s="330"/>
      <c r="BV8" s="330"/>
      <c r="BW8" s="330"/>
      <c r="BX8" s="330"/>
      <c r="BY8" s="330"/>
      <c r="BZ8" s="330"/>
      <c r="CA8" s="330"/>
      <c r="CB8" s="330"/>
      <c r="CC8" s="330"/>
      <c r="CD8" s="330"/>
      <c r="CE8" s="330"/>
      <c r="CF8" s="330"/>
      <c r="CG8" s="330"/>
    </row>
    <row r="9" spans="1:85" ht="15" customHeight="1">
      <c r="A9" s="332"/>
      <c r="B9" s="332"/>
      <c r="C9" s="333"/>
      <c r="D9" s="333"/>
      <c r="E9" s="334"/>
      <c r="F9" s="834" t="s">
        <v>530</v>
      </c>
      <c r="G9" s="837" t="s">
        <v>531</v>
      </c>
      <c r="H9" s="837" t="s">
        <v>532</v>
      </c>
      <c r="I9" s="335">
        <f>IF(OR(ISNUMBER(MATCH(F9,$BN$140:$BN$141,0)),ISNUMBER(MATCH(F9,$BN$153:$BN$153,0))),(VLOOKUP(I10,$BW$132:$BX$152,2,FALSE)-I10)/2000,0)+IF(ISNUMBER(MATCH(F9,$BN$154:$BN$155,0)),(VLOOKUP(I10,$CH$132:$CJ$138,3,FALSE)-VLOOKUP(I10,$CH$132:$CJ$138,2,FALSE))/2000,0)+IF(ISNUMBER(MATCH(F9,$BN$156:$BN$158,0)),(VLOOKUP(I10,$CB$132:$CD$135,3,FALSE)-VLOOKUP(I10,$CB$132:$CD$135,2,FALSE))/2000,0)+IF(ISNUMBER(MATCH(F9,$BN$159:$BN$161,0)),(VLOOKUP(I10,$CP$132:$CQ$151,2,FALSE)-I10)/2000,0)+IF(ISNUMBER(MATCH(F9,$BN$149:$BN$150,0)),(VLOOKUP(I10,$CZ$132:$DC$138,4,FALSE)-VLOOKUP(I10,$CZ$132:$DC$138,2,FALSE))/2000,0)+IF(ISNUMBER(MATCH(F9,$BN$151:$BN$152,0)),(VLOOKUP(I10,$DE$132:$DH$144,4,FALSE)-VLOOKUP(I10,$DE$132:$DH$144,2,FALSE))/2000,0)+IF(ISNUMBER(MATCH(F9,$BN$162:$BN$162,0)),(VLOOKUP(I10,$CM$132:$CN$168,2,FALSE)-I10)/2000,0)+IF(ISNUMBER(MATCH(F9,$BN$142:$BN$148,0)),(VLOOKUP(I10,$DJ$132:$DL$144,3,FALSE)-I10)/2000,0)</f>
        <v>1.6E-2</v>
      </c>
      <c r="J9" s="336">
        <v>662.29</v>
      </c>
      <c r="K9" s="336">
        <v>660.64</v>
      </c>
      <c r="L9" s="337">
        <f>J9-K9</f>
        <v>1.6499999999999773</v>
      </c>
      <c r="M9" s="337"/>
      <c r="N9" s="337"/>
      <c r="O9" s="337"/>
      <c r="P9" s="337"/>
      <c r="Q9" s="337"/>
      <c r="R9" s="827" t="s">
        <v>533</v>
      </c>
      <c r="S9" s="827" t="s">
        <v>685</v>
      </c>
      <c r="T9" s="337"/>
      <c r="U9" s="337"/>
      <c r="V9" s="337"/>
      <c r="W9" s="337"/>
      <c r="X9" s="337"/>
      <c r="Y9" s="337"/>
      <c r="Z9" s="337"/>
      <c r="AA9" s="337"/>
      <c r="AB9" s="337"/>
      <c r="AC9" s="337"/>
      <c r="AD9" s="337"/>
      <c r="AE9" s="337"/>
      <c r="AF9" s="334"/>
      <c r="AG9" s="337"/>
      <c r="AH9" s="827" t="s">
        <v>535</v>
      </c>
      <c r="AI9" s="337"/>
      <c r="AJ9" s="337"/>
      <c r="AK9" s="337"/>
      <c r="AL9" s="337"/>
      <c r="AM9" s="337"/>
      <c r="AN9" s="337"/>
      <c r="AO9" s="338"/>
      <c r="AP9" s="337"/>
      <c r="AQ9" s="337"/>
      <c r="AR9" s="337"/>
      <c r="AS9" s="337"/>
      <c r="AT9" s="337"/>
      <c r="AU9" s="337"/>
      <c r="AV9" s="337"/>
      <c r="AW9" s="337"/>
      <c r="AX9" s="337"/>
      <c r="AY9" s="337"/>
      <c r="AZ9" s="337"/>
      <c r="BA9" s="337"/>
      <c r="BB9" s="337"/>
      <c r="BC9" s="337"/>
      <c r="BD9" s="337"/>
      <c r="BE9" s="337"/>
      <c r="BF9" s="337"/>
      <c r="BG9" s="337"/>
      <c r="BH9" s="337"/>
      <c r="BI9" s="337"/>
      <c r="BJ9" s="338"/>
      <c r="BK9" s="338"/>
      <c r="BL9" s="337"/>
      <c r="BM9" s="330"/>
      <c r="BN9" s="339"/>
      <c r="BO9" s="339"/>
      <c r="CG9" s="330"/>
    </row>
    <row r="10" spans="1:85" ht="15" customHeight="1">
      <c r="A10" s="332" t="s">
        <v>562</v>
      </c>
      <c r="B10" s="340" t="s">
        <v>562</v>
      </c>
      <c r="C10" s="341" t="s">
        <v>562</v>
      </c>
      <c r="D10" s="340" t="s">
        <v>562</v>
      </c>
      <c r="E10" s="342">
        <v>3</v>
      </c>
      <c r="F10" s="835"/>
      <c r="G10" s="838"/>
      <c r="H10" s="838"/>
      <c r="I10" s="343">
        <v>500</v>
      </c>
      <c r="J10" s="344"/>
      <c r="K10" s="344"/>
      <c r="L10" s="340"/>
      <c r="M10" s="345">
        <f>ABS((L9+L11)/2)+IF(ISNUMBER(MATCH(F9,$BN$140:$BN$148,0)),$BU$131,0)+IF(ISNUMBER(MATCH(AH9,$BN$202,0)),$BU$132,0)+IF(ISNUMBER(MATCH(F9,$BN$149:$BN$152,0)),IF(I10&lt;=600,$BU$133,$BU$134),0)+IF(ISNUMBER(MATCH(F9,$BN$153:$BN$167,0)),$BU$132,0)</f>
        <v>1.7499999999999774</v>
      </c>
      <c r="N10" s="345">
        <f>IF(MATCH(G9,$BN$131:$BN$133,0)=1,IF(ISNUMBER(MATCH(F9,$BN$140:$BN$161,0)),VLOOKUP(I10,IF(M10&lt;=2,$BN$53:$BS$66,$BN$68:$BS$84),VLOOKUP(AF10,$BO$176:$BP$181,2,FALSE),FALSE),IF(ISNUMBER(MATCH(F9,$BN$162,0)),VLOOKUP(I10,IF(M10&lt;=2,$BU$53:$BZ$66,$BU$68:$BZ$88),VLOOKUP(AF10,$BO$176:$BP$181,2,FALSE),FALSE),0)),0)+IF(MATCH(G9,$BN$131:$BN$133,0)=2,VLOOKUP(I10,IF(M10&lt;=2,$CB$53:$CG$66,IF(M10&lt;=4,$CB$68:$CG$81,IF(M10&lt;=6,$CB$83:$CG$96,IF(M10&lt;=8,$CB$98:$CG$111,$CB$113:$CG$126)))),VLOOKUP(AF10,$BO$176:$BP$181,2,FALSE)),0)</f>
        <v>1.1499999999999999</v>
      </c>
      <c r="O10" s="346">
        <f>ABS((K11-K9)/E10)</f>
        <v>0</v>
      </c>
      <c r="P10" s="345">
        <f>E10</f>
        <v>3</v>
      </c>
      <c r="Q10" s="345">
        <f>IF(IF(AND(MATCH(R9,$BN$192:$BN$196,0)&lt;=1),E10*(N10+2*$BP$192))=FALSE,0,IF(AND(MATCH(R9,$BN$192:$BN$196,0)&lt;=1),E10*(N10+2*$BP$192)))</f>
        <v>5.25</v>
      </c>
      <c r="R10" s="828"/>
      <c r="S10" s="828"/>
      <c r="T10" s="345">
        <f>IF(AND(ISNUMBER(MATCH(S9,$BN$205,0))),E10*N10*(MIN(M10,$BU$164)-VLOOKUP(R9,$BN$192:$BP$197,2,FALSE)),VLOOKUP(S9,$BN$205:$BP$206,2,FALSE))</f>
        <v>0</v>
      </c>
      <c r="U10" s="345">
        <f>IF(AND(ISNUMBER(MATCH(S9,$BN$205,0))),E10*N10*MAX(MIN(M10-$BU$164,$BU$164),0)+E10*MAX((MIN(M10-$BU$164,-$BU$164)),0),VLOOKUP(S9,$BN$205:$BP$206,2,FALSE))</f>
        <v>0</v>
      </c>
      <c r="V10" s="345">
        <f>IF(AND(ISNUMBER(MATCH(S9,$BN$205,0))),E10*N10*MAX(MIN(M10-2*$BU$164,$BU$164),0)+E10*MAX((MIN(M10-2*$BU$164,-2*$BU$164,-2*$BU$164,$BU$164)),0),VLOOKUP(S9,$BN$205:$BP$206,2,FALSE))</f>
        <v>0</v>
      </c>
      <c r="W10" s="345">
        <f>IF(AND(ISNUMBER(MATCH(S9,$BN$205,0))),E10*N10*MAX(MIN(M10-3*$BU$164,$BU$164),0)+E10*MAX((MIN(M10-3*$BU$164,-3*$BU$164,-3*$BU$164,$BU$164)),0),VLOOKUP(S9,$BN$205:$BP$206,2,FALSE))</f>
        <v>0</v>
      </c>
      <c r="X10" s="345">
        <f>IF(AND(ISNUMBER(MATCH(S9,$BN$205,0))),E10*N10*MAX(MIN(M10-4*$BU$164,$BU$164),0)+E10*MAX((MIN(M10-4*$BU$164,-4*$BU$164,-4*$BU$164,$BU$164)),0),VLOOKUP(S9,$BN$205:$BP$206,2,FALSE))</f>
        <v>0</v>
      </c>
      <c r="Y10" s="345">
        <f>IF(AND(ISNUMBER(MATCH(S9,$BN$205,0))),E10*N10*MAX(MIN(M10-5*$BU$164,$BU$164),0)+E10*MAX((MIN(M10-5*$BU$164,-5*$BU$164,-5*$BU$164,$BU$164)),0),VLOOKUP(S9,$BN$205:$BP$206,2,FALSE))</f>
        <v>0</v>
      </c>
      <c r="Z10" s="345">
        <f>IF(AND(ISNUMBER(MATCH(S9,$BN$206,0))),E10*N10*(MIN(M10,$BU$165)-VLOOKUP(R9,$BN$192:$BP$197,2,FALSE)),VLOOKUP(S9,$BN$205:$BP$206,2,FALSE))</f>
        <v>5.1749999999999998</v>
      </c>
      <c r="AA10" s="345">
        <f>IF(AND(ISNUMBER(MATCH(S9,$BN$206,0))),E10*N10*MAX(MIN(M10-$BU$165,$BU$165),0)+E10*MAX((MIN(M10-$BU$165,-$BU$165)),0))-VLOOKUP(S9,$BN$205:$BP$206,2,FALSE)</f>
        <v>0.86249999999992177</v>
      </c>
      <c r="AB10" s="345">
        <f>IF(AND(ISNUMBER(MATCH(S9,$BN$206,0))),E10*N10*MAX(MIN(M10-2*$BU$165,$BU$165),0)+E10*MAX((MIN(M10-2*$BU$165,-2*$BU$165,-2*$BU$165,$BU$165)),0))-VLOOKUP(S9,$BN$205:$BP$206,2,FALSE)</f>
        <v>0</v>
      </c>
      <c r="AC10" s="345">
        <f>IF(AND(ISNUMBER(MATCH(S9,$BN$206,0))),E10*N10*MAX(MIN(M10-3*$BU$165,$BU$165),0)+E10*MAX((MIN(M10-3*$BU$165,-3*$BU$165,-3*$BU$165,$BU$165)),0))-VLOOKUP(S9,$BN$205:$BP$206,2,FALSE)</f>
        <v>0</v>
      </c>
      <c r="AD10" s="345">
        <f>IF(AND(ISNUMBER(MATCH(S9,$BN$206,0))),E10*N10*MAX(MIN(M10-4*$BU$165,$BU$165),0)+E10*MAX((MIN(M10-4*$BU$165,-4*$BU$165,-4*$BU$165,$BU$165)),0))-VLOOKUP(S9,$BN$205:$BP$206,2,FALSE)</f>
        <v>0</v>
      </c>
      <c r="AE10" s="345">
        <f>IF(AND(ISNUMBER(MATCH(S9,$BN$206,0))),E10*N10*MAX(MIN(M10-5*$BU$165,$BU$165),0)+E10*MAX((MIN(M10-5*$BU$165,-5*$BU$165,-5*$BU$165,$BU$165)),0))-VLOOKUP(S9,$BN$205:$BP$206,2,FALSE)</f>
        <v>0</v>
      </c>
      <c r="AF10" s="332" t="str">
        <f>IF(MATCH(G9,$BN$131:$BN$133,0)&lt;=2,VLOOKUP((M10),$BN$176:$BO$181,2),"-")</f>
        <v>D</v>
      </c>
      <c r="AG10" s="345">
        <f>IF(AND(MATCH(G9,$BN$131:$BN$133,0)&lt;=2,MATCH(AF10,$BO$176:$BO$181,0)&gt;1),(M10)*E10*2,0)</f>
        <v>10.499999999999865</v>
      </c>
      <c r="AH10" s="828"/>
      <c r="AI10" s="345" t="str">
        <f>IF(AH9=$BN$201,E10*5*$BU$155,IF(AH9=$BN$200,"-","-"))</f>
        <v>-</v>
      </c>
      <c r="AJ10" s="345">
        <f>IF(MATCH(AH9,$BN$200:$BN$202,0)&lt;=2,0,((_xlfn.CEILING.PRECISE(E10/$BU$156))*$BU$157))</f>
        <v>0</v>
      </c>
      <c r="AK10" s="345">
        <f>IF(MATCH(G9,$BN$131:$BN$133,0)=3,0,E10*$BU$193/($BU$192)*2)</f>
        <v>2</v>
      </c>
      <c r="AL10" s="345">
        <f>IF(MATCH(G9,$BN$131:$BN$133,0)=3,0,(E10/$BU$185)*$BU$186*(N10+2*N10))</f>
        <v>0.20699999999999999</v>
      </c>
      <c r="AM10" s="345">
        <f>IF(ISNUMBER(MATCH(F9,$BN$140:$BN$148,0)),E10*N10*$BU$131,0)</f>
        <v>0.34499999999999997</v>
      </c>
      <c r="AN10" s="345">
        <f>IF(AND(ISNUMBER(MATCH(F9,$BN$140:$BN$148,0)),MATCH(AH9,$BN$200:$BN$202,0)=3),E10*N10*$BU$132,0)</f>
        <v>0</v>
      </c>
      <c r="AO10" s="347">
        <f>IF(MATCH(G9,$BN$131:$BN$133,0)&lt;=2,IF(ISNUMBER(MATCH(F9,$BN$153:$BN$162,0)),E10*(N10*(I11+$BU$133+$BU$134)-(((I11/2)^2)*(IF((M10-$BU$133)&lt;I11,2*ACOS(1-(((M10-$BU$133)*2/I11))),2*PI())-SIN(IF((M10-$BU$133)&lt;I11,2*ACOS(1-(((M10-$BU$133)*2/I11))),2*PI()))))/2),0)+IF(ISNUMBER(MATCH(F9,$BN$149:$BN$150,0)),E10*(N10*(VLOOKUP(I10,$CZ$132:$DC$138,3,FALSE)/1000+IF(I10&lt;=600,$BU$136,$BU$137)+$BU$134)-(((VLOOKUP(I10,$CZ$132:$DC$138,3,FALSE)/2000)^2)*(IF((M10-IF(I10&lt;=600,$BU$136,$BU$137))&lt;VLOOKUP(I10,$CZ$132:$DC$138,3,FALSE)/1000,2*ACOS(1-((M10-IF(I10&lt;=600,$BU$136,$BU$137))*2/VLOOKUP(I10,$CZ$132:$DC$138,3,FALSE)/1000)),2*PI())-SIN(IF((M10-IF(I10&lt;=600,$BU$136,$BU$137))&lt;VLOOKUP(I10,$CZ$132:$DC$138,3,FALSE)/1000,2*ACOS(1-((M10-IF(I10&lt;=600,$BU$136,$BU$137))*2/VLOOKUP(I10,$CZ$132:$DC$138,3,FALSE)/1000)),2*PI()))))/2),0)+IF(ISNUMBER(MATCH(F9,$BN$151:$BN$152,0)),E10*(N10*(VLOOKUP(I10,$DE$132:$DH$144,3,FALSE)/1000+IF(I10&lt;=600,$BU$136,$BU$137)+$BU$134)-(((VLOOKUP(I10,$DE$132:$DH$144,3,FALSE)/2000)^2)*(IF((M10-IF(I10&lt;=600,$BU$136,$BU$137))&lt;VLOOKUP(I10,$DE$132:$DH$144,3,FALSE)/1000,2*ACOS(1-((M10-IF(I10&lt;=600,$BU$136,$BU$137))*2/VLOOKUP(I10,$DE$132:$DH$144,3,FALSE)/1000)),2*PI())-SIN(IF((M10-IF(I10&lt;=600,$BU$136,$BU$137))&lt;VLOOKUP(I10,$DE$132:$DH$144,3,FALSE)/1000,2*ACOS(1-((M10-IF(I10&lt;=600,$BU$136,$BU$137))*2/VLOOKUP(I10,$DE$132:$DH$144,3,FALSE)/1000)),2*PI()))))/2),0),0)</f>
        <v>0</v>
      </c>
      <c r="AP10" s="345">
        <f>E10</f>
        <v>3</v>
      </c>
      <c r="AQ10" s="345">
        <f>IF(ISNUMBER(MATCH(F9,$BN$140:$BN$148,0)),N10*E10*MAX(IF($BU$138=2,IF((M10-$BU$131-I11-$BU$141-VLOOKUP(R9,$BN$192:$BO$196,2,FALSE))&lt;$BU$140,(M10-$BU$131-I11-$BU$141-VLOOKUP(R9,$BN$192:$BO$196,2,FALSE)),IF((M10-$BU$131-I11-$BU$141-VLOOKUP(R9,$BN$192:$BO$196,2,FALSE))&lt;2*$BU$140,$BU$140,(M10-$BU$131-I11-$BU$141-VLOOKUP(R9,$BN$192:$BO$196,2,FALSE))/2)),M10-$BU$131-I11-$BU$139-VLOOKUP(R9,$BN$192:$BO$196,2,FALSE)),0),0)+IF(ISNUMBER(MATCH(F9,$BN$153:$BN$167,0)),N10*E10*MAX(IF((M10-$BU$133-$BU$134-I11-VLOOKUP(R9,$BN$192:$BO$196,2,FALSE))&lt;$BU$140,(M10-$BU$133-$BU$134-I11-VLOOKUP(R9,$BN$192:$BO$196,2,FALSE)),IF((M10-$BU$133-$BU$134-I11-VLOOKUP(R9,$BN$192:$BO$196,2,FALSE))&lt;2*$BU$140,$BU$140,(M10-$BU$133-$BU$134-I11-VLOOKUP(R9,$BN$192:$BO$196,2,FALSE))/2)),0),0)+IF(ISNUMBER(MATCH(F9,$BN$149:$BN$150,0)),N10*E10*MAX(IF((M10-IF(I10&lt;=600,$BU$136,$BU$137)-$BU$134-VLOOKUP(I10,$CZ$132:$DC$138,3,FALSE)/1000-VLOOKUP(R9,$BN$192:$BO$196,2,FALSE))&lt;$BU$140,(M10-IF(I10&lt;=600,$BU$136,$BU$137)-$BU$134-VLOOKUP(I10,$CZ$132:$DC$138,3,FALSE)/1000-VLOOKUP(R9,$BN$192:$BO$196,2,FALSE)),IF((M10-IF(I10&lt;=600,$BU$136,$BU$137)-$BU$134-VLOOKUP(I10,$CZ$132:$DC$138,3,FALSE)/1000-VLOOKUP(R9,$BN$192:$BO$196,2,FALSE))&lt;2*$BU$140,$BU$140,(M10-IF(I10&lt;=600,$BU$136,$BU$137)-$BU$134-VLOOKUP(I10,$CZ$132:$DC$138,3,FALSE)/1000-VLOOKUP(R9,$BN$192:$BO$196,2,FALSE))/2)),0),0)+IF(ISNUMBER(MATCH(F9,$BN$151:$BN$152,0)),N10*E10*MAX(IF((M10-IF(I10&lt;=600,$BU$136,$BU$137)-$BU$134-VLOOKUP(I10,$DE$132:$DH$144,3,FALSE)/1000-VLOOKUP(R9,$BN$192:$BO$196,2,FALSE))&lt;$BU$140,(M10-IF(I10&lt;=600,$BU$136,$BU$137)-$BU$134-VLOOKUP(I10,$DE$132:$DH$144,3,FALSE)/1000-VLOOKUP(R9,$BN$192:$BO$196,2,FALSE)),IF((M10-IF(I10&lt;=600,$BU$136,$BU$137)-$BU$134-VLOOKUP(I10,$DE$132:$DH$144,3,FALSE)/1000-VLOOKUP(R9,$BN$192:$BO$196,2,FALSE))&lt;2*$BU$140,$BU$140,(M10-IF(I10&lt;=600,$BU$136,$BU$137)-$BU$134-VLOOKUP(I10,$DE$132:$DH$144,3,FALSE)/1000-VLOOKUP(R9,$BN$192:$BO$196,2,FALSE))/2)),0),0)</f>
        <v>1.4110499999999606</v>
      </c>
      <c r="AR10" s="345">
        <f>IF(ISNUMBER(MATCH(F9,$BN$140:$BN$148,0)),E10*MAX(N10*IF($BU$138=2,IF((M10-$BU$131-I11-$BU$141-VLOOKUP(R9,$BN$192:$BO$196,2,FALSE))&lt;$BU$140,I11+$BU$141,IF((M10-$BU$131-I11-$BU$141-VLOOKUP(R9,$BN$192:$BO$196,2,FALSE))&lt;2*$BU$140,I11+$BU$141+(M10-$BU$131-I11-$BU$141-VLOOKUP(R9,$BN$192:$BO$196,2,FALSE))-$BU$140,I11+$BU$141+(M10-$BU$131-I11-$BU$141-VLOOKUP(R9,$BN$192:$BO$196,2,FALSE))/2)),MAX(MIN(M10-$BU$131-I11-VLOOKUP(R9,$BN$192:$BO$196,2,FALSE),I11+$BU$139),0))-IF((M10-$BU$131)&lt;I11,((I11/2)^2)*(2*ACOS(1-(((M10-$BU$131)*2/I11)))-SIN(2*ACOS(1-(((M10-$BU$131)*2/I11)))))/2,PI()*(I11/2)^2),0),0)+IF(ISNUMBER(MATCH(F9,$BN$153:$BN$167,0)),N10*E10*MAX(IF((M10-$BU$133-$BU$134-I11-VLOOKUP(R9,$BN$192:$BO$196,2,FALSE))&lt;$BU$140,0,IF((M10-$BU$133-$BU$134-I11-VLOOKUP(R9,$BN$192:$BO$196,2,FALSE))&lt;2*$BU$140,(M10-$BU$133-$BU$134-I11-VLOOKUP(R9,$BN$192:$BO$196,2,FALSE))-$BU$140,(M10-$BU$133-$BU$134-I11-VLOOKUP(R9,$BN$192:$BO$196,2,FALSE))/2)),0),0)+IF(ISNUMBER(MATCH(F9,$BN$149:$BN$150,0)),N10*E10*MAX(IF((M10-IF(I10&lt;=600,$BU$136,$BU$137)-$BU$134-VLOOKUP(I10,$CZ$132:$DC$138,3,FALSE)/1000-VLOOKUP(R9,$BN$192:$BO$196,2,FALSE))&lt;$BU$140,0,IF((M10-IF(I10&lt;=600,$BU$136,$BU$137)-$BU$134-VLOOKUP(I10,$CZ$132:$DC$138,3,FALSE)/1000-VLOOKUP(R9,$BN$192:$BO$196,2,FALSE))&lt;2*$BU$140,(M10-IF(I10&lt;=600,$BU$136,$BU$137)-$BU$134-VLOOKUP(I10,$CZ$132:$DC$138,3,FALSE)/1000-VLOOKUP(R9,$BN$192:$BO$196,2,FALSE))-$BU$140,(M10-IF(I10&lt;=600,$BU$136,$BU$137)-$BU$134-VLOOKUP(I10,$CZ$132:$DC$138,3,FALSE)/1000-VLOOKUP(R9,$BN$192:$BO$196,2,FALSE))/2)),0),0)+IF(ISNUMBER(MATCH(F9,$BN$151:$BN$152,0)),N10*E10*MAX(IF((M10-IF(I10&lt;=600,$BU$136,$BU$137)-$BU$134-VLOOKUP(I10,$DE$132:$DH$144,3,FALSE)/1000-VLOOKUP(R9,$BN$192:$BO$196,2,FALSE))&lt;$BU$140,0,IF((M10-IF(I10&lt;=600,$BU$136,$BU$137)-$BU$134-VLOOKUP(I10,$DE$132:$DH$144,3,FALSE)/1000-VLOOKUP(R9,$BN$192:$BO$196,2,FALSE))&lt;2*$BU$140,(M10-IF(I10&lt;=600,$BU$136,$BU$137)-$BU$134-VLOOKUP(I10,$DE$132:$DH$144,3,FALSE)/1000-VLOOKUP(R9,$BN$192:$BO$196,2,FALSE))-$BU$140,(M10-IF(I10&lt;=600,$BU$136,$BU$137)-$BU$134-VLOOKUP(I10,$DE$132:$DH$144,3,FALSE)/1000-VLOOKUP(R9,$BN$192:$BO$196,2,FALSE))/2)),0),0)</f>
        <v>3.6145904106077618</v>
      </c>
      <c r="AS10" s="345">
        <f>IF(MATCH(G9,$BN$131:$BN$133,0)=3,0,IF(MATCH(R9,$BN$192:$BN$194,0)&gt;=1,E10*(N10),0))</f>
        <v>3.4499999999999997</v>
      </c>
      <c r="AT10" s="345">
        <f>IF(AND(MATCH(G9,$BN$131:$BN$133,0)&lt;=2,MATCH(R9,$BN$192:$BN$196,0)&gt;1,NOT(AND(MATCH(R9,$BN$192:$BN$196,0)&gt;1,))),E10*(N10+2*VLOOKUP(R9,$BN$192:$BP$196,3,FALSE))*IF(OR(MATCH(R9,$BN$192:$BN$196,0)=3,MATCH(R9,$BN$192:$BN$196,0)=3),VLOOKUP(R9,$BN$192:$BP$196,2,FALSE),1),0)</f>
        <v>0</v>
      </c>
      <c r="AU10" s="345">
        <f>IF(AND(MATCH(G9,$BN$131:$BN$133,0)&lt;=2,MATCH(R9,$BN$192:$BN$196,0)=2),E10*(N10+2*VLOOKUP(R9,$BN$192:$BP$196,3,FALSE)),0)</f>
        <v>0</v>
      </c>
      <c r="AV10" s="345">
        <f>IF(AND(MATCH(G9,$BN$131:$BN$133,0)&lt;=2,MATCH(R9,$BN$192:$BN$196,0)=2),E10*(N10+2*VLOOKUP(R9,$BN$192:$BP$196,3,FALSE)),0)*$AV$7</f>
        <v>0</v>
      </c>
      <c r="AW10" s="345">
        <f>IF(AND(MATCH(G9,$BN$131:$BN$133,0)&lt;=2,MATCH(R9,$BN$192:$BN$196,0)=2),E10*(N10+2*VLOOKUP(R9,$BN$192:$BP$196,3,FALSE)),0)*$AW$7</f>
        <v>0</v>
      </c>
      <c r="AX10" s="345">
        <f>IF(AND(MATCH(G9,$BN$131:$BN$133,0)&lt;=2,MATCH(R9,$BN$192:$BN$196,0)=2),E10*(N10+2*VLOOKUP(R9,$BN$192:$BP$196,3,FALSE)),0)</f>
        <v>0</v>
      </c>
      <c r="AY10" s="345">
        <f>IF(AND(MATCH(G9,$BN$131:$BN$133,0)&lt;=2,MATCH(R9,$BN$192:$BN$196,0)=2),E10*(N10+2*VLOOKUP(R9,$BN$192:$BP$196,3,FALSE)),0)*$AY$7</f>
        <v>0</v>
      </c>
      <c r="AZ10" s="345">
        <f>IF(MATCH(R9,$BN$192:$BN$196,0)=3,E10*(N10+2*VLOOKUP(R9,$BN$192:$BP$196,3,FALSE)),0)</f>
        <v>0</v>
      </c>
      <c r="BA10" s="345">
        <f>MAX(SUM(T10:AE10)-AQ10-AR10,0)*$BU$174</f>
        <v>1.3154174662098592</v>
      </c>
      <c r="BB10" s="345">
        <f>BA10*$BU$179</f>
        <v>19.731261993147889</v>
      </c>
      <c r="BC10" s="345">
        <f>AM10*$BU$176</f>
        <v>0.34499999999999997</v>
      </c>
      <c r="BD10" s="345">
        <f>BC10*$BU$181</f>
        <v>5.1749999999999998</v>
      </c>
      <c r="BE10" s="345">
        <f>(AN10+AO10)*$BU$177</f>
        <v>0</v>
      </c>
      <c r="BF10" s="345">
        <f>BE10*$BU$182</f>
        <v>0</v>
      </c>
      <c r="BG10" s="345">
        <f>IF(MATCH(G9,$BN$131:$BN$133,0)&lt;=2,(E10*(N10+2*VLOOKUP(R9,$BN$192:$BP$196,3,FALSE))*VLOOKUP(R9,$BN$192:$BO$196,2,FALSE))*$BU$178,0)</f>
        <v>0</v>
      </c>
      <c r="BH10" s="345">
        <f>BG10*$BU$183</f>
        <v>0</v>
      </c>
      <c r="BI10" s="345">
        <f>AY10*$BI$1*$BI$2*$BI$3</f>
        <v>0</v>
      </c>
      <c r="BJ10" s="347">
        <f>E10*(IF(ISNUMBER(MATCH(F9,$BN$140,0)),VLOOKUP(I10,$BW$134:$BY$147,3,FALSE)/1000,0)+IF(ISNUMBER(MATCH(F9,$BN$141,0)),VLOOKUP(I10,$BW$132:$BZ$147,4,FALSE)/1000,0)+IF(ISNUMBER(MATCH(F9,$BN$142:$BN$148,0)),VLOOKUP(I10,$DJ$132:$DM$142,4,FALSE)/1000,0)+IF(ISNUMBER(MATCH(F9,$BN$149:$BN$150,0)),VLOOKUP(I10,$CZ$132:$DD138,5,FALSE)/1000,0)+IF(ISNUMBER(MATCH(F9,$BN$151:$BN$152,0)),VLOOKUP(I10,$DE$132:$DI$143,5,FALSE)/1000,0)+IF(ISNUMBER(MATCH(F9,$BN$153:$BN$153,0)),VLOOKUP(I10,$BW$132:$CA$147,5,FALSE)/1000,0)+IF(ISNUMBER(MATCH(F9,$BN$154:$BN$154,0)),VLOOKUP(I10,$CH$132:$CL$138,4,FALSE)/1000,0)+IF(ISNUMBER(MATCH(F9,$BN$155:$BN$155,0)),VLOOKUP(I10,$CH$132:$CL$138,5,FALSE)/1000,0)+IF(ISNUMBER(MATCH(F9,$BN$156:$BN$156,0)),VLOOKUP(I10,$CB$132:$CG$135,4,FALSE)/1000,0)+IF(ISNUMBER(MATCH(F9,$BN$157:$BN$157,0)),VLOOKUP(I10,$CB$132:$CG$135,5,FALSE)/1000,0)+IF(ISNUMBER(MATCH(F9,$BN$158:$BN$158,0)),VLOOKUP(I10,$CB$132:$CG$135,6,FALSE)/1000,0)+IF(ISNUMBER(MATCH(F9,$BN$159:$BN$159,0)),VLOOKUP(I10,$CP$132:$CT$151,3,FALSE)/1000,0)+IF(ISNUMBER(MATCH(F9,$BN$160:$BN$160,0)),VLOOKUP(I10,$CP$132:$CT$151,4,FALSE)/1000,0)+IF(ISNUMBER(MATCH(F9,$BN$161:$BN$161,0)),VLOOKUP(I10,$CP$132:$CT$151,5,FALSE)/1000,0)+IF(ISNUMBER(MATCH(F9,$BN$162:$BN$162,0)),VLOOKUP(I10,$CM$132:$CO$168,3,FALSE)/1000,0))</f>
        <v>0.31830000000000003</v>
      </c>
      <c r="BK10" s="347">
        <f>BJ10*$BU$184</f>
        <v>9.5490000000000013</v>
      </c>
      <c r="BL10" s="345">
        <f>(E10*(2*$BU$194+N10))</f>
        <v>5.25</v>
      </c>
      <c r="BM10" s="348"/>
      <c r="BN10" s="339"/>
      <c r="BO10" s="339"/>
      <c r="CG10" s="330"/>
    </row>
    <row r="11" spans="1:85" ht="15" customHeight="1">
      <c r="A11" s="349"/>
      <c r="B11" s="349"/>
      <c r="C11" s="350"/>
      <c r="D11" s="350"/>
      <c r="E11" s="351"/>
      <c r="F11" s="836"/>
      <c r="G11" s="839"/>
      <c r="H11" s="839"/>
      <c r="I11" s="352">
        <f>IF(OR(ISNUMBER(MATCH(F9,$BN$140:$BN$141,0)),ISNUMBER(MATCH(F9,$BN$153:$BN$153,0))),VLOOKUP(I10,$BW$132:$BX$152,2,FALSE)/1000,0)+IF(ISNUMBER(MATCH(F9,$BN$154:$BN$155,0)),VLOOKUP(I10,$CH$132:$CJ$138,3,FALSE)/1000,0)+IF(ISNUMBER(MATCH(F9,$BN$156:$BN$158,0)),VLOOKUP(I10,$CB$132:$CD$135,3,FALSE)/1000,0)+IF(ISNUMBER(MATCH(F9,$BN$159:$BN$161,0)),VLOOKUP(I10,$CP$132:$CQ$151,2,FALSE)/1000,0)+IF(ISNUMBER(MATCH(F9,$BN$149:$BN$150,0)),VLOOKUP(I10,$CZ$132:$DC$138,4,FALSE)/1000,0)+IF(ISNUMBER(MATCH(F9,$BN$151:$BN$152,0)),VLOOKUP(I10,$DE$132:$DH$144,4,FALSE)/1000,0)+IF(ISNUMBER(MATCH(F9,$BN$162:$BN$162,0)),VLOOKUP(I10,$CM$132:$CN$168,2,FALSE)/1000,0)+IF(ISNUMBER(MATCH(F9,$BN$142:$BN$148,0)),VLOOKUP(I10,$DJ$132:$DL$144,3,FALSE)/1000,0)</f>
        <v>0.53200000000000003</v>
      </c>
      <c r="J11" s="353">
        <v>662.29</v>
      </c>
      <c r="K11" s="353">
        <v>660.64</v>
      </c>
      <c r="L11" s="354">
        <f>J11-K11</f>
        <v>1.6499999999999773</v>
      </c>
      <c r="M11" s="355"/>
      <c r="N11" s="354"/>
      <c r="O11" s="354"/>
      <c r="P11" s="354"/>
      <c r="Q11" s="354"/>
      <c r="R11" s="829"/>
      <c r="S11" s="829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49"/>
      <c r="AG11" s="354"/>
      <c r="AH11" s="829"/>
      <c r="AI11" s="354"/>
      <c r="AJ11" s="354"/>
      <c r="AK11" s="354"/>
      <c r="AL11" s="354"/>
      <c r="AM11" s="354"/>
      <c r="AN11" s="354"/>
      <c r="AO11" s="356"/>
      <c r="AP11" s="354"/>
      <c r="AQ11" s="354"/>
      <c r="AR11" s="354"/>
      <c r="AS11" s="354"/>
      <c r="AT11" s="354"/>
      <c r="AU11" s="354"/>
      <c r="AV11" s="354"/>
      <c r="AW11" s="354"/>
      <c r="AX11" s="354"/>
      <c r="AY11" s="354"/>
      <c r="AZ11" s="354"/>
      <c r="BA11" s="354"/>
      <c r="BB11" s="354"/>
      <c r="BC11" s="354"/>
      <c r="BD11" s="354"/>
      <c r="BE11" s="354"/>
      <c r="BF11" s="354"/>
      <c r="BG11" s="354"/>
      <c r="BH11" s="354"/>
      <c r="BI11" s="354"/>
      <c r="BJ11" s="356"/>
      <c r="BK11" s="356"/>
      <c r="BL11" s="354"/>
      <c r="BM11" s="330"/>
      <c r="BN11" s="339"/>
      <c r="BO11" s="339"/>
      <c r="CG11" s="330"/>
    </row>
    <row r="12" spans="1:85" ht="15" customHeight="1">
      <c r="A12" s="357"/>
      <c r="B12" s="357"/>
      <c r="C12" s="357"/>
      <c r="D12" s="357"/>
      <c r="E12" s="358"/>
      <c r="F12" s="359"/>
      <c r="G12" s="357"/>
      <c r="H12" s="357"/>
      <c r="I12" s="357"/>
      <c r="J12" s="360"/>
      <c r="K12" s="360"/>
      <c r="L12" s="361"/>
      <c r="M12" s="361"/>
      <c r="N12" s="357"/>
      <c r="O12" s="357"/>
      <c r="P12" s="361"/>
      <c r="Q12" s="361"/>
      <c r="R12" s="362"/>
      <c r="S12" s="361"/>
      <c r="T12" s="357"/>
      <c r="U12" s="357"/>
      <c r="V12" s="357"/>
      <c r="W12" s="357"/>
      <c r="X12" s="357"/>
      <c r="Y12" s="357"/>
      <c r="Z12" s="357"/>
      <c r="AA12" s="357"/>
      <c r="AB12" s="357"/>
      <c r="AC12" s="357"/>
      <c r="AD12" s="357"/>
      <c r="AE12" s="357"/>
      <c r="AF12" s="357"/>
      <c r="AG12" s="361"/>
      <c r="AH12" s="357"/>
      <c r="AI12" s="357"/>
      <c r="AJ12" s="357"/>
      <c r="AK12" s="361"/>
      <c r="AL12" s="361"/>
      <c r="AM12" s="357"/>
      <c r="AN12" s="357"/>
      <c r="AO12" s="361"/>
      <c r="AP12" s="357"/>
      <c r="AQ12" s="357"/>
      <c r="AR12" s="357"/>
      <c r="AS12" s="357"/>
      <c r="AT12" s="357"/>
      <c r="AU12" s="357"/>
      <c r="AV12" s="357"/>
      <c r="AW12" s="357"/>
      <c r="AX12" s="357"/>
      <c r="AY12" s="357"/>
      <c r="AZ12" s="357"/>
      <c r="BA12" s="357"/>
      <c r="BB12" s="357"/>
      <c r="BC12" s="357"/>
      <c r="BD12" s="357"/>
      <c r="BE12" s="357"/>
      <c r="BF12" s="361"/>
      <c r="BG12" s="357"/>
      <c r="BH12" s="357"/>
      <c r="BI12" s="357"/>
      <c r="BJ12" s="357"/>
      <c r="BK12" s="357"/>
      <c r="BM12" s="330"/>
      <c r="BO12" s="363"/>
      <c r="CG12" s="330"/>
    </row>
    <row r="13" spans="1:85" ht="15" customHeight="1">
      <c r="A13" s="334"/>
      <c r="B13" s="334"/>
      <c r="C13" s="333"/>
      <c r="D13" s="333"/>
      <c r="E13" s="334"/>
      <c r="F13" s="834" t="s">
        <v>530</v>
      </c>
      <c r="G13" s="837" t="s">
        <v>531</v>
      </c>
      <c r="H13" s="837" t="s">
        <v>532</v>
      </c>
      <c r="I13" s="335">
        <f>IF(OR(ISNUMBER(MATCH(F13,$BN$140:$BN$141,0)),ISNUMBER(MATCH(F13,$BN$153:$BN$153,0))),(VLOOKUP(I14,$BW$132:$BX$152,2,FALSE)-I14)/2000,0)+IF(ISNUMBER(MATCH(F13,$BN$154:$BN$155,0)),(VLOOKUP(I14,$CH$132:$CJ$138,3,FALSE)-VLOOKUP(I14,$CH$132:$CJ$138,2,FALSE))/2000,0)+IF(ISNUMBER(MATCH(F13,$BN$156:$BN$158,0)),(VLOOKUP(I14,$CB$132:$CD$135,3,FALSE)-VLOOKUP(I14,$CB$132:$CD$135,2,FALSE))/2000,0)+IF(ISNUMBER(MATCH(F13,$BN$159:$BN$161,0)),(VLOOKUP(I14,$CP$132:$CQ$151,2,FALSE)-I14)/2000,0)+IF(ISNUMBER(MATCH(F13,$BN$149:$BN$150,0)),(VLOOKUP(I14,$CZ$132:$DC$138,4,FALSE)-VLOOKUP(I14,$CZ$132:$DC$138,2,FALSE))/2000,0)+IF(ISNUMBER(MATCH(F13,$BN$151:$BN$152,0)),(VLOOKUP(I14,$DE$132:$DH$144,4,FALSE)-VLOOKUP(I14,$DE$132:$DH$144,2,FALSE))/2000,0)+IF(ISNUMBER(MATCH(F13,$BN$162:$BN$162,0)),(VLOOKUP(I14,$CM$132:$CN$168,2,FALSE)-I14)/2000,0)+IF(ISNUMBER(MATCH(F13,$BN$142:$BN$148,0)),(VLOOKUP(I14,$DJ$132:$DL$144,3,FALSE)-I14)/2000,0)</f>
        <v>0.01</v>
      </c>
      <c r="J13" s="336">
        <v>662.29</v>
      </c>
      <c r="K13" s="336">
        <v>661.64</v>
      </c>
      <c r="L13" s="337">
        <f>J13-K13</f>
        <v>0.64999999999997726</v>
      </c>
      <c r="M13" s="337"/>
      <c r="N13" s="337"/>
      <c r="O13" s="337"/>
      <c r="P13" s="337"/>
      <c r="Q13" s="337"/>
      <c r="R13" s="827" t="s">
        <v>533</v>
      </c>
      <c r="S13" s="827" t="s">
        <v>685</v>
      </c>
      <c r="T13" s="337"/>
      <c r="U13" s="337"/>
      <c r="V13" s="337"/>
      <c r="W13" s="337"/>
      <c r="X13" s="337"/>
      <c r="Y13" s="337"/>
      <c r="Z13" s="337"/>
      <c r="AA13" s="337"/>
      <c r="AB13" s="337"/>
      <c r="AC13" s="337"/>
      <c r="AD13" s="337"/>
      <c r="AE13" s="337"/>
      <c r="AF13" s="334"/>
      <c r="AG13" s="337"/>
      <c r="AH13" s="827" t="s">
        <v>535</v>
      </c>
      <c r="AI13" s="337"/>
      <c r="AJ13" s="337"/>
      <c r="AK13" s="337"/>
      <c r="AL13" s="337"/>
      <c r="AM13" s="337"/>
      <c r="AN13" s="337"/>
      <c r="AO13" s="338"/>
      <c r="AP13" s="337"/>
      <c r="AQ13" s="337"/>
      <c r="AR13" s="337"/>
      <c r="AS13" s="337"/>
      <c r="AT13" s="337"/>
      <c r="AU13" s="337"/>
      <c r="AV13" s="337"/>
      <c r="AW13" s="337"/>
      <c r="AX13" s="337"/>
      <c r="AY13" s="337"/>
      <c r="AZ13" s="337"/>
      <c r="BA13" s="337"/>
      <c r="BB13" s="337"/>
      <c r="BC13" s="337"/>
      <c r="BD13" s="337"/>
      <c r="BE13" s="337"/>
      <c r="BF13" s="337"/>
      <c r="BG13" s="337"/>
      <c r="BH13" s="337"/>
      <c r="BI13" s="337"/>
      <c r="BJ13" s="338"/>
      <c r="BK13" s="338"/>
      <c r="BL13" s="337"/>
      <c r="BM13" s="330"/>
      <c r="BN13" s="339"/>
      <c r="BO13" s="339"/>
      <c r="CG13" s="330"/>
    </row>
    <row r="14" spans="1:85" ht="15" customHeight="1">
      <c r="A14" s="332" t="s">
        <v>562</v>
      </c>
      <c r="B14" s="340" t="s">
        <v>562</v>
      </c>
      <c r="C14" s="341" t="s">
        <v>562</v>
      </c>
      <c r="D14" s="340" t="s">
        <v>562</v>
      </c>
      <c r="E14" s="342">
        <v>2.2000000000000002</v>
      </c>
      <c r="F14" s="835"/>
      <c r="G14" s="838"/>
      <c r="H14" s="838"/>
      <c r="I14" s="343">
        <v>150</v>
      </c>
      <c r="J14" s="344"/>
      <c r="K14" s="344"/>
      <c r="L14" s="340"/>
      <c r="M14" s="345">
        <f>ABS((L13+L15)/2)+IF(ISNUMBER(MATCH(F13,$BN$140:$BN$148,0)),$BU$131,0)+IF(ISNUMBER(MATCH(AH13,$BN$202,0)),$BU$132,0)+IF(ISNUMBER(MATCH(F13,$BN$149:$BN$152,0)),IF(I14&lt;=600,$BU$133,$BU$134),0)+IF(ISNUMBER(MATCH(F13,$BN$153:$BN$167,0)),$BU$132,0)</f>
        <v>0.74999999999997724</v>
      </c>
      <c r="N14" s="345">
        <f>IF(MATCH(G13,$BN$131:$BN$133,0)=1,IF(ISNUMBER(MATCH(F13,$BN$140:$BN$161,0)),VLOOKUP(I14,IF(M14&lt;=2,$BN$53:$BS$66,$BN$68:$BS$84),VLOOKUP(AF14,$BO$176:$BP$181,2,FALSE),FALSE),IF(ISNUMBER(MATCH(F13,$BN$162,0)),VLOOKUP(I14,IF(M14&lt;=2,$BU$53:$BZ$66,$BU$68:$BZ$88),VLOOKUP(AF14,$BO$176:$BP$181,2,FALSE),FALSE),0)),0)+IF(MATCH(G13,$BN$131:$BN$133,0)=2,VLOOKUP(I14,IF(M14&lt;=2,$CB$53:$CG$66,IF(M14&lt;=4,$CB$68:$CG$81,IF(M14&lt;=6,$CB$83:$CG$96,IF(M14&lt;=8,$CB$98:$CG$111,$CB$113:$CG$126)))),VLOOKUP(AF14,$BO$176:$BP$181,2,FALSE)),0)</f>
        <v>0.65</v>
      </c>
      <c r="O14" s="346">
        <f>ABS((K15-K13)/E14)</f>
        <v>0</v>
      </c>
      <c r="P14" s="345">
        <f>E14</f>
        <v>2.2000000000000002</v>
      </c>
      <c r="Q14" s="345">
        <f>IF(IF(AND(MATCH(R13,$BN$192:$BN$196,0)&lt;=1),E14*(N14+2*$BP$192))=FALSE,0,IF(AND(MATCH(R13,$BN$192:$BN$196,0)&lt;=1),E14*(N14+2*$BP$192)))</f>
        <v>2.75</v>
      </c>
      <c r="R14" s="828"/>
      <c r="S14" s="828"/>
      <c r="T14" s="345">
        <f>IF(AND(ISNUMBER(MATCH(S13,$BN$205,0))),E14*N14*(MIN(M14,$BU$164)-VLOOKUP(R13,$BN$192:$BP$197,2,FALSE)),VLOOKUP(S13,$BN$205:$BP$206,2,FALSE))</f>
        <v>0</v>
      </c>
      <c r="U14" s="345">
        <f>IF(AND(ISNUMBER(MATCH(S13,$BN$205,0))),E14*N14*MAX(MIN(M14-$BU$164,$BU$164),0)+E14*MAX((MIN(M14-$BU$164,-$BU$164)),0),VLOOKUP(S13,$BN$205:$BP$206,2,FALSE))</f>
        <v>0</v>
      </c>
      <c r="V14" s="345">
        <f>IF(AND(ISNUMBER(MATCH(S13,$BN$205,0))),E14*N14*MAX(MIN(M14-2*$BU$164,$BU$164),0)+E14*MAX((MIN(M14-2*$BU$164,-2*$BU$164,-2*$BU$164,$BU$164)),0),VLOOKUP(S13,$BN$205:$BP$206,2,FALSE))</f>
        <v>0</v>
      </c>
      <c r="W14" s="345">
        <f>IF(AND(ISNUMBER(MATCH(S13,$BN$205,0))),E14*N14*MAX(MIN(M14-3*$BU$164,$BU$164),0)+E14*MAX((MIN(M14-3*$BU$164,-3*$BU$164,-3*$BU$164,$BU$164)),0),VLOOKUP(S13,$BN$205:$BP$206,2,FALSE))</f>
        <v>0</v>
      </c>
      <c r="X14" s="345">
        <f>IF(AND(ISNUMBER(MATCH(S13,$BN$205,0))),E14*N14*MAX(MIN(M14-4*$BU$164,$BU$164),0)+E14*MAX((MIN(M14-4*$BU$164,-4*$BU$164,-4*$BU$164,$BU$164)),0),VLOOKUP(S13,$BN$205:$BP$206,2,FALSE))</f>
        <v>0</v>
      </c>
      <c r="Y14" s="345">
        <f>IF(AND(ISNUMBER(MATCH(S13,$BN$205,0))),E14*N14*MAX(MIN(M14-5*$BU$164,$BU$164),0)+E14*MAX((MIN(M14-5*$BU$164,-5*$BU$164,-5*$BU$164,$BU$164)),0),VLOOKUP(S13,$BN$205:$BP$206,2,FALSE))</f>
        <v>0</v>
      </c>
      <c r="Z14" s="345">
        <f>IF(AND(ISNUMBER(MATCH(S13,$BN$206,0))),E14*N14*(MIN(M14,$BU$165)-VLOOKUP(R13,$BN$192:$BP$197,2,FALSE)),VLOOKUP(S13,$BN$205:$BP$206,2,FALSE))</f>
        <v>1.0724999999999676</v>
      </c>
      <c r="AA14" s="345">
        <f>IF(AND(ISNUMBER(MATCH(S13,$BN$206,0))),E14*N14*MAX(MIN(M14-$BU$165,$BU$165),0)+E14*MAX((MIN(M14-$BU$165,-$BU$165)),0))-VLOOKUP(S13,$BN$205:$BP$206,2,FALSE)</f>
        <v>0</v>
      </c>
      <c r="AB14" s="345">
        <f>IF(AND(ISNUMBER(MATCH(S13,$BN$206,0))),E14*N14*MAX(MIN(M14-2*$BU$165,$BU$165),0)+E14*MAX((MIN(M14-2*$BU$165,-2*$BU$165,-2*$BU$165,$BU$165)),0))-VLOOKUP(S13,$BN$205:$BP$206,2,FALSE)</f>
        <v>0</v>
      </c>
      <c r="AC14" s="345">
        <f>IF(AND(ISNUMBER(MATCH(S13,$BN$206,0))),E14*N14*MAX(MIN(M14-3*$BU$165,$BU$165),0)+E14*MAX((MIN(M14-3*$BU$165,-3*$BU$165,-3*$BU$165,$BU$165)),0))-VLOOKUP(S13,$BN$205:$BP$206,2,FALSE)</f>
        <v>0</v>
      </c>
      <c r="AD14" s="345">
        <f>IF(AND(ISNUMBER(MATCH(S13,$BN$206,0))),E14*N14*MAX(MIN(M14-4*$BU$165,$BU$165),0)+E14*MAX((MIN(M14-4*$BU$165,-4*$BU$165,-4*$BU$165,$BU$165)),0))-VLOOKUP(S13,$BN$205:$BP$206,2,FALSE)</f>
        <v>0</v>
      </c>
      <c r="AE14" s="345">
        <f>IF(AND(ISNUMBER(MATCH(S13,$BN$206,0))),E14*N14*MAX(MIN(M14-5*$BU$165,$BU$165),0)+E14*MAX((MIN(M14-5*$BU$165,-5*$BU$165,-5*$BU$165,$BU$165)),0))-VLOOKUP(S13,$BN$205:$BP$206,2,FALSE)</f>
        <v>0</v>
      </c>
      <c r="AF14" s="332" t="str">
        <f>IF(MATCH(G13,$BN$131:$BN$133,0)&lt;=2,VLOOKUP((M14),$BN$176:$BO$181,2),"-")</f>
        <v>-</v>
      </c>
      <c r="AG14" s="345">
        <f>IF(AND(MATCH(G13,$BN$131:$BN$133,0)&lt;=2,MATCH(AF14,$BO$176:$BO$181,0)&gt;1),(M14)*E14*2,0)</f>
        <v>0</v>
      </c>
      <c r="AH14" s="828"/>
      <c r="AI14" s="345" t="str">
        <f>IF(AH13=$BN$201,E14*5*$BU$155,IF(AH13=$BN$200,"-","-"))</f>
        <v>-</v>
      </c>
      <c r="AJ14" s="345">
        <f>IF(MATCH(AH13,$BN$200:$BN$202,0)&lt;=2,0,((_xlfn.CEILING.PRECISE(E14/$BU$156))*$BU$157))</f>
        <v>0</v>
      </c>
      <c r="AK14" s="345">
        <f>IF(MATCH(G13,$BN$131:$BN$133,0)=3,0,E14*$BU$193/($BU$192)*2)</f>
        <v>1.4666666666666668</v>
      </c>
      <c r="AL14" s="345">
        <f>IF(MATCH(G13,$BN$131:$BN$133,0)=3,0,(E14/$BU$185)*$BU$186*(N14+2*N14))</f>
        <v>8.5800000000000015E-2</v>
      </c>
      <c r="AM14" s="345">
        <f>IF(ISNUMBER(MATCH(F13,$BN$140:$BN$148,0)),E14*N14*$BU$131,0)</f>
        <v>0.14300000000000002</v>
      </c>
      <c r="AN14" s="345">
        <f>IF(AND(ISNUMBER(MATCH(F13,$BN$140:$BN$148,0)),MATCH(AH13,$BN$200:$BN$202,0)=3),E14*N14*$BU$132,0)</f>
        <v>0</v>
      </c>
      <c r="AO14" s="347">
        <f>IF(MATCH(G13,$BN$131:$BN$133,0)&lt;=2,IF(ISNUMBER(MATCH(F13,$BN$153:$BN$162,0)),E14*(N14*(I15+$BU$133+$BU$134)-(((I15/2)^2)*(IF((M14-$BU$133)&lt;I15,2*ACOS(1-(((M14-$BU$133)*2/I15))),2*PI())-SIN(IF((M14-$BU$133)&lt;I15,2*ACOS(1-(((M14-$BU$133)*2/I15))),2*PI()))))/2),0)+IF(ISNUMBER(MATCH(F13,$BN$149:$BN$150,0)),E14*(N14*(VLOOKUP(I14,$CZ$132:$DC$138,3,FALSE)/1000+IF(I14&lt;=600,$BU$136,$BU$137)+$BU$134)-(((VLOOKUP(I14,$CZ$132:$DC$138,3,FALSE)/2000)^2)*(IF((M14-IF(I14&lt;=600,$BU$136,$BU$137))&lt;VLOOKUP(I14,$CZ$132:$DC$138,3,FALSE)/1000,2*ACOS(1-((M14-IF(I14&lt;=600,$BU$136,$BU$137))*2/VLOOKUP(I14,$CZ$132:$DC$138,3,FALSE)/1000)),2*PI())-SIN(IF((M14-IF(I14&lt;=600,$BU$136,$BU$137))&lt;VLOOKUP(I14,$CZ$132:$DC$138,3,FALSE)/1000,2*ACOS(1-((M14-IF(I14&lt;=600,$BU$136,$BU$137))*2/VLOOKUP(I14,$CZ$132:$DC$138,3,FALSE)/1000)),2*PI()))))/2),0)+IF(ISNUMBER(MATCH(F13,$BN$151:$BN$152,0)),E14*(N14*(VLOOKUP(I14,$DE$132:$DH$144,3,FALSE)/1000+IF(I14&lt;=600,$BU$136,$BU$137)+$BU$134)-(((VLOOKUP(I14,$DE$132:$DH$144,3,FALSE)/2000)^2)*(IF((M14-IF(I14&lt;=600,$BU$136,$BU$137))&lt;VLOOKUP(I14,$DE$132:$DH$144,3,FALSE)/1000,2*ACOS(1-((M14-IF(I14&lt;=600,$BU$136,$BU$137))*2/VLOOKUP(I14,$DE$132:$DH$144,3,FALSE)/1000)),2*PI())-SIN(IF((M14-IF(I14&lt;=600,$BU$136,$BU$137))&lt;VLOOKUP(I14,$DE$132:$DH$144,3,FALSE)/1000,2*ACOS(1-((M14-IF(I14&lt;=600,$BU$136,$BU$137))*2/VLOOKUP(I14,$DE$132:$DH$144,3,FALSE)/1000)),2*PI()))))/2),0),0)</f>
        <v>0</v>
      </c>
      <c r="AP14" s="345">
        <f>E14</f>
        <v>2.2000000000000002</v>
      </c>
      <c r="AQ14" s="345">
        <f>IF(ISNUMBER(MATCH(F13,$BN$140:$BN$148,0)),N14*E14*MAX(IF($BU$138=2,IF((M14-$BU$131-I15-$BU$141-VLOOKUP(R13,$BN$192:$BO$196,2,FALSE))&lt;$BU$140,(M14-$BU$131-I15-$BU$141-VLOOKUP(R13,$BN$192:$BO$196,2,FALSE)),IF((M14-$BU$131-I15-$BU$141-VLOOKUP(R13,$BN$192:$BO$196,2,FALSE))&lt;2*$BU$140,$BU$140,(M14-$BU$131-I15-$BU$141-VLOOKUP(R13,$BN$192:$BO$196,2,FALSE))/2)),M14-$BU$131-I15-$BU$139-VLOOKUP(R13,$BN$192:$BO$196,2,FALSE)),0),0)+IF(ISNUMBER(MATCH(F13,$BN$153:$BN$167,0)),N14*E14*MAX(IF((M14-$BU$133-$BU$134-I15-VLOOKUP(R13,$BN$192:$BO$196,2,FALSE))&lt;$BU$140,(M14-$BU$133-$BU$134-I15-VLOOKUP(R13,$BN$192:$BO$196,2,FALSE)),IF((M14-$BU$133-$BU$134-I15-VLOOKUP(R13,$BN$192:$BO$196,2,FALSE))&lt;2*$BU$140,$BU$140,(M14-$BU$133-$BU$134-I15-VLOOKUP(R13,$BN$192:$BO$196,2,FALSE))/2)),0),0)+IF(ISNUMBER(MATCH(F13,$BN$149:$BN$150,0)),N14*E14*MAX(IF((M14-IF(I14&lt;=600,$BU$136,$BU$137)-$BU$134-VLOOKUP(I14,$CZ$132:$DC$138,3,FALSE)/1000-VLOOKUP(R13,$BN$192:$BO$196,2,FALSE))&lt;$BU$140,(M14-IF(I14&lt;=600,$BU$136,$BU$137)-$BU$134-VLOOKUP(I14,$CZ$132:$DC$138,3,FALSE)/1000-VLOOKUP(R13,$BN$192:$BO$196,2,FALSE)),IF((M14-IF(I14&lt;=600,$BU$136,$BU$137)-$BU$134-VLOOKUP(I14,$CZ$132:$DC$138,3,FALSE)/1000-VLOOKUP(R13,$BN$192:$BO$196,2,FALSE))&lt;2*$BU$140,$BU$140,(M14-IF(I14&lt;=600,$BU$136,$BU$137)-$BU$134-VLOOKUP(I14,$CZ$132:$DC$138,3,FALSE)/1000-VLOOKUP(R13,$BN$192:$BO$196,2,FALSE))/2)),0),0)+IF(ISNUMBER(MATCH(F13,$BN$151:$BN$152,0)),N14*E14*MAX(IF((M14-IF(I14&lt;=600,$BU$136,$BU$137)-$BU$134-VLOOKUP(I14,$DE$132:$DH$144,3,FALSE)/1000-VLOOKUP(R13,$BN$192:$BO$196,2,FALSE))&lt;$BU$140,(M14-IF(I14&lt;=600,$BU$136,$BU$137)-$BU$134-VLOOKUP(I14,$DE$132:$DH$144,3,FALSE)/1000-VLOOKUP(R13,$BN$192:$BO$196,2,FALSE)),IF((M14-IF(I14&lt;=600,$BU$136,$BU$137)-$BU$134-VLOOKUP(I14,$DE$132:$DH$144,3,FALSE)/1000-VLOOKUP(R13,$BN$192:$BO$196,2,FALSE))&lt;2*$BU$140,$BU$140,(M14-IF(I14&lt;=600,$BU$136,$BU$137)-$BU$134-VLOOKUP(I14,$DE$132:$DH$144,3,FALSE)/1000-VLOOKUP(R13,$BN$192:$BO$196,2,FALSE))/2)),0),0)</f>
        <v>0.25739999999996749</v>
      </c>
      <c r="AR14" s="345">
        <f>IF(ISNUMBER(MATCH(F13,$BN$140:$BN$148,0)),E14*MAX(N14*IF($BU$138=2,IF((M14-$BU$131-I15-$BU$141-VLOOKUP(R13,$BN$192:$BO$196,2,FALSE))&lt;$BU$140,I15+$BU$141,IF((M14-$BU$131-I15-$BU$141-VLOOKUP(R13,$BN$192:$BO$196,2,FALSE))&lt;2*$BU$140,I15+$BU$141+(M14-$BU$131-I15-$BU$141-VLOOKUP(R13,$BN$192:$BO$196,2,FALSE))-$BU$140,I15+$BU$141+(M14-$BU$131-I15-$BU$141-VLOOKUP(R13,$BN$192:$BO$196,2,FALSE))/2)),MAX(MIN(M14-$BU$131-I15-VLOOKUP(R13,$BN$192:$BO$196,2,FALSE),I15+$BU$139),0))-IF((M14-$BU$131)&lt;I15,((I15/2)^2)*(2*ACOS(1-(((M14-$BU$131)*2/I15)))-SIN(2*ACOS(1-(((M14-$BU$131)*2/I15)))))/2,PI()*(I15/2)^2),0),0)+IF(ISNUMBER(MATCH(F13,$BN$153:$BN$167,0)),N14*E14*MAX(IF((M14-$BU$133-$BU$134-I15-VLOOKUP(R13,$BN$192:$BO$196,2,FALSE))&lt;$BU$140,0,IF((M14-$BU$133-$BU$134-I15-VLOOKUP(R13,$BN$192:$BO$196,2,FALSE))&lt;2*$BU$140,(M14-$BU$133-$BU$134-I15-VLOOKUP(R13,$BN$192:$BO$196,2,FALSE))-$BU$140,(M14-$BU$133-$BU$134-I15-VLOOKUP(R13,$BN$192:$BO$196,2,FALSE))/2)),0),0)+IF(ISNUMBER(MATCH(F13,$BN$149:$BN$150,0)),N14*E14*MAX(IF((M14-IF(I14&lt;=600,$BU$136,$BU$137)-$BU$134-VLOOKUP(I14,$CZ$132:$DC$138,3,FALSE)/1000-VLOOKUP(R13,$BN$192:$BO$196,2,FALSE))&lt;$BU$140,0,IF((M14-IF(I14&lt;=600,$BU$136,$BU$137)-$BU$134-VLOOKUP(I14,$CZ$132:$DC$138,3,FALSE)/1000-VLOOKUP(R13,$BN$192:$BO$196,2,FALSE))&lt;2*$BU$140,(M14-IF(I14&lt;=600,$BU$136,$BU$137)-$BU$134-VLOOKUP(I14,$CZ$132:$DC$138,3,FALSE)/1000-VLOOKUP(R13,$BN$192:$BO$196,2,FALSE))-$BU$140,(M14-IF(I14&lt;=600,$BU$136,$BU$137)-$BU$134-VLOOKUP(I14,$CZ$132:$DC$138,3,FALSE)/1000-VLOOKUP(R13,$BN$192:$BO$196,2,FALSE))/2)),0),0)+IF(ISNUMBER(MATCH(F13,$BN$151:$BN$152,0)),N14*E14*MAX(IF((M14-IF(I14&lt;=600,$BU$136,$BU$137)-$BU$134-VLOOKUP(I14,$DE$132:$DH$144,3,FALSE)/1000-VLOOKUP(R13,$BN$192:$BO$196,2,FALSE))&lt;$BU$140,0,IF((M14-IF(I14&lt;=600,$BU$136,$BU$137)-$BU$134-VLOOKUP(I14,$DE$132:$DH$144,3,FALSE)/1000-VLOOKUP(R13,$BN$192:$BO$196,2,FALSE))&lt;2*$BU$140,(M14-IF(I14&lt;=600,$BU$136,$BU$137)-$BU$134-VLOOKUP(I14,$DE$132:$DH$144,3,FALSE)/1000-VLOOKUP(R13,$BN$192:$BO$196,2,FALSE))-$BU$140,(M14-IF(I14&lt;=600,$BU$136,$BU$137)-$BU$134-VLOOKUP(I14,$DE$132:$DH$144,3,FALSE)/1000-VLOOKUP(R13,$BN$192:$BO$196,2,FALSE))/2)),0),0)</f>
        <v>0.62216438477119029</v>
      </c>
      <c r="AS14" s="345">
        <f>IF(MATCH(G13,$BN$131:$BN$133,0)=3,0,IF(MATCH(R13,$BN$192:$BN$194,0)&gt;=1,E14*(N14),0))</f>
        <v>1.4300000000000002</v>
      </c>
      <c r="AT14" s="345">
        <f>IF(AND(MATCH(G13,$BN$131:$BN$133,0)&lt;=2,MATCH(R13,$BN$192:$BN$196,0)&gt;1,NOT(AND(MATCH(R13,$BN$192:$BN$196,0)&gt;1,))),E14*(N14+2*VLOOKUP(R13,$BN$192:$BP$196,3,FALSE))*IF(OR(MATCH(R13,$BN$192:$BN$196,0)=3,MATCH(R13,$BN$192:$BN$196,0)=3),VLOOKUP(R13,$BN$192:$BP$196,2,FALSE),1),0)</f>
        <v>0</v>
      </c>
      <c r="AU14" s="345">
        <f>IF(AND(MATCH(G13,$BN$131:$BN$133,0)&lt;=2,MATCH(R13,$BN$192:$BN$196,0)=2),E14*(N14+2*VLOOKUP(R13,$BN$192:$BP$196,3,FALSE)),0)</f>
        <v>0</v>
      </c>
      <c r="AV14" s="345">
        <f>IF(AND(MATCH(G13,$BN$131:$BN$133,0)&lt;=2,MATCH(R13,$BN$192:$BN$196,0)=2),E14*(N14+2*VLOOKUP(R13,$BN$192:$BP$196,3,FALSE)),0)*$AV$7</f>
        <v>0</v>
      </c>
      <c r="AW14" s="345">
        <f>IF(AND(MATCH(G13,$BN$131:$BN$133,0)&lt;=2,MATCH(R13,$BN$192:$BN$196,0)=2),E14*(N14+2*VLOOKUP(R13,$BN$192:$BP$196,3,FALSE)),0)*$AW$7</f>
        <v>0</v>
      </c>
      <c r="AX14" s="345">
        <f>IF(AND(MATCH(G13,$BN$131:$BN$133,0)&lt;=2,MATCH(R13,$BN$192:$BN$196,0)=2),E14*(N14+2*VLOOKUP(R13,$BN$192:$BP$196,3,FALSE)),0)</f>
        <v>0</v>
      </c>
      <c r="AY14" s="345">
        <f>IF(AND(MATCH(G13,$BN$131:$BN$133,0)&lt;=2,MATCH(R13,$BN$192:$BN$196,0)=2),E14*(N14+2*VLOOKUP(R13,$BN$192:$BP$196,3,FALSE)),0)*$AY$7</f>
        <v>0</v>
      </c>
      <c r="AZ14" s="345">
        <f>IF(MATCH(R13,$BN$192:$BN$196,0)=3,E14*(N14+2*VLOOKUP(R13,$BN$192:$BP$196,3,FALSE)),0)</f>
        <v>0</v>
      </c>
      <c r="BA14" s="345">
        <f>MAX(SUM(T14:AE14)-AQ14-AR14,0)*$BU$174</f>
        <v>0.25081629979745285</v>
      </c>
      <c r="BB14" s="345">
        <f>BA14*$BU$179</f>
        <v>3.7622444969617925</v>
      </c>
      <c r="BC14" s="345">
        <f>AM14*$BU$176</f>
        <v>0.14300000000000002</v>
      </c>
      <c r="BD14" s="345">
        <f>BC14*$BU$181</f>
        <v>2.1450000000000005</v>
      </c>
      <c r="BE14" s="345">
        <f>(AN14+AO14)*$BU$177</f>
        <v>0</v>
      </c>
      <c r="BF14" s="345">
        <f>BE14*$BU$182</f>
        <v>0</v>
      </c>
      <c r="BG14" s="345">
        <f>IF(MATCH(G13,$BN$131:$BN$133,0)&lt;=2,(E14*(N14+2*VLOOKUP(R13,$BN$192:$BP$196,3,FALSE))*VLOOKUP(R13,$BN$192:$BO$196,2,FALSE))*$BU$178,0)</f>
        <v>0</v>
      </c>
      <c r="BH14" s="345">
        <f>BG14*$BU$183</f>
        <v>0</v>
      </c>
      <c r="BI14" s="345">
        <f>AY14*$BI$1*$BI$2*$BI$3</f>
        <v>0</v>
      </c>
      <c r="BJ14" s="347">
        <f>E14*(IF(ISNUMBER(MATCH(F13,$BN$140,0)),VLOOKUP(I14,$BW$134:$BY$147,3,FALSE)/1000,0)+IF(ISNUMBER(MATCH(F13,$BN$141,0)),VLOOKUP(I14,$BW$132:$BZ$147,4,FALSE)/1000,0)+IF(ISNUMBER(MATCH(F13,$BN$142:$BN$148,0)),VLOOKUP(I14,$DJ$132:$DM$142,4,FALSE)/1000,0)+IF(ISNUMBER(MATCH(F13,$BN$149:$BN$150,0)),VLOOKUP(I14,$CZ$132:$DD142,5,FALSE)/1000,0)+IF(ISNUMBER(MATCH(F13,$BN$151:$BN$152,0)),VLOOKUP(I14,$DE$132:$DI$143,5,FALSE)/1000,0)+IF(ISNUMBER(MATCH(F13,$BN$153:$BN$153,0)),VLOOKUP(I14,$BW$132:$CA$147,5,FALSE)/1000,0)+IF(ISNUMBER(MATCH(F13,$BN$154:$BN$154,0)),VLOOKUP(I14,$CH$132:$CL$138,4,FALSE)/1000,0)+IF(ISNUMBER(MATCH(F13,$BN$155:$BN$155,0)),VLOOKUP(I14,$CH$132:$CL$138,5,FALSE)/1000,0)+IF(ISNUMBER(MATCH(F13,$BN$156:$BN$156,0)),VLOOKUP(I14,$CB$132:$CG$135,4,FALSE)/1000,0)+IF(ISNUMBER(MATCH(F13,$BN$157:$BN$157,0)),VLOOKUP(I14,$CB$132:$CG$135,5,FALSE)/1000,0)+IF(ISNUMBER(MATCH(F13,$BN$158:$BN$158,0)),VLOOKUP(I14,$CB$132:$CG$135,6,FALSE)/1000,0)+IF(ISNUMBER(MATCH(F13,$BN$159:$BN$159,0)),VLOOKUP(I14,$CP$132:$CT$151,3,FALSE)/1000,0)+IF(ISNUMBER(MATCH(F13,$BN$160:$BN$160,0)),VLOOKUP(I14,$CP$132:$CT$151,4,FALSE)/1000,0)+IF(ISNUMBER(MATCH(F13,$BN$161:$BN$161,0)),VLOOKUP(I14,$CP$132:$CT$151,5,FALSE)/1000,0)+IF(ISNUMBER(MATCH(F13,$BN$162:$BN$162,0)),VLOOKUP(I14,$CM$132:$CO$168,3,FALSE)/1000,0))</f>
        <v>5.1260000000000007E-2</v>
      </c>
      <c r="BK14" s="347">
        <f>BJ14*$BU$184</f>
        <v>1.5378000000000003</v>
      </c>
      <c r="BL14" s="345">
        <f>(E14*(2*$BU$194+N14))</f>
        <v>2.75</v>
      </c>
      <c r="BM14" s="348"/>
      <c r="BN14" s="339"/>
      <c r="BO14" s="339"/>
      <c r="CG14" s="330"/>
    </row>
    <row r="15" spans="1:85" ht="15" customHeight="1">
      <c r="A15" s="349"/>
      <c r="B15" s="349"/>
      <c r="C15" s="350"/>
      <c r="D15" s="350"/>
      <c r="E15" s="351"/>
      <c r="F15" s="836"/>
      <c r="G15" s="839"/>
      <c r="H15" s="839"/>
      <c r="I15" s="352">
        <f>IF(OR(ISNUMBER(MATCH(F13,$BN$140:$BN$141,0)),ISNUMBER(MATCH(F13,$BN$153:$BN$153,0))),VLOOKUP(I14,$BW$132:$BX$152,2,FALSE)/1000,0)+IF(ISNUMBER(MATCH(F13,$BN$154:$BN$155,0)),VLOOKUP(I14,$CH$132:$CJ$138,3,FALSE)/1000,0)+IF(ISNUMBER(MATCH(F13,$BN$156:$BN$158,0)),VLOOKUP(I14,$CB$132:$CD$135,3,FALSE)/1000,0)+IF(ISNUMBER(MATCH(F13,$BN$159:$BN$161,0)),VLOOKUP(I14,$CP$132:$CQ$151,2,FALSE)/1000,0)+IF(ISNUMBER(MATCH(F13,$BN$149:$BN$150,0)),VLOOKUP(I14,$CZ$132:$DC$138,4,FALSE)/1000,0)+IF(ISNUMBER(MATCH(F13,$BN$151:$BN$152,0)),VLOOKUP(I14,$DE$132:$DH$144,4,FALSE)/1000,0)+IF(ISNUMBER(MATCH(F13,$BN$162:$BN$162,0)),VLOOKUP(I14,$CM$132:$CN$168,2,FALSE)/1000,0)+IF(ISNUMBER(MATCH(F13,$BN$142:$BN$148,0)),VLOOKUP(I14,$DJ$132:$DL$144,3,FALSE)/1000,0)</f>
        <v>0.17</v>
      </c>
      <c r="J15" s="353">
        <v>662.29</v>
      </c>
      <c r="K15" s="353">
        <v>661.64</v>
      </c>
      <c r="L15" s="354">
        <f>J15-K15</f>
        <v>0.64999999999997726</v>
      </c>
      <c r="M15" s="355"/>
      <c r="N15" s="354"/>
      <c r="O15" s="354"/>
      <c r="P15" s="354"/>
      <c r="Q15" s="354"/>
      <c r="R15" s="829"/>
      <c r="S15" s="829"/>
      <c r="T15" s="354"/>
      <c r="U15" s="354"/>
      <c r="V15" s="354"/>
      <c r="W15" s="354"/>
      <c r="X15" s="354"/>
      <c r="Y15" s="354"/>
      <c r="Z15" s="354"/>
      <c r="AA15" s="354"/>
      <c r="AB15" s="354"/>
      <c r="AC15" s="354"/>
      <c r="AD15" s="354"/>
      <c r="AE15" s="354"/>
      <c r="AF15" s="349"/>
      <c r="AG15" s="354"/>
      <c r="AH15" s="829"/>
      <c r="AI15" s="354"/>
      <c r="AJ15" s="354"/>
      <c r="AK15" s="354"/>
      <c r="AL15" s="354"/>
      <c r="AM15" s="354"/>
      <c r="AN15" s="354"/>
      <c r="AO15" s="356"/>
      <c r="AP15" s="354"/>
      <c r="AQ15" s="354"/>
      <c r="AR15" s="354"/>
      <c r="AS15" s="354"/>
      <c r="AT15" s="354"/>
      <c r="AU15" s="354"/>
      <c r="AV15" s="354"/>
      <c r="AW15" s="354"/>
      <c r="AX15" s="354"/>
      <c r="AY15" s="354"/>
      <c r="AZ15" s="354"/>
      <c r="BA15" s="354"/>
      <c r="BB15" s="354"/>
      <c r="BC15" s="354"/>
      <c r="BD15" s="354"/>
      <c r="BE15" s="354"/>
      <c r="BF15" s="354"/>
      <c r="BG15" s="354"/>
      <c r="BH15" s="354"/>
      <c r="BI15" s="354"/>
      <c r="BJ15" s="356"/>
      <c r="BK15" s="356"/>
      <c r="BL15" s="354"/>
      <c r="BM15" s="330"/>
      <c r="BN15" s="339"/>
      <c r="BO15" s="339"/>
      <c r="CG15" s="330"/>
    </row>
    <row r="16" spans="1:85" ht="15" customHeight="1">
      <c r="A16" s="357"/>
      <c r="B16" s="357"/>
      <c r="C16" s="535"/>
      <c r="D16" s="535"/>
      <c r="E16" s="358"/>
      <c r="F16" s="536"/>
      <c r="G16" s="359"/>
      <c r="H16" s="359"/>
      <c r="I16" s="537"/>
      <c r="J16" s="360"/>
      <c r="K16" s="360"/>
      <c r="L16" s="361"/>
      <c r="M16" s="360"/>
      <c r="N16" s="361"/>
      <c r="O16" s="361"/>
      <c r="P16" s="361"/>
      <c r="Q16" s="361"/>
      <c r="R16" s="538"/>
      <c r="S16" s="538"/>
      <c r="T16" s="361"/>
      <c r="U16" s="361"/>
      <c r="V16" s="361"/>
      <c r="W16" s="361"/>
      <c r="X16" s="361"/>
      <c r="Y16" s="361"/>
      <c r="Z16" s="361"/>
      <c r="AA16" s="361"/>
      <c r="AB16" s="361"/>
      <c r="AC16" s="361"/>
      <c r="AD16" s="361"/>
      <c r="AE16" s="361"/>
      <c r="AF16" s="357"/>
      <c r="AG16" s="361"/>
      <c r="AH16" s="538"/>
      <c r="AI16" s="361"/>
      <c r="AJ16" s="361"/>
      <c r="AK16" s="361"/>
      <c r="AL16" s="361"/>
      <c r="AM16" s="361"/>
      <c r="AN16" s="361"/>
      <c r="AO16" s="539"/>
      <c r="AP16" s="361"/>
      <c r="AQ16" s="361"/>
      <c r="AR16" s="361"/>
      <c r="AS16" s="361"/>
      <c r="AT16" s="361"/>
      <c r="AU16" s="361"/>
      <c r="AV16" s="361"/>
      <c r="AW16" s="361"/>
      <c r="AX16" s="361"/>
      <c r="AY16" s="361"/>
      <c r="AZ16" s="361"/>
      <c r="BA16" s="361"/>
      <c r="BB16" s="361"/>
      <c r="BC16" s="361"/>
      <c r="BD16" s="361"/>
      <c r="BE16" s="361"/>
      <c r="BF16" s="361"/>
      <c r="BG16" s="361"/>
      <c r="BH16" s="361"/>
      <c r="BI16" s="361"/>
      <c r="BJ16" s="539"/>
      <c r="BK16" s="539"/>
      <c r="BL16" s="361"/>
      <c r="BM16" s="330"/>
      <c r="BN16" s="339"/>
      <c r="BO16" s="339"/>
      <c r="CG16" s="330"/>
    </row>
    <row r="17" spans="1:85" ht="15" customHeight="1">
      <c r="A17" s="904"/>
      <c r="B17" s="905"/>
      <c r="C17" s="902"/>
      <c r="D17" s="903"/>
      <c r="E17" s="334"/>
      <c r="F17" s="834" t="s">
        <v>638</v>
      </c>
      <c r="G17" s="837" t="s">
        <v>531</v>
      </c>
      <c r="H17" s="837" t="s">
        <v>532</v>
      </c>
      <c r="I17" s="335">
        <f>IF(OR(ISNUMBER(MATCH(F17,$BN$140:$BN$141,0)),ISNUMBER(MATCH(F17,$BN$153:$BN$153,0))),(VLOOKUP(I18,$BW$132:$BX$152,2,FALSE)-I18)/2000,0)+IF(ISNUMBER(MATCH(F17,$BN$154:$BN$155,0)),(VLOOKUP(I18,$CH$132:$CJ$138,3,FALSE)-VLOOKUP(I18,$CH$132:$CJ$138,2,FALSE))/2000,0)+IF(ISNUMBER(MATCH(F17,$BN$156:$BN$158,0)),(VLOOKUP(I18,$CB$132:$CD$135,3,FALSE)-VLOOKUP(I18,$CB$132:$CD$135,2,FALSE))/2000,0)+IF(ISNUMBER(MATCH(F17,$BN$159:$BN$161,0)),(VLOOKUP(I18,$CP$132:$CQ$151,2,FALSE)-I18)/2000,0)+IF(ISNUMBER(MATCH(F17,$BN$149:$BN$150,0)),(VLOOKUP(I18,$CZ$132:$DC$138,4,FALSE)-VLOOKUP(I18,$CZ$132:$DC$138,2,FALSE))/2000,0)+IF(ISNUMBER(MATCH(F17,$BN$151:$BN$152,0)),(VLOOKUP(I18,$DE$132:$DH$144,4,FALSE)-VLOOKUP(I18,$DE$132:$DH$144,2,FALSE))/2000,0)+IF(ISNUMBER(MATCH(F17,$BN$162:$BN$162,0)),(VLOOKUP(I18,$CM$132:$CN$168,2,FALSE)-I18)/2000,0)+IF(ISNUMBER(MATCH(F17,$BN$142:$BN$148,0)),(VLOOKUP(I18,$DJ$132:$DL$144,3,FALSE)-I18)/2000,0)</f>
        <v>2.5000000000000001E-3</v>
      </c>
      <c r="J17" s="336">
        <v>662.29</v>
      </c>
      <c r="K17" s="336">
        <v>661.04</v>
      </c>
      <c r="L17" s="337">
        <f>J17-K17</f>
        <v>1.25</v>
      </c>
      <c r="M17" s="337"/>
      <c r="N17" s="337"/>
      <c r="O17" s="337"/>
      <c r="P17" s="337"/>
      <c r="Q17" s="337"/>
      <c r="R17" s="827" t="s">
        <v>533</v>
      </c>
      <c r="S17" s="827" t="s">
        <v>685</v>
      </c>
      <c r="T17" s="337"/>
      <c r="U17" s="337"/>
      <c r="V17" s="337"/>
      <c r="W17" s="337"/>
      <c r="X17" s="337"/>
      <c r="Y17" s="337"/>
      <c r="Z17" s="337"/>
      <c r="AA17" s="337"/>
      <c r="AB17" s="337"/>
      <c r="AC17" s="337"/>
      <c r="AD17" s="337"/>
      <c r="AE17" s="337"/>
      <c r="AF17" s="334"/>
      <c r="AG17" s="337"/>
      <c r="AH17" s="827" t="s">
        <v>535</v>
      </c>
      <c r="AI17" s="337"/>
      <c r="AJ17" s="337"/>
      <c r="AK17" s="337"/>
      <c r="AL17" s="337"/>
      <c r="AM17" s="337"/>
      <c r="AN17" s="337"/>
      <c r="AO17" s="338"/>
      <c r="AP17" s="337"/>
      <c r="AQ17" s="337"/>
      <c r="AR17" s="337"/>
      <c r="AS17" s="337"/>
      <c r="AT17" s="337"/>
      <c r="AU17" s="337"/>
      <c r="AV17" s="337"/>
      <c r="AW17" s="337"/>
      <c r="AX17" s="337"/>
      <c r="AY17" s="337"/>
      <c r="AZ17" s="337"/>
      <c r="BA17" s="337"/>
      <c r="BB17" s="337"/>
      <c r="BC17" s="337"/>
      <c r="BD17" s="337"/>
      <c r="BE17" s="337"/>
      <c r="BF17" s="337"/>
      <c r="BG17" s="337"/>
      <c r="BH17" s="337"/>
      <c r="BI17" s="337"/>
      <c r="BJ17" s="338"/>
      <c r="BK17" s="338"/>
      <c r="BL17" s="337"/>
      <c r="BM17" s="330"/>
      <c r="BN17" s="339"/>
      <c r="BO17" s="339"/>
      <c r="CG17" s="330"/>
    </row>
    <row r="18" spans="1:85" ht="15" customHeight="1">
      <c r="A18" s="906" t="s">
        <v>739</v>
      </c>
      <c r="B18" s="908"/>
      <c r="C18" s="906" t="s">
        <v>761</v>
      </c>
      <c r="D18" s="908"/>
      <c r="E18" s="342">
        <v>12.1</v>
      </c>
      <c r="F18" s="835"/>
      <c r="G18" s="838"/>
      <c r="H18" s="838"/>
      <c r="I18" s="343">
        <v>100</v>
      </c>
      <c r="J18" s="344"/>
      <c r="K18" s="344"/>
      <c r="L18" s="340"/>
      <c r="M18" s="345">
        <f>ABS((L17+L19)/2)+IF(ISNUMBER(MATCH(F17,$BN$140:$BN$148,0)),$BU$131,0)+IF(ISNUMBER(MATCH(AH17,$BN$202,0)),$BU$132,0)+IF(ISNUMBER(MATCH(F17,$BN$149:$BN$152,0)),IF(I18&lt;=600,$BU$133,$BU$134),0)+IF(ISNUMBER(MATCH(F17,$BN$153:$BN$167,0)),$BU$132,0)</f>
        <v>1.270000000000016</v>
      </c>
      <c r="N18" s="345">
        <f>IF(MATCH(G17,$BN$131:$BN$133,0)=1,IF(ISNUMBER(MATCH(F17,$BN$140:$BN$161,0)),VLOOKUP(I18,IF(M18&lt;=2,$BN$53:$BS$66,$BN$68:$BS$84),VLOOKUP(AF18,$BO$176:$BP$181,2,FALSE),FALSE),IF(ISNUMBER(MATCH(F17,$BN$162,0)),VLOOKUP(I18,IF(M18&lt;=2,$BU$53:$BZ$66,$BU$68:$BZ$88),VLOOKUP(AF18,$BO$176:$BP$181,2,FALSE),FALSE),0)),0)+IF(MATCH(G17,$BN$131:$BN$133,0)=2,VLOOKUP(I18,IF(M18&lt;=2,$CB$53:$CG$66,IF(M18&lt;=4,$CB$68:$CG$81,IF(M18&lt;=6,$CB$83:$CG$96,IF(M18&lt;=8,$CB$98:$CG$111,$CB$113:$CG$126)))),VLOOKUP(AF18,$BO$176:$BP$181,2,FALSE)),0)</f>
        <v>0.65</v>
      </c>
      <c r="O18" s="346">
        <f>ABS((K19-K17)/E18)</f>
        <v>8.2644628099098395E-4</v>
      </c>
      <c r="P18" s="345">
        <f>E18</f>
        <v>12.1</v>
      </c>
      <c r="Q18" s="345">
        <f>IF(IF(AND(MATCH(R17,$BN$192:$BN$196,0)&lt;=1),E18*(N18+2*$BP$192))=FALSE,0,IF(AND(MATCH(R17,$BN$192:$BN$196,0)&lt;=1),E18*(N18+2*$BP$192)))</f>
        <v>15.125</v>
      </c>
      <c r="R18" s="828"/>
      <c r="S18" s="828"/>
      <c r="T18" s="345">
        <f>IF(AND(ISNUMBER(MATCH(S17,$BN$205,0))),E18*N18*(MIN(M18,$BU$164)-VLOOKUP(R17,$BN$192:$BP$197,2,FALSE)),VLOOKUP(S17,$BN$205:$BP$206,2,FALSE))</f>
        <v>0</v>
      </c>
      <c r="U18" s="345">
        <f>IF(AND(ISNUMBER(MATCH(S17,$BN$205,0))),E18*N18*MAX(MIN(M18-$BU$164,$BU$164),0)+E18*MAX((MIN(M18-$BU$164,-$BU$164)),0),VLOOKUP(S17,$BN$205:$BP$206,2,FALSE))</f>
        <v>0</v>
      </c>
      <c r="V18" s="345">
        <f>IF(AND(ISNUMBER(MATCH(S17,$BN$205,0))),E18*N18*MAX(MIN(M18-2*$BU$164,$BU$164),0)+E18*MAX((MIN(M18-2*$BU$164,-2*$BU$164,-2*$BU$164,$BU$164)),0),VLOOKUP(S17,$BN$205:$BP$206,2,FALSE))</f>
        <v>0</v>
      </c>
      <c r="W18" s="345">
        <f>IF(AND(ISNUMBER(MATCH(S17,$BN$205,0))),E18*N18*MAX(MIN(M18-3*$BU$164,$BU$164),0)+E18*MAX((MIN(M18-3*$BU$164,-3*$BU$164,-3*$BU$164,$BU$164)),0),VLOOKUP(S17,$BN$205:$BP$206,2,FALSE))</f>
        <v>0</v>
      </c>
      <c r="X18" s="345">
        <f>IF(AND(ISNUMBER(MATCH(S17,$BN$205,0))),E18*N18*MAX(MIN(M18-4*$BU$164,$BU$164),0)+E18*MAX((MIN(M18-4*$BU$164,-4*$BU$164,-4*$BU$164,$BU$164)),0),VLOOKUP(S17,$BN$205:$BP$206,2,FALSE))</f>
        <v>0</v>
      </c>
      <c r="Y18" s="345">
        <f>IF(AND(ISNUMBER(MATCH(S17,$BN$205,0))),E18*N18*MAX(MIN(M18-5*$BU$164,$BU$164),0)+E18*MAX((MIN(M18-5*$BU$164,-5*$BU$164,-5*$BU$164,$BU$164)),0),VLOOKUP(S17,$BN$205:$BP$206,2,FALSE))</f>
        <v>0</v>
      </c>
      <c r="Z18" s="345">
        <f>IF(AND(ISNUMBER(MATCH(S17,$BN$206,0))),E18*N18*(MIN(M18,$BU$165)-VLOOKUP(R17,$BN$192:$BP$197,2,FALSE)),VLOOKUP(S17,$BN$205:$BP$206,2,FALSE))</f>
        <v>9.9885500000001262</v>
      </c>
      <c r="AA18" s="345">
        <f>IF(AND(ISNUMBER(MATCH(S17,$BN$206,0))),E18*N18*MAX(MIN(M18-$BU$165,$BU$165),0)+E18*MAX((MIN(M18-$BU$165,-$BU$165)),0))-VLOOKUP(S17,$BN$205:$BP$206,2,FALSE)</f>
        <v>0</v>
      </c>
      <c r="AB18" s="345">
        <f>IF(AND(ISNUMBER(MATCH(S17,$BN$206,0))),E18*N18*MAX(MIN(M18-2*$BU$165,$BU$165),0)+E18*MAX((MIN(M18-2*$BU$165,-2*$BU$165,-2*$BU$165,$BU$165)),0))-VLOOKUP(S17,$BN$205:$BP$206,2,FALSE)</f>
        <v>0</v>
      </c>
      <c r="AC18" s="345">
        <f>IF(AND(ISNUMBER(MATCH(S17,$BN$206,0))),E18*N18*MAX(MIN(M18-3*$BU$165,$BU$165),0)+E18*MAX((MIN(M18-3*$BU$165,-3*$BU$165,-3*$BU$165,$BU$165)),0))-VLOOKUP(S17,$BN$205:$BP$206,2,FALSE)</f>
        <v>0</v>
      </c>
      <c r="AD18" s="345">
        <f>IF(AND(ISNUMBER(MATCH(S17,$BN$206,0))),E18*N18*MAX(MIN(M18-4*$BU$165,$BU$165),0)+E18*MAX((MIN(M18-4*$BU$165,-4*$BU$165,-4*$BU$165,$BU$165)),0))-VLOOKUP(S17,$BN$205:$BP$206,2,FALSE)</f>
        <v>0</v>
      </c>
      <c r="AE18" s="345">
        <f>IF(AND(ISNUMBER(MATCH(S17,$BN$206,0))),E18*N18*MAX(MIN(M18-5*$BU$165,$BU$165),0)+E18*MAX((MIN(M18-5*$BU$165,-5*$BU$165,-5*$BU$165,$BU$165)),0))-VLOOKUP(S17,$BN$205:$BP$206,2,FALSE)</f>
        <v>0</v>
      </c>
      <c r="AF18" s="332" t="str">
        <f>IF(MATCH(G17,$BN$131:$BN$133,0)&lt;=2,VLOOKUP((M18),$BN$176:$BO$181,2),"-")</f>
        <v>P</v>
      </c>
      <c r="AG18" s="345">
        <f>IF(AND(MATCH(G17,$BN$131:$BN$133,0)&lt;=2,MATCH(AF18,$BO$176:$BO$181,0)&gt;1),(M18)*E18*2,0)</f>
        <v>30.734000000000385</v>
      </c>
      <c r="AH18" s="828"/>
      <c r="AI18" s="345" t="str">
        <f>IF(AH17=$BN$201,E18*5*$BU$155,IF(AH17=$BN$200,"-","-"))</f>
        <v>-</v>
      </c>
      <c r="AJ18" s="345">
        <f>IF(MATCH(AH17,$BN$200:$BN$202,0)&lt;=2,0,((_xlfn.CEILING.PRECISE(E18/$BU$156))*$BU$157))</f>
        <v>0</v>
      </c>
      <c r="AK18" s="345">
        <f>IF(MATCH(G17,$BN$131:$BN$133,0)=3,0,E18*$BU$193/($BU$192)*2)</f>
        <v>8.0666666666666664</v>
      </c>
      <c r="AL18" s="345">
        <f>IF(MATCH(G17,$BN$131:$BN$133,0)=3,0,(E18/$BU$185)*$BU$186*(N18+2*N18))</f>
        <v>0.47190000000000004</v>
      </c>
      <c r="AM18" s="345">
        <f>IF(ISNUMBER(MATCH(F17,$BN$140:$BN$148,0)),E18*N18*$BU$131,0)</f>
        <v>0</v>
      </c>
      <c r="AN18" s="345">
        <f>IF(AND(ISNUMBER(MATCH(F17,$BN$140:$BN$148,0)),MATCH(AH17,$BN$200:$BN$202,0)=3),E18*N18*$BU$132,0)</f>
        <v>0</v>
      </c>
      <c r="AO18" s="347">
        <f>IF(MATCH(G17,$BN$131:$BN$133,0)&lt;=2,IF(ISNUMBER(MATCH(F17,$BN$153:$BN$162,0)),E18*(N18*(I19+$BU$133+$BU$134)-(((I19/2)^2)*(IF((M18-$BU$133)&lt;I19,2*ACOS(1-(((M18-$BU$133)*2/I19))),2*PI())-SIN(IF((M18-$BU$133)&lt;I19,2*ACOS(1-(((M18-$BU$133)*2/I19))),2*PI()))))/2),0)+IF(ISNUMBER(MATCH(F17,$BN$149:$BN$150,0)),E18*(N18*(VLOOKUP(I18,$CZ$132:$DC$138,3,FALSE)/1000+IF(I18&lt;=600,$BU$136,$BU$137)+$BU$134)-(((VLOOKUP(I18,$CZ$132:$DC$138,3,FALSE)/2000)^2)*(IF((M18-IF(I18&lt;=600,$BU$136,$BU$137))&lt;VLOOKUP(I18,$CZ$132:$DC$138,3,FALSE)/1000,2*ACOS(1-((M18-IF(I18&lt;=600,$BU$136,$BU$137))*2/VLOOKUP(I18,$CZ$132:$DC$138,3,FALSE)/1000)),2*PI())-SIN(IF((M18-IF(I18&lt;=600,$BU$136,$BU$137))&lt;VLOOKUP(I18,$CZ$132:$DC$138,3,FALSE)/1000,2*ACOS(1-((M18-IF(I18&lt;=600,$BU$136,$BU$137))*2/VLOOKUP(I18,$CZ$132:$DC$138,3,FALSE)/1000)),2*PI()))))/2),0)+IF(ISNUMBER(MATCH(F17,$BN$151:$BN$152,0)),E18*(N18*(VLOOKUP(I18,$DE$132:$DH$144,3,FALSE)/1000+IF(I18&lt;=600,$BU$136,$BU$137)+$BU$134)-(((VLOOKUP(I18,$DE$132:$DH$144,3,FALSE)/2000)^2)*(IF((M18-IF(I18&lt;=600,$BU$136,$BU$137))&lt;VLOOKUP(I18,$DE$132:$DH$144,3,FALSE)/1000,2*ACOS(1-((M18-IF(I18&lt;=600,$BU$136,$BU$137))*2/VLOOKUP(I18,$DE$132:$DH$144,3,FALSE)/1000)),2*PI())-SIN(IF((M18-IF(I18&lt;=600,$BU$136,$BU$137))&lt;VLOOKUP(I18,$DE$132:$DH$144,3,FALSE)/1000,2*ACOS(1-((M18-IF(I18&lt;=600,$BU$136,$BU$137))*2/VLOOKUP(I18,$DE$132:$DH$144,3,FALSE)/1000)),2*PI()))))/2),0),0)</f>
        <v>2.3231598548969798</v>
      </c>
      <c r="AP18" s="345">
        <f>E18</f>
        <v>12.1</v>
      </c>
      <c r="AQ18" s="345">
        <f>IF(ISNUMBER(MATCH(F17,$BN$140:$BN$148,0)),N18*E18*MAX(IF($BU$138=2,IF((M18-$BU$131-I19-$BU$141-VLOOKUP(R17,$BN$192:$BO$196,2,FALSE))&lt;$BU$140,(M18-$BU$131-I19-$BU$141-VLOOKUP(R17,$BN$192:$BO$196,2,FALSE)),IF((M18-$BU$131-I19-$BU$141-VLOOKUP(R17,$BN$192:$BO$196,2,FALSE))&lt;2*$BU$140,$BU$140,(M18-$BU$131-I19-$BU$141-VLOOKUP(R17,$BN$192:$BO$196,2,FALSE))/2)),M18-$BU$131-I19-$BU$139-VLOOKUP(R17,$BN$192:$BO$196,2,FALSE)),0),0)+IF(ISNUMBER(MATCH(F17,$BN$153:$BN$167,0)),N18*E18*MAX(IF((M18-$BU$133-$BU$134-I19-VLOOKUP(R17,$BN$192:$BO$196,2,FALSE))&lt;$BU$140,(M18-$BU$133-$BU$134-I19-VLOOKUP(R17,$BN$192:$BO$196,2,FALSE)),IF((M18-$BU$133-$BU$134-I19-VLOOKUP(R17,$BN$192:$BO$196,2,FALSE))&lt;2*$BU$140,$BU$140,(M18-$BU$133-$BU$134-I19-VLOOKUP(R17,$BN$192:$BO$196,2,FALSE))/2)),0),0)+IF(ISNUMBER(MATCH(F17,$BN$149:$BN$150,0)),N18*E18*MAX(IF((M18-IF(I18&lt;=600,$BU$136,$BU$137)-$BU$134-VLOOKUP(I18,$CZ$132:$DC$138,3,FALSE)/1000-VLOOKUP(R17,$BN$192:$BO$196,2,FALSE))&lt;$BU$140,(M18-IF(I18&lt;=600,$BU$136,$BU$137)-$BU$134-VLOOKUP(I18,$CZ$132:$DC$138,3,FALSE)/1000-VLOOKUP(R17,$BN$192:$BO$196,2,FALSE)),IF((M18-IF(I18&lt;=600,$BU$136,$BU$137)-$BU$134-VLOOKUP(I18,$CZ$132:$DC$138,3,FALSE)/1000-VLOOKUP(R17,$BN$192:$BO$196,2,FALSE))&lt;2*$BU$140,$BU$140,(M18-IF(I18&lt;=600,$BU$136,$BU$137)-$BU$134-VLOOKUP(I18,$CZ$132:$DC$138,3,FALSE)/1000-VLOOKUP(R17,$BN$192:$BO$196,2,FALSE))/2)),0),0)+IF(ISNUMBER(MATCH(F17,$BN$151:$BN$152,0)),N18*E18*MAX(IF((M18-IF(I18&lt;=600,$BU$136,$BU$137)-$BU$134-VLOOKUP(I18,$DE$132:$DH$144,3,FALSE)/1000-VLOOKUP(R17,$BN$192:$BO$196,2,FALSE))&lt;$BU$140,(M18-IF(I18&lt;=600,$BU$136,$BU$137)-$BU$134-VLOOKUP(I18,$DE$132:$DH$144,3,FALSE)/1000-VLOOKUP(R17,$BN$192:$BO$196,2,FALSE)),IF((M18-IF(I18&lt;=600,$BU$136,$BU$137)-$BU$134-VLOOKUP(I18,$DE$132:$DH$144,3,FALSE)/1000-VLOOKUP(R17,$BN$192:$BO$196,2,FALSE))&lt;2*$BU$140,$BU$140,(M18-IF(I18&lt;=600,$BU$136,$BU$137)-$BU$134-VLOOKUP(I18,$DE$132:$DH$144,3,FALSE)/1000-VLOOKUP(R17,$BN$192:$BO$196,2,FALSE))/2)),0),0)</f>
        <v>3.7752000000000625</v>
      </c>
      <c r="AR18" s="345">
        <f>IF(ISNUMBER(MATCH(F17,$BN$140:$BN$148,0)),E18*MAX(N18*IF($BU$138=2,IF((M18-$BU$131-I19-$BU$141-VLOOKUP(R17,$BN$192:$BO$196,2,FALSE))&lt;$BU$140,I19+$BU$141,IF((M18-$BU$131-I19-$BU$141-VLOOKUP(R17,$BN$192:$BO$196,2,FALSE))&lt;2*$BU$140,I19+$BU$141+(M18-$BU$131-I19-$BU$141-VLOOKUP(R17,$BN$192:$BO$196,2,FALSE))-$BU$140,I19+$BU$141+(M18-$BU$131-I19-$BU$141-VLOOKUP(R17,$BN$192:$BO$196,2,FALSE))/2)),MAX(MIN(M18-$BU$131-I19-VLOOKUP(R17,$BN$192:$BO$196,2,FALSE),I19+$BU$139),0))-IF((M18-$BU$131)&lt;I19,((I19/2)^2)*(2*ACOS(1-(((M18-$BU$131)*2/I19)))-SIN(2*ACOS(1-(((M18-$BU$131)*2/I19)))))/2,PI()*(I19/2)^2),0),0)+IF(ISNUMBER(MATCH(F17,$BN$153:$BN$167,0)),N18*E18*MAX(IF((M18-$BU$133-$BU$134-I19-VLOOKUP(R17,$BN$192:$BO$196,2,FALSE))&lt;$BU$140,0,IF((M18-$BU$133-$BU$134-I19-VLOOKUP(R17,$BN$192:$BO$196,2,FALSE))&lt;2*$BU$140,(M18-$BU$133-$BU$134-I19-VLOOKUP(R17,$BN$192:$BO$196,2,FALSE))-$BU$140,(M18-$BU$133-$BU$134-I19-VLOOKUP(R17,$BN$192:$BO$196,2,FALSE))/2)),0),0)+IF(ISNUMBER(MATCH(F17,$BN$149:$BN$150,0)),N18*E18*MAX(IF((M18-IF(I18&lt;=600,$BU$136,$BU$137)-$BU$134-VLOOKUP(I18,$CZ$132:$DC$138,3,FALSE)/1000-VLOOKUP(R17,$BN$192:$BO$196,2,FALSE))&lt;$BU$140,0,IF((M18-IF(I18&lt;=600,$BU$136,$BU$137)-$BU$134-VLOOKUP(I18,$CZ$132:$DC$138,3,FALSE)/1000-VLOOKUP(R17,$BN$192:$BO$196,2,FALSE))&lt;2*$BU$140,(M18-IF(I18&lt;=600,$BU$136,$BU$137)-$BU$134-VLOOKUP(I18,$CZ$132:$DC$138,3,FALSE)/1000-VLOOKUP(R17,$BN$192:$BO$196,2,FALSE))-$BU$140,(M18-IF(I18&lt;=600,$BU$136,$BU$137)-$BU$134-VLOOKUP(I18,$CZ$132:$DC$138,3,FALSE)/1000-VLOOKUP(R17,$BN$192:$BO$196,2,FALSE))/2)),0),0)+IF(ISNUMBER(MATCH(F17,$BN$151:$BN$152,0)),N18*E18*MAX(IF((M18-IF(I18&lt;=600,$BU$136,$BU$137)-$BU$134-VLOOKUP(I18,$DE$132:$DH$144,3,FALSE)/1000-VLOOKUP(R17,$BN$192:$BO$196,2,FALSE))&lt;$BU$140,0,IF((M18-IF(I18&lt;=600,$BU$136,$BU$137)-$BU$134-VLOOKUP(I18,$DE$132:$DH$144,3,FALSE)/1000-VLOOKUP(R17,$BN$192:$BO$196,2,FALSE))&lt;2*$BU$140,(M18-IF(I18&lt;=600,$BU$136,$BU$137)-$BU$134-VLOOKUP(I18,$DE$132:$DH$144,3,FALSE)/1000-VLOOKUP(R17,$BN$192:$BO$196,2,FALSE))-$BU$140,(M18-IF(I18&lt;=600,$BU$136,$BU$137)-$BU$134-VLOOKUP(I18,$DE$132:$DH$144,3,FALSE)/1000-VLOOKUP(R17,$BN$192:$BO$196,2,FALSE))/2)),0),0)</f>
        <v>3.7752000000000625</v>
      </c>
      <c r="AS18" s="345">
        <f>IF(MATCH(G17,$BN$131:$BN$133,0)=3,0,IF(MATCH(R17,$BN$192:$BN$194,0)&gt;=1,E18*(N18),0))</f>
        <v>7.8650000000000002</v>
      </c>
      <c r="AT18" s="345">
        <f>IF(AND(MATCH(G17,$BN$131:$BN$133,0)&lt;=2,MATCH(R17,$BN$192:$BN$196,0)&gt;1,NOT(AND(MATCH(R17,$BN$192:$BN$196,0)&gt;1,))),E18*(N18+2*VLOOKUP(R17,$BN$192:$BP$196,3,FALSE))*IF(OR(MATCH(R17,$BN$192:$BN$196,0)=3,MATCH(R17,$BN$192:$BN$196,0)=3),VLOOKUP(R17,$BN$192:$BP$196,2,FALSE),1),0)</f>
        <v>0</v>
      </c>
      <c r="AU18" s="345">
        <f>IF(AND(MATCH(G17,$BN$131:$BN$133,0)&lt;=2,MATCH(R17,$BN$192:$BN$196,0)=2),E18*(N18+2*VLOOKUP(R17,$BN$192:$BP$196,3,FALSE)),0)</f>
        <v>0</v>
      </c>
      <c r="AV18" s="345">
        <f>IF(AND(MATCH(G17,$BN$131:$BN$133,0)&lt;=2,MATCH(R17,$BN$192:$BN$196,0)=2),E18*(N18+2*VLOOKUP(R17,$BN$192:$BP$196,3,FALSE)),0)*$AV$7</f>
        <v>0</v>
      </c>
      <c r="AW18" s="345">
        <f>IF(AND(MATCH(G17,$BN$131:$BN$133,0)&lt;=2,MATCH(R17,$BN$192:$BN$196,0)=2),E18*(N18+2*VLOOKUP(R17,$BN$192:$BP$196,3,FALSE)),0)*$AW$7</f>
        <v>0</v>
      </c>
      <c r="AX18" s="345">
        <f>IF(AND(MATCH(G17,$BN$131:$BN$133,0)&lt;=2,MATCH(R17,$BN$192:$BN$196,0)=2),E18*(N18+2*VLOOKUP(R17,$BN$192:$BP$196,3,FALSE)),0)</f>
        <v>0</v>
      </c>
      <c r="AY18" s="345">
        <f>IF(AND(MATCH(G17,$BN$131:$BN$133,0)&lt;=2,MATCH(R17,$BN$192:$BN$196,0)=2),E18*(N18+2*VLOOKUP(R17,$BN$192:$BP$196,3,FALSE)),0)*$AY$7</f>
        <v>0</v>
      </c>
      <c r="AZ18" s="345">
        <f>IF(MATCH(R17,$BN$192:$BN$196,0)=3,E18*(N18+2*VLOOKUP(R17,$BN$192:$BP$196,3,FALSE)),0)</f>
        <v>0</v>
      </c>
      <c r="BA18" s="345">
        <f>MAX(SUM(T18:AE18)-AQ18-AR18,0)*$BU$174</f>
        <v>3.1695950000000024</v>
      </c>
      <c r="BB18" s="345">
        <f>BA18*$BU$179</f>
        <v>47.543925000000037</v>
      </c>
      <c r="BC18" s="345">
        <f>AM18*$BU$176</f>
        <v>0</v>
      </c>
      <c r="BD18" s="345">
        <f>BC18*$BU$181</f>
        <v>0</v>
      </c>
      <c r="BE18" s="345">
        <f>(AN18+AO18)*$BU$177</f>
        <v>3.0201078113660738</v>
      </c>
      <c r="BF18" s="345">
        <f>BE18*$BU$182</f>
        <v>45.301617170491106</v>
      </c>
      <c r="BG18" s="345">
        <f>IF(MATCH(G17,$BN$131:$BN$133,0)&lt;=2,(E18*(N18+2*VLOOKUP(R17,$BN$192:$BP$196,3,FALSE))*VLOOKUP(R17,$BN$192:$BO$196,2,FALSE))*$BU$178,0)</f>
        <v>0</v>
      </c>
      <c r="BH18" s="345">
        <f>BG18*$BU$183</f>
        <v>0</v>
      </c>
      <c r="BI18" s="345">
        <f>AY18*$BI$1*$BI$2*$BI$3</f>
        <v>0</v>
      </c>
      <c r="BJ18" s="347">
        <f>E18*(IF(ISNUMBER(MATCH(F17,$BN$140,0)),VLOOKUP(I18,$BW$134:$BY$147,3,FALSE)/1000,0)+IF(ISNUMBER(MATCH(F17,$BN$141,0)),VLOOKUP(I18,$BW$132:$BZ$147,4,FALSE)/1000,0)+IF(ISNUMBER(MATCH(F17,$BN$142:$BN$148,0)),VLOOKUP(I18,$DJ$132:$DM$142,4,FALSE)/1000,0)+IF(ISNUMBER(MATCH(F17,$BN$149:$BN$150,0)),VLOOKUP(I18,$CZ$132:$DD146,5,FALSE)/1000,0)+IF(ISNUMBER(MATCH(F17,$BN$151:$BN$152,0)),VLOOKUP(I18,$DE$132:$DI$143,5,FALSE)/1000,0)+IF(ISNUMBER(MATCH(F17,$BN$153:$BN$153,0)),VLOOKUP(I18,$BW$132:$CA$147,5,FALSE)/1000,0)+IF(ISNUMBER(MATCH(F17,$BN$154:$BN$154,0)),VLOOKUP(I18,$CH$132:$CL$138,4,FALSE)/1000,0)+IF(ISNUMBER(MATCH(F17,$BN$155:$BN$155,0)),VLOOKUP(I18,$CH$132:$CL$138,5,FALSE)/1000,0)+IF(ISNUMBER(MATCH(F17,$BN$156:$BN$156,0)),VLOOKUP(I18,$CB$132:$CG$135,4,FALSE)/1000,0)+IF(ISNUMBER(MATCH(F17,$BN$157:$BN$157,0)),VLOOKUP(I18,$CB$132:$CG$135,5,FALSE)/1000,0)+IF(ISNUMBER(MATCH(F17,$BN$158:$BN$158,0)),VLOOKUP(I18,$CB$132:$CG$135,6,FALSE)/1000,0)+IF(ISNUMBER(MATCH(F17,$BN$159:$BN$159,0)),VLOOKUP(I18,$CP$132:$CT$151,3,FALSE)/1000,0)+IF(ISNUMBER(MATCH(F17,$BN$160:$BN$160,0)),VLOOKUP(I18,$CP$132:$CT$151,4,FALSE)/1000,0)+IF(ISNUMBER(MATCH(F17,$BN$161:$BN$161,0)),VLOOKUP(I18,$CP$132:$CT$151,5,FALSE)/1000,0)+IF(ISNUMBER(MATCH(F17,$BN$162:$BN$162,0)),VLOOKUP(I18,$CM$132:$CO$168,3,FALSE)/1000,0))</f>
        <v>1.6232149999999997E-2</v>
      </c>
      <c r="BK18" s="347">
        <f>BJ18*$BU$184</f>
        <v>0.48696449999999991</v>
      </c>
      <c r="BL18" s="345">
        <f>(E18*(2*$BU$194+N18))</f>
        <v>15.125</v>
      </c>
      <c r="BM18" s="348"/>
      <c r="BN18" s="339"/>
      <c r="BO18" s="339"/>
      <c r="CG18" s="330"/>
    </row>
    <row r="19" spans="1:85" ht="15" customHeight="1">
      <c r="A19" s="896"/>
      <c r="B19" s="897"/>
      <c r="C19" s="900"/>
      <c r="D19" s="901"/>
      <c r="E19" s="351"/>
      <c r="F19" s="836"/>
      <c r="G19" s="839"/>
      <c r="H19" s="839"/>
      <c r="I19" s="352">
        <f>IF(OR(ISNUMBER(MATCH(F17,$BN$140:$BN$141,0)),ISNUMBER(MATCH(F17,$BN$153:$BN$153,0))),VLOOKUP(I18,$BW$132:$BX$152,2,FALSE)/1000,0)+IF(ISNUMBER(MATCH(F17,$BN$154:$BN$155,0)),VLOOKUP(I18,$CH$132:$CJ$138,3,FALSE)/1000,0)+IF(ISNUMBER(MATCH(F17,$BN$156:$BN$158,0)),VLOOKUP(I18,$CB$132:$CD$135,3,FALSE)/1000,0)+IF(ISNUMBER(MATCH(F17,$BN$159:$BN$161,0)),VLOOKUP(I18,$CP$132:$CQ$151,2,FALSE)/1000,0)+IF(ISNUMBER(MATCH(F17,$BN$149:$BN$150,0)),VLOOKUP(I18,$CZ$132:$DC$138,4,FALSE)/1000,0)+IF(ISNUMBER(MATCH(F17,$BN$151:$BN$152,0)),VLOOKUP(I18,$DE$132:$DH$144,4,FALSE)/1000,0)+IF(ISNUMBER(MATCH(F17,$BN$162:$BN$162,0)),VLOOKUP(I18,$CM$132:$CN$168,2,FALSE)/1000,0)+IF(ISNUMBER(MATCH(F17,$BN$142:$BN$148,0)),VLOOKUP(I18,$DJ$132:$DL$144,3,FALSE)/1000,0)</f>
        <v>0.11</v>
      </c>
      <c r="J19" s="353">
        <v>662.12</v>
      </c>
      <c r="K19" s="353">
        <v>661.03</v>
      </c>
      <c r="L19" s="354">
        <f>J19-K19</f>
        <v>1.0900000000000318</v>
      </c>
      <c r="M19" s="355"/>
      <c r="N19" s="354"/>
      <c r="O19" s="354"/>
      <c r="P19" s="354"/>
      <c r="Q19" s="354"/>
      <c r="R19" s="829"/>
      <c r="S19" s="829"/>
      <c r="T19" s="354"/>
      <c r="U19" s="354"/>
      <c r="V19" s="354"/>
      <c r="W19" s="354"/>
      <c r="X19" s="354"/>
      <c r="Y19" s="354"/>
      <c r="Z19" s="354"/>
      <c r="AA19" s="354"/>
      <c r="AB19" s="354"/>
      <c r="AC19" s="354"/>
      <c r="AD19" s="354"/>
      <c r="AE19" s="354"/>
      <c r="AF19" s="349"/>
      <c r="AG19" s="354"/>
      <c r="AH19" s="829"/>
      <c r="AI19" s="354"/>
      <c r="AJ19" s="354"/>
      <c r="AK19" s="354"/>
      <c r="AL19" s="354"/>
      <c r="AM19" s="354"/>
      <c r="AN19" s="354"/>
      <c r="AO19" s="356"/>
      <c r="AP19" s="354"/>
      <c r="AQ19" s="354"/>
      <c r="AR19" s="354"/>
      <c r="AS19" s="354"/>
      <c r="AT19" s="354"/>
      <c r="AU19" s="354"/>
      <c r="AV19" s="354"/>
      <c r="AW19" s="354"/>
      <c r="AX19" s="354"/>
      <c r="AY19" s="354"/>
      <c r="AZ19" s="354"/>
      <c r="BA19" s="354"/>
      <c r="BB19" s="354"/>
      <c r="BC19" s="354"/>
      <c r="BD19" s="354"/>
      <c r="BE19" s="354"/>
      <c r="BF19" s="354"/>
      <c r="BG19" s="354"/>
      <c r="BH19" s="354"/>
      <c r="BI19" s="354"/>
      <c r="BJ19" s="356"/>
      <c r="BK19" s="356"/>
      <c r="BL19" s="354"/>
      <c r="BM19" s="330"/>
      <c r="BN19" s="339"/>
      <c r="BO19" s="339"/>
      <c r="CG19" s="330"/>
    </row>
    <row r="20" spans="1:85" ht="15" customHeight="1">
      <c r="A20" s="904"/>
      <c r="B20" s="905"/>
      <c r="C20" s="902"/>
      <c r="D20" s="903"/>
      <c r="E20" s="334"/>
      <c r="F20" s="834" t="s">
        <v>638</v>
      </c>
      <c r="G20" s="837" t="s">
        <v>531</v>
      </c>
      <c r="H20" s="837" t="s">
        <v>532</v>
      </c>
      <c r="I20" s="335">
        <f>IF(OR(ISNUMBER(MATCH(F20,$BN$140:$BN$141,0)),ISNUMBER(MATCH(F20,$BN$153:$BN$153,0))),(VLOOKUP(I21,$BW$132:$BX$152,2,FALSE)-I21)/2000,0)+IF(ISNUMBER(MATCH(F20,$BN$154:$BN$155,0)),(VLOOKUP(I21,$CH$132:$CJ$138,3,FALSE)-VLOOKUP(I21,$CH$132:$CJ$138,2,FALSE))/2000,0)+IF(ISNUMBER(MATCH(F20,$BN$156:$BN$158,0)),(VLOOKUP(I21,$CB$132:$CD$135,3,FALSE)-VLOOKUP(I21,$CB$132:$CD$135,2,FALSE))/2000,0)+IF(ISNUMBER(MATCH(F20,$BN$159:$BN$161,0)),(VLOOKUP(I21,$CP$132:$CQ$151,2,FALSE)-I21)/2000,0)+IF(ISNUMBER(MATCH(F20,$BN$149:$BN$150,0)),(VLOOKUP(I21,$CZ$132:$DC$138,4,FALSE)-VLOOKUP(I21,$CZ$132:$DC$138,2,FALSE))/2000,0)+IF(ISNUMBER(MATCH(F20,$BN$151:$BN$152,0)),(VLOOKUP(I21,$DE$132:$DH$144,4,FALSE)-VLOOKUP(I21,$DE$132:$DH$144,2,FALSE))/2000,0)+IF(ISNUMBER(MATCH(F20,$BN$162:$BN$162,0)),(VLOOKUP(I21,$CM$132:$CN$168,2,FALSE)-I21)/2000,0)+IF(ISNUMBER(MATCH(F20,$BN$142:$BN$148,0)),(VLOOKUP(I21,$DJ$132:$DL$144,3,FALSE)-I21)/2000,0)</f>
        <v>2.5000000000000001E-3</v>
      </c>
      <c r="J20" s="336">
        <f>J19</f>
        <v>662.12</v>
      </c>
      <c r="K20" s="336">
        <f>K19</f>
        <v>661.03</v>
      </c>
      <c r="L20" s="337">
        <f>J20-K20</f>
        <v>1.0900000000000318</v>
      </c>
      <c r="M20" s="337"/>
      <c r="N20" s="337"/>
      <c r="O20" s="337"/>
      <c r="P20" s="337"/>
      <c r="Q20" s="337"/>
      <c r="R20" s="827" t="s">
        <v>533</v>
      </c>
      <c r="S20" s="827" t="s">
        <v>685</v>
      </c>
      <c r="T20" s="337"/>
      <c r="U20" s="337"/>
      <c r="V20" s="337"/>
      <c r="W20" s="337"/>
      <c r="X20" s="337"/>
      <c r="Y20" s="337"/>
      <c r="Z20" s="337"/>
      <c r="AA20" s="337"/>
      <c r="AB20" s="337"/>
      <c r="AC20" s="337"/>
      <c r="AD20" s="337"/>
      <c r="AE20" s="337"/>
      <c r="AF20" s="334"/>
      <c r="AG20" s="337"/>
      <c r="AH20" s="827" t="s">
        <v>535</v>
      </c>
      <c r="AI20" s="337"/>
      <c r="AJ20" s="337"/>
      <c r="AK20" s="337"/>
      <c r="AL20" s="337"/>
      <c r="AM20" s="337"/>
      <c r="AN20" s="337"/>
      <c r="AO20" s="338"/>
      <c r="AP20" s="337"/>
      <c r="AQ20" s="337"/>
      <c r="AR20" s="337"/>
      <c r="AS20" s="337"/>
      <c r="AT20" s="337"/>
      <c r="AU20" s="337"/>
      <c r="AV20" s="337"/>
      <c r="AW20" s="337"/>
      <c r="AX20" s="337"/>
      <c r="AY20" s="337"/>
      <c r="AZ20" s="337"/>
      <c r="BA20" s="337"/>
      <c r="BB20" s="337"/>
      <c r="BC20" s="337"/>
      <c r="BD20" s="337"/>
      <c r="BE20" s="337"/>
      <c r="BF20" s="337"/>
      <c r="BG20" s="337"/>
      <c r="BH20" s="337"/>
      <c r="BI20" s="337"/>
      <c r="BJ20" s="338"/>
      <c r="BK20" s="338"/>
      <c r="BL20" s="337"/>
      <c r="BM20" s="330"/>
      <c r="BN20" s="339"/>
      <c r="BO20" s="339"/>
      <c r="CG20" s="330"/>
    </row>
    <row r="21" spans="1:85" ht="15" customHeight="1">
      <c r="A21" s="906" t="str">
        <f>C18</f>
        <v>CX-AP-1</v>
      </c>
      <c r="B21" s="908"/>
      <c r="C21" s="906" t="s">
        <v>762</v>
      </c>
      <c r="D21" s="908"/>
      <c r="E21" s="342">
        <v>9.9</v>
      </c>
      <c r="F21" s="835"/>
      <c r="G21" s="838"/>
      <c r="H21" s="838"/>
      <c r="I21" s="343">
        <v>100</v>
      </c>
      <c r="J21" s="344"/>
      <c r="K21" s="344"/>
      <c r="L21" s="340"/>
      <c r="M21" s="345">
        <f>ABS((L20+L22)/2)+IF(ISNUMBER(MATCH(F20,$BN$140:$BN$148,0)),$BU$131,0)+IF(ISNUMBER(MATCH(AH20,$BN$202,0)),$BU$132,0)+IF(ISNUMBER(MATCH(F20,$BN$149:$BN$152,0)),IF(I21&lt;=600,$BU$133,$BU$134),0)+IF(ISNUMBER(MATCH(F20,$BN$153:$BN$167,0)),$BU$132,0)</f>
        <v>1.2299999999999955</v>
      </c>
      <c r="N21" s="345">
        <f>IF(MATCH(G20,$BN$131:$BN$133,0)=1,IF(ISNUMBER(MATCH(F20,$BN$140:$BN$161,0)),VLOOKUP(I21,IF(M21&lt;=2,$BN$53:$BS$66,$BN$68:$BS$84),VLOOKUP(AF21,$BO$176:$BP$181,2,FALSE),FALSE),IF(ISNUMBER(MATCH(F20,$BN$162,0)),VLOOKUP(I21,IF(M21&lt;=2,$BU$53:$BZ$66,$BU$68:$BZ$88),VLOOKUP(AF21,$BO$176:$BP$181,2,FALSE),FALSE),0)),0)+IF(MATCH(G20,$BN$131:$BN$133,0)=2,VLOOKUP(I21,IF(M21&lt;=2,$CB$53:$CG$66,IF(M21&lt;=4,$CB$68:$CG$81,IF(M21&lt;=6,$CB$83:$CG$96,IF(M21&lt;=8,$CB$98:$CG$111,$CB$113:$CG$126)))),VLOOKUP(AF21,$BO$176:$BP$181,2,FALSE)),0)</f>
        <v>0.65</v>
      </c>
      <c r="O21" s="346">
        <f>ABS((K22-K20)/E21)</f>
        <v>5.0505050505004565E-3</v>
      </c>
      <c r="P21" s="345">
        <f>E21</f>
        <v>9.9</v>
      </c>
      <c r="Q21" s="345">
        <f>IF(IF(AND(MATCH(R20,$BN$192:$BN$196,0)&lt;=1),E21*(N21+2*$BP$192))=FALSE,0,IF(AND(MATCH(R20,$BN$192:$BN$196,0)&lt;=1),E21*(N21+2*$BP$192)))</f>
        <v>12.375</v>
      </c>
      <c r="R21" s="828"/>
      <c r="S21" s="828"/>
      <c r="T21" s="345">
        <f>IF(AND(ISNUMBER(MATCH(S20,$BN$205,0))),E21*N21*(MIN(M21,$BU$164)-VLOOKUP(R20,$BN$192:$BP$197,2,FALSE)),VLOOKUP(S20,$BN$205:$BP$206,2,FALSE))</f>
        <v>0</v>
      </c>
      <c r="U21" s="345">
        <f>IF(AND(ISNUMBER(MATCH(S20,$BN$205,0))),E21*N21*MAX(MIN(M21-$BU$164,$BU$164),0)+E21*MAX((MIN(M21-$BU$164,-$BU$164)),0),VLOOKUP(S20,$BN$205:$BP$206,2,FALSE))</f>
        <v>0</v>
      </c>
      <c r="V21" s="345">
        <f>IF(AND(ISNUMBER(MATCH(S20,$BN$205,0))),E21*N21*MAX(MIN(M21-2*$BU$164,$BU$164),0)+E21*MAX((MIN(M21-2*$BU$164,-2*$BU$164,-2*$BU$164,$BU$164)),0),VLOOKUP(S20,$BN$205:$BP$206,2,FALSE))</f>
        <v>0</v>
      </c>
      <c r="W21" s="345">
        <f>IF(AND(ISNUMBER(MATCH(S20,$BN$205,0))),E21*N21*MAX(MIN(M21-3*$BU$164,$BU$164),0)+E21*MAX((MIN(M21-3*$BU$164,-3*$BU$164,-3*$BU$164,$BU$164)),0),VLOOKUP(S20,$BN$205:$BP$206,2,FALSE))</f>
        <v>0</v>
      </c>
      <c r="X21" s="345">
        <f>IF(AND(ISNUMBER(MATCH(S20,$BN$205,0))),E21*N21*MAX(MIN(M21-4*$BU$164,$BU$164),0)+E21*MAX((MIN(M21-4*$BU$164,-4*$BU$164,-4*$BU$164,$BU$164)),0),VLOOKUP(S20,$BN$205:$BP$206,2,FALSE))</f>
        <v>0</v>
      </c>
      <c r="Y21" s="345">
        <f>IF(AND(ISNUMBER(MATCH(S20,$BN$205,0))),E21*N21*MAX(MIN(M21-5*$BU$164,$BU$164),0)+E21*MAX((MIN(M21-5*$BU$164,-5*$BU$164,-5*$BU$164,$BU$164)),0),VLOOKUP(S20,$BN$205:$BP$206,2,FALSE))</f>
        <v>0</v>
      </c>
      <c r="Z21" s="345">
        <f>IF(AND(ISNUMBER(MATCH(S20,$BN$206,0))),E21*N21*(MIN(M21,$BU$165)-VLOOKUP(R20,$BN$192:$BP$197,2,FALSE)),VLOOKUP(S20,$BN$205:$BP$206,2,FALSE))</f>
        <v>7.9150499999999715</v>
      </c>
      <c r="AA21" s="345">
        <f>IF(AND(ISNUMBER(MATCH(S20,$BN$206,0))),E21*N21*MAX(MIN(M21-$BU$165,$BU$165),0)+E21*MAX((MIN(M21-$BU$165,-$BU$165)),0))-VLOOKUP(S20,$BN$205:$BP$206,2,FALSE)</f>
        <v>0</v>
      </c>
      <c r="AB21" s="345">
        <f>IF(AND(ISNUMBER(MATCH(S20,$BN$206,0))),E21*N21*MAX(MIN(M21-2*$BU$165,$BU$165),0)+E21*MAX((MIN(M21-2*$BU$165,-2*$BU$165,-2*$BU$165,$BU$165)),0))-VLOOKUP(S20,$BN$205:$BP$206,2,FALSE)</f>
        <v>0</v>
      </c>
      <c r="AC21" s="345">
        <f>IF(AND(ISNUMBER(MATCH(S20,$BN$206,0))),E21*N21*MAX(MIN(M21-3*$BU$165,$BU$165),0)+E21*MAX((MIN(M21-3*$BU$165,-3*$BU$165,-3*$BU$165,$BU$165)),0))-VLOOKUP(S20,$BN$205:$BP$206,2,FALSE)</f>
        <v>0</v>
      </c>
      <c r="AD21" s="345">
        <f>IF(AND(ISNUMBER(MATCH(S20,$BN$206,0))),E21*N21*MAX(MIN(M21-4*$BU$165,$BU$165),0)+E21*MAX((MIN(M21-4*$BU$165,-4*$BU$165,-4*$BU$165,$BU$165)),0))-VLOOKUP(S20,$BN$205:$BP$206,2,FALSE)</f>
        <v>0</v>
      </c>
      <c r="AE21" s="345">
        <f>IF(AND(ISNUMBER(MATCH(S20,$BN$206,0))),E21*N21*MAX(MIN(M21-5*$BU$165,$BU$165),0)+E21*MAX((MIN(M21-5*$BU$165,-5*$BU$165,-5*$BU$165,$BU$165)),0))-VLOOKUP(S20,$BN$205:$BP$206,2,FALSE)</f>
        <v>0</v>
      </c>
      <c r="AF21" s="332" t="str">
        <f>IF(MATCH(G20,$BN$131:$BN$133,0)&lt;=2,VLOOKUP((M21),$BN$176:$BO$181,2),"-")</f>
        <v>P</v>
      </c>
      <c r="AG21" s="345">
        <f>IF(AND(MATCH(G20,$BN$131:$BN$133,0)&lt;=2,MATCH(AF21,$BO$176:$BO$181,0)&gt;1),(M21)*E21*2,0)</f>
        <v>24.353999999999914</v>
      </c>
      <c r="AH21" s="828"/>
      <c r="AI21" s="345" t="str">
        <f>IF(AH20=$BN$201,E21*5*$BU$155,IF(AH20=$BN$200,"-","-"))</f>
        <v>-</v>
      </c>
      <c r="AJ21" s="345">
        <f>IF(MATCH(AH20,$BN$200:$BN$202,0)&lt;=2,0,((_xlfn.CEILING.PRECISE(E21/$BU$156))*$BU$157))</f>
        <v>0</v>
      </c>
      <c r="AK21" s="345">
        <f>IF(MATCH(G20,$BN$131:$BN$133,0)=3,0,E21*$BU$193/($BU$192)*2)</f>
        <v>6.6000000000000005</v>
      </c>
      <c r="AL21" s="345">
        <f>IF(MATCH(G20,$BN$131:$BN$133,0)=3,0,(E21/$BU$185)*$BU$186*(N21+2*N21))</f>
        <v>0.38610000000000005</v>
      </c>
      <c r="AM21" s="345">
        <f>IF(ISNUMBER(MATCH(F20,$BN$140:$BN$148,0)),E21*N21*$BU$131,0)</f>
        <v>0</v>
      </c>
      <c r="AN21" s="345">
        <f>IF(AND(ISNUMBER(MATCH(F20,$BN$140:$BN$148,0)),MATCH(AH20,$BN$200:$BN$202,0)=3),E21*N21*$BU$132,0)</f>
        <v>0</v>
      </c>
      <c r="AO21" s="347">
        <f>IF(MATCH(G20,$BN$131:$BN$133,0)&lt;=2,IF(ISNUMBER(MATCH(F20,$BN$153:$BN$162,0)),E21*(N21*(I22+$BU$133+$BU$134)-(((I22/2)^2)*(IF((M21-$BU$133)&lt;I22,2*ACOS(1-(((M21-$BU$133)*2/I22))),2*PI())-SIN(IF((M21-$BU$133)&lt;I22,2*ACOS(1-(((M21-$BU$133)*2/I22))),2*PI()))))/2),0)+IF(ISNUMBER(MATCH(F20,$BN$149:$BN$150,0)),E21*(N21*(VLOOKUP(I21,$CZ$132:$DC$138,3,FALSE)/1000+IF(I21&lt;=600,$BU$136,$BU$137)+$BU$134)-(((VLOOKUP(I21,$CZ$132:$DC$138,3,FALSE)/2000)^2)*(IF((M21-IF(I21&lt;=600,$BU$136,$BU$137))&lt;VLOOKUP(I21,$CZ$132:$DC$138,3,FALSE)/1000,2*ACOS(1-((M21-IF(I21&lt;=600,$BU$136,$BU$137))*2/VLOOKUP(I21,$CZ$132:$DC$138,3,FALSE)/1000)),2*PI())-SIN(IF((M21-IF(I21&lt;=600,$BU$136,$BU$137))&lt;VLOOKUP(I21,$CZ$132:$DC$138,3,FALSE)/1000,2*ACOS(1-((M21-IF(I21&lt;=600,$BU$136,$BU$137))*2/VLOOKUP(I21,$CZ$132:$DC$138,3,FALSE)/1000)),2*PI()))))/2),0)+IF(ISNUMBER(MATCH(F20,$BN$151:$BN$152,0)),E21*(N21*(VLOOKUP(I21,$DE$132:$DH$144,3,FALSE)/1000+IF(I21&lt;=600,$BU$136,$BU$137)+$BU$134)-(((VLOOKUP(I21,$DE$132:$DH$144,3,FALSE)/2000)^2)*(IF((M21-IF(I21&lt;=600,$BU$136,$BU$137))&lt;VLOOKUP(I21,$DE$132:$DH$144,3,FALSE)/1000,2*ACOS(1-((M21-IF(I21&lt;=600,$BU$136,$BU$137))*2/VLOOKUP(I21,$DE$132:$DH$144,3,FALSE)/1000)),2*PI())-SIN(IF((M21-IF(I21&lt;=600,$BU$136,$BU$137))&lt;VLOOKUP(I21,$DE$132:$DH$144,3,FALSE)/1000,2*ACOS(1-((M21-IF(I21&lt;=600,$BU$136,$BU$137))*2/VLOOKUP(I21,$DE$132:$DH$144,3,FALSE)/1000)),2*PI()))))/2),0),0)</f>
        <v>1.90076715400662</v>
      </c>
      <c r="AP21" s="345">
        <f>E21</f>
        <v>9.9</v>
      </c>
      <c r="AQ21" s="345">
        <f>IF(ISNUMBER(MATCH(F20,$BN$140:$BN$148,0)),N21*E21*MAX(IF($BU$138=2,IF((M21-$BU$131-I22-$BU$141-VLOOKUP(R20,$BN$192:$BO$196,2,FALSE))&lt;$BU$140,(M21-$BU$131-I22-$BU$141-VLOOKUP(R20,$BN$192:$BO$196,2,FALSE)),IF((M21-$BU$131-I22-$BU$141-VLOOKUP(R20,$BN$192:$BO$196,2,FALSE))&lt;2*$BU$140,$BU$140,(M21-$BU$131-I22-$BU$141-VLOOKUP(R20,$BN$192:$BO$196,2,FALSE))/2)),M21-$BU$131-I22-$BU$139-VLOOKUP(R20,$BN$192:$BO$196,2,FALSE)),0),0)+IF(ISNUMBER(MATCH(F20,$BN$153:$BN$167,0)),N21*E21*MAX(IF((M21-$BU$133-$BU$134-I22-VLOOKUP(R20,$BN$192:$BO$196,2,FALSE))&lt;$BU$140,(M21-$BU$133-$BU$134-I22-VLOOKUP(R20,$BN$192:$BO$196,2,FALSE)),IF((M21-$BU$133-$BU$134-I22-VLOOKUP(R20,$BN$192:$BO$196,2,FALSE))&lt;2*$BU$140,$BU$140,(M21-$BU$133-$BU$134-I22-VLOOKUP(R20,$BN$192:$BO$196,2,FALSE))/2)),0),0)+IF(ISNUMBER(MATCH(F20,$BN$149:$BN$150,0)),N21*E21*MAX(IF((M21-IF(I21&lt;=600,$BU$136,$BU$137)-$BU$134-VLOOKUP(I21,$CZ$132:$DC$138,3,FALSE)/1000-VLOOKUP(R20,$BN$192:$BO$196,2,FALSE))&lt;$BU$140,(M21-IF(I21&lt;=600,$BU$136,$BU$137)-$BU$134-VLOOKUP(I21,$CZ$132:$DC$138,3,FALSE)/1000-VLOOKUP(R20,$BN$192:$BO$196,2,FALSE)),IF((M21-IF(I21&lt;=600,$BU$136,$BU$137)-$BU$134-VLOOKUP(I21,$CZ$132:$DC$138,3,FALSE)/1000-VLOOKUP(R20,$BN$192:$BO$196,2,FALSE))&lt;2*$BU$140,$BU$140,(M21-IF(I21&lt;=600,$BU$136,$BU$137)-$BU$134-VLOOKUP(I21,$CZ$132:$DC$138,3,FALSE)/1000-VLOOKUP(R20,$BN$192:$BO$196,2,FALSE))/2)),0),0)+IF(ISNUMBER(MATCH(F20,$BN$151:$BN$152,0)),N21*E21*MAX(IF((M21-IF(I21&lt;=600,$BU$136,$BU$137)-$BU$134-VLOOKUP(I21,$DE$132:$DH$144,3,FALSE)/1000-VLOOKUP(R20,$BN$192:$BO$196,2,FALSE))&lt;$BU$140,(M21-IF(I21&lt;=600,$BU$136,$BU$137)-$BU$134-VLOOKUP(I21,$DE$132:$DH$144,3,FALSE)/1000-VLOOKUP(R20,$BN$192:$BO$196,2,FALSE)),IF((M21-IF(I21&lt;=600,$BU$136,$BU$137)-$BU$134-VLOOKUP(I21,$DE$132:$DH$144,3,FALSE)/1000-VLOOKUP(R20,$BN$192:$BO$196,2,FALSE))&lt;2*$BU$140,$BU$140,(M21-IF(I21&lt;=600,$BU$136,$BU$137)-$BU$134-VLOOKUP(I21,$DE$132:$DH$144,3,FALSE)/1000-VLOOKUP(R20,$BN$192:$BO$196,2,FALSE))/2)),0),0)</f>
        <v>2.9600999999999855</v>
      </c>
      <c r="AR21" s="345">
        <f>IF(ISNUMBER(MATCH(F20,$BN$140:$BN$148,0)),E21*MAX(N21*IF($BU$138=2,IF((M21-$BU$131-I22-$BU$141-VLOOKUP(R20,$BN$192:$BO$196,2,FALSE))&lt;$BU$140,I22+$BU$141,IF((M21-$BU$131-I22-$BU$141-VLOOKUP(R20,$BN$192:$BO$196,2,FALSE))&lt;2*$BU$140,I22+$BU$141+(M21-$BU$131-I22-$BU$141-VLOOKUP(R20,$BN$192:$BO$196,2,FALSE))-$BU$140,I22+$BU$141+(M21-$BU$131-I22-$BU$141-VLOOKUP(R20,$BN$192:$BO$196,2,FALSE))/2)),MAX(MIN(M21-$BU$131-I22-VLOOKUP(R20,$BN$192:$BO$196,2,FALSE),I22+$BU$139),0))-IF((M21-$BU$131)&lt;I22,((I22/2)^2)*(2*ACOS(1-(((M21-$BU$131)*2/I22)))-SIN(2*ACOS(1-(((M21-$BU$131)*2/I22)))))/2,PI()*(I22/2)^2),0),0)+IF(ISNUMBER(MATCH(F20,$BN$153:$BN$167,0)),N21*E21*MAX(IF((M21-$BU$133-$BU$134-I22-VLOOKUP(R20,$BN$192:$BO$196,2,FALSE))&lt;$BU$140,0,IF((M21-$BU$133-$BU$134-I22-VLOOKUP(R20,$BN$192:$BO$196,2,FALSE))&lt;2*$BU$140,(M21-$BU$133-$BU$134-I22-VLOOKUP(R20,$BN$192:$BO$196,2,FALSE))-$BU$140,(M21-$BU$133-$BU$134-I22-VLOOKUP(R20,$BN$192:$BO$196,2,FALSE))/2)),0),0)+IF(ISNUMBER(MATCH(F20,$BN$149:$BN$150,0)),N21*E21*MAX(IF((M21-IF(I21&lt;=600,$BU$136,$BU$137)-$BU$134-VLOOKUP(I21,$CZ$132:$DC$138,3,FALSE)/1000-VLOOKUP(R20,$BN$192:$BO$196,2,FALSE))&lt;$BU$140,0,IF((M21-IF(I21&lt;=600,$BU$136,$BU$137)-$BU$134-VLOOKUP(I21,$CZ$132:$DC$138,3,FALSE)/1000-VLOOKUP(R20,$BN$192:$BO$196,2,FALSE))&lt;2*$BU$140,(M21-IF(I21&lt;=600,$BU$136,$BU$137)-$BU$134-VLOOKUP(I21,$CZ$132:$DC$138,3,FALSE)/1000-VLOOKUP(R20,$BN$192:$BO$196,2,FALSE))-$BU$140,(M21-IF(I21&lt;=600,$BU$136,$BU$137)-$BU$134-VLOOKUP(I21,$CZ$132:$DC$138,3,FALSE)/1000-VLOOKUP(R20,$BN$192:$BO$196,2,FALSE))/2)),0),0)+IF(ISNUMBER(MATCH(F20,$BN$151:$BN$152,0)),N21*E21*MAX(IF((M21-IF(I21&lt;=600,$BU$136,$BU$137)-$BU$134-VLOOKUP(I21,$DE$132:$DH$144,3,FALSE)/1000-VLOOKUP(R20,$BN$192:$BO$196,2,FALSE))&lt;$BU$140,0,IF((M21-IF(I21&lt;=600,$BU$136,$BU$137)-$BU$134-VLOOKUP(I21,$DE$132:$DH$144,3,FALSE)/1000-VLOOKUP(R20,$BN$192:$BO$196,2,FALSE))&lt;2*$BU$140,(M21-IF(I21&lt;=600,$BU$136,$BU$137)-$BU$134-VLOOKUP(I21,$DE$132:$DH$144,3,FALSE)/1000-VLOOKUP(R20,$BN$192:$BO$196,2,FALSE))-$BU$140,(M21-IF(I21&lt;=600,$BU$136,$BU$137)-$BU$134-VLOOKUP(I21,$DE$132:$DH$144,3,FALSE)/1000-VLOOKUP(R20,$BN$192:$BO$196,2,FALSE))/2)),0),0)</f>
        <v>2.9600999999999855</v>
      </c>
      <c r="AS21" s="345">
        <f>IF(MATCH(G20,$BN$131:$BN$133,0)=3,0,IF(MATCH(R20,$BN$192:$BN$194,0)&gt;=1,E21*(N21),0))</f>
        <v>6.4350000000000005</v>
      </c>
      <c r="AT21" s="345">
        <f>IF(AND(MATCH(G20,$BN$131:$BN$133,0)&lt;=2,MATCH(R20,$BN$192:$BN$196,0)&gt;1,NOT(AND(MATCH(R20,$BN$192:$BN$196,0)&gt;1,))),E21*(N21+2*VLOOKUP(R20,$BN$192:$BP$196,3,FALSE))*IF(OR(MATCH(R20,$BN$192:$BN$196,0)=3,MATCH(R20,$BN$192:$BN$196,0)=3),VLOOKUP(R20,$BN$192:$BP$196,2,FALSE),1),0)</f>
        <v>0</v>
      </c>
      <c r="AU21" s="345">
        <f>IF(AND(MATCH(G20,$BN$131:$BN$133,0)&lt;=2,MATCH(R20,$BN$192:$BN$196,0)=2),E21*(N21+2*VLOOKUP(R20,$BN$192:$BP$196,3,FALSE)),0)</f>
        <v>0</v>
      </c>
      <c r="AV21" s="345">
        <f>IF(AND(MATCH(G20,$BN$131:$BN$133,0)&lt;=2,MATCH(R20,$BN$192:$BN$196,0)=2),E21*(N21+2*VLOOKUP(R20,$BN$192:$BP$196,3,FALSE)),0)*$AV$7</f>
        <v>0</v>
      </c>
      <c r="AW21" s="345">
        <f>IF(AND(MATCH(G20,$BN$131:$BN$133,0)&lt;=2,MATCH(R20,$BN$192:$BN$196,0)=2),E21*(N21+2*VLOOKUP(R20,$BN$192:$BP$196,3,FALSE)),0)*$AW$7</f>
        <v>0</v>
      </c>
      <c r="AX21" s="345">
        <f>IF(AND(MATCH(G20,$BN$131:$BN$133,0)&lt;=2,MATCH(R20,$BN$192:$BN$196,0)=2),E21*(N21+2*VLOOKUP(R20,$BN$192:$BP$196,3,FALSE)),0)</f>
        <v>0</v>
      </c>
      <c r="AY21" s="345">
        <f>IF(AND(MATCH(G20,$BN$131:$BN$133,0)&lt;=2,MATCH(R20,$BN$192:$BN$196,0)=2),E21*(N21+2*VLOOKUP(R20,$BN$192:$BP$196,3,FALSE)),0)*$AY$7</f>
        <v>0</v>
      </c>
      <c r="AZ21" s="345">
        <f>IF(MATCH(R20,$BN$192:$BN$196,0)=3,E21*(N21+2*VLOOKUP(R20,$BN$192:$BP$196,3,FALSE)),0)</f>
        <v>0</v>
      </c>
      <c r="BA21" s="345">
        <f>MAX(SUM(T21:AE21)-AQ21-AR21,0)*$BU$174</f>
        <v>2.5933050000000009</v>
      </c>
      <c r="BB21" s="345">
        <f>BA21*$BU$179</f>
        <v>38.899575000000013</v>
      </c>
      <c r="BC21" s="345">
        <f>AM21*$BU$176</f>
        <v>0</v>
      </c>
      <c r="BD21" s="345">
        <f>BC21*$BU$181</f>
        <v>0</v>
      </c>
      <c r="BE21" s="345">
        <f>(AN21+AO21)*$BU$177</f>
        <v>2.4709973002086061</v>
      </c>
      <c r="BF21" s="345">
        <f>BE21*$BU$182</f>
        <v>37.064959503129089</v>
      </c>
      <c r="BG21" s="345">
        <f>IF(MATCH(G20,$BN$131:$BN$133,0)&lt;=2,(E21*(N21+2*VLOOKUP(R20,$BN$192:$BP$196,3,FALSE))*VLOOKUP(R20,$BN$192:$BO$196,2,FALSE))*$BU$178,0)</f>
        <v>0</v>
      </c>
      <c r="BH21" s="345">
        <f>BG21*$BU$183</f>
        <v>0</v>
      </c>
      <c r="BI21" s="345">
        <f>AY21*$BI$1*$BI$2*$BI$3</f>
        <v>0</v>
      </c>
      <c r="BJ21" s="347">
        <f>E21*(IF(ISNUMBER(MATCH(F20,$BN$140,0)),VLOOKUP(I21,$BW$134:$BY$147,3,FALSE)/1000,0)+IF(ISNUMBER(MATCH(F20,$BN$141,0)),VLOOKUP(I21,$BW$132:$BZ$147,4,FALSE)/1000,0)+IF(ISNUMBER(MATCH(F20,$BN$142:$BN$148,0)),VLOOKUP(I21,$DJ$132:$DM$142,4,FALSE)/1000,0)+IF(ISNUMBER(MATCH(F20,$BN$149:$BN$150,0)),VLOOKUP(I21,$CZ$132:$DD149,5,FALSE)/1000,0)+IF(ISNUMBER(MATCH(F20,$BN$151:$BN$152,0)),VLOOKUP(I21,$DE$132:$DI$143,5,FALSE)/1000,0)+IF(ISNUMBER(MATCH(F20,$BN$153:$BN$153,0)),VLOOKUP(I21,$BW$132:$CA$147,5,FALSE)/1000,0)+IF(ISNUMBER(MATCH(F20,$BN$154:$BN$154,0)),VLOOKUP(I21,$CH$132:$CL$138,4,FALSE)/1000,0)+IF(ISNUMBER(MATCH(F20,$BN$155:$BN$155,0)),VLOOKUP(I21,$CH$132:$CL$138,5,FALSE)/1000,0)+IF(ISNUMBER(MATCH(F20,$BN$156:$BN$156,0)),VLOOKUP(I21,$CB$132:$CG$135,4,FALSE)/1000,0)+IF(ISNUMBER(MATCH(F20,$BN$157:$BN$157,0)),VLOOKUP(I21,$CB$132:$CG$135,5,FALSE)/1000,0)+IF(ISNUMBER(MATCH(F20,$BN$158:$BN$158,0)),VLOOKUP(I21,$CB$132:$CG$135,6,FALSE)/1000,0)+IF(ISNUMBER(MATCH(F20,$BN$159:$BN$159,0)),VLOOKUP(I21,$CP$132:$CT$151,3,FALSE)/1000,0)+IF(ISNUMBER(MATCH(F20,$BN$160:$BN$160,0)),VLOOKUP(I21,$CP$132:$CT$151,4,FALSE)/1000,0)+IF(ISNUMBER(MATCH(F20,$BN$161:$BN$161,0)),VLOOKUP(I21,$CP$132:$CT$151,5,FALSE)/1000,0)+IF(ISNUMBER(MATCH(F20,$BN$162:$BN$162,0)),VLOOKUP(I21,$CM$132:$CO$168,3,FALSE)/1000,0))</f>
        <v>1.3280849999999999E-2</v>
      </c>
      <c r="BK21" s="347">
        <f>BJ21*$BU$184</f>
        <v>0.39842549999999993</v>
      </c>
      <c r="BL21" s="345">
        <f>(E21*(2*$BU$194+N21))</f>
        <v>12.375</v>
      </c>
      <c r="BM21" s="348"/>
      <c r="BN21" s="339"/>
      <c r="BO21" s="339"/>
      <c r="CG21" s="330"/>
    </row>
    <row r="22" spans="1:85" ht="15" customHeight="1">
      <c r="A22" s="896"/>
      <c r="B22" s="897"/>
      <c r="C22" s="898"/>
      <c r="D22" s="899"/>
      <c r="E22" s="351"/>
      <c r="F22" s="836"/>
      <c r="G22" s="839"/>
      <c r="H22" s="839"/>
      <c r="I22" s="352">
        <f>IF(OR(ISNUMBER(MATCH(F20,$BN$140:$BN$141,0)),ISNUMBER(MATCH(F20,$BN$153:$BN$153,0))),VLOOKUP(I21,$BW$132:$BX$152,2,FALSE)/1000,0)+IF(ISNUMBER(MATCH(F20,$BN$154:$BN$155,0)),VLOOKUP(I21,$CH$132:$CJ$138,3,FALSE)/1000,0)+IF(ISNUMBER(MATCH(F20,$BN$156:$BN$158,0)),VLOOKUP(I21,$CB$132:$CD$135,3,FALSE)/1000,0)+IF(ISNUMBER(MATCH(F20,$BN$159:$BN$161,0)),VLOOKUP(I21,$CP$132:$CQ$151,2,FALSE)/1000,0)+IF(ISNUMBER(MATCH(F20,$BN$149:$BN$150,0)),VLOOKUP(I21,$CZ$132:$DC$138,4,FALSE)/1000,0)+IF(ISNUMBER(MATCH(F20,$BN$151:$BN$152,0)),VLOOKUP(I21,$DE$132:$DH$144,4,FALSE)/1000,0)+IF(ISNUMBER(MATCH(F20,$BN$162:$BN$162,0)),VLOOKUP(I21,$CM$132:$CN$168,2,FALSE)/1000,0)+IF(ISNUMBER(MATCH(F20,$BN$142:$BN$148,0)),VLOOKUP(I21,$DJ$132:$DL$144,3,FALSE)/1000,0)</f>
        <v>0.11</v>
      </c>
      <c r="J22" s="353">
        <v>662.15</v>
      </c>
      <c r="K22" s="353">
        <v>660.98</v>
      </c>
      <c r="L22" s="354">
        <f>J22-K22</f>
        <v>1.1699999999999591</v>
      </c>
      <c r="M22" s="355"/>
      <c r="N22" s="354"/>
      <c r="O22" s="354"/>
      <c r="P22" s="354"/>
      <c r="Q22" s="354"/>
      <c r="R22" s="829"/>
      <c r="S22" s="829"/>
      <c r="T22" s="354"/>
      <c r="U22" s="354"/>
      <c r="V22" s="354"/>
      <c r="W22" s="354"/>
      <c r="X22" s="354"/>
      <c r="Y22" s="354"/>
      <c r="Z22" s="354"/>
      <c r="AA22" s="354"/>
      <c r="AB22" s="354"/>
      <c r="AC22" s="354"/>
      <c r="AD22" s="354"/>
      <c r="AE22" s="354"/>
      <c r="AF22" s="349"/>
      <c r="AG22" s="354"/>
      <c r="AH22" s="829"/>
      <c r="AI22" s="354"/>
      <c r="AJ22" s="354"/>
      <c r="AK22" s="354"/>
      <c r="AL22" s="354"/>
      <c r="AM22" s="354"/>
      <c r="AN22" s="354"/>
      <c r="AO22" s="356"/>
      <c r="AP22" s="354"/>
      <c r="AQ22" s="354"/>
      <c r="AR22" s="354"/>
      <c r="AS22" s="354"/>
      <c r="AT22" s="354"/>
      <c r="AU22" s="354"/>
      <c r="AV22" s="354"/>
      <c r="AW22" s="354"/>
      <c r="AX22" s="354"/>
      <c r="AY22" s="354"/>
      <c r="AZ22" s="354"/>
      <c r="BA22" s="354"/>
      <c r="BB22" s="354"/>
      <c r="BC22" s="354"/>
      <c r="BD22" s="354"/>
      <c r="BE22" s="354"/>
      <c r="BF22" s="354"/>
      <c r="BG22" s="354"/>
      <c r="BH22" s="354"/>
      <c r="BI22" s="354"/>
      <c r="BJ22" s="356"/>
      <c r="BK22" s="356"/>
      <c r="BL22" s="354"/>
      <c r="BM22" s="330"/>
      <c r="BN22" s="339"/>
      <c r="BO22" s="339"/>
      <c r="CG22" s="330"/>
    </row>
    <row r="23" spans="1:85" ht="15" customHeight="1">
      <c r="A23" s="904"/>
      <c r="B23" s="905"/>
      <c r="C23" s="902"/>
      <c r="D23" s="903"/>
      <c r="E23" s="334"/>
      <c r="F23" s="834" t="s">
        <v>638</v>
      </c>
      <c r="G23" s="837" t="s">
        <v>531</v>
      </c>
      <c r="H23" s="837" t="s">
        <v>532</v>
      </c>
      <c r="I23" s="335">
        <f>IF(OR(ISNUMBER(MATCH(F23,$BN$140:$BN$141,0)),ISNUMBER(MATCH(F23,$BN$153:$BN$153,0))),(VLOOKUP(I24,$BW$132:$BX$152,2,FALSE)-I24)/2000,0)+IF(ISNUMBER(MATCH(F23,$BN$154:$BN$155,0)),(VLOOKUP(I24,$CH$132:$CJ$138,3,FALSE)-VLOOKUP(I24,$CH$132:$CJ$138,2,FALSE))/2000,0)+IF(ISNUMBER(MATCH(F23,$BN$156:$BN$158,0)),(VLOOKUP(I24,$CB$132:$CD$135,3,FALSE)-VLOOKUP(I24,$CB$132:$CD$135,2,FALSE))/2000,0)+IF(ISNUMBER(MATCH(F23,$BN$159:$BN$161,0)),(VLOOKUP(I24,$CP$132:$CQ$151,2,FALSE)-I24)/2000,0)+IF(ISNUMBER(MATCH(F23,$BN$149:$BN$150,0)),(VLOOKUP(I24,$CZ$132:$DC$138,4,FALSE)-VLOOKUP(I24,$CZ$132:$DC$138,2,FALSE))/2000,0)+IF(ISNUMBER(MATCH(F23,$BN$151:$BN$152,0)),(VLOOKUP(I24,$DE$132:$DH$144,4,FALSE)-VLOOKUP(I24,$DE$132:$DH$144,2,FALSE))/2000,0)+IF(ISNUMBER(MATCH(F23,$BN$162:$BN$162,0)),(VLOOKUP(I24,$CM$132:$CN$168,2,FALSE)-I24)/2000,0)+IF(ISNUMBER(MATCH(F23,$BN$142:$BN$148,0)),(VLOOKUP(I24,$DJ$132:$DL$144,3,FALSE)-I24)/2000,0)</f>
        <v>2.5000000000000001E-3</v>
      </c>
      <c r="J23" s="336">
        <f>J22</f>
        <v>662.15</v>
      </c>
      <c r="K23" s="336">
        <f>K22</f>
        <v>660.98</v>
      </c>
      <c r="L23" s="337">
        <f>J23-K23</f>
        <v>1.1699999999999591</v>
      </c>
      <c r="M23" s="337"/>
      <c r="N23" s="337"/>
      <c r="O23" s="337"/>
      <c r="P23" s="337"/>
      <c r="Q23" s="337"/>
      <c r="R23" s="827" t="s">
        <v>533</v>
      </c>
      <c r="S23" s="827" t="s">
        <v>685</v>
      </c>
      <c r="T23" s="337"/>
      <c r="U23" s="337"/>
      <c r="V23" s="337"/>
      <c r="W23" s="337"/>
      <c r="X23" s="337"/>
      <c r="Y23" s="337"/>
      <c r="Z23" s="337"/>
      <c r="AA23" s="337"/>
      <c r="AB23" s="337"/>
      <c r="AC23" s="337"/>
      <c r="AD23" s="337"/>
      <c r="AE23" s="337"/>
      <c r="AF23" s="334"/>
      <c r="AG23" s="337"/>
      <c r="AH23" s="827" t="s">
        <v>535</v>
      </c>
      <c r="AI23" s="337"/>
      <c r="AJ23" s="337"/>
      <c r="AK23" s="337"/>
      <c r="AL23" s="337"/>
      <c r="AM23" s="337"/>
      <c r="AN23" s="337"/>
      <c r="AO23" s="338"/>
      <c r="AP23" s="337"/>
      <c r="AQ23" s="337"/>
      <c r="AR23" s="337"/>
      <c r="AS23" s="337"/>
      <c r="AT23" s="337"/>
      <c r="AU23" s="337"/>
      <c r="AV23" s="337"/>
      <c r="AW23" s="337"/>
      <c r="AX23" s="337"/>
      <c r="AY23" s="337"/>
      <c r="AZ23" s="337"/>
      <c r="BA23" s="337"/>
      <c r="BB23" s="337"/>
      <c r="BC23" s="337"/>
      <c r="BD23" s="337"/>
      <c r="BE23" s="337"/>
      <c r="BF23" s="337"/>
      <c r="BG23" s="337"/>
      <c r="BH23" s="337"/>
      <c r="BI23" s="337"/>
      <c r="BJ23" s="338"/>
      <c r="BK23" s="338"/>
      <c r="BL23" s="337"/>
      <c r="BM23" s="330"/>
      <c r="BN23" s="339"/>
      <c r="BO23" s="339"/>
      <c r="CG23" s="330"/>
    </row>
    <row r="24" spans="1:85" ht="15" customHeight="1">
      <c r="A24" s="906" t="str">
        <f>C21</f>
        <v>CX-AP-2</v>
      </c>
      <c r="B24" s="908"/>
      <c r="C24" s="906" t="s">
        <v>763</v>
      </c>
      <c r="D24" s="908"/>
      <c r="E24" s="342">
        <v>14</v>
      </c>
      <c r="F24" s="835"/>
      <c r="G24" s="838"/>
      <c r="H24" s="838"/>
      <c r="I24" s="343">
        <v>100</v>
      </c>
      <c r="J24" s="344"/>
      <c r="K24" s="344"/>
      <c r="L24" s="340"/>
      <c r="M24" s="345">
        <f>ABS((L23+L25)/2)+IF(ISNUMBER(MATCH(F23,$BN$140:$BN$148,0)),$BU$131,0)+IF(ISNUMBER(MATCH(AH23,$BN$202,0)),$BU$132,0)+IF(ISNUMBER(MATCH(F23,$BN$149:$BN$152,0)),IF(I24&lt;=600,$BU$133,$BU$134),0)+IF(ISNUMBER(MATCH(F23,$BN$153:$BN$167,0)),$BU$132,0)</f>
        <v>1.1699999999999933</v>
      </c>
      <c r="N24" s="345">
        <f>IF(MATCH(G23,$BN$131:$BN$133,0)=1,IF(ISNUMBER(MATCH(F23,$BN$140:$BN$161,0)),VLOOKUP(I24,IF(M24&lt;=2,$BN$53:$BS$66,$BN$68:$BS$84),VLOOKUP(AF24,$BO$176:$BP$181,2,FALSE),FALSE),IF(ISNUMBER(MATCH(F23,$BN$162,0)),VLOOKUP(I24,IF(M24&lt;=2,$BU$53:$BZ$66,$BU$68:$BZ$88),VLOOKUP(AF24,$BO$176:$BP$181,2,FALSE),FALSE),0)),0)+IF(MATCH(G23,$BN$131:$BN$133,0)=2,VLOOKUP(I24,IF(M24&lt;=2,$CB$53:$CG$66,IF(M24&lt;=4,$CB$68:$CG$81,IF(M24&lt;=6,$CB$83:$CG$96,IF(M24&lt;=8,$CB$98:$CG$111,$CB$113:$CG$126)))),VLOOKUP(AF24,$BO$176:$BP$181,2,FALSE)),0)</f>
        <v>0.65</v>
      </c>
      <c r="O24" s="346">
        <f>ABS((K25-K23)/E24)</f>
        <v>5.0000000000035728E-3</v>
      </c>
      <c r="P24" s="345">
        <f>E24</f>
        <v>14</v>
      </c>
      <c r="Q24" s="345">
        <f>IF(IF(AND(MATCH(R23,$BN$192:$BN$196,0)&lt;=1),E24*(N24+2*$BP$192))=FALSE,0,IF(AND(MATCH(R23,$BN$192:$BN$196,0)&lt;=1),E24*(N24+2*$BP$192)))</f>
        <v>17.5</v>
      </c>
      <c r="R24" s="828"/>
      <c r="S24" s="828"/>
      <c r="T24" s="345">
        <f>IF(AND(ISNUMBER(MATCH(S23,$BN$205,0))),E24*N24*(MIN(M24,$BU$164)-VLOOKUP(R23,$BN$192:$BP$197,2,FALSE)),VLOOKUP(S23,$BN$205:$BP$206,2,FALSE))</f>
        <v>0</v>
      </c>
      <c r="U24" s="345">
        <f>IF(AND(ISNUMBER(MATCH(S23,$BN$205,0))),E24*N24*MAX(MIN(M24-$BU$164,$BU$164),0)+E24*MAX((MIN(M24-$BU$164,-$BU$164)),0),VLOOKUP(S23,$BN$205:$BP$206,2,FALSE))</f>
        <v>0</v>
      </c>
      <c r="V24" s="345">
        <f>IF(AND(ISNUMBER(MATCH(S23,$BN$205,0))),E24*N24*MAX(MIN(M24-2*$BU$164,$BU$164),0)+E24*MAX((MIN(M24-2*$BU$164,-2*$BU$164,-2*$BU$164,$BU$164)),0),VLOOKUP(S23,$BN$205:$BP$206,2,FALSE))</f>
        <v>0</v>
      </c>
      <c r="W24" s="345">
        <f>IF(AND(ISNUMBER(MATCH(S23,$BN$205,0))),E24*N24*MAX(MIN(M24-3*$BU$164,$BU$164),0)+E24*MAX((MIN(M24-3*$BU$164,-3*$BU$164,-3*$BU$164,$BU$164)),0),VLOOKUP(S23,$BN$205:$BP$206,2,FALSE))</f>
        <v>0</v>
      </c>
      <c r="X24" s="345">
        <f>IF(AND(ISNUMBER(MATCH(S23,$BN$205,0))),E24*N24*MAX(MIN(M24-4*$BU$164,$BU$164),0)+E24*MAX((MIN(M24-4*$BU$164,-4*$BU$164,-4*$BU$164,$BU$164)),0),VLOOKUP(S23,$BN$205:$BP$206,2,FALSE))</f>
        <v>0</v>
      </c>
      <c r="Y24" s="345">
        <f>IF(AND(ISNUMBER(MATCH(S23,$BN$205,0))),E24*N24*MAX(MIN(M24-5*$BU$164,$BU$164),0)+E24*MAX((MIN(M24-5*$BU$164,-5*$BU$164,-5*$BU$164,$BU$164)),0),VLOOKUP(S23,$BN$205:$BP$206,2,FALSE))</f>
        <v>0</v>
      </c>
      <c r="Z24" s="345">
        <f>IF(AND(ISNUMBER(MATCH(S23,$BN$206,0))),E24*N24*(MIN(M24,$BU$165)-VLOOKUP(R23,$BN$192:$BP$197,2,FALSE)),VLOOKUP(S23,$BN$205:$BP$206,2,FALSE))</f>
        <v>10.646999999999938</v>
      </c>
      <c r="AA24" s="345">
        <f>IF(AND(ISNUMBER(MATCH(S23,$BN$206,0))),E24*N24*MAX(MIN(M24-$BU$165,$BU$165),0)+E24*MAX((MIN(M24-$BU$165,-$BU$165)),0))-VLOOKUP(S23,$BN$205:$BP$206,2,FALSE)</f>
        <v>0</v>
      </c>
      <c r="AB24" s="345">
        <f>IF(AND(ISNUMBER(MATCH(S23,$BN$206,0))),E24*N24*MAX(MIN(M24-2*$BU$165,$BU$165),0)+E24*MAX((MIN(M24-2*$BU$165,-2*$BU$165,-2*$BU$165,$BU$165)),0))-VLOOKUP(S23,$BN$205:$BP$206,2,FALSE)</f>
        <v>0</v>
      </c>
      <c r="AC24" s="345">
        <f>IF(AND(ISNUMBER(MATCH(S23,$BN$206,0))),E24*N24*MAX(MIN(M24-3*$BU$165,$BU$165),0)+E24*MAX((MIN(M24-3*$BU$165,-3*$BU$165,-3*$BU$165,$BU$165)),0))-VLOOKUP(S23,$BN$205:$BP$206,2,FALSE)</f>
        <v>0</v>
      </c>
      <c r="AD24" s="345">
        <f>IF(AND(ISNUMBER(MATCH(S23,$BN$206,0))),E24*N24*MAX(MIN(M24-4*$BU$165,$BU$165),0)+E24*MAX((MIN(M24-4*$BU$165,-4*$BU$165,-4*$BU$165,$BU$165)),0))-VLOOKUP(S23,$BN$205:$BP$206,2,FALSE)</f>
        <v>0</v>
      </c>
      <c r="AE24" s="345">
        <f>IF(AND(ISNUMBER(MATCH(S23,$BN$206,0))),E24*N24*MAX(MIN(M24-5*$BU$165,$BU$165),0)+E24*MAX((MIN(M24-5*$BU$165,-5*$BU$165,-5*$BU$165,$BU$165)),0))-VLOOKUP(S23,$BN$205:$BP$206,2,FALSE)</f>
        <v>0</v>
      </c>
      <c r="AF24" s="332" t="str">
        <f>IF(MATCH(G23,$BN$131:$BN$133,0)&lt;=2,VLOOKUP((M24),$BN$176:$BO$181,2),"-")</f>
        <v>-</v>
      </c>
      <c r="AG24" s="345">
        <f>IF(AND(MATCH(G23,$BN$131:$BN$133,0)&lt;=2,MATCH(AF24,$BO$176:$BO$181,0)&gt;1),(M24)*E24*2,0)</f>
        <v>0</v>
      </c>
      <c r="AH24" s="828"/>
      <c r="AI24" s="345" t="str">
        <f>IF(AH23=$BN$201,E24*5*$BU$155,IF(AH23=$BN$200,"-","-"))</f>
        <v>-</v>
      </c>
      <c r="AJ24" s="345">
        <f>IF(MATCH(AH23,$BN$200:$BN$202,0)&lt;=2,0,((_xlfn.CEILING.PRECISE(E24/$BU$156))*$BU$157))</f>
        <v>0</v>
      </c>
      <c r="AK24" s="345">
        <f>IF(MATCH(G23,$BN$131:$BN$133,0)=3,0,E24*$BU$193/($BU$192)*2)</f>
        <v>9.3333333333333339</v>
      </c>
      <c r="AL24" s="345">
        <f>IF(MATCH(G23,$BN$131:$BN$133,0)=3,0,(E24/$BU$185)*$BU$186*(N24+2*N24))</f>
        <v>0.54600000000000015</v>
      </c>
      <c r="AM24" s="345">
        <f>IF(ISNUMBER(MATCH(F23,$BN$140:$BN$148,0)),E24*N24*$BU$131,0)</f>
        <v>0</v>
      </c>
      <c r="AN24" s="345">
        <f>IF(AND(ISNUMBER(MATCH(F23,$BN$140:$BN$148,0)),MATCH(AH23,$BN$200:$BN$202,0)=3),E24*N24*$BU$132,0)</f>
        <v>0</v>
      </c>
      <c r="AO24" s="347">
        <f>IF(MATCH(G23,$BN$131:$BN$133,0)&lt;=2,IF(ISNUMBER(MATCH(F23,$BN$153:$BN$162,0)),E24*(N24*(I25+$BU$133+$BU$134)-(((I25/2)^2)*(IF((M24-$BU$133)&lt;I25,2*ACOS(1-(((M24-$BU$133)*2/I25))),2*PI())-SIN(IF((M24-$BU$133)&lt;I25,2*ACOS(1-(((M24-$BU$133)*2/I25))),2*PI()))))/2),0)+IF(ISNUMBER(MATCH(F23,$BN$149:$BN$150,0)),E24*(N24*(VLOOKUP(I24,$CZ$132:$DC$138,3,FALSE)/1000+IF(I24&lt;=600,$BU$136,$BU$137)+$BU$134)-(((VLOOKUP(I24,$CZ$132:$DC$138,3,FALSE)/2000)^2)*(IF((M24-IF(I24&lt;=600,$BU$136,$BU$137))&lt;VLOOKUP(I24,$CZ$132:$DC$138,3,FALSE)/1000,2*ACOS(1-((M24-IF(I24&lt;=600,$BU$136,$BU$137))*2/VLOOKUP(I24,$CZ$132:$DC$138,3,FALSE)/1000)),2*PI())-SIN(IF((M24-IF(I24&lt;=600,$BU$136,$BU$137))&lt;VLOOKUP(I24,$CZ$132:$DC$138,3,FALSE)/1000,2*ACOS(1-((M24-IF(I24&lt;=600,$BU$136,$BU$137))*2/VLOOKUP(I24,$CZ$132:$DC$138,3,FALSE)/1000)),2*PI()))))/2),0)+IF(ISNUMBER(MATCH(F23,$BN$151:$BN$152,0)),E24*(N24*(VLOOKUP(I24,$DE$132:$DH$144,3,FALSE)/1000+IF(I24&lt;=600,$BU$136,$BU$137)+$BU$134)-(((VLOOKUP(I24,$DE$132:$DH$144,3,FALSE)/2000)^2)*(IF((M24-IF(I24&lt;=600,$BU$136,$BU$137))&lt;VLOOKUP(I24,$DE$132:$DH$144,3,FALSE)/1000,2*ACOS(1-((M24-IF(I24&lt;=600,$BU$136,$BU$137))*2/VLOOKUP(I24,$DE$132:$DH$144,3,FALSE)/1000)),2*PI())-SIN(IF((M24-IF(I24&lt;=600,$BU$136,$BU$137))&lt;VLOOKUP(I24,$DE$132:$DH$144,3,FALSE)/1000,2*ACOS(1-((M24-IF(I24&lt;=600,$BU$136,$BU$137))*2/VLOOKUP(I24,$DE$132:$DH$144,3,FALSE)/1000)),2*PI()))))/2),0),0)</f>
        <v>2.6879535511204726</v>
      </c>
      <c r="AP24" s="345">
        <f>E24</f>
        <v>14</v>
      </c>
      <c r="AQ24" s="345">
        <f>IF(ISNUMBER(MATCH(F23,$BN$140:$BN$148,0)),N24*E24*MAX(IF($BU$138=2,IF((M24-$BU$131-I25-$BU$141-VLOOKUP(R23,$BN$192:$BO$196,2,FALSE))&lt;$BU$140,(M24-$BU$131-I25-$BU$141-VLOOKUP(R23,$BN$192:$BO$196,2,FALSE)),IF((M24-$BU$131-I25-$BU$141-VLOOKUP(R23,$BN$192:$BO$196,2,FALSE))&lt;2*$BU$140,$BU$140,(M24-$BU$131-I25-$BU$141-VLOOKUP(R23,$BN$192:$BO$196,2,FALSE))/2)),M24-$BU$131-I25-$BU$139-VLOOKUP(R23,$BN$192:$BO$196,2,FALSE)),0),0)+IF(ISNUMBER(MATCH(F23,$BN$153:$BN$167,0)),N24*E24*MAX(IF((M24-$BU$133-$BU$134-I25-VLOOKUP(R23,$BN$192:$BO$196,2,FALSE))&lt;$BU$140,(M24-$BU$133-$BU$134-I25-VLOOKUP(R23,$BN$192:$BO$196,2,FALSE)),IF((M24-$BU$133-$BU$134-I25-VLOOKUP(R23,$BN$192:$BO$196,2,FALSE))&lt;2*$BU$140,$BU$140,(M24-$BU$133-$BU$134-I25-VLOOKUP(R23,$BN$192:$BO$196,2,FALSE))/2)),0),0)+IF(ISNUMBER(MATCH(F23,$BN$149:$BN$150,0)),N24*E24*MAX(IF((M24-IF(I24&lt;=600,$BU$136,$BU$137)-$BU$134-VLOOKUP(I24,$CZ$132:$DC$138,3,FALSE)/1000-VLOOKUP(R23,$BN$192:$BO$196,2,FALSE))&lt;$BU$140,(M24-IF(I24&lt;=600,$BU$136,$BU$137)-$BU$134-VLOOKUP(I24,$CZ$132:$DC$138,3,FALSE)/1000-VLOOKUP(R23,$BN$192:$BO$196,2,FALSE)),IF((M24-IF(I24&lt;=600,$BU$136,$BU$137)-$BU$134-VLOOKUP(I24,$CZ$132:$DC$138,3,FALSE)/1000-VLOOKUP(R23,$BN$192:$BO$196,2,FALSE))&lt;2*$BU$140,$BU$140,(M24-IF(I24&lt;=600,$BU$136,$BU$137)-$BU$134-VLOOKUP(I24,$CZ$132:$DC$138,3,FALSE)/1000-VLOOKUP(R23,$BN$192:$BO$196,2,FALSE))/2)),0),0)+IF(ISNUMBER(MATCH(F23,$BN$151:$BN$152,0)),N24*E24*MAX(IF((M24-IF(I24&lt;=600,$BU$136,$BU$137)-$BU$134-VLOOKUP(I24,$DE$132:$DH$144,3,FALSE)/1000-VLOOKUP(R23,$BN$192:$BO$196,2,FALSE))&lt;$BU$140,(M24-IF(I24&lt;=600,$BU$136,$BU$137)-$BU$134-VLOOKUP(I24,$DE$132:$DH$144,3,FALSE)/1000-VLOOKUP(R23,$BN$192:$BO$196,2,FALSE)),IF((M24-IF(I24&lt;=600,$BU$136,$BU$137)-$BU$134-VLOOKUP(I24,$DE$132:$DH$144,3,FALSE)/1000-VLOOKUP(R23,$BN$192:$BO$196,2,FALSE))&lt;2*$BU$140,$BU$140,(M24-IF(I24&lt;=600,$BU$136,$BU$137)-$BU$134-VLOOKUP(I24,$DE$132:$DH$144,3,FALSE)/1000-VLOOKUP(R23,$BN$192:$BO$196,2,FALSE))/2)),0),0)</f>
        <v>3.9129999999999692</v>
      </c>
      <c r="AR24" s="345">
        <f>IF(ISNUMBER(MATCH(F23,$BN$140:$BN$148,0)),E24*MAX(N24*IF($BU$138=2,IF((M24-$BU$131-I25-$BU$141-VLOOKUP(R23,$BN$192:$BO$196,2,FALSE))&lt;$BU$140,I25+$BU$141,IF((M24-$BU$131-I25-$BU$141-VLOOKUP(R23,$BN$192:$BO$196,2,FALSE))&lt;2*$BU$140,I25+$BU$141+(M24-$BU$131-I25-$BU$141-VLOOKUP(R23,$BN$192:$BO$196,2,FALSE))-$BU$140,I25+$BU$141+(M24-$BU$131-I25-$BU$141-VLOOKUP(R23,$BN$192:$BO$196,2,FALSE))/2)),MAX(MIN(M24-$BU$131-I25-VLOOKUP(R23,$BN$192:$BO$196,2,FALSE),I25+$BU$139),0))-IF((M24-$BU$131)&lt;I25,((I25/2)^2)*(2*ACOS(1-(((M24-$BU$131)*2/I25)))-SIN(2*ACOS(1-(((M24-$BU$131)*2/I25)))))/2,PI()*(I25/2)^2),0),0)+IF(ISNUMBER(MATCH(F23,$BN$153:$BN$167,0)),N24*E24*MAX(IF((M24-$BU$133-$BU$134-I25-VLOOKUP(R23,$BN$192:$BO$196,2,FALSE))&lt;$BU$140,0,IF((M24-$BU$133-$BU$134-I25-VLOOKUP(R23,$BN$192:$BO$196,2,FALSE))&lt;2*$BU$140,(M24-$BU$133-$BU$134-I25-VLOOKUP(R23,$BN$192:$BO$196,2,FALSE))-$BU$140,(M24-$BU$133-$BU$134-I25-VLOOKUP(R23,$BN$192:$BO$196,2,FALSE))/2)),0),0)+IF(ISNUMBER(MATCH(F23,$BN$149:$BN$150,0)),N24*E24*MAX(IF((M24-IF(I24&lt;=600,$BU$136,$BU$137)-$BU$134-VLOOKUP(I24,$CZ$132:$DC$138,3,FALSE)/1000-VLOOKUP(R23,$BN$192:$BO$196,2,FALSE))&lt;$BU$140,0,IF((M24-IF(I24&lt;=600,$BU$136,$BU$137)-$BU$134-VLOOKUP(I24,$CZ$132:$DC$138,3,FALSE)/1000-VLOOKUP(R23,$BN$192:$BO$196,2,FALSE))&lt;2*$BU$140,(M24-IF(I24&lt;=600,$BU$136,$BU$137)-$BU$134-VLOOKUP(I24,$CZ$132:$DC$138,3,FALSE)/1000-VLOOKUP(R23,$BN$192:$BO$196,2,FALSE))-$BU$140,(M24-IF(I24&lt;=600,$BU$136,$BU$137)-$BU$134-VLOOKUP(I24,$CZ$132:$DC$138,3,FALSE)/1000-VLOOKUP(R23,$BN$192:$BO$196,2,FALSE))/2)),0),0)+IF(ISNUMBER(MATCH(F23,$BN$151:$BN$152,0)),N24*E24*MAX(IF((M24-IF(I24&lt;=600,$BU$136,$BU$137)-$BU$134-VLOOKUP(I24,$DE$132:$DH$144,3,FALSE)/1000-VLOOKUP(R23,$BN$192:$BO$196,2,FALSE))&lt;$BU$140,0,IF((M24-IF(I24&lt;=600,$BU$136,$BU$137)-$BU$134-VLOOKUP(I24,$DE$132:$DH$144,3,FALSE)/1000-VLOOKUP(R23,$BN$192:$BO$196,2,FALSE))&lt;2*$BU$140,(M24-IF(I24&lt;=600,$BU$136,$BU$137)-$BU$134-VLOOKUP(I24,$DE$132:$DH$144,3,FALSE)/1000-VLOOKUP(R23,$BN$192:$BO$196,2,FALSE))-$BU$140,(M24-IF(I24&lt;=600,$BU$136,$BU$137)-$BU$134-VLOOKUP(I24,$DE$132:$DH$144,3,FALSE)/1000-VLOOKUP(R23,$BN$192:$BO$196,2,FALSE))/2)),0),0)</f>
        <v>3.9129999999999692</v>
      </c>
      <c r="AS24" s="345">
        <f>IF(MATCH(G23,$BN$131:$BN$133,0)=3,0,IF(MATCH(R23,$BN$192:$BN$194,0)&gt;=1,E24*(N24),0))</f>
        <v>9.1</v>
      </c>
      <c r="AT24" s="345">
        <f>IF(AND(MATCH(G23,$BN$131:$BN$133,0)&lt;=2,MATCH(R23,$BN$192:$BN$196,0)&gt;1,NOT(AND(MATCH(R23,$BN$192:$BN$196,0)&gt;1,))),E24*(N24+2*VLOOKUP(R23,$BN$192:$BP$196,3,FALSE))*IF(OR(MATCH(R23,$BN$192:$BN$196,0)=3,MATCH(R23,$BN$192:$BN$196,0)=3),VLOOKUP(R23,$BN$192:$BP$196,2,FALSE),1),0)</f>
        <v>0</v>
      </c>
      <c r="AU24" s="345">
        <f>IF(AND(MATCH(G23,$BN$131:$BN$133,0)&lt;=2,MATCH(R23,$BN$192:$BN$196,0)=2),E24*(N24+2*VLOOKUP(R23,$BN$192:$BP$196,3,FALSE)),0)</f>
        <v>0</v>
      </c>
      <c r="AV24" s="345">
        <f>IF(AND(MATCH(G23,$BN$131:$BN$133,0)&lt;=2,MATCH(R23,$BN$192:$BN$196,0)=2),E24*(N24+2*VLOOKUP(R23,$BN$192:$BP$196,3,FALSE)),0)*$AV$7</f>
        <v>0</v>
      </c>
      <c r="AW24" s="345">
        <f>IF(AND(MATCH(G23,$BN$131:$BN$133,0)&lt;=2,MATCH(R23,$BN$192:$BN$196,0)=2),E24*(N24+2*VLOOKUP(R23,$BN$192:$BP$196,3,FALSE)),0)*$AW$7</f>
        <v>0</v>
      </c>
      <c r="AX24" s="345">
        <f>IF(AND(MATCH(G23,$BN$131:$BN$133,0)&lt;=2,MATCH(R23,$BN$192:$BN$196,0)=2),E24*(N24+2*VLOOKUP(R23,$BN$192:$BP$196,3,FALSE)),0)</f>
        <v>0</v>
      </c>
      <c r="AY24" s="345">
        <f>IF(AND(MATCH(G23,$BN$131:$BN$133,0)&lt;=2,MATCH(R23,$BN$192:$BN$196,0)=2),E24*(N24+2*VLOOKUP(R23,$BN$192:$BP$196,3,FALSE)),0)*$AY$7</f>
        <v>0</v>
      </c>
      <c r="AZ24" s="345">
        <f>IF(MATCH(R23,$BN$192:$BN$196,0)=3,E24*(N24+2*VLOOKUP(R23,$BN$192:$BP$196,3,FALSE)),0)</f>
        <v>0</v>
      </c>
      <c r="BA24" s="345">
        <f>MAX(SUM(T24:AE24)-AQ24-AR24,0)*$BU$174</f>
        <v>3.6672999999999996</v>
      </c>
      <c r="BB24" s="345">
        <f>BA24*$BU$179</f>
        <v>55.009499999999996</v>
      </c>
      <c r="BC24" s="345">
        <f>AM24*$BU$176</f>
        <v>0</v>
      </c>
      <c r="BD24" s="345">
        <f>BC24*$BU$181</f>
        <v>0</v>
      </c>
      <c r="BE24" s="345">
        <f>(AN24+AO24)*$BU$177</f>
        <v>3.4943396164566147</v>
      </c>
      <c r="BF24" s="345">
        <f>BE24*$BU$182</f>
        <v>52.415094246849222</v>
      </c>
      <c r="BG24" s="345">
        <f>IF(MATCH(G23,$BN$131:$BN$133,0)&lt;=2,(E24*(N24+2*VLOOKUP(R23,$BN$192:$BP$196,3,FALSE))*VLOOKUP(R23,$BN$192:$BO$196,2,FALSE))*$BU$178,0)</f>
        <v>0</v>
      </c>
      <c r="BH24" s="345">
        <f>BG24*$BU$183</f>
        <v>0</v>
      </c>
      <c r="BI24" s="345">
        <f>AY24*$BI$1*$BI$2*$BI$3</f>
        <v>0</v>
      </c>
      <c r="BJ24" s="347">
        <f>E24*(IF(ISNUMBER(MATCH(F23,$BN$140,0)),VLOOKUP(I24,$BW$134:$BY$147,3,FALSE)/1000,0)+IF(ISNUMBER(MATCH(F23,$BN$141,0)),VLOOKUP(I24,$BW$132:$BZ$147,4,FALSE)/1000,0)+IF(ISNUMBER(MATCH(F23,$BN$142:$BN$148,0)),VLOOKUP(I24,$DJ$132:$DM$142,4,FALSE)/1000,0)+IF(ISNUMBER(MATCH(F23,$BN$149:$BN$150,0)),VLOOKUP(I24,$CZ$132:$DD152,5,FALSE)/1000,0)+IF(ISNUMBER(MATCH(F23,$BN$151:$BN$152,0)),VLOOKUP(I24,$DE$132:$DI$143,5,FALSE)/1000,0)+IF(ISNUMBER(MATCH(F23,$BN$153:$BN$153,0)),VLOOKUP(I24,$BW$132:$CA$147,5,FALSE)/1000,0)+IF(ISNUMBER(MATCH(F23,$BN$154:$BN$154,0)),VLOOKUP(I24,$CH$132:$CL$138,4,FALSE)/1000,0)+IF(ISNUMBER(MATCH(F23,$BN$155:$BN$155,0)),VLOOKUP(I24,$CH$132:$CL$138,5,FALSE)/1000,0)+IF(ISNUMBER(MATCH(F23,$BN$156:$BN$156,0)),VLOOKUP(I24,$CB$132:$CG$135,4,FALSE)/1000,0)+IF(ISNUMBER(MATCH(F23,$BN$157:$BN$157,0)),VLOOKUP(I24,$CB$132:$CG$135,5,FALSE)/1000,0)+IF(ISNUMBER(MATCH(F23,$BN$158:$BN$158,0)),VLOOKUP(I24,$CB$132:$CG$135,6,FALSE)/1000,0)+IF(ISNUMBER(MATCH(F23,$BN$159:$BN$159,0)),VLOOKUP(I24,$CP$132:$CT$151,3,FALSE)/1000,0)+IF(ISNUMBER(MATCH(F23,$BN$160:$BN$160,0)),VLOOKUP(I24,$CP$132:$CT$151,4,FALSE)/1000,0)+IF(ISNUMBER(MATCH(F23,$BN$161:$BN$161,0)),VLOOKUP(I24,$CP$132:$CT$151,5,FALSE)/1000,0)+IF(ISNUMBER(MATCH(F23,$BN$162:$BN$162,0)),VLOOKUP(I24,$CM$132:$CO$168,3,FALSE)/1000,0))</f>
        <v>1.8780999999999999E-2</v>
      </c>
      <c r="BK24" s="347">
        <f>BJ24*$BU$184</f>
        <v>0.56342999999999999</v>
      </c>
      <c r="BL24" s="345">
        <f>(E24*(2*$BU$194+N24))</f>
        <v>17.5</v>
      </c>
      <c r="BM24" s="348"/>
      <c r="BN24" s="339"/>
      <c r="BO24" s="339"/>
      <c r="CG24" s="330"/>
    </row>
    <row r="25" spans="1:85" ht="15" customHeight="1">
      <c r="A25" s="896"/>
      <c r="B25" s="897"/>
      <c r="C25" s="898"/>
      <c r="D25" s="899"/>
      <c r="E25" s="351"/>
      <c r="F25" s="836"/>
      <c r="G25" s="839"/>
      <c r="H25" s="839"/>
      <c r="I25" s="352">
        <f>IF(OR(ISNUMBER(MATCH(F23,$BN$140:$BN$141,0)),ISNUMBER(MATCH(F23,$BN$153:$BN$153,0))),VLOOKUP(I24,$BW$132:$BX$152,2,FALSE)/1000,0)+IF(ISNUMBER(MATCH(F23,$BN$154:$BN$155,0)),VLOOKUP(I24,$CH$132:$CJ$138,3,FALSE)/1000,0)+IF(ISNUMBER(MATCH(F23,$BN$156:$BN$158,0)),VLOOKUP(I24,$CB$132:$CD$135,3,FALSE)/1000,0)+IF(ISNUMBER(MATCH(F23,$BN$159:$BN$161,0)),VLOOKUP(I24,$CP$132:$CQ$151,2,FALSE)/1000,0)+IF(ISNUMBER(MATCH(F23,$BN$149:$BN$150,0)),VLOOKUP(I24,$CZ$132:$DC$138,4,FALSE)/1000,0)+IF(ISNUMBER(MATCH(F23,$BN$151:$BN$152,0)),VLOOKUP(I24,$DE$132:$DH$144,4,FALSE)/1000,0)+IF(ISNUMBER(MATCH(F23,$BN$162:$BN$162,0)),VLOOKUP(I24,$CM$132:$CN$168,2,FALSE)/1000,0)+IF(ISNUMBER(MATCH(F23,$BN$142:$BN$148,0)),VLOOKUP(I24,$DJ$132:$DL$144,3,FALSE)/1000,0)</f>
        <v>0.11</v>
      </c>
      <c r="J25" s="353">
        <v>661.88</v>
      </c>
      <c r="K25" s="353">
        <v>660.91</v>
      </c>
      <c r="L25" s="354">
        <f>J25-K25</f>
        <v>0.97000000000002728</v>
      </c>
      <c r="M25" s="355"/>
      <c r="N25" s="354"/>
      <c r="O25" s="354"/>
      <c r="P25" s="354"/>
      <c r="Q25" s="354"/>
      <c r="R25" s="829"/>
      <c r="S25" s="829"/>
      <c r="T25" s="354"/>
      <c r="U25" s="354"/>
      <c r="V25" s="354"/>
      <c r="W25" s="354"/>
      <c r="X25" s="354"/>
      <c r="Y25" s="354"/>
      <c r="Z25" s="354"/>
      <c r="AA25" s="354"/>
      <c r="AB25" s="354"/>
      <c r="AC25" s="354"/>
      <c r="AD25" s="354"/>
      <c r="AE25" s="354"/>
      <c r="AF25" s="349"/>
      <c r="AG25" s="354"/>
      <c r="AH25" s="829"/>
      <c r="AI25" s="354"/>
      <c r="AJ25" s="354"/>
      <c r="AK25" s="354"/>
      <c r="AL25" s="354"/>
      <c r="AM25" s="354"/>
      <c r="AN25" s="354"/>
      <c r="AO25" s="356"/>
      <c r="AP25" s="354"/>
      <c r="AQ25" s="354"/>
      <c r="AR25" s="354"/>
      <c r="AS25" s="354"/>
      <c r="AT25" s="354"/>
      <c r="AU25" s="354"/>
      <c r="AV25" s="354"/>
      <c r="AW25" s="354"/>
      <c r="AX25" s="354"/>
      <c r="AY25" s="354"/>
      <c r="AZ25" s="354"/>
      <c r="BA25" s="354"/>
      <c r="BB25" s="354"/>
      <c r="BC25" s="354"/>
      <c r="BD25" s="354"/>
      <c r="BE25" s="354"/>
      <c r="BF25" s="354"/>
      <c r="BG25" s="354"/>
      <c r="BH25" s="354"/>
      <c r="BI25" s="354"/>
      <c r="BJ25" s="356"/>
      <c r="BK25" s="356"/>
      <c r="BL25" s="354"/>
      <c r="BM25" s="330"/>
      <c r="BN25" s="339"/>
      <c r="BO25" s="339"/>
      <c r="CG25" s="330"/>
    </row>
    <row r="26" spans="1:85" ht="15" customHeight="1">
      <c r="A26" s="904"/>
      <c r="B26" s="905"/>
      <c r="C26" s="902"/>
      <c r="D26" s="903"/>
      <c r="E26" s="334"/>
      <c r="F26" s="834" t="s">
        <v>638</v>
      </c>
      <c r="G26" s="837" t="s">
        <v>531</v>
      </c>
      <c r="H26" s="837" t="s">
        <v>532</v>
      </c>
      <c r="I26" s="335">
        <f>IF(OR(ISNUMBER(MATCH(F26,$BN$140:$BN$141,0)),ISNUMBER(MATCH(F26,$BN$153:$BN$153,0))),(VLOOKUP(I27,$BW$132:$BX$152,2,FALSE)-I27)/2000,0)+IF(ISNUMBER(MATCH(F26,$BN$154:$BN$155,0)),(VLOOKUP(I27,$CH$132:$CJ$138,3,FALSE)-VLOOKUP(I27,$CH$132:$CJ$138,2,FALSE))/2000,0)+IF(ISNUMBER(MATCH(F26,$BN$156:$BN$158,0)),(VLOOKUP(I27,$CB$132:$CD$135,3,FALSE)-VLOOKUP(I27,$CB$132:$CD$135,2,FALSE))/2000,0)+IF(ISNUMBER(MATCH(F26,$BN$159:$BN$161,0)),(VLOOKUP(I27,$CP$132:$CQ$151,2,FALSE)-I27)/2000,0)+IF(ISNUMBER(MATCH(F26,$BN$149:$BN$150,0)),(VLOOKUP(I27,$CZ$132:$DC$138,4,FALSE)-VLOOKUP(I27,$CZ$132:$DC$138,2,FALSE))/2000,0)+IF(ISNUMBER(MATCH(F26,$BN$151:$BN$152,0)),(VLOOKUP(I27,$DE$132:$DH$144,4,FALSE)-VLOOKUP(I27,$DE$132:$DH$144,2,FALSE))/2000,0)+IF(ISNUMBER(MATCH(F26,$BN$162:$BN$162,0)),(VLOOKUP(I27,$CM$132:$CN$168,2,FALSE)-I27)/2000,0)+IF(ISNUMBER(MATCH(F26,$BN$142:$BN$148,0)),(VLOOKUP(I27,$DJ$132:$DL$144,3,FALSE)-I27)/2000,0)</f>
        <v>2.5000000000000001E-3</v>
      </c>
      <c r="J26" s="336">
        <f>J25</f>
        <v>661.88</v>
      </c>
      <c r="K26" s="336">
        <f>K25</f>
        <v>660.91</v>
      </c>
      <c r="L26" s="337">
        <f>J26-K26</f>
        <v>0.97000000000002728</v>
      </c>
      <c r="M26" s="337"/>
      <c r="N26" s="337"/>
      <c r="O26" s="337"/>
      <c r="P26" s="337"/>
      <c r="Q26" s="337"/>
      <c r="R26" s="827" t="s">
        <v>533</v>
      </c>
      <c r="S26" s="827" t="s">
        <v>685</v>
      </c>
      <c r="T26" s="337"/>
      <c r="U26" s="337"/>
      <c r="V26" s="337"/>
      <c r="W26" s="337"/>
      <c r="X26" s="337"/>
      <c r="Y26" s="337"/>
      <c r="Z26" s="337"/>
      <c r="AA26" s="337"/>
      <c r="AB26" s="337"/>
      <c r="AC26" s="337"/>
      <c r="AD26" s="337"/>
      <c r="AE26" s="337"/>
      <c r="AF26" s="334"/>
      <c r="AG26" s="337"/>
      <c r="AH26" s="827" t="s">
        <v>535</v>
      </c>
      <c r="AI26" s="337"/>
      <c r="AJ26" s="337"/>
      <c r="AK26" s="337"/>
      <c r="AL26" s="337"/>
      <c r="AM26" s="337"/>
      <c r="AN26" s="337"/>
      <c r="AO26" s="338"/>
      <c r="AP26" s="337"/>
      <c r="AQ26" s="337"/>
      <c r="AR26" s="337"/>
      <c r="AS26" s="337"/>
      <c r="AT26" s="337"/>
      <c r="AU26" s="337"/>
      <c r="AV26" s="337"/>
      <c r="AW26" s="337"/>
      <c r="AX26" s="337"/>
      <c r="AY26" s="337"/>
      <c r="AZ26" s="337"/>
      <c r="BA26" s="337"/>
      <c r="BB26" s="337"/>
      <c r="BC26" s="337"/>
      <c r="BD26" s="337"/>
      <c r="BE26" s="337"/>
      <c r="BF26" s="337"/>
      <c r="BG26" s="337"/>
      <c r="BH26" s="337"/>
      <c r="BI26" s="337"/>
      <c r="BJ26" s="338"/>
      <c r="BK26" s="338"/>
      <c r="BL26" s="337"/>
      <c r="BM26" s="330"/>
      <c r="BN26" s="339"/>
      <c r="BO26" s="339"/>
      <c r="CG26" s="330"/>
    </row>
    <row r="27" spans="1:85" ht="15" customHeight="1">
      <c r="A27" s="906" t="str">
        <f>C24</f>
        <v>CX-AP-3</v>
      </c>
      <c r="B27" s="907"/>
      <c r="C27" s="900" t="s">
        <v>738</v>
      </c>
      <c r="D27" s="901"/>
      <c r="E27" s="342">
        <v>7</v>
      </c>
      <c r="F27" s="835"/>
      <c r="G27" s="838"/>
      <c r="H27" s="838"/>
      <c r="I27" s="343">
        <v>100</v>
      </c>
      <c r="J27" s="344"/>
      <c r="K27" s="344"/>
      <c r="L27" s="340"/>
      <c r="M27" s="345">
        <f>ABS((L26+L28)/2)+IF(ISNUMBER(MATCH(F26,$BN$140:$BN$148,0)),$BU$131,0)+IF(ISNUMBER(MATCH(AH26,$BN$202,0)),$BU$132,0)+IF(ISNUMBER(MATCH(F26,$BN$149:$BN$152,0)),IF(I27&lt;=600,$BU$133,$BU$134),0)+IF(ISNUMBER(MATCH(F26,$BN$153:$BN$167,0)),$BU$132,0)</f>
        <v>1.2850000000000024</v>
      </c>
      <c r="N27" s="345">
        <f>IF(MATCH(G26,$BN$131:$BN$133,0)=1,IF(ISNUMBER(MATCH(F26,$BN$140:$BN$161,0)),VLOOKUP(I27,IF(M27&lt;=2,$BN$53:$BS$66,$BN$68:$BS$84),VLOOKUP(AF27,$BO$176:$BP$181,2,FALSE),FALSE),IF(ISNUMBER(MATCH(F26,$BN$162,0)),VLOOKUP(I27,IF(M27&lt;=2,$BU$53:$BZ$66,$BU$68:$BZ$88),VLOOKUP(AF27,$BO$176:$BP$181,2,FALSE),FALSE),0)),0)+IF(MATCH(G26,$BN$131:$BN$133,0)=2,VLOOKUP(I27,IF(M27&lt;=2,$CB$53:$CG$66,IF(M27&lt;=4,$CB$68:$CG$81,IF(M27&lt;=6,$CB$83:$CG$96,IF(M27&lt;=8,$CB$98:$CG$111,$CB$113:$CG$126)))),VLOOKUP(AF27,$BO$176:$BP$181,2,FALSE)),0)</f>
        <v>0.65</v>
      </c>
      <c r="O27" s="346">
        <f>ABS((K28-K26)/E27)</f>
        <v>2.8571428571402585E-3</v>
      </c>
      <c r="P27" s="345">
        <f>E27</f>
        <v>7</v>
      </c>
      <c r="Q27" s="345">
        <f>IF(IF(AND(MATCH(R26,$BN$192:$BN$196,0)&lt;=1),E27*(N27+2*$BP$192))=FALSE,0,IF(AND(MATCH(R26,$BN$192:$BN$196,0)&lt;=1),E27*(N27+2*$BP$192)))</f>
        <v>8.75</v>
      </c>
      <c r="R27" s="828"/>
      <c r="S27" s="828"/>
      <c r="T27" s="345">
        <f>IF(AND(ISNUMBER(MATCH(S26,$BN$205,0))),E27*N27*(MIN(M27,$BU$164)-VLOOKUP(R26,$BN$192:$BP$197,2,FALSE)),VLOOKUP(S26,$BN$205:$BP$206,2,FALSE))</f>
        <v>0</v>
      </c>
      <c r="U27" s="345">
        <f>IF(AND(ISNUMBER(MATCH(S26,$BN$205,0))),E27*N27*MAX(MIN(M27-$BU$164,$BU$164),0)+E27*MAX((MIN(M27-$BU$164,-$BU$164)),0),VLOOKUP(S26,$BN$205:$BP$206,2,FALSE))</f>
        <v>0</v>
      </c>
      <c r="V27" s="345">
        <f>IF(AND(ISNUMBER(MATCH(S26,$BN$205,0))),E27*N27*MAX(MIN(M27-2*$BU$164,$BU$164),0)+E27*MAX((MIN(M27-2*$BU$164,-2*$BU$164,-2*$BU$164,$BU$164)),0),VLOOKUP(S26,$BN$205:$BP$206,2,FALSE))</f>
        <v>0</v>
      </c>
      <c r="W27" s="345">
        <f>IF(AND(ISNUMBER(MATCH(S26,$BN$205,0))),E27*N27*MAX(MIN(M27-3*$BU$164,$BU$164),0)+E27*MAX((MIN(M27-3*$BU$164,-3*$BU$164,-3*$BU$164,$BU$164)),0),VLOOKUP(S26,$BN$205:$BP$206,2,FALSE))</f>
        <v>0</v>
      </c>
      <c r="X27" s="345">
        <f>IF(AND(ISNUMBER(MATCH(S26,$BN$205,0))),E27*N27*MAX(MIN(M27-4*$BU$164,$BU$164),0)+E27*MAX((MIN(M27-4*$BU$164,-4*$BU$164,-4*$BU$164,$BU$164)),0),VLOOKUP(S26,$BN$205:$BP$206,2,FALSE))</f>
        <v>0</v>
      </c>
      <c r="Y27" s="345">
        <f>IF(AND(ISNUMBER(MATCH(S26,$BN$205,0))),E27*N27*MAX(MIN(M27-5*$BU$164,$BU$164),0)+E27*MAX((MIN(M27-5*$BU$164,-5*$BU$164,-5*$BU$164,$BU$164)),0),VLOOKUP(S26,$BN$205:$BP$206,2,FALSE))</f>
        <v>0</v>
      </c>
      <c r="Z27" s="345">
        <f>IF(AND(ISNUMBER(MATCH(S26,$BN$206,0))),E27*N27*(MIN(M27,$BU$165)-VLOOKUP(R26,$BN$192:$BP$197,2,FALSE)),VLOOKUP(S26,$BN$205:$BP$206,2,FALSE))</f>
        <v>5.8467500000000108</v>
      </c>
      <c r="AA27" s="345">
        <f>IF(AND(ISNUMBER(MATCH(S26,$BN$206,0))),E27*N27*MAX(MIN(M27-$BU$165,$BU$165),0)+E27*MAX((MIN(M27-$BU$165,-$BU$165)),0))-VLOOKUP(S26,$BN$205:$BP$206,2,FALSE)</f>
        <v>0</v>
      </c>
      <c r="AB27" s="345">
        <f>IF(AND(ISNUMBER(MATCH(S26,$BN$206,0))),E27*N27*MAX(MIN(M27-2*$BU$165,$BU$165),0)+E27*MAX((MIN(M27-2*$BU$165,-2*$BU$165,-2*$BU$165,$BU$165)),0))-VLOOKUP(S26,$BN$205:$BP$206,2,FALSE)</f>
        <v>0</v>
      </c>
      <c r="AC27" s="345">
        <f>IF(AND(ISNUMBER(MATCH(S26,$BN$206,0))),E27*N27*MAX(MIN(M27-3*$BU$165,$BU$165),0)+E27*MAX((MIN(M27-3*$BU$165,-3*$BU$165,-3*$BU$165,$BU$165)),0))-VLOOKUP(S26,$BN$205:$BP$206,2,FALSE)</f>
        <v>0</v>
      </c>
      <c r="AD27" s="345">
        <f>IF(AND(ISNUMBER(MATCH(S26,$BN$206,0))),E27*N27*MAX(MIN(M27-4*$BU$165,$BU$165),0)+E27*MAX((MIN(M27-4*$BU$165,-4*$BU$165,-4*$BU$165,$BU$165)),0))-VLOOKUP(S26,$BN$205:$BP$206,2,FALSE)</f>
        <v>0</v>
      </c>
      <c r="AE27" s="345">
        <f>IF(AND(ISNUMBER(MATCH(S26,$BN$206,0))),E27*N27*MAX(MIN(M27-5*$BU$165,$BU$165),0)+E27*MAX((MIN(M27-5*$BU$165,-5*$BU$165,-5*$BU$165,$BU$165)),0))-VLOOKUP(S26,$BN$205:$BP$206,2,FALSE)</f>
        <v>0</v>
      </c>
      <c r="AF27" s="332" t="str">
        <f>IF(MATCH(G26,$BN$131:$BN$133,0)&lt;=2,VLOOKUP((M27),$BN$176:$BO$181,2),"-")</f>
        <v>P</v>
      </c>
      <c r="AG27" s="345">
        <f>IF(AND(MATCH(G26,$BN$131:$BN$133,0)&lt;=2,MATCH(AF27,$BO$176:$BO$181,0)&gt;1),(M27)*E27*2,0)</f>
        <v>17.990000000000034</v>
      </c>
      <c r="AH27" s="828"/>
      <c r="AI27" s="345" t="str">
        <f>IF(AH26=$BN$201,E27*5*$BU$155,IF(AH26=$BN$200,"-","-"))</f>
        <v>-</v>
      </c>
      <c r="AJ27" s="345">
        <f>IF(MATCH(AH26,$BN$200:$BN$202,0)&lt;=2,0,((_xlfn.CEILING.PRECISE(E27/$BU$156))*$BU$157))</f>
        <v>0</v>
      </c>
      <c r="AK27" s="345">
        <f>IF(MATCH(G26,$BN$131:$BN$133,0)=3,0,E27*$BU$193/($BU$192)*2)</f>
        <v>4.666666666666667</v>
      </c>
      <c r="AL27" s="345">
        <f>IF(MATCH(G26,$BN$131:$BN$133,0)=3,0,(E27/$BU$185)*$BU$186*(N27+2*N27))</f>
        <v>0.27300000000000008</v>
      </c>
      <c r="AM27" s="345">
        <f>IF(ISNUMBER(MATCH(F26,$BN$140:$BN$148,0)),E27*N27*$BU$131,0)</f>
        <v>0</v>
      </c>
      <c r="AN27" s="345">
        <f>IF(AND(ISNUMBER(MATCH(F26,$BN$140:$BN$148,0)),MATCH(AH26,$BN$200:$BN$202,0)=3),E27*N27*$BU$132,0)</f>
        <v>0</v>
      </c>
      <c r="AO27" s="347">
        <f>IF(MATCH(G26,$BN$131:$BN$133,0)&lt;=2,IF(ISNUMBER(MATCH(F26,$BN$153:$BN$162,0)),E27*(N27*(I28+$BU$133+$BU$134)-(((I28/2)^2)*(IF((M27-$BU$133)&lt;I28,2*ACOS(1-(((M27-$BU$133)*2/I28))),2*PI())-SIN(IF((M27-$BU$133)&lt;I28,2*ACOS(1-(((M27-$BU$133)*2/I28))),2*PI()))))/2),0)+IF(ISNUMBER(MATCH(F26,$BN$149:$BN$150,0)),E27*(N27*(VLOOKUP(I27,$CZ$132:$DC$138,3,FALSE)/1000+IF(I27&lt;=600,$BU$136,$BU$137)+$BU$134)-(((VLOOKUP(I27,$CZ$132:$DC$138,3,FALSE)/2000)^2)*(IF((M27-IF(I27&lt;=600,$BU$136,$BU$137))&lt;VLOOKUP(I27,$CZ$132:$DC$138,3,FALSE)/1000,2*ACOS(1-((M27-IF(I27&lt;=600,$BU$136,$BU$137))*2/VLOOKUP(I27,$CZ$132:$DC$138,3,FALSE)/1000)),2*PI())-SIN(IF((M27-IF(I27&lt;=600,$BU$136,$BU$137))&lt;VLOOKUP(I27,$CZ$132:$DC$138,3,FALSE)/1000,2*ACOS(1-((M27-IF(I27&lt;=600,$BU$136,$BU$137))*2/VLOOKUP(I27,$CZ$132:$DC$138,3,FALSE)/1000)),2*PI()))))/2),0)+IF(ISNUMBER(MATCH(F26,$BN$151:$BN$152,0)),E27*(N27*(VLOOKUP(I27,$DE$132:$DH$144,3,FALSE)/1000+IF(I27&lt;=600,$BU$136,$BU$137)+$BU$134)-(((VLOOKUP(I27,$DE$132:$DH$144,3,FALSE)/2000)^2)*(IF((M27-IF(I27&lt;=600,$BU$136,$BU$137))&lt;VLOOKUP(I27,$DE$132:$DH$144,3,FALSE)/1000,2*ACOS(1-((M27-IF(I27&lt;=600,$BU$136,$BU$137))*2/VLOOKUP(I27,$DE$132:$DH$144,3,FALSE)/1000)),2*PI())-SIN(IF((M27-IF(I27&lt;=600,$BU$136,$BU$137))&lt;VLOOKUP(I27,$DE$132:$DH$144,3,FALSE)/1000,2*ACOS(1-((M27-IF(I27&lt;=600,$BU$136,$BU$137))*2/VLOOKUP(I27,$DE$132:$DH$144,3,FALSE)/1000)),2*PI()))))/2),0),0)</f>
        <v>1.3439767755602363</v>
      </c>
      <c r="AP27" s="345">
        <f>E27</f>
        <v>7</v>
      </c>
      <c r="AQ27" s="345">
        <f>IF(ISNUMBER(MATCH(F26,$BN$140:$BN$148,0)),N27*E27*MAX(IF($BU$138=2,IF((M27-$BU$131-I28-$BU$141-VLOOKUP(R26,$BN$192:$BO$196,2,FALSE))&lt;$BU$140,(M27-$BU$131-I28-$BU$141-VLOOKUP(R26,$BN$192:$BO$196,2,FALSE)),IF((M27-$BU$131-I28-$BU$141-VLOOKUP(R26,$BN$192:$BO$196,2,FALSE))&lt;2*$BU$140,$BU$140,(M27-$BU$131-I28-$BU$141-VLOOKUP(R26,$BN$192:$BO$196,2,FALSE))/2)),M27-$BU$131-I28-$BU$139-VLOOKUP(R26,$BN$192:$BO$196,2,FALSE)),0),0)+IF(ISNUMBER(MATCH(F26,$BN$153:$BN$167,0)),N27*E27*MAX(IF((M27-$BU$133-$BU$134-I28-VLOOKUP(R26,$BN$192:$BO$196,2,FALSE))&lt;$BU$140,(M27-$BU$133-$BU$134-I28-VLOOKUP(R26,$BN$192:$BO$196,2,FALSE)),IF((M27-$BU$133-$BU$134-I28-VLOOKUP(R26,$BN$192:$BO$196,2,FALSE))&lt;2*$BU$140,$BU$140,(M27-$BU$133-$BU$134-I28-VLOOKUP(R26,$BN$192:$BO$196,2,FALSE))/2)),0),0)+IF(ISNUMBER(MATCH(F26,$BN$149:$BN$150,0)),N27*E27*MAX(IF((M27-IF(I27&lt;=600,$BU$136,$BU$137)-$BU$134-VLOOKUP(I27,$CZ$132:$DC$138,3,FALSE)/1000-VLOOKUP(R26,$BN$192:$BO$196,2,FALSE))&lt;$BU$140,(M27-IF(I27&lt;=600,$BU$136,$BU$137)-$BU$134-VLOOKUP(I27,$CZ$132:$DC$138,3,FALSE)/1000-VLOOKUP(R26,$BN$192:$BO$196,2,FALSE)),IF((M27-IF(I27&lt;=600,$BU$136,$BU$137)-$BU$134-VLOOKUP(I27,$CZ$132:$DC$138,3,FALSE)/1000-VLOOKUP(R26,$BN$192:$BO$196,2,FALSE))&lt;2*$BU$140,$BU$140,(M27-IF(I27&lt;=600,$BU$136,$BU$137)-$BU$134-VLOOKUP(I27,$CZ$132:$DC$138,3,FALSE)/1000-VLOOKUP(R26,$BN$192:$BO$196,2,FALSE))/2)),0),0)+IF(ISNUMBER(MATCH(F26,$BN$151:$BN$152,0)),N27*E27*MAX(IF((M27-IF(I27&lt;=600,$BU$136,$BU$137)-$BU$134-VLOOKUP(I27,$DE$132:$DH$144,3,FALSE)/1000-VLOOKUP(R26,$BN$192:$BO$196,2,FALSE))&lt;$BU$140,(M27-IF(I27&lt;=600,$BU$136,$BU$137)-$BU$134-VLOOKUP(I27,$DE$132:$DH$144,3,FALSE)/1000-VLOOKUP(R26,$BN$192:$BO$196,2,FALSE)),IF((M27-IF(I27&lt;=600,$BU$136,$BU$137)-$BU$134-VLOOKUP(I27,$DE$132:$DH$144,3,FALSE)/1000-VLOOKUP(R26,$BN$192:$BO$196,2,FALSE))&lt;2*$BU$140,$BU$140,(M27-IF(I27&lt;=600,$BU$136,$BU$137)-$BU$134-VLOOKUP(I27,$DE$132:$DH$144,3,FALSE)/1000-VLOOKUP(R26,$BN$192:$BO$196,2,FALSE))/2)),0),0)</f>
        <v>2.218125000000005</v>
      </c>
      <c r="AR27" s="345">
        <f>IF(ISNUMBER(MATCH(F26,$BN$140:$BN$148,0)),E27*MAX(N27*IF($BU$138=2,IF((M27-$BU$131-I28-$BU$141-VLOOKUP(R26,$BN$192:$BO$196,2,FALSE))&lt;$BU$140,I28+$BU$141,IF((M27-$BU$131-I28-$BU$141-VLOOKUP(R26,$BN$192:$BO$196,2,FALSE))&lt;2*$BU$140,I28+$BU$141+(M27-$BU$131-I28-$BU$141-VLOOKUP(R26,$BN$192:$BO$196,2,FALSE))-$BU$140,I28+$BU$141+(M27-$BU$131-I28-$BU$141-VLOOKUP(R26,$BN$192:$BO$196,2,FALSE))/2)),MAX(MIN(M27-$BU$131-I28-VLOOKUP(R26,$BN$192:$BO$196,2,FALSE),I28+$BU$139),0))-IF((M27-$BU$131)&lt;I28,((I28/2)^2)*(2*ACOS(1-(((M27-$BU$131)*2/I28)))-SIN(2*ACOS(1-(((M27-$BU$131)*2/I28)))))/2,PI()*(I28/2)^2),0),0)+IF(ISNUMBER(MATCH(F26,$BN$153:$BN$167,0)),N27*E27*MAX(IF((M27-$BU$133-$BU$134-I28-VLOOKUP(R26,$BN$192:$BO$196,2,FALSE))&lt;$BU$140,0,IF((M27-$BU$133-$BU$134-I28-VLOOKUP(R26,$BN$192:$BO$196,2,FALSE))&lt;2*$BU$140,(M27-$BU$133-$BU$134-I28-VLOOKUP(R26,$BN$192:$BO$196,2,FALSE))-$BU$140,(M27-$BU$133-$BU$134-I28-VLOOKUP(R26,$BN$192:$BO$196,2,FALSE))/2)),0),0)+IF(ISNUMBER(MATCH(F26,$BN$149:$BN$150,0)),N27*E27*MAX(IF((M27-IF(I27&lt;=600,$BU$136,$BU$137)-$BU$134-VLOOKUP(I27,$CZ$132:$DC$138,3,FALSE)/1000-VLOOKUP(R26,$BN$192:$BO$196,2,FALSE))&lt;$BU$140,0,IF((M27-IF(I27&lt;=600,$BU$136,$BU$137)-$BU$134-VLOOKUP(I27,$CZ$132:$DC$138,3,FALSE)/1000-VLOOKUP(R26,$BN$192:$BO$196,2,FALSE))&lt;2*$BU$140,(M27-IF(I27&lt;=600,$BU$136,$BU$137)-$BU$134-VLOOKUP(I27,$CZ$132:$DC$138,3,FALSE)/1000-VLOOKUP(R26,$BN$192:$BO$196,2,FALSE))-$BU$140,(M27-IF(I27&lt;=600,$BU$136,$BU$137)-$BU$134-VLOOKUP(I27,$CZ$132:$DC$138,3,FALSE)/1000-VLOOKUP(R26,$BN$192:$BO$196,2,FALSE))/2)),0),0)+IF(ISNUMBER(MATCH(F26,$BN$151:$BN$152,0)),N27*E27*MAX(IF((M27-IF(I27&lt;=600,$BU$136,$BU$137)-$BU$134-VLOOKUP(I27,$DE$132:$DH$144,3,FALSE)/1000-VLOOKUP(R26,$BN$192:$BO$196,2,FALSE))&lt;$BU$140,0,IF((M27-IF(I27&lt;=600,$BU$136,$BU$137)-$BU$134-VLOOKUP(I27,$DE$132:$DH$144,3,FALSE)/1000-VLOOKUP(R26,$BN$192:$BO$196,2,FALSE))&lt;2*$BU$140,(M27-IF(I27&lt;=600,$BU$136,$BU$137)-$BU$134-VLOOKUP(I27,$DE$132:$DH$144,3,FALSE)/1000-VLOOKUP(R26,$BN$192:$BO$196,2,FALSE))-$BU$140,(M27-IF(I27&lt;=600,$BU$136,$BU$137)-$BU$134-VLOOKUP(I27,$DE$132:$DH$144,3,FALSE)/1000-VLOOKUP(R26,$BN$192:$BO$196,2,FALSE))/2)),0),0)</f>
        <v>2.218125000000005</v>
      </c>
      <c r="AS27" s="345">
        <f>IF(MATCH(G26,$BN$131:$BN$133,0)=3,0,IF(MATCH(R26,$BN$192:$BN$194,0)&gt;=1,E27*(N27),0))</f>
        <v>4.55</v>
      </c>
      <c r="AT27" s="345">
        <f>IF(AND(MATCH(G26,$BN$131:$BN$133,0)&lt;=2,MATCH(R26,$BN$192:$BN$196,0)&gt;1,NOT(AND(MATCH(R26,$BN$192:$BN$196,0)&gt;1,))),E27*(N27+2*VLOOKUP(R26,$BN$192:$BP$196,3,FALSE))*IF(OR(MATCH(R26,$BN$192:$BN$196,0)=3,MATCH(R26,$BN$192:$BN$196,0)=3),VLOOKUP(R26,$BN$192:$BP$196,2,FALSE),1),0)</f>
        <v>0</v>
      </c>
      <c r="AU27" s="345">
        <f>IF(AND(MATCH(G26,$BN$131:$BN$133,0)&lt;=2,MATCH(R26,$BN$192:$BN$196,0)=2),E27*(N27+2*VLOOKUP(R26,$BN$192:$BP$196,3,FALSE)),0)</f>
        <v>0</v>
      </c>
      <c r="AV27" s="345">
        <f>IF(AND(MATCH(G26,$BN$131:$BN$133,0)&lt;=2,MATCH(R26,$BN$192:$BN$196,0)=2),E27*(N27+2*VLOOKUP(R26,$BN$192:$BP$196,3,FALSE)),0)*$AV$7</f>
        <v>0</v>
      </c>
      <c r="AW27" s="345">
        <f>IF(AND(MATCH(G26,$BN$131:$BN$133,0)&lt;=2,MATCH(R26,$BN$192:$BN$196,0)=2),E27*(N27+2*VLOOKUP(R26,$BN$192:$BP$196,3,FALSE)),0)*$AW$7</f>
        <v>0</v>
      </c>
      <c r="AX27" s="345">
        <f>IF(AND(MATCH(G26,$BN$131:$BN$133,0)&lt;=2,MATCH(R26,$BN$192:$BN$196,0)=2),E27*(N27+2*VLOOKUP(R26,$BN$192:$BP$196,3,FALSE)),0)</f>
        <v>0</v>
      </c>
      <c r="AY27" s="345">
        <f>IF(AND(MATCH(G26,$BN$131:$BN$133,0)&lt;=2,MATCH(R26,$BN$192:$BN$196,0)=2),E27*(N27+2*VLOOKUP(R26,$BN$192:$BP$196,3,FALSE)),0)*$AY$7</f>
        <v>0</v>
      </c>
      <c r="AZ27" s="345">
        <f>IF(MATCH(R26,$BN$192:$BN$196,0)=3,E27*(N27+2*VLOOKUP(R26,$BN$192:$BP$196,3,FALSE)),0)</f>
        <v>0</v>
      </c>
      <c r="BA27" s="345">
        <f>MAX(SUM(T27:AE27)-AQ27-AR27,0)*$BU$174</f>
        <v>1.8336500000000011</v>
      </c>
      <c r="BB27" s="345">
        <f>BA27*$BU$179</f>
        <v>27.504750000000016</v>
      </c>
      <c r="BC27" s="345">
        <f>AM27*$BU$176</f>
        <v>0</v>
      </c>
      <c r="BD27" s="345">
        <f>BC27*$BU$181</f>
        <v>0</v>
      </c>
      <c r="BE27" s="345">
        <f>(AN27+AO27)*$BU$177</f>
        <v>1.7471698082283074</v>
      </c>
      <c r="BF27" s="345">
        <f>BE27*$BU$182</f>
        <v>26.207547123424611</v>
      </c>
      <c r="BG27" s="345">
        <f>IF(MATCH(G26,$BN$131:$BN$133,0)&lt;=2,(E27*(N27+2*VLOOKUP(R26,$BN$192:$BP$196,3,FALSE))*VLOOKUP(R26,$BN$192:$BO$196,2,FALSE))*$BU$178,0)</f>
        <v>0</v>
      </c>
      <c r="BH27" s="345">
        <f>BG27*$BU$183</f>
        <v>0</v>
      </c>
      <c r="BI27" s="345">
        <f>AY27*$BI$1*$BI$2*$BI$3</f>
        <v>0</v>
      </c>
      <c r="BJ27" s="347">
        <f>E27*(IF(ISNUMBER(MATCH(F26,$BN$140,0)),VLOOKUP(I27,$BW$134:$BY$147,3,FALSE)/1000,0)+IF(ISNUMBER(MATCH(F26,$BN$141,0)),VLOOKUP(I27,$BW$132:$BZ$147,4,FALSE)/1000,0)+IF(ISNUMBER(MATCH(F26,$BN$142:$BN$148,0)),VLOOKUP(I27,$DJ$132:$DM$142,4,FALSE)/1000,0)+IF(ISNUMBER(MATCH(F26,$BN$149:$BN$150,0)),VLOOKUP(I27,$CZ$132:$DD155,5,FALSE)/1000,0)+IF(ISNUMBER(MATCH(F26,$BN$151:$BN$152,0)),VLOOKUP(I27,$DE$132:$DI$143,5,FALSE)/1000,0)+IF(ISNUMBER(MATCH(F26,$BN$153:$BN$153,0)),VLOOKUP(I27,$BW$132:$CA$147,5,FALSE)/1000,0)+IF(ISNUMBER(MATCH(F26,$BN$154:$BN$154,0)),VLOOKUP(I27,$CH$132:$CL$138,4,FALSE)/1000,0)+IF(ISNUMBER(MATCH(F26,$BN$155:$BN$155,0)),VLOOKUP(I27,$CH$132:$CL$138,5,FALSE)/1000,0)+IF(ISNUMBER(MATCH(F26,$BN$156:$BN$156,0)),VLOOKUP(I27,$CB$132:$CG$135,4,FALSE)/1000,0)+IF(ISNUMBER(MATCH(F26,$BN$157:$BN$157,0)),VLOOKUP(I27,$CB$132:$CG$135,5,FALSE)/1000,0)+IF(ISNUMBER(MATCH(F26,$BN$158:$BN$158,0)),VLOOKUP(I27,$CB$132:$CG$135,6,FALSE)/1000,0)+IF(ISNUMBER(MATCH(F26,$BN$159:$BN$159,0)),VLOOKUP(I27,$CP$132:$CT$151,3,FALSE)/1000,0)+IF(ISNUMBER(MATCH(F26,$BN$160:$BN$160,0)),VLOOKUP(I27,$CP$132:$CT$151,4,FALSE)/1000,0)+IF(ISNUMBER(MATCH(F26,$BN$161:$BN$161,0)),VLOOKUP(I27,$CP$132:$CT$151,5,FALSE)/1000,0)+IF(ISNUMBER(MATCH(F26,$BN$162:$BN$162,0)),VLOOKUP(I27,$CM$132:$CO$168,3,FALSE)/1000,0))</f>
        <v>9.3904999999999995E-3</v>
      </c>
      <c r="BK27" s="347">
        <f>BJ27*$BU$184</f>
        <v>0.28171499999999999</v>
      </c>
      <c r="BL27" s="345">
        <f>(E27*(2*$BU$194+N27))</f>
        <v>8.75</v>
      </c>
      <c r="BM27" s="348"/>
      <c r="BN27" s="339"/>
      <c r="BO27" s="339"/>
      <c r="CG27" s="330"/>
    </row>
    <row r="28" spans="1:85" ht="15" customHeight="1">
      <c r="A28" s="896"/>
      <c r="B28" s="897"/>
      <c r="C28" s="898"/>
      <c r="D28" s="899"/>
      <c r="E28" s="351"/>
      <c r="F28" s="836"/>
      <c r="G28" s="839"/>
      <c r="H28" s="839"/>
      <c r="I28" s="352">
        <f>IF(OR(ISNUMBER(MATCH(F26,$BN$140:$BN$141,0)),ISNUMBER(MATCH(F26,$BN$153:$BN$153,0))),VLOOKUP(I27,$BW$132:$BX$152,2,FALSE)/1000,0)+IF(ISNUMBER(MATCH(F26,$BN$154:$BN$155,0)),VLOOKUP(I27,$CH$132:$CJ$138,3,FALSE)/1000,0)+IF(ISNUMBER(MATCH(F26,$BN$156:$BN$158,0)),VLOOKUP(I27,$CB$132:$CD$135,3,FALSE)/1000,0)+IF(ISNUMBER(MATCH(F26,$BN$159:$BN$161,0)),VLOOKUP(I27,$CP$132:$CQ$151,2,FALSE)/1000,0)+IF(ISNUMBER(MATCH(F26,$BN$149:$BN$150,0)),VLOOKUP(I27,$CZ$132:$DC$138,4,FALSE)/1000,0)+IF(ISNUMBER(MATCH(F26,$BN$151:$BN$152,0)),VLOOKUP(I27,$DE$132:$DH$144,4,FALSE)/1000,0)+IF(ISNUMBER(MATCH(F26,$BN$162:$BN$162,0)),VLOOKUP(I27,$CM$132:$CN$168,2,FALSE)/1000,0)+IF(ISNUMBER(MATCH(F26,$BN$142:$BN$148,0)),VLOOKUP(I27,$DJ$132:$DL$144,3,FALSE)/1000,0)</f>
        <v>0.11</v>
      </c>
      <c r="J28" s="353">
        <v>662.29</v>
      </c>
      <c r="K28" s="353">
        <v>660.89</v>
      </c>
      <c r="L28" s="354">
        <f>J28-K28</f>
        <v>1.3999999999999773</v>
      </c>
      <c r="M28" s="355"/>
      <c r="N28" s="354"/>
      <c r="O28" s="354"/>
      <c r="P28" s="354"/>
      <c r="Q28" s="354"/>
      <c r="R28" s="829"/>
      <c r="S28" s="829"/>
      <c r="T28" s="354"/>
      <c r="U28" s="354"/>
      <c r="V28" s="354"/>
      <c r="W28" s="354"/>
      <c r="X28" s="354"/>
      <c r="Y28" s="354"/>
      <c r="Z28" s="354"/>
      <c r="AA28" s="354"/>
      <c r="AB28" s="354"/>
      <c r="AC28" s="354"/>
      <c r="AD28" s="354"/>
      <c r="AE28" s="354"/>
      <c r="AF28" s="349"/>
      <c r="AG28" s="354"/>
      <c r="AH28" s="829"/>
      <c r="AI28" s="354"/>
      <c r="AJ28" s="354"/>
      <c r="AK28" s="354"/>
      <c r="AL28" s="354"/>
      <c r="AM28" s="354"/>
      <c r="AN28" s="354"/>
      <c r="AO28" s="356"/>
      <c r="AP28" s="354"/>
      <c r="AQ28" s="354"/>
      <c r="AR28" s="354"/>
      <c r="AS28" s="354"/>
      <c r="AT28" s="354"/>
      <c r="AU28" s="354"/>
      <c r="AV28" s="354"/>
      <c r="AW28" s="354"/>
      <c r="AX28" s="354"/>
      <c r="AY28" s="354"/>
      <c r="AZ28" s="354"/>
      <c r="BA28" s="354"/>
      <c r="BB28" s="354"/>
      <c r="BC28" s="354"/>
      <c r="BD28" s="354"/>
      <c r="BE28" s="354"/>
      <c r="BF28" s="354"/>
      <c r="BG28" s="354"/>
      <c r="BH28" s="354"/>
      <c r="BI28" s="354"/>
      <c r="BJ28" s="356"/>
      <c r="BK28" s="356"/>
      <c r="BL28" s="354"/>
      <c r="BM28" s="330"/>
      <c r="BN28" s="339"/>
      <c r="BO28" s="339"/>
      <c r="CG28" s="330"/>
    </row>
    <row r="29" spans="1:85" ht="15" customHeight="1">
      <c r="A29" s="357"/>
      <c r="B29" s="357"/>
      <c r="C29" s="535"/>
      <c r="D29" s="535"/>
      <c r="E29" s="358"/>
      <c r="F29" s="536"/>
      <c r="G29" s="359"/>
      <c r="H29" s="359"/>
      <c r="I29" s="537"/>
      <c r="J29" s="360"/>
      <c r="K29" s="360"/>
      <c r="L29" s="361"/>
      <c r="M29" s="360"/>
      <c r="N29" s="361"/>
      <c r="O29" s="361"/>
      <c r="P29" s="361"/>
      <c r="Q29" s="361"/>
      <c r="R29" s="538"/>
      <c r="S29" s="538"/>
      <c r="T29" s="361"/>
      <c r="U29" s="361"/>
      <c r="V29" s="361"/>
      <c r="W29" s="361"/>
      <c r="X29" s="361"/>
      <c r="Y29" s="361"/>
      <c r="Z29" s="361"/>
      <c r="AA29" s="361"/>
      <c r="AB29" s="361"/>
      <c r="AC29" s="361"/>
      <c r="AD29" s="361"/>
      <c r="AE29" s="361"/>
      <c r="AF29" s="357"/>
      <c r="AG29" s="361"/>
      <c r="AH29" s="538"/>
      <c r="AI29" s="361"/>
      <c r="AJ29" s="361"/>
      <c r="AK29" s="361"/>
      <c r="AL29" s="361"/>
      <c r="AM29" s="361"/>
      <c r="AN29" s="361"/>
      <c r="AO29" s="539"/>
      <c r="AP29" s="361"/>
      <c r="AQ29" s="361"/>
      <c r="AR29" s="361"/>
      <c r="AS29" s="361"/>
      <c r="AT29" s="361"/>
      <c r="AU29" s="361"/>
      <c r="AV29" s="361"/>
      <c r="AW29" s="361"/>
      <c r="AX29" s="361"/>
      <c r="AY29" s="361"/>
      <c r="AZ29" s="361"/>
      <c r="BA29" s="361"/>
      <c r="BB29" s="361"/>
      <c r="BC29" s="361"/>
      <c r="BD29" s="361"/>
      <c r="BE29" s="361"/>
      <c r="BF29" s="361"/>
      <c r="BG29" s="361"/>
      <c r="BH29" s="361"/>
      <c r="BI29" s="361"/>
      <c r="BJ29" s="539"/>
      <c r="BK29" s="539"/>
      <c r="BL29" s="361"/>
      <c r="BM29" s="330"/>
      <c r="BN29" s="339"/>
      <c r="BO29" s="339"/>
      <c r="CG29" s="330"/>
    </row>
    <row r="30" spans="1:85" s="372" customFormat="1" ht="15" customHeight="1">
      <c r="A30" s="866" t="s">
        <v>537</v>
      </c>
      <c r="B30" s="866"/>
      <c r="C30" s="866"/>
      <c r="D30" s="615">
        <v>500</v>
      </c>
      <c r="E30" s="616">
        <f>SUM(E9:E11)</f>
        <v>3</v>
      </c>
      <c r="F30" s="364"/>
      <c r="G30" s="365"/>
      <c r="H30" s="365"/>
      <c r="I30" s="365"/>
      <c r="J30" s="366"/>
      <c r="K30" s="367"/>
      <c r="L30" s="367"/>
      <c r="M30" s="368"/>
      <c r="N30" s="368"/>
      <c r="O30" s="368"/>
      <c r="P30" s="616">
        <f>SUM(P9:P29)</f>
        <v>48.2</v>
      </c>
      <c r="Q30" s="616">
        <f>SUM(Q9:Q29)</f>
        <v>61.75</v>
      </c>
      <c r="R30" s="369"/>
      <c r="S30" s="368"/>
      <c r="T30" s="370">
        <f>SUM(T9:T28)</f>
        <v>0</v>
      </c>
      <c r="U30" s="370">
        <f t="shared" ref="U30:Y30" si="0">SUM(U9:U28)</f>
        <v>0</v>
      </c>
      <c r="V30" s="370">
        <f t="shared" si="0"/>
        <v>0</v>
      </c>
      <c r="W30" s="370">
        <f t="shared" si="0"/>
        <v>0</v>
      </c>
      <c r="X30" s="370">
        <f t="shared" si="0"/>
        <v>0</v>
      </c>
      <c r="Y30" s="370">
        <f t="shared" si="0"/>
        <v>0</v>
      </c>
      <c r="Z30" s="617">
        <f>SUM(Z9:Z29)</f>
        <v>40.644850000000019</v>
      </c>
      <c r="AA30" s="617">
        <f>SUM(AA9:AA29)</f>
        <v>0.86249999999992177</v>
      </c>
      <c r="AB30" s="370">
        <f>SUM(AB9:AB29)</f>
        <v>0</v>
      </c>
      <c r="AC30" s="370">
        <f t="shared" ref="AC30:AE30" si="1">SUM(AC9:AC29)</f>
        <v>0</v>
      </c>
      <c r="AD30" s="370">
        <f t="shared" si="1"/>
        <v>0</v>
      </c>
      <c r="AE30" s="370">
        <f t="shared" si="1"/>
        <v>0</v>
      </c>
      <c r="AF30" s="615" t="s">
        <v>538</v>
      </c>
      <c r="AG30" s="617">
        <f>SUMIF(AF$9:AF$28,AF30,AG$9:AG$28)</f>
        <v>73.07800000000033</v>
      </c>
      <c r="AH30" s="368"/>
      <c r="AI30" s="370">
        <f>SUM(AI9:AI28)</f>
        <v>0</v>
      </c>
      <c r="AJ30" s="370">
        <f t="shared" ref="AJ30" si="2">SUM(AJ9:AJ28)</f>
        <v>0</v>
      </c>
      <c r="AK30" s="617">
        <f>SUM(AK9:AK29)</f>
        <v>32.133333333333333</v>
      </c>
      <c r="AL30" s="617">
        <f t="shared" ref="AL30:BK30" si="3">SUM(AL9:AL29)</f>
        <v>1.9698000000000002</v>
      </c>
      <c r="AM30" s="617">
        <f t="shared" si="3"/>
        <v>0.48799999999999999</v>
      </c>
      <c r="AN30" s="617">
        <f t="shared" si="3"/>
        <v>0</v>
      </c>
      <c r="AO30" s="617">
        <f t="shared" si="3"/>
        <v>8.2558573355843077</v>
      </c>
      <c r="AP30" s="617">
        <f t="shared" si="3"/>
        <v>48.2</v>
      </c>
      <c r="AQ30" s="617">
        <f t="shared" si="3"/>
        <v>14.53487499999995</v>
      </c>
      <c r="AR30" s="617">
        <f t="shared" si="3"/>
        <v>17.103179795378974</v>
      </c>
      <c r="AS30" s="617">
        <f t="shared" si="3"/>
        <v>32.83</v>
      </c>
      <c r="AT30" s="617">
        <f t="shared" si="3"/>
        <v>0</v>
      </c>
      <c r="AU30" s="617">
        <f t="shared" si="3"/>
        <v>0</v>
      </c>
      <c r="AV30" s="617">
        <f t="shared" si="3"/>
        <v>0</v>
      </c>
      <c r="AW30" s="617">
        <f t="shared" si="3"/>
        <v>0</v>
      </c>
      <c r="AX30" s="617">
        <f t="shared" si="3"/>
        <v>0</v>
      </c>
      <c r="AY30" s="617">
        <f t="shared" si="3"/>
        <v>0</v>
      </c>
      <c r="AZ30" s="617">
        <f t="shared" si="3"/>
        <v>0</v>
      </c>
      <c r="BA30" s="617">
        <f t="shared" si="3"/>
        <v>12.830083766007315</v>
      </c>
      <c r="BB30" s="617">
        <f t="shared" si="3"/>
        <v>192.45125649010976</v>
      </c>
      <c r="BC30" s="617">
        <f t="shared" si="3"/>
        <v>0.48799999999999999</v>
      </c>
      <c r="BD30" s="617">
        <f t="shared" si="3"/>
        <v>7.32</v>
      </c>
      <c r="BE30" s="617">
        <f t="shared" si="3"/>
        <v>10.7326145362596</v>
      </c>
      <c r="BF30" s="617">
        <f t="shared" si="3"/>
        <v>160.98921804389403</v>
      </c>
      <c r="BG30" s="617">
        <f t="shared" si="3"/>
        <v>0</v>
      </c>
      <c r="BH30" s="617">
        <f t="shared" si="3"/>
        <v>0</v>
      </c>
      <c r="BI30" s="617">
        <f t="shared" si="3"/>
        <v>0</v>
      </c>
      <c r="BJ30" s="617">
        <f t="shared" si="3"/>
        <v>0.42724450000000008</v>
      </c>
      <c r="BK30" s="617">
        <f t="shared" si="3"/>
        <v>12.817335000000002</v>
      </c>
      <c r="BL30" s="617">
        <f>SUM(BL9:BL29)</f>
        <v>61.75</v>
      </c>
      <c r="BM30" s="371"/>
      <c r="BO30" s="373"/>
      <c r="CG30" s="371"/>
    </row>
    <row r="31" spans="1:85" ht="15" customHeight="1">
      <c r="A31" s="866" t="s">
        <v>537</v>
      </c>
      <c r="B31" s="866"/>
      <c r="C31" s="866"/>
      <c r="D31" s="615">
        <v>150</v>
      </c>
      <c r="E31" s="616">
        <f>SUM(E13:E15)</f>
        <v>2.2000000000000002</v>
      </c>
      <c r="F31" s="868"/>
      <c r="G31" s="868"/>
      <c r="H31" s="868"/>
      <c r="I31" s="868"/>
      <c r="J31" s="868"/>
      <c r="K31" s="374"/>
      <c r="L31" s="374"/>
      <c r="M31" s="320"/>
      <c r="N31" s="374"/>
      <c r="O31" s="374"/>
      <c r="P31" s="374"/>
      <c r="Q31" s="374"/>
      <c r="R31" s="375"/>
      <c r="S31" s="375"/>
      <c r="T31" s="376"/>
      <c r="U31" s="374"/>
      <c r="V31" s="374"/>
      <c r="W31" s="320"/>
      <c r="X31" s="320"/>
      <c r="Y31" s="320"/>
      <c r="Z31" s="320"/>
      <c r="AA31" s="320"/>
      <c r="AB31" s="320"/>
      <c r="AC31" s="320"/>
      <c r="AD31" s="320"/>
      <c r="AE31" s="320"/>
      <c r="AF31" s="615" t="s">
        <v>539</v>
      </c>
      <c r="AG31" s="617">
        <f>SUMIF(AF$9:AF$28,AF31,AG$9:AG$28)</f>
        <v>10.499999999999865</v>
      </c>
      <c r="AH31" s="320"/>
      <c r="AI31" s="374"/>
      <c r="AJ31" s="320"/>
      <c r="AK31" s="374"/>
      <c r="AL31" s="374"/>
      <c r="AM31" s="374"/>
      <c r="AN31" s="320"/>
      <c r="AO31" s="320"/>
      <c r="AP31" s="320"/>
      <c r="AQ31" s="377"/>
      <c r="AR31" s="374"/>
      <c r="AS31" s="374"/>
      <c r="AT31" s="378"/>
      <c r="AU31" s="374"/>
      <c r="AV31" s="374"/>
      <c r="AW31" s="374"/>
      <c r="AX31" s="374"/>
      <c r="AY31" s="374"/>
      <c r="AZ31" s="374"/>
      <c r="BA31" s="374"/>
      <c r="BB31" s="374"/>
      <c r="BC31" s="374"/>
      <c r="BD31" s="320"/>
      <c r="BE31" s="374"/>
      <c r="BF31" s="320"/>
      <c r="BH31" s="374"/>
      <c r="BI31" s="374"/>
      <c r="BK31" s="374"/>
      <c r="BM31" s="330"/>
      <c r="CG31" s="330"/>
    </row>
    <row r="32" spans="1:85" ht="15" customHeight="1">
      <c r="A32" s="866" t="s">
        <v>733</v>
      </c>
      <c r="B32" s="866"/>
      <c r="C32" s="866"/>
      <c r="D32" s="615">
        <v>100</v>
      </c>
      <c r="E32" s="616">
        <f>SUM(E17:E28)</f>
        <v>43</v>
      </c>
      <c r="G32" s="319" t="s">
        <v>540</v>
      </c>
      <c r="I32" s="370"/>
      <c r="J32" s="319">
        <v>0</v>
      </c>
      <c r="K32" s="319" t="s">
        <v>541</v>
      </c>
      <c r="L32" s="375"/>
      <c r="N32" s="375" t="str">
        <f>CONCATENATE($BN$136," Nível de Interferência - vala até ",FIXED($BU$158,2)," m")</f>
        <v>Alto Nível de Interferência - vala até 0,80 m</v>
      </c>
      <c r="P32" s="375"/>
      <c r="Q32" s="375"/>
      <c r="S32" s="375"/>
      <c r="T32" s="370" t="s">
        <v>562</v>
      </c>
      <c r="U32" s="370" t="s">
        <v>562</v>
      </c>
      <c r="V32" s="370" t="e">
        <f>SUMIFS($V$10:$V$30,$H$9:$H$12,$BN$136,$N$10:$N$30,"&lt;=0,8")</f>
        <v>#VALUE!</v>
      </c>
      <c r="W32" s="370" t="e">
        <f>SUMIFS($W$10:$W$30,$H$9:$H$12,$BN$136,$N$10:$N$30,"&lt;=0,8")</f>
        <v>#VALUE!</v>
      </c>
      <c r="X32" s="370" t="e">
        <f>SUMIFS($X$10:$X$30,$H$9:$H$12,$BN$136,$N$10:$N$30,"&lt;=0,8")</f>
        <v>#VALUE!</v>
      </c>
      <c r="Y32" s="370" t="e">
        <f>SUMIFS($Y$10:$Y$30,$H$9:$H$12,$BN$136,$N$10:$N$30,"&lt;=0,8")</f>
        <v>#VALUE!</v>
      </c>
      <c r="AA32" s="379"/>
      <c r="AC32" s="379"/>
      <c r="AF32" s="374" t="s">
        <v>542</v>
      </c>
      <c r="AG32" s="370">
        <f>SUMIF(AF$9:AF$28,AF32,AG$9:AG$28)</f>
        <v>0</v>
      </c>
      <c r="AK32" s="618" t="s">
        <v>543</v>
      </c>
      <c r="AL32" s="619"/>
      <c r="AM32" s="617">
        <f>SUMIFS($AM$10:$AM$30,$N$10:$N$30,"&gt;0,0",$N$10:$N$30,"&lt;=1,5")</f>
        <v>0.48799999999999999</v>
      </c>
      <c r="AN32" s="619"/>
      <c r="AO32" s="617">
        <f>SUMIFS($AO$10:$AO$30,$N$10:$N$30,"&gt;0,0",$N$10:$N$30,"&lt;=1,5")</f>
        <v>8.2558573355843077</v>
      </c>
      <c r="AQ32" s="375"/>
      <c r="AS32" s="617">
        <f>SUMIFS($AS$10:$AS$30,$N$10:$N$30,"&gt;0,0",$N$10:$N$30,"&lt;=1,5")</f>
        <v>32.83</v>
      </c>
      <c r="AU32" s="368"/>
      <c r="AV32" s="368"/>
      <c r="AW32" s="368"/>
      <c r="AX32" s="368"/>
      <c r="AY32" s="368"/>
      <c r="BB32" s="380"/>
      <c r="BI32" s="368"/>
      <c r="BM32" s="330"/>
      <c r="CG32" s="330"/>
    </row>
    <row r="33" spans="1:85" ht="15" customHeight="1">
      <c r="A33" s="867"/>
      <c r="B33" s="867"/>
      <c r="C33" s="867"/>
      <c r="D33" s="374"/>
      <c r="E33" s="508"/>
      <c r="G33" s="319" t="s">
        <v>544</v>
      </c>
      <c r="I33" s="370"/>
      <c r="J33" s="363">
        <f>ROUNDUP(AVERAGE(N9:N12),1)</f>
        <v>1.2000000000000002</v>
      </c>
      <c r="K33" s="319" t="s">
        <v>4</v>
      </c>
      <c r="L33" s="375"/>
      <c r="N33" s="375" t="str">
        <f>CONCATENATE($BN$136," Nível de Interferência - vala de ",FIXED($BU$158,2)," - ",FIXED($BU$159,2)," m")</f>
        <v>Alto Nível de Interferência - vala de 0,80 - 1,50 m</v>
      </c>
      <c r="P33" s="375"/>
      <c r="Q33" s="375"/>
      <c r="S33" s="375"/>
      <c r="T33" s="370" t="s">
        <v>562</v>
      </c>
      <c r="U33" s="370" t="s">
        <v>562</v>
      </c>
      <c r="V33" s="370" t="e">
        <f>SUMIFS($V$10:$V$30,$H$9:$H$12,$BN$136,$N$10:$N$30,"&gt;0,8",$N$10:$N$30,"&lt;=1,5")</f>
        <v>#VALUE!</v>
      </c>
      <c r="W33" s="370" t="e">
        <f>SUMIFS($W$10:$W$30,$H$9:$H$12,$BN$136,$N$10:$N$30,"&gt;0,8",$N$10:$N$30,"&lt;=1,5")</f>
        <v>#VALUE!</v>
      </c>
      <c r="X33" s="370" t="e">
        <f>SUMIFS($X$10:$X$30,$H$9:$H$12,$BN$136,$N$10:$N$30,"&gt;0,8",$N$10:$N$30,"&lt;=1,5")</f>
        <v>#VALUE!</v>
      </c>
      <c r="Y33" s="370" t="e">
        <f>SUMIFS($Y$10:$Y$30,$H$9:$H$12,$BN$136,$N$10:$N$30,"&gt;0,8",$N$10:$N$30,"&lt;=1,5")</f>
        <v>#VALUE!</v>
      </c>
      <c r="AA33" s="379"/>
      <c r="AB33" s="379"/>
      <c r="AC33" s="379"/>
      <c r="AD33" s="379"/>
      <c r="AF33" s="374" t="s">
        <v>545</v>
      </c>
      <c r="AG33" s="370">
        <f>SUMIF(AF$9:AF$28,AF33,AG$9:AG$28)</f>
        <v>0</v>
      </c>
      <c r="AK33" s="375" t="s">
        <v>546</v>
      </c>
      <c r="AM33" s="370">
        <f>SUMIFS($AM$10:$AM$30,$N$10:$N$30,"&gt;1,5",$N$10:$N$30,"&lt;=2,5")</f>
        <v>0</v>
      </c>
      <c r="AO33" s="370">
        <f>SUMIFS($AO$10:$AO$30,$N$10:$N$30,"&gt;1,5",$N$10:$N$30,"&lt;=2,5")</f>
        <v>0</v>
      </c>
      <c r="AQ33" s="375"/>
      <c r="AS33" s="370">
        <f>SUMIFS($AS$10:$AS$30,$N$10:$N$30,"&gt;1,5",$N$10:$N$30,"&lt;=2,5")</f>
        <v>0</v>
      </c>
      <c r="AU33" s="380"/>
      <c r="AV33" s="381"/>
      <c r="AW33" s="381"/>
      <c r="AX33" s="368"/>
      <c r="AY33" s="368"/>
      <c r="BB33" s="380"/>
      <c r="BI33" s="368"/>
      <c r="BM33" s="330"/>
      <c r="BN33" s="380"/>
      <c r="CG33" s="330"/>
    </row>
    <row r="34" spans="1:85" ht="15" customHeight="1">
      <c r="A34" s="909" t="str">
        <f>A21</f>
        <v>CX-AP-1</v>
      </c>
      <c r="B34" s="910"/>
      <c r="C34" s="910"/>
      <c r="D34" s="368">
        <f>L20</f>
        <v>1.0900000000000318</v>
      </c>
      <c r="E34" s="550" t="s">
        <v>4</v>
      </c>
      <c r="G34" s="380" t="s">
        <v>547</v>
      </c>
      <c r="J34" s="365">
        <f>CEILING(J32*(J33+2*$BU$190)*$BU$189,1)</f>
        <v>0</v>
      </c>
      <c r="K34" s="380" t="s">
        <v>1</v>
      </c>
      <c r="L34" s="375"/>
      <c r="N34" s="375" t="str">
        <f>CONCATENATE($BN$136," Nível de Interferência - vala de ",FIXED($BU$159,2)," - ",FIXED($BU$160,2)," m")</f>
        <v>Alto Nível de Interferência - vala de 1,50 - 2,50 m</v>
      </c>
      <c r="P34" s="375"/>
      <c r="Q34" s="375"/>
      <c r="S34" s="375"/>
      <c r="T34" s="370" t="s">
        <v>562</v>
      </c>
      <c r="U34" s="370" t="s">
        <v>562</v>
      </c>
      <c r="V34" s="370" t="e">
        <f>SUMIFS($V$10:$V$30,$H$9:$H$12,$BN$136,$N$10:$N$30,"&gt;1,5",$N$10:$N$30,"&lt;=2,5")</f>
        <v>#VALUE!</v>
      </c>
      <c r="W34" s="370" t="e">
        <f>SUMIFS($W$10:$W$30,$H$9:$H$12,$BN$136,$N$10:$N$30,"&gt;1,5",$N$10:$N$30,"&lt;=2,5")</f>
        <v>#VALUE!</v>
      </c>
      <c r="X34" s="370" t="e">
        <f>SUMIFS($X$10:$X$30,$H$9:$H$12,$BN$136,$N$10:$N$30,"&gt;1,5",$N$10:$N$30,"&lt;=2,5")</f>
        <v>#VALUE!</v>
      </c>
      <c r="Y34" s="370" t="e">
        <f>SUMIFS($Y$10:$Y$30,$H$9:$H$12,$BN$136,$N$10:$N$30,"&gt;1,5",$N$10:$N$30,"&lt;=2,5")</f>
        <v>#VALUE!</v>
      </c>
      <c r="AA34" s="379"/>
      <c r="AB34" s="382"/>
      <c r="AC34" s="379"/>
      <c r="AD34" s="379"/>
      <c r="AE34" s="379"/>
      <c r="AF34" s="374" t="s">
        <v>548</v>
      </c>
      <c r="AG34" s="370">
        <f>SUMIF(AF$9:AF$28,AF34,AG$9:AG$28)</f>
        <v>0</v>
      </c>
      <c r="AM34" s="382"/>
      <c r="AQ34" s="383"/>
      <c r="AS34" s="382"/>
      <c r="AV34" s="381"/>
      <c r="AW34" s="381"/>
      <c r="AX34" s="384"/>
      <c r="AY34" s="384"/>
      <c r="BI34" s="384"/>
      <c r="BM34" s="330"/>
      <c r="CG34" s="330"/>
    </row>
    <row r="35" spans="1:85" ht="15" customHeight="1">
      <c r="A35" s="909" t="str">
        <f>A24</f>
        <v>CX-AP-2</v>
      </c>
      <c r="B35" s="910"/>
      <c r="C35" s="910"/>
      <c r="D35" s="368">
        <f>L22</f>
        <v>1.1699999999999591</v>
      </c>
      <c r="E35" s="550" t="s">
        <v>4</v>
      </c>
      <c r="G35" s="380" t="s">
        <v>549</v>
      </c>
      <c r="J35" s="365">
        <f>$BU$191*J32</f>
        <v>0</v>
      </c>
      <c r="K35" s="380" t="s">
        <v>4</v>
      </c>
      <c r="L35" s="375"/>
      <c r="N35" s="375" t="str">
        <f>CONCATENATE($BN$136," Nível de Interferência - vala acima de ",FIXED($BU$160,2)," m")</f>
        <v>Alto Nível de Interferência - vala acima de 2,50 m</v>
      </c>
      <c r="P35" s="375"/>
      <c r="Q35" s="375"/>
      <c r="S35" s="375"/>
      <c r="T35" s="370" t="s">
        <v>562</v>
      </c>
      <c r="U35" s="370" t="s">
        <v>562</v>
      </c>
      <c r="V35" s="370" t="e">
        <f>SUMIFS($V$10:$V$30,$H$9:$H$12,$BN$136,$N$10:$N$30,"&gt;2,5")</f>
        <v>#VALUE!</v>
      </c>
      <c r="W35" s="370" t="e">
        <f>SUMIFS($W$10:$W$30,$H$9:$H$12,$BN$136,$N$10:$N$30,"&gt;2,5")</f>
        <v>#VALUE!</v>
      </c>
      <c r="X35" s="370" t="e">
        <f>SUMIFS($X$10:$X$30,$H$9:$H$12,$BN$136,$N$10:$N$30,"&gt;2,5")</f>
        <v>#VALUE!</v>
      </c>
      <c r="Y35" s="370" t="e">
        <f>SUMIFS($Y$10:$Y$30,$H$9:$H$12,$BN$136,$N$10:$N$30,"&gt;2,5")</f>
        <v>#VALUE!</v>
      </c>
      <c r="AA35" s="379"/>
      <c r="AB35" s="379"/>
      <c r="AC35" s="379"/>
      <c r="AD35" s="379"/>
      <c r="AF35" s="374"/>
      <c r="AG35" s="381"/>
      <c r="AK35" s="380"/>
      <c r="AL35" s="380"/>
      <c r="AM35" s="383"/>
      <c r="AQ35" s="383"/>
      <c r="AS35" s="382"/>
      <c r="AU35" s="380"/>
      <c r="AV35" s="370"/>
      <c r="AW35" s="390"/>
      <c r="AX35" s="384"/>
      <c r="AY35" s="384"/>
      <c r="BI35" s="384"/>
      <c r="BM35" s="330"/>
      <c r="CG35" s="330"/>
    </row>
    <row r="36" spans="1:85" ht="15" customHeight="1">
      <c r="A36" s="909" t="str">
        <f>A27</f>
        <v>CX-AP-3</v>
      </c>
      <c r="B36" s="910"/>
      <c r="C36" s="910"/>
      <c r="D36" s="368">
        <f>L25</f>
        <v>0.97000000000002728</v>
      </c>
      <c r="E36" s="375" t="s">
        <v>4</v>
      </c>
      <c r="G36" s="380" t="s">
        <v>439</v>
      </c>
      <c r="J36" s="509">
        <v>0</v>
      </c>
      <c r="K36" s="380" t="s">
        <v>8</v>
      </c>
      <c r="L36" s="375"/>
      <c r="N36" s="375" t="str">
        <f>CONCATENATE($BN$137," Nível de Interferência - vala até ",FIXED($BU$158,2)," m")</f>
        <v>Baixo Nível de Interferência - vala até 0,80 m</v>
      </c>
      <c r="P36" s="375"/>
      <c r="Q36" s="375"/>
      <c r="S36" s="375"/>
      <c r="T36" s="370" t="s">
        <v>562</v>
      </c>
      <c r="U36" s="370" t="s">
        <v>562</v>
      </c>
      <c r="V36" s="370" t="e">
        <f>SUMIFS($V$10:$V$30,$H$9:$H$12,$BN$137,$N$10:$N$30,"&lt;=0,8")</f>
        <v>#VALUE!</v>
      </c>
      <c r="W36" s="370" t="e">
        <f>SUMIFS($W$10:$W$30,$H$9:$H$12,$BN$137,$N$10:$N$30,"&lt;=0,8")</f>
        <v>#VALUE!</v>
      </c>
      <c r="X36" s="370" t="e">
        <f>SUMIFS($X$10:$X$30,$H$9:$H$12,$BN$137,$N$10:$N$30,"&lt;=0,8")</f>
        <v>#VALUE!</v>
      </c>
      <c r="Y36" s="370" t="e">
        <f>SUMIFS($Y$10:$Y$30,$H$9:$H$12,$BN$137,$N$10:$N$30,"&lt;=0,8")</f>
        <v>#VALUE!</v>
      </c>
      <c r="AA36" s="385"/>
      <c r="AB36" s="363"/>
      <c r="AC36" s="386"/>
      <c r="AD36" s="379"/>
      <c r="AQ36" s="382"/>
      <c r="AU36" s="380"/>
      <c r="AV36" s="370"/>
      <c r="AW36" s="390"/>
      <c r="AX36" s="384"/>
      <c r="AY36" s="384"/>
      <c r="BI36" s="384"/>
      <c r="CG36" s="330"/>
    </row>
    <row r="37" spans="1:85" ht="15" customHeight="1">
      <c r="A37" s="911" t="s">
        <v>760</v>
      </c>
      <c r="B37" s="911"/>
      <c r="C37" s="911"/>
      <c r="D37" s="616">
        <f>SUM(D34:D36)</f>
        <v>3.2300000000000182</v>
      </c>
      <c r="E37" s="618" t="s">
        <v>4</v>
      </c>
      <c r="G37" s="374"/>
      <c r="H37" s="374"/>
      <c r="I37" s="380"/>
      <c r="K37" s="375"/>
      <c r="L37" s="375"/>
      <c r="N37" s="375" t="str">
        <f>CONCATENATE($BN$137," Nível de Interferência - vala de ",FIXED($BU$158,2)," - ",FIXED($BU$159,2)," m")</f>
        <v>Baixo Nível de Interferência - vala de 0,80 - 1,50 m</v>
      </c>
      <c r="P37" s="375"/>
      <c r="Q37" s="375"/>
      <c r="T37" s="370" t="s">
        <v>562</v>
      </c>
      <c r="U37" s="370" t="s">
        <v>562</v>
      </c>
      <c r="V37" s="387" t="e">
        <f>SUMIFS($V$10:$V$30,$H$9:$H$12,$BN$137,$N$10:$N$30,"&gt;0,8",$N$10:$N$30,"&lt;=1,5")</f>
        <v>#VALUE!</v>
      </c>
      <c r="W37" s="387" t="e">
        <f>SUMIFS($W$10:$W$30,$H$9:$H$12,$BN$137,$N$10:$N$30,"&gt;0,8",$N$10:$N$30,"&lt;=1,5")</f>
        <v>#VALUE!</v>
      </c>
      <c r="X37" s="387" t="e">
        <f>SUMIFS($X$10:$X$30,$H$9:$H$12,$BN$137,$N$10:$N$30,"&gt;0,8",$N$10:$N$30,"&lt;=1,5")</f>
        <v>#VALUE!</v>
      </c>
      <c r="Y37" s="387" t="e">
        <f>SUMIFS($Y$10:$Y$30,$H$9:$H$12,$BN$137,$N$10:$N$30,"&gt;0,8",$N$10:$N$30,"&lt;=1,5")</f>
        <v>#VALUE!</v>
      </c>
      <c r="AA37" s="363"/>
      <c r="AB37" s="387"/>
      <c r="AC37" s="387"/>
      <c r="AD37" s="379"/>
      <c r="AQ37" s="382"/>
      <c r="AX37" s="384"/>
      <c r="AY37" s="384"/>
      <c r="BI37" s="384"/>
      <c r="BN37" s="380"/>
      <c r="CG37" s="330"/>
    </row>
    <row r="38" spans="1:85" ht="15" customHeight="1">
      <c r="A38" s="867"/>
      <c r="B38" s="867"/>
      <c r="C38" s="867"/>
      <c r="D38" s="374"/>
      <c r="E38" s="508"/>
      <c r="G38" s="374"/>
      <c r="H38" s="374"/>
      <c r="I38" s="380"/>
      <c r="K38" s="375"/>
      <c r="L38" s="375"/>
      <c r="N38" s="375" t="str">
        <f>CONCATENATE($BN$137," Nível de Interferência - vala de ",FIXED($BU$159,2)," - ",FIXED($BU$160,2)," m")</f>
        <v>Baixo Nível de Interferência - vala de 1,50 - 2,50 m</v>
      </c>
      <c r="P38" s="375"/>
      <c r="Q38" s="375"/>
      <c r="T38" s="370" t="s">
        <v>562</v>
      </c>
      <c r="U38" s="370" t="s">
        <v>562</v>
      </c>
      <c r="V38" s="370" t="e">
        <f>SUMIFS($V$10:$V$30,$H$9:$H$12,$BN$137,$N$10:$N$30,"&gt;1,5",$N$10:$N$30,"&lt;=2,5")</f>
        <v>#VALUE!</v>
      </c>
      <c r="W38" s="370" t="e">
        <f>SUMIFS($W$10:$W$30,$H$9:$H$12,$BN$137,$N$10:$N$30,"&gt;1,5",$N$10:$N$30,"&lt;=2,5")</f>
        <v>#VALUE!</v>
      </c>
      <c r="X38" s="370" t="e">
        <f>SUMIFS($X$10:$X$30,$H$9:$H$12,$BN$137,$N$10:$N$30,"&gt;1,5",$N$10:$N$30,"&lt;=2,5")</f>
        <v>#VALUE!</v>
      </c>
      <c r="Y38" s="370" t="e">
        <f>SUMIFS($Y$10:$Y$30,$H$9:$H$12,$BN$137,$N$10:$N$30,"&gt;1,5",$N$10:$N$30,"&lt;=2,5")</f>
        <v>#VALUE!</v>
      </c>
      <c r="AB38" s="365"/>
      <c r="AC38" s="387"/>
      <c r="AD38" s="379"/>
      <c r="AL38" s="380"/>
      <c r="AM38" s="380"/>
      <c r="BN38" s="380"/>
      <c r="CG38" s="330"/>
    </row>
    <row r="39" spans="1:85" ht="15" customHeight="1">
      <c r="A39" s="865"/>
      <c r="B39" s="865"/>
      <c r="C39" s="865"/>
      <c r="D39" s="388"/>
      <c r="E39" s="389"/>
      <c r="G39" s="374"/>
      <c r="H39" s="374"/>
      <c r="I39" s="380"/>
      <c r="K39" s="375"/>
      <c r="L39" s="375"/>
      <c r="N39" s="375" t="str">
        <f>CONCATENATE($BN$137," Nível de Interferência - vala acima de ",FIXED($BU$160,2)," m")</f>
        <v>Baixo Nível de Interferência - vala acima de 2,50 m</v>
      </c>
      <c r="P39" s="375"/>
      <c r="Q39" s="375"/>
      <c r="T39" s="370" t="s">
        <v>562</v>
      </c>
      <c r="U39" s="370" t="s">
        <v>562</v>
      </c>
      <c r="V39" s="387" t="e">
        <f>SUMIFS($V$10:$V$30,$H$9:$H$12,$BN$137,$N$10:$N$30,"&gt;2,5")</f>
        <v>#VALUE!</v>
      </c>
      <c r="W39" s="387" t="e">
        <f>SUMIFS($W$10:$W$30,$H$9:$H$12,$BN$137,$N$10:$N$30,"&gt;2,5")</f>
        <v>#VALUE!</v>
      </c>
      <c r="X39" s="387" t="e">
        <f>SUMIFS($X$10:$X$30,$H$9:$H$12,$BN$137,$N$10:$N$30,"&gt;2,5")</f>
        <v>#VALUE!</v>
      </c>
      <c r="Y39" s="387" t="e">
        <f>SUMIFS($Y$10:$Y$30,$H$9:$H$12,$BN$137,$N$10:$N$30,"&gt;2,5")</f>
        <v>#VALUE!</v>
      </c>
      <c r="AC39" s="379"/>
      <c r="AJ39" s="390"/>
      <c r="AK39" s="375"/>
      <c r="AL39" s="375"/>
      <c r="AM39" s="375"/>
      <c r="AR39" s="370"/>
      <c r="AT39" s="390"/>
      <c r="BC39" s="380"/>
      <c r="CG39" s="330"/>
    </row>
    <row r="40" spans="1:85" ht="15" customHeight="1">
      <c r="F40" s="380"/>
      <c r="G40" s="380"/>
      <c r="M40" s="363"/>
      <c r="S40" s="380"/>
      <c r="T40" s="379"/>
      <c r="V40" s="382"/>
      <c r="AB40" s="379"/>
      <c r="AD40" s="379"/>
      <c r="AG40" s="363"/>
      <c r="AJ40" s="380"/>
      <c r="BC40" s="380"/>
      <c r="CG40" s="330"/>
    </row>
    <row r="41" spans="1:85" ht="15" customHeight="1">
      <c r="T41" s="379"/>
      <c r="U41" s="379"/>
      <c r="V41" s="382"/>
      <c r="AG41" s="363"/>
      <c r="BE41" s="380"/>
      <c r="BH41" s="380"/>
      <c r="BK41" s="380"/>
      <c r="BL41" s="391"/>
      <c r="CG41" s="330"/>
    </row>
    <row r="42" spans="1:85" ht="15" customHeight="1">
      <c r="E42" s="392"/>
      <c r="T42" s="393"/>
      <c r="U42" s="379"/>
      <c r="V42" s="382"/>
      <c r="BE42" s="380"/>
      <c r="BH42" s="380"/>
      <c r="BK42" s="380"/>
      <c r="BL42" s="391"/>
      <c r="CG42" s="330"/>
    </row>
    <row r="43" spans="1:85">
      <c r="E43" s="392"/>
      <c r="T43" s="382"/>
      <c r="U43" s="382"/>
      <c r="V43" s="382"/>
      <c r="BL43" s="391"/>
      <c r="BM43" s="330"/>
    </row>
    <row r="44" spans="1:85" ht="12" customHeight="1">
      <c r="D44" s="394"/>
      <c r="E44" s="392"/>
      <c r="BL44" s="391"/>
      <c r="BM44" s="330"/>
      <c r="BO44" s="395"/>
      <c r="BP44" s="395"/>
      <c r="BQ44" s="395"/>
      <c r="BR44" s="395"/>
      <c r="BS44" s="395"/>
      <c r="BT44" s="330"/>
      <c r="BV44" s="395"/>
      <c r="BW44" s="395"/>
      <c r="BX44" s="395"/>
      <c r="BY44" s="395"/>
      <c r="BZ44" s="395"/>
      <c r="CC44" s="395"/>
      <c r="CD44" s="395"/>
      <c r="CE44" s="395"/>
      <c r="CF44" s="395"/>
      <c r="CG44" s="395"/>
    </row>
    <row r="45" spans="1:85" ht="12.75" customHeight="1">
      <c r="E45" s="392"/>
      <c r="T45" s="382"/>
      <c r="BL45" s="391"/>
      <c r="BM45" s="330"/>
      <c r="BN45" s="862" t="s">
        <v>550</v>
      </c>
      <c r="BO45" s="862"/>
      <c r="BP45" s="862"/>
      <c r="BQ45" s="862"/>
      <c r="BR45" s="862"/>
      <c r="BS45" s="862"/>
      <c r="BT45" s="330"/>
      <c r="BU45" s="862" t="s">
        <v>550</v>
      </c>
      <c r="BV45" s="862"/>
      <c r="BW45" s="862"/>
      <c r="BX45" s="862"/>
      <c r="BY45" s="862"/>
      <c r="BZ45" s="862"/>
      <c r="CB45" s="862" t="s">
        <v>550</v>
      </c>
      <c r="CC45" s="862"/>
      <c r="CD45" s="862"/>
      <c r="CE45" s="862"/>
      <c r="CF45" s="862"/>
      <c r="CG45" s="862"/>
    </row>
    <row r="46" spans="1:85" ht="12" customHeight="1">
      <c r="E46" s="392"/>
      <c r="V46" s="379"/>
      <c r="BL46" s="391"/>
      <c r="BM46" s="330"/>
      <c r="BN46" s="862"/>
      <c r="BO46" s="862"/>
      <c r="BP46" s="862"/>
      <c r="BQ46" s="862"/>
      <c r="BR46" s="862"/>
      <c r="BS46" s="862"/>
      <c r="BT46" s="330"/>
      <c r="BU46" s="862"/>
      <c r="BV46" s="862"/>
      <c r="BW46" s="862"/>
      <c r="BX46" s="862"/>
      <c r="BY46" s="862"/>
      <c r="BZ46" s="862"/>
      <c r="CB46" s="862"/>
      <c r="CC46" s="862"/>
      <c r="CD46" s="862"/>
      <c r="CE46" s="862"/>
      <c r="CF46" s="862"/>
      <c r="CG46" s="862"/>
    </row>
    <row r="47" spans="1:85" ht="12" customHeight="1">
      <c r="E47" s="392"/>
      <c r="V47" s="379"/>
      <c r="BL47" s="391"/>
      <c r="BM47" s="330"/>
      <c r="BN47" s="863" t="s">
        <v>551</v>
      </c>
      <c r="BO47" s="863"/>
      <c r="BP47" s="863"/>
      <c r="BQ47" s="863"/>
      <c r="BR47" s="863"/>
      <c r="BS47" s="863"/>
      <c r="BT47" s="330"/>
      <c r="BU47" s="863" t="s">
        <v>552</v>
      </c>
      <c r="BV47" s="863"/>
      <c r="BW47" s="863"/>
      <c r="BX47" s="863"/>
      <c r="BY47" s="863"/>
      <c r="BZ47" s="863"/>
      <c r="CB47" s="863" t="s">
        <v>553</v>
      </c>
      <c r="CC47" s="863"/>
      <c r="CD47" s="863"/>
      <c r="CE47" s="863"/>
      <c r="CF47" s="863"/>
      <c r="CG47" s="863"/>
    </row>
    <row r="48" spans="1:85">
      <c r="V48" s="379"/>
      <c r="BL48" s="391"/>
      <c r="BM48" s="330"/>
      <c r="BN48" s="864" t="s">
        <v>554</v>
      </c>
      <c r="BO48" s="864"/>
      <c r="BP48" s="864"/>
      <c r="BQ48" s="864"/>
      <c r="BR48" s="864"/>
      <c r="BS48" s="864"/>
      <c r="BT48" s="330"/>
      <c r="BU48" s="864" t="s">
        <v>554</v>
      </c>
      <c r="BV48" s="864"/>
      <c r="BW48" s="864"/>
      <c r="BX48" s="864"/>
      <c r="BY48" s="864"/>
      <c r="BZ48" s="864"/>
      <c r="CB48" s="864" t="s">
        <v>554</v>
      </c>
      <c r="CC48" s="864"/>
      <c r="CD48" s="864"/>
      <c r="CE48" s="864"/>
      <c r="CF48" s="864"/>
      <c r="CG48" s="864"/>
    </row>
    <row r="49" spans="21:85" ht="12" customHeight="1">
      <c r="U49" s="379"/>
      <c r="V49" s="382"/>
      <c r="BL49" s="391"/>
      <c r="BM49" s="330"/>
      <c r="BN49" s="862" t="s">
        <v>555</v>
      </c>
      <c r="BO49" s="862" t="s">
        <v>556</v>
      </c>
      <c r="BP49" s="862" t="s">
        <v>557</v>
      </c>
      <c r="BQ49" s="862" t="s">
        <v>558</v>
      </c>
      <c r="BR49" s="862" t="s">
        <v>559</v>
      </c>
      <c r="BS49" s="862" t="s">
        <v>560</v>
      </c>
      <c r="BT49" s="330"/>
      <c r="BU49" s="862" t="s">
        <v>555</v>
      </c>
      <c r="BV49" s="862" t="s">
        <v>556</v>
      </c>
      <c r="BW49" s="862" t="s">
        <v>557</v>
      </c>
      <c r="BX49" s="862" t="s">
        <v>558</v>
      </c>
      <c r="BY49" s="862" t="s">
        <v>559</v>
      </c>
      <c r="BZ49" s="862" t="s">
        <v>560</v>
      </c>
      <c r="CB49" s="862" t="s">
        <v>555</v>
      </c>
      <c r="CC49" s="862" t="s">
        <v>556</v>
      </c>
      <c r="CD49" s="862" t="s">
        <v>557</v>
      </c>
      <c r="CE49" s="862" t="s">
        <v>558</v>
      </c>
      <c r="CF49" s="862" t="s">
        <v>559</v>
      </c>
      <c r="CG49" s="862" t="s">
        <v>560</v>
      </c>
    </row>
    <row r="50" spans="21:85">
      <c r="U50" s="379"/>
      <c r="BL50" s="391"/>
      <c r="BM50" s="330"/>
      <c r="BN50" s="862"/>
      <c r="BO50" s="862"/>
      <c r="BP50" s="862"/>
      <c r="BQ50" s="862"/>
      <c r="BR50" s="862"/>
      <c r="BS50" s="862"/>
      <c r="BU50" s="862"/>
      <c r="BV50" s="862"/>
      <c r="BW50" s="862"/>
      <c r="BX50" s="862"/>
      <c r="BY50" s="862"/>
      <c r="BZ50" s="862"/>
      <c r="CB50" s="862"/>
      <c r="CC50" s="862"/>
      <c r="CD50" s="862"/>
      <c r="CE50" s="862"/>
      <c r="CF50" s="862"/>
      <c r="CG50" s="862"/>
    </row>
    <row r="51" spans="21:85">
      <c r="U51" s="382"/>
      <c r="BL51" s="391"/>
      <c r="BM51" s="330"/>
      <c r="BN51" s="862"/>
      <c r="BO51" s="862"/>
      <c r="BP51" s="862"/>
      <c r="BQ51" s="862"/>
      <c r="BR51" s="862"/>
      <c r="BS51" s="862"/>
      <c r="BU51" s="862"/>
      <c r="BV51" s="862"/>
      <c r="BW51" s="862"/>
      <c r="BX51" s="862"/>
      <c r="BY51" s="862"/>
      <c r="BZ51" s="862"/>
      <c r="CB51" s="862"/>
      <c r="CC51" s="862"/>
      <c r="CD51" s="862"/>
      <c r="CE51" s="862"/>
      <c r="CF51" s="862"/>
      <c r="CG51" s="862"/>
    </row>
    <row r="52" spans="21:85">
      <c r="BL52" s="391"/>
      <c r="BM52" s="330"/>
      <c r="BZ52" s="330"/>
    </row>
    <row r="53" spans="21:85">
      <c r="BL53" s="391"/>
      <c r="BM53" s="330"/>
      <c r="BN53" s="396">
        <v>50</v>
      </c>
      <c r="BO53" s="396" t="s">
        <v>561</v>
      </c>
      <c r="BP53" s="397">
        <v>0.65</v>
      </c>
      <c r="BQ53" s="397">
        <v>0.7</v>
      </c>
      <c r="BR53" s="397">
        <v>0.8</v>
      </c>
      <c r="BS53" s="397">
        <v>1.3</v>
      </c>
      <c r="BT53" s="330"/>
      <c r="BU53" s="396">
        <v>50</v>
      </c>
      <c r="BV53" s="396" t="s">
        <v>561</v>
      </c>
      <c r="BW53" s="397">
        <v>0.65</v>
      </c>
      <c r="BX53" s="397">
        <v>0.7</v>
      </c>
      <c r="BY53" s="397">
        <v>0.8</v>
      </c>
      <c r="BZ53" s="397">
        <v>1.3</v>
      </c>
      <c r="CB53" s="396">
        <v>100</v>
      </c>
      <c r="CC53" s="396" t="s">
        <v>561</v>
      </c>
      <c r="CD53" s="397">
        <v>0.65</v>
      </c>
      <c r="CE53" s="397">
        <v>0.65</v>
      </c>
      <c r="CF53" s="397">
        <v>0.75</v>
      </c>
      <c r="CG53" s="397" t="s">
        <v>562</v>
      </c>
    </row>
    <row r="54" spans="21:85">
      <c r="BL54" s="391"/>
      <c r="BM54" s="330"/>
      <c r="BN54" s="396">
        <v>75</v>
      </c>
      <c r="BO54" s="396" t="s">
        <v>561</v>
      </c>
      <c r="BP54" s="397">
        <v>0.65</v>
      </c>
      <c r="BQ54" s="397">
        <v>0.7</v>
      </c>
      <c r="BR54" s="397">
        <v>0.8</v>
      </c>
      <c r="BS54" s="397">
        <v>1.3</v>
      </c>
      <c r="BT54" s="330"/>
      <c r="BU54" s="396">
        <v>75</v>
      </c>
      <c r="BV54" s="396" t="s">
        <v>561</v>
      </c>
      <c r="BW54" s="397">
        <v>0.65</v>
      </c>
      <c r="BX54" s="397">
        <v>0.7</v>
      </c>
      <c r="BY54" s="397">
        <v>0.8</v>
      </c>
      <c r="BZ54" s="397">
        <v>1.3</v>
      </c>
      <c r="CB54" s="396">
        <v>150</v>
      </c>
      <c r="CC54" s="396" t="s">
        <v>561</v>
      </c>
      <c r="CD54" s="397">
        <v>0.65</v>
      </c>
      <c r="CE54" s="397">
        <v>0.65</v>
      </c>
      <c r="CF54" s="397">
        <v>0.75</v>
      </c>
      <c r="CG54" s="397" t="s">
        <v>562</v>
      </c>
    </row>
    <row r="55" spans="21:85">
      <c r="BL55" s="391"/>
      <c r="BM55" s="330"/>
      <c r="BN55" s="396">
        <v>100</v>
      </c>
      <c r="BO55" s="396" t="s">
        <v>561</v>
      </c>
      <c r="BP55" s="397">
        <v>0.65</v>
      </c>
      <c r="BQ55" s="397">
        <v>0.7</v>
      </c>
      <c r="BR55" s="397">
        <v>0.8</v>
      </c>
      <c r="BS55" s="397">
        <v>1.3</v>
      </c>
      <c r="BT55" s="330"/>
      <c r="BU55" s="396">
        <v>100</v>
      </c>
      <c r="BV55" s="396" t="s">
        <v>561</v>
      </c>
      <c r="BW55" s="397">
        <v>0.65</v>
      </c>
      <c r="BX55" s="397">
        <v>0.7</v>
      </c>
      <c r="BY55" s="397">
        <v>0.8</v>
      </c>
      <c r="BZ55" s="397">
        <v>1.3</v>
      </c>
      <c r="CB55" s="396">
        <v>200</v>
      </c>
      <c r="CC55" s="396" t="s">
        <v>561</v>
      </c>
      <c r="CD55" s="397">
        <v>0.7</v>
      </c>
      <c r="CE55" s="397">
        <v>0.7</v>
      </c>
      <c r="CF55" s="397">
        <v>0.8</v>
      </c>
      <c r="CG55" s="397" t="s">
        <v>562</v>
      </c>
    </row>
    <row r="56" spans="21:85">
      <c r="BL56" s="391"/>
      <c r="BM56" s="330"/>
      <c r="BN56" s="396">
        <v>150</v>
      </c>
      <c r="BO56" s="396" t="s">
        <v>561</v>
      </c>
      <c r="BP56" s="397">
        <v>0.65</v>
      </c>
      <c r="BQ56" s="397">
        <v>0.7</v>
      </c>
      <c r="BR56" s="397">
        <v>0.8</v>
      </c>
      <c r="BS56" s="397">
        <v>1.3</v>
      </c>
      <c r="BT56" s="330"/>
      <c r="BU56" s="396">
        <v>150</v>
      </c>
      <c r="BV56" s="396" t="s">
        <v>561</v>
      </c>
      <c r="BW56" s="397">
        <v>0.65</v>
      </c>
      <c r="BX56" s="397">
        <v>0.7</v>
      </c>
      <c r="BY56" s="397">
        <v>0.8</v>
      </c>
      <c r="BZ56" s="397">
        <v>1.3</v>
      </c>
      <c r="CB56" s="396">
        <v>250</v>
      </c>
      <c r="CC56" s="396" t="s">
        <v>561</v>
      </c>
      <c r="CD56" s="397">
        <v>0.8</v>
      </c>
      <c r="CE56" s="397">
        <v>0.8</v>
      </c>
      <c r="CF56" s="397">
        <v>0.9</v>
      </c>
      <c r="CG56" s="397" t="s">
        <v>562</v>
      </c>
    </row>
    <row r="57" spans="21:85" ht="12" customHeight="1">
      <c r="BL57" s="391"/>
      <c r="BM57" s="330"/>
      <c r="BN57" s="396">
        <v>200</v>
      </c>
      <c r="BO57" s="396" t="s">
        <v>561</v>
      </c>
      <c r="BP57" s="397">
        <v>0.7</v>
      </c>
      <c r="BQ57" s="397">
        <v>0.75</v>
      </c>
      <c r="BR57" s="397">
        <v>0.85</v>
      </c>
      <c r="BS57" s="397">
        <v>1.35</v>
      </c>
      <c r="BT57" s="330"/>
      <c r="BU57" s="396">
        <v>200</v>
      </c>
      <c r="BV57" s="396" t="s">
        <v>561</v>
      </c>
      <c r="BW57" s="397">
        <v>0.7</v>
      </c>
      <c r="BX57" s="397">
        <v>0.75</v>
      </c>
      <c r="BY57" s="397">
        <v>0.85</v>
      </c>
      <c r="BZ57" s="397">
        <v>1.35</v>
      </c>
      <c r="CB57" s="396">
        <v>300</v>
      </c>
      <c r="CC57" s="396" t="s">
        <v>561</v>
      </c>
      <c r="CD57" s="397">
        <v>0.8</v>
      </c>
      <c r="CE57" s="397">
        <v>0.8</v>
      </c>
      <c r="CF57" s="397">
        <v>0.9</v>
      </c>
      <c r="CG57" s="397" t="s">
        <v>562</v>
      </c>
    </row>
    <row r="58" spans="21:85">
      <c r="BL58" s="391"/>
      <c r="BM58" s="330"/>
      <c r="BN58" s="396">
        <v>250</v>
      </c>
      <c r="BO58" s="396" t="s">
        <v>561</v>
      </c>
      <c r="BP58" s="397">
        <v>0.75</v>
      </c>
      <c r="BQ58" s="397">
        <v>0.8</v>
      </c>
      <c r="BR58" s="397">
        <v>0.9</v>
      </c>
      <c r="BS58" s="397">
        <v>1.4</v>
      </c>
      <c r="BT58" s="330"/>
      <c r="BU58" s="396">
        <v>250</v>
      </c>
      <c r="BV58" s="396" t="s">
        <v>561</v>
      </c>
      <c r="BW58" s="397">
        <v>0.75</v>
      </c>
      <c r="BX58" s="397">
        <v>0.8</v>
      </c>
      <c r="BY58" s="397">
        <v>0.9</v>
      </c>
      <c r="BZ58" s="397">
        <v>1.4</v>
      </c>
      <c r="CB58" s="396">
        <v>350</v>
      </c>
      <c r="CC58" s="396" t="s">
        <v>561</v>
      </c>
      <c r="CD58" s="397">
        <v>0.9</v>
      </c>
      <c r="CE58" s="397">
        <v>1.1000000000000001</v>
      </c>
      <c r="CF58" s="397">
        <v>1.2</v>
      </c>
      <c r="CG58" s="397" t="s">
        <v>562</v>
      </c>
    </row>
    <row r="59" spans="21:85">
      <c r="BL59" s="391"/>
      <c r="BM59" s="330"/>
      <c r="BN59" s="396">
        <v>300</v>
      </c>
      <c r="BO59" s="396" t="s">
        <v>561</v>
      </c>
      <c r="BP59" s="397">
        <v>0.8</v>
      </c>
      <c r="BQ59" s="397">
        <v>0.85</v>
      </c>
      <c r="BR59" s="397">
        <v>0.95</v>
      </c>
      <c r="BS59" s="397">
        <v>1.45</v>
      </c>
      <c r="BT59" s="330"/>
      <c r="BU59" s="396">
        <v>300</v>
      </c>
      <c r="BV59" s="396" t="s">
        <v>561</v>
      </c>
      <c r="BW59" s="397">
        <v>0.8</v>
      </c>
      <c r="BX59" s="397">
        <v>0.85</v>
      </c>
      <c r="BY59" s="397">
        <v>0.95</v>
      </c>
      <c r="BZ59" s="397">
        <v>1.45</v>
      </c>
      <c r="CB59" s="396">
        <v>400</v>
      </c>
      <c r="CC59" s="396" t="s">
        <v>561</v>
      </c>
      <c r="CD59" s="397">
        <v>0.9</v>
      </c>
      <c r="CE59" s="397">
        <v>1.1000000000000001</v>
      </c>
      <c r="CF59" s="397">
        <v>1.2</v>
      </c>
      <c r="CG59" s="397" t="s">
        <v>562</v>
      </c>
    </row>
    <row r="60" spans="21:85">
      <c r="BL60" s="391"/>
      <c r="BM60" s="330"/>
      <c r="BN60" s="396">
        <v>350</v>
      </c>
      <c r="BO60" s="396" t="s">
        <v>561</v>
      </c>
      <c r="BP60" s="397">
        <v>0.8</v>
      </c>
      <c r="BQ60" s="397">
        <v>0.85</v>
      </c>
      <c r="BR60" s="397">
        <v>0.95</v>
      </c>
      <c r="BS60" s="397">
        <v>1.45</v>
      </c>
      <c r="BT60" s="330"/>
      <c r="BU60" s="396">
        <v>350</v>
      </c>
      <c r="BV60" s="396" t="s">
        <v>561</v>
      </c>
      <c r="BW60" s="397">
        <v>0.8</v>
      </c>
      <c r="BX60" s="397">
        <v>0.85</v>
      </c>
      <c r="BY60" s="397">
        <v>0.95</v>
      </c>
      <c r="BZ60" s="397">
        <v>1.45</v>
      </c>
      <c r="CB60" s="396">
        <v>450</v>
      </c>
      <c r="CC60" s="396" t="s">
        <v>561</v>
      </c>
      <c r="CD60" s="397">
        <v>1</v>
      </c>
      <c r="CE60" s="397">
        <v>1.1499999999999999</v>
      </c>
      <c r="CF60" s="397">
        <v>1.25</v>
      </c>
      <c r="CG60" s="397" t="s">
        <v>562</v>
      </c>
    </row>
    <row r="61" spans="21:85">
      <c r="BL61" s="391"/>
      <c r="BM61" s="330"/>
      <c r="BN61" s="396">
        <v>400</v>
      </c>
      <c r="BO61" s="396" t="s">
        <v>561</v>
      </c>
      <c r="BP61" s="397">
        <v>0.9</v>
      </c>
      <c r="BQ61" s="397">
        <v>1</v>
      </c>
      <c r="BR61" s="397">
        <v>1.1000000000000001</v>
      </c>
      <c r="BS61" s="397">
        <v>1.6</v>
      </c>
      <c r="BT61" s="330"/>
      <c r="BU61" s="396">
        <v>400</v>
      </c>
      <c r="BV61" s="396" t="s">
        <v>561</v>
      </c>
      <c r="BW61" s="397">
        <v>0.9</v>
      </c>
      <c r="BX61" s="397">
        <v>1</v>
      </c>
      <c r="BY61" s="397">
        <v>1.1000000000000001</v>
      </c>
      <c r="BZ61" s="397">
        <v>1.6</v>
      </c>
      <c r="CB61" s="396">
        <v>500</v>
      </c>
      <c r="CC61" s="396" t="s">
        <v>561</v>
      </c>
      <c r="CD61" s="397">
        <v>1.1000000000000001</v>
      </c>
      <c r="CE61" s="397">
        <v>1.3</v>
      </c>
      <c r="CF61" s="397">
        <v>1.4</v>
      </c>
      <c r="CG61" s="397" t="s">
        <v>562</v>
      </c>
    </row>
    <row r="62" spans="21:85">
      <c r="BL62" s="391"/>
      <c r="BM62" s="330"/>
      <c r="BN62" s="396">
        <v>450</v>
      </c>
      <c r="BO62" s="396" t="s">
        <v>561</v>
      </c>
      <c r="BP62" s="397">
        <v>0.9</v>
      </c>
      <c r="BQ62" s="397">
        <v>1</v>
      </c>
      <c r="BR62" s="397">
        <v>1.1000000000000001</v>
      </c>
      <c r="BS62" s="397">
        <v>1.6</v>
      </c>
      <c r="BT62" s="330"/>
      <c r="BU62" s="396">
        <v>450</v>
      </c>
      <c r="BV62" s="396" t="s">
        <v>561</v>
      </c>
      <c r="BW62" s="397">
        <v>0.9</v>
      </c>
      <c r="BX62" s="397">
        <v>1</v>
      </c>
      <c r="BY62" s="397">
        <v>1.1000000000000001</v>
      </c>
      <c r="BZ62" s="397">
        <v>1.6</v>
      </c>
      <c r="CB62" s="396">
        <v>600</v>
      </c>
      <c r="CC62" s="396" t="s">
        <v>561</v>
      </c>
      <c r="CD62" s="397">
        <v>1.2</v>
      </c>
      <c r="CE62" s="397">
        <v>1.4</v>
      </c>
      <c r="CF62" s="397">
        <v>1.5</v>
      </c>
      <c r="CG62" s="397" t="s">
        <v>562</v>
      </c>
    </row>
    <row r="63" spans="21:85">
      <c r="BL63" s="391"/>
      <c r="BM63" s="330"/>
      <c r="BN63" s="396">
        <v>500</v>
      </c>
      <c r="BO63" s="396" t="s">
        <v>561</v>
      </c>
      <c r="BP63" s="397">
        <v>1</v>
      </c>
      <c r="BQ63" s="397">
        <v>1.1499999999999999</v>
      </c>
      <c r="BR63" s="397">
        <v>1.25</v>
      </c>
      <c r="BS63" s="397">
        <v>1.75</v>
      </c>
      <c r="BT63" s="330"/>
      <c r="BU63" s="396">
        <v>500</v>
      </c>
      <c r="BV63" s="396" t="s">
        <v>561</v>
      </c>
      <c r="BW63" s="397">
        <v>1</v>
      </c>
      <c r="BX63" s="397">
        <v>1.1499999999999999</v>
      </c>
      <c r="BY63" s="397">
        <v>1.25</v>
      </c>
      <c r="BZ63" s="397">
        <v>1.75</v>
      </c>
      <c r="CB63" s="396">
        <v>700</v>
      </c>
      <c r="CC63" s="396" t="s">
        <v>561</v>
      </c>
      <c r="CD63" s="397">
        <v>1.3</v>
      </c>
      <c r="CE63" s="397">
        <v>1.5</v>
      </c>
      <c r="CF63" s="397">
        <v>1.6</v>
      </c>
      <c r="CG63" s="397" t="s">
        <v>562</v>
      </c>
    </row>
    <row r="64" spans="21:85">
      <c r="BL64" s="391"/>
      <c r="BM64" s="330"/>
      <c r="BN64" s="396">
        <v>600</v>
      </c>
      <c r="BO64" s="396" t="s">
        <v>561</v>
      </c>
      <c r="BP64" s="397">
        <v>1.1499999999999999</v>
      </c>
      <c r="BQ64" s="397">
        <v>1.25</v>
      </c>
      <c r="BR64" s="397">
        <v>1.35</v>
      </c>
      <c r="BS64" s="397">
        <v>1.85</v>
      </c>
      <c r="BT64" s="330"/>
      <c r="BU64" s="396">
        <v>600</v>
      </c>
      <c r="BV64" s="396" t="s">
        <v>561</v>
      </c>
      <c r="BW64" s="397">
        <v>1.1499999999999999</v>
      </c>
      <c r="BX64" s="397">
        <v>1.25</v>
      </c>
      <c r="BY64" s="397">
        <v>1.35</v>
      </c>
      <c r="BZ64" s="397">
        <v>1.85</v>
      </c>
      <c r="CB64" s="396">
        <v>800</v>
      </c>
      <c r="CC64" s="396" t="s">
        <v>561</v>
      </c>
      <c r="CD64" s="397">
        <v>1.4</v>
      </c>
      <c r="CE64" s="397">
        <v>1.6</v>
      </c>
      <c r="CF64" s="397">
        <v>1.7</v>
      </c>
      <c r="CG64" s="397" t="s">
        <v>562</v>
      </c>
    </row>
    <row r="65" spans="64:85">
      <c r="BL65" s="391"/>
      <c r="BM65" s="330"/>
      <c r="BN65" s="396">
        <v>700</v>
      </c>
      <c r="BO65" s="396" t="s">
        <v>561</v>
      </c>
      <c r="BP65" s="397">
        <v>1.3</v>
      </c>
      <c r="BQ65" s="397">
        <v>1.5</v>
      </c>
      <c r="BR65" s="397">
        <v>1.6</v>
      </c>
      <c r="BS65" s="397">
        <v>2.0499999999999998</v>
      </c>
      <c r="BT65" s="330"/>
      <c r="BU65" s="396">
        <v>700</v>
      </c>
      <c r="BV65" s="396" t="s">
        <v>561</v>
      </c>
      <c r="BW65" s="397">
        <v>1.3</v>
      </c>
      <c r="BX65" s="397">
        <v>1.5</v>
      </c>
      <c r="BY65" s="397">
        <v>1.6</v>
      </c>
      <c r="BZ65" s="397">
        <v>2.0499999999999998</v>
      </c>
      <c r="CB65" s="396">
        <v>900</v>
      </c>
      <c r="CC65" s="396" t="s">
        <v>561</v>
      </c>
      <c r="CD65" s="397">
        <v>1.5</v>
      </c>
      <c r="CE65" s="397">
        <v>1.7</v>
      </c>
      <c r="CF65" s="397">
        <v>1.8</v>
      </c>
      <c r="CG65" s="397" t="s">
        <v>562</v>
      </c>
    </row>
    <row r="66" spans="64:85">
      <c r="BL66" s="391"/>
      <c r="BM66" s="330"/>
      <c r="BN66" s="396">
        <v>800</v>
      </c>
      <c r="BO66" s="396" t="s">
        <v>561</v>
      </c>
      <c r="BP66" s="397">
        <v>1.4</v>
      </c>
      <c r="BQ66" s="397">
        <v>1.6</v>
      </c>
      <c r="BR66" s="397">
        <v>1.7</v>
      </c>
      <c r="BS66" s="397">
        <v>2.15</v>
      </c>
      <c r="BT66" s="330"/>
      <c r="BU66" s="396">
        <v>800</v>
      </c>
      <c r="BV66" s="396" t="s">
        <v>561</v>
      </c>
      <c r="BW66" s="397">
        <v>1.4</v>
      </c>
      <c r="BX66" s="397">
        <v>1.6</v>
      </c>
      <c r="BY66" s="397">
        <v>1.7</v>
      </c>
      <c r="BZ66" s="397">
        <v>2.15</v>
      </c>
      <c r="CB66" s="396">
        <v>1000</v>
      </c>
      <c r="CC66" s="396" t="s">
        <v>561</v>
      </c>
      <c r="CD66" s="397">
        <v>1.6</v>
      </c>
      <c r="CE66" s="397">
        <v>1.8</v>
      </c>
      <c r="CF66" s="397">
        <v>1.9</v>
      </c>
      <c r="CG66" s="397" t="s">
        <v>562</v>
      </c>
    </row>
    <row r="67" spans="64:85">
      <c r="BL67" s="391"/>
      <c r="BM67" s="330"/>
      <c r="BT67" s="330"/>
      <c r="BU67" s="357"/>
      <c r="BV67" s="357"/>
      <c r="BW67" s="357"/>
      <c r="BX67" s="361"/>
      <c r="BY67" s="361"/>
      <c r="BZ67" s="361"/>
      <c r="CC67" s="330"/>
    </row>
    <row r="68" spans="64:85">
      <c r="BL68" s="391"/>
      <c r="BM68" s="330"/>
      <c r="BN68" s="396">
        <v>50</v>
      </c>
      <c r="BO68" s="396" t="s">
        <v>563</v>
      </c>
      <c r="BP68" s="397">
        <v>0.75</v>
      </c>
      <c r="BQ68" s="397">
        <v>0.85</v>
      </c>
      <c r="BR68" s="397">
        <v>0.95</v>
      </c>
      <c r="BS68" s="397">
        <v>1.3</v>
      </c>
      <c r="BT68" s="330"/>
      <c r="BU68" s="396">
        <v>50</v>
      </c>
      <c r="BV68" s="396" t="s">
        <v>563</v>
      </c>
      <c r="BW68" s="397">
        <v>0.75</v>
      </c>
      <c r="BX68" s="397">
        <v>0.85</v>
      </c>
      <c r="BY68" s="397">
        <v>0.95</v>
      </c>
      <c r="BZ68" s="397">
        <v>1.3</v>
      </c>
      <c r="CB68" s="396">
        <v>100</v>
      </c>
      <c r="CC68" s="396" t="s">
        <v>564</v>
      </c>
      <c r="CD68" s="397">
        <v>0.75</v>
      </c>
      <c r="CE68" s="397">
        <v>0.85</v>
      </c>
      <c r="CF68" s="397">
        <v>1.05</v>
      </c>
      <c r="CG68" s="397" t="s">
        <v>562</v>
      </c>
    </row>
    <row r="69" spans="64:85">
      <c r="BL69" s="391"/>
      <c r="BM69" s="330"/>
      <c r="BN69" s="396">
        <v>75</v>
      </c>
      <c r="BO69" s="396" t="s">
        <v>563</v>
      </c>
      <c r="BP69" s="397">
        <v>0.75</v>
      </c>
      <c r="BQ69" s="397">
        <v>0.85</v>
      </c>
      <c r="BR69" s="397">
        <v>0.95</v>
      </c>
      <c r="BS69" s="397">
        <v>1.3</v>
      </c>
      <c r="BT69" s="330"/>
      <c r="BU69" s="396">
        <v>75</v>
      </c>
      <c r="BV69" s="396" t="s">
        <v>563</v>
      </c>
      <c r="BW69" s="397">
        <v>0.75</v>
      </c>
      <c r="BX69" s="397">
        <v>0.85</v>
      </c>
      <c r="BY69" s="397">
        <v>0.95</v>
      </c>
      <c r="BZ69" s="397">
        <v>1.3</v>
      </c>
      <c r="CB69" s="396">
        <v>150</v>
      </c>
      <c r="CC69" s="396" t="s">
        <v>564</v>
      </c>
      <c r="CD69" s="397">
        <v>0.75</v>
      </c>
      <c r="CE69" s="397">
        <v>0.85</v>
      </c>
      <c r="CF69" s="397">
        <v>1.05</v>
      </c>
      <c r="CG69" s="397" t="s">
        <v>562</v>
      </c>
    </row>
    <row r="70" spans="64:85">
      <c r="BL70" s="391"/>
      <c r="BM70" s="330"/>
      <c r="BN70" s="396">
        <v>100</v>
      </c>
      <c r="BO70" s="396" t="s">
        <v>563</v>
      </c>
      <c r="BP70" s="397">
        <v>0.75</v>
      </c>
      <c r="BQ70" s="397">
        <v>0.85</v>
      </c>
      <c r="BR70" s="397">
        <v>0.95</v>
      </c>
      <c r="BS70" s="397">
        <v>1.3</v>
      </c>
      <c r="BT70" s="330"/>
      <c r="BU70" s="396">
        <v>100</v>
      </c>
      <c r="BV70" s="396" t="s">
        <v>563</v>
      </c>
      <c r="BW70" s="397">
        <v>0.75</v>
      </c>
      <c r="BX70" s="397">
        <v>0.85</v>
      </c>
      <c r="BY70" s="397">
        <v>0.95</v>
      </c>
      <c r="BZ70" s="397">
        <v>1.3</v>
      </c>
      <c r="CB70" s="396">
        <v>200</v>
      </c>
      <c r="CC70" s="396" t="s">
        <v>564</v>
      </c>
      <c r="CD70" s="397">
        <v>0.8</v>
      </c>
      <c r="CE70" s="397">
        <v>0.9</v>
      </c>
      <c r="CF70" s="397">
        <v>1.1000000000000001</v>
      </c>
      <c r="CG70" s="397">
        <v>1.75</v>
      </c>
    </row>
    <row r="71" spans="64:85">
      <c r="BL71" s="391"/>
      <c r="BM71" s="330"/>
      <c r="BN71" s="396">
        <v>150</v>
      </c>
      <c r="BO71" s="396" t="s">
        <v>563</v>
      </c>
      <c r="BP71" s="397">
        <v>0.75</v>
      </c>
      <c r="BQ71" s="397">
        <v>0.85</v>
      </c>
      <c r="BR71" s="397">
        <v>0.95</v>
      </c>
      <c r="BS71" s="397">
        <v>1.3</v>
      </c>
      <c r="BT71" s="330"/>
      <c r="BU71" s="396">
        <v>150</v>
      </c>
      <c r="BV71" s="396" t="s">
        <v>563</v>
      </c>
      <c r="BW71" s="397">
        <v>0.75</v>
      </c>
      <c r="BX71" s="397">
        <v>0.85</v>
      </c>
      <c r="BY71" s="397">
        <v>0.95</v>
      </c>
      <c r="BZ71" s="397">
        <v>1.3</v>
      </c>
      <c r="CB71" s="396">
        <v>250</v>
      </c>
      <c r="CC71" s="396" t="s">
        <v>564</v>
      </c>
      <c r="CD71" s="397">
        <v>0.9</v>
      </c>
      <c r="CE71" s="397">
        <v>1</v>
      </c>
      <c r="CF71" s="397">
        <v>1.2</v>
      </c>
      <c r="CG71" s="397">
        <v>1.85</v>
      </c>
    </row>
    <row r="72" spans="64:85">
      <c r="BL72" s="391"/>
      <c r="BM72" s="330"/>
      <c r="BN72" s="396">
        <v>200</v>
      </c>
      <c r="BO72" s="396" t="s">
        <v>563</v>
      </c>
      <c r="BP72" s="397">
        <v>0.8</v>
      </c>
      <c r="BQ72" s="397">
        <v>0.9</v>
      </c>
      <c r="BR72" s="397">
        <v>1</v>
      </c>
      <c r="BS72" s="397">
        <v>1.35</v>
      </c>
      <c r="BT72" s="330"/>
      <c r="BU72" s="396">
        <v>200</v>
      </c>
      <c r="BV72" s="396" t="s">
        <v>563</v>
      </c>
      <c r="BW72" s="397">
        <v>0.8</v>
      </c>
      <c r="BX72" s="397">
        <v>0.9</v>
      </c>
      <c r="BY72" s="397">
        <v>1</v>
      </c>
      <c r="BZ72" s="397">
        <v>1.35</v>
      </c>
      <c r="CB72" s="396">
        <v>300</v>
      </c>
      <c r="CC72" s="396" t="s">
        <v>564</v>
      </c>
      <c r="CD72" s="397">
        <v>0.9</v>
      </c>
      <c r="CE72" s="397">
        <v>1</v>
      </c>
      <c r="CF72" s="397">
        <v>1.2</v>
      </c>
      <c r="CG72" s="397">
        <v>1.85</v>
      </c>
    </row>
    <row r="73" spans="64:85">
      <c r="BL73" s="391"/>
      <c r="BM73" s="330"/>
      <c r="BN73" s="396">
        <v>250</v>
      </c>
      <c r="BO73" s="396" t="s">
        <v>563</v>
      </c>
      <c r="BP73" s="397">
        <v>0.85</v>
      </c>
      <c r="BQ73" s="397">
        <v>0.95</v>
      </c>
      <c r="BR73" s="397">
        <v>1.1499999999999999</v>
      </c>
      <c r="BS73" s="397">
        <v>1.4</v>
      </c>
      <c r="BT73" s="330"/>
      <c r="BU73" s="396">
        <v>250</v>
      </c>
      <c r="BV73" s="396" t="s">
        <v>563</v>
      </c>
      <c r="BW73" s="397">
        <v>0.85</v>
      </c>
      <c r="BX73" s="397">
        <v>0.95</v>
      </c>
      <c r="BY73" s="397">
        <v>1.1499999999999999</v>
      </c>
      <c r="BZ73" s="397">
        <v>1.4</v>
      </c>
      <c r="CB73" s="396">
        <v>350</v>
      </c>
      <c r="CC73" s="396" t="s">
        <v>564</v>
      </c>
      <c r="CD73" s="397">
        <v>1</v>
      </c>
      <c r="CE73" s="397">
        <v>1.3</v>
      </c>
      <c r="CF73" s="397">
        <v>1.5</v>
      </c>
      <c r="CG73" s="397">
        <v>2.15</v>
      </c>
    </row>
    <row r="74" spans="64:85">
      <c r="BL74" s="391"/>
      <c r="BN74" s="396">
        <v>300</v>
      </c>
      <c r="BO74" s="396" t="s">
        <v>563</v>
      </c>
      <c r="BP74" s="397">
        <v>0.9</v>
      </c>
      <c r="BQ74" s="397">
        <v>1.1000000000000001</v>
      </c>
      <c r="BR74" s="397">
        <v>1.2</v>
      </c>
      <c r="BS74" s="397">
        <v>1.45</v>
      </c>
      <c r="BT74" s="330"/>
      <c r="BU74" s="396">
        <v>300</v>
      </c>
      <c r="BV74" s="396" t="s">
        <v>563</v>
      </c>
      <c r="BW74" s="397">
        <v>0.9</v>
      </c>
      <c r="BX74" s="397">
        <v>1.1000000000000001</v>
      </c>
      <c r="BY74" s="397">
        <v>1.2</v>
      </c>
      <c r="BZ74" s="397">
        <v>1.45</v>
      </c>
      <c r="CB74" s="396">
        <v>400</v>
      </c>
      <c r="CC74" s="396" t="s">
        <v>564</v>
      </c>
      <c r="CD74" s="397">
        <v>1</v>
      </c>
      <c r="CE74" s="397">
        <v>1.3</v>
      </c>
      <c r="CF74" s="397">
        <v>1.5</v>
      </c>
      <c r="CG74" s="397">
        <v>2.15</v>
      </c>
    </row>
    <row r="75" spans="64:85">
      <c r="BL75" s="391"/>
      <c r="BN75" s="396">
        <v>350</v>
      </c>
      <c r="BO75" s="396" t="s">
        <v>563</v>
      </c>
      <c r="BP75" s="397">
        <v>0.9</v>
      </c>
      <c r="BQ75" s="397">
        <v>1.1000000000000001</v>
      </c>
      <c r="BR75" s="397">
        <v>1.2</v>
      </c>
      <c r="BS75" s="397">
        <v>1.45</v>
      </c>
      <c r="BT75" s="330"/>
      <c r="BU75" s="396">
        <v>350</v>
      </c>
      <c r="BV75" s="396" t="s">
        <v>563</v>
      </c>
      <c r="BW75" s="397">
        <v>0.9</v>
      </c>
      <c r="BX75" s="397">
        <v>1.1000000000000001</v>
      </c>
      <c r="BY75" s="397">
        <v>1.2</v>
      </c>
      <c r="BZ75" s="397">
        <v>1.45</v>
      </c>
      <c r="CB75" s="396">
        <v>450</v>
      </c>
      <c r="CC75" s="396" t="s">
        <v>564</v>
      </c>
      <c r="CD75" s="397">
        <v>1.1000000000000001</v>
      </c>
      <c r="CE75" s="397">
        <v>1.35</v>
      </c>
      <c r="CF75" s="397">
        <v>1.55</v>
      </c>
      <c r="CG75" s="397">
        <v>2.25</v>
      </c>
    </row>
    <row r="76" spans="64:85" ht="12" customHeight="1">
      <c r="BL76" s="391"/>
      <c r="BN76" s="396">
        <v>400</v>
      </c>
      <c r="BO76" s="396" t="s">
        <v>563</v>
      </c>
      <c r="BP76" s="397">
        <v>1</v>
      </c>
      <c r="BQ76" s="397">
        <v>1.2</v>
      </c>
      <c r="BR76" s="397">
        <v>1.3</v>
      </c>
      <c r="BS76" s="397">
        <v>1.6</v>
      </c>
      <c r="BT76" s="330"/>
      <c r="BU76" s="396">
        <v>400</v>
      </c>
      <c r="BV76" s="396" t="s">
        <v>563</v>
      </c>
      <c r="BW76" s="397">
        <v>1</v>
      </c>
      <c r="BX76" s="397">
        <v>1.2</v>
      </c>
      <c r="BY76" s="397">
        <v>1.3</v>
      </c>
      <c r="BZ76" s="397">
        <v>1.6</v>
      </c>
      <c r="CB76" s="396">
        <v>500</v>
      </c>
      <c r="CC76" s="396" t="s">
        <v>564</v>
      </c>
      <c r="CD76" s="397">
        <v>1.2</v>
      </c>
      <c r="CE76" s="397">
        <v>1.5</v>
      </c>
      <c r="CF76" s="397">
        <v>1.7</v>
      </c>
      <c r="CG76" s="397">
        <v>2.35</v>
      </c>
    </row>
    <row r="77" spans="64:85">
      <c r="BL77" s="391"/>
      <c r="BN77" s="396">
        <v>450</v>
      </c>
      <c r="BO77" s="396" t="s">
        <v>563</v>
      </c>
      <c r="BP77" s="397">
        <v>1</v>
      </c>
      <c r="BQ77" s="397">
        <v>1.2</v>
      </c>
      <c r="BR77" s="397">
        <v>1.3</v>
      </c>
      <c r="BS77" s="397">
        <v>1.6</v>
      </c>
      <c r="BT77" s="330"/>
      <c r="BU77" s="396">
        <v>450</v>
      </c>
      <c r="BV77" s="396" t="s">
        <v>563</v>
      </c>
      <c r="BW77" s="397">
        <v>1</v>
      </c>
      <c r="BX77" s="397">
        <v>1.2</v>
      </c>
      <c r="BY77" s="397">
        <v>1.3</v>
      </c>
      <c r="BZ77" s="397">
        <v>1.6</v>
      </c>
      <c r="CB77" s="396">
        <v>600</v>
      </c>
      <c r="CC77" s="396" t="s">
        <v>564</v>
      </c>
      <c r="CD77" s="397">
        <v>1.3</v>
      </c>
      <c r="CE77" s="397">
        <v>1.6</v>
      </c>
      <c r="CF77" s="397">
        <v>1.8</v>
      </c>
      <c r="CG77" s="397">
        <v>2.4500000000000002</v>
      </c>
    </row>
    <row r="78" spans="64:85">
      <c r="BL78" s="391"/>
      <c r="BN78" s="396">
        <v>500</v>
      </c>
      <c r="BO78" s="396" t="s">
        <v>563</v>
      </c>
      <c r="BP78" s="397">
        <v>1.2</v>
      </c>
      <c r="BQ78" s="397">
        <v>1.3</v>
      </c>
      <c r="BR78" s="397">
        <v>1.45</v>
      </c>
      <c r="BS78" s="397">
        <v>1.75</v>
      </c>
      <c r="BT78" s="330"/>
      <c r="BU78" s="396">
        <v>500</v>
      </c>
      <c r="BV78" s="396" t="s">
        <v>563</v>
      </c>
      <c r="BW78" s="397">
        <v>1.2</v>
      </c>
      <c r="BX78" s="397">
        <v>1.3</v>
      </c>
      <c r="BY78" s="397">
        <v>1.45</v>
      </c>
      <c r="BZ78" s="397">
        <v>1.75</v>
      </c>
      <c r="CA78" s="357"/>
      <c r="CB78" s="396">
        <v>700</v>
      </c>
      <c r="CC78" s="396" t="s">
        <v>564</v>
      </c>
      <c r="CD78" s="397">
        <v>1.4</v>
      </c>
      <c r="CE78" s="397">
        <v>1.7</v>
      </c>
      <c r="CF78" s="397">
        <v>1.9</v>
      </c>
      <c r="CG78" s="397">
        <v>2.5499999999999998</v>
      </c>
    </row>
    <row r="79" spans="64:85">
      <c r="BL79" s="391"/>
      <c r="BN79" s="396">
        <v>600</v>
      </c>
      <c r="BO79" s="396" t="s">
        <v>563</v>
      </c>
      <c r="BP79" s="397">
        <v>1.3</v>
      </c>
      <c r="BQ79" s="397">
        <v>1.45</v>
      </c>
      <c r="BR79" s="397">
        <v>1.65</v>
      </c>
      <c r="BS79" s="397">
        <v>1.85</v>
      </c>
      <c r="BT79" s="330"/>
      <c r="BU79" s="396">
        <v>600</v>
      </c>
      <c r="BV79" s="396" t="s">
        <v>563</v>
      </c>
      <c r="BW79" s="397">
        <v>1.3</v>
      </c>
      <c r="BX79" s="397">
        <v>1.45</v>
      </c>
      <c r="BY79" s="397">
        <v>1.65</v>
      </c>
      <c r="BZ79" s="397">
        <v>1.85</v>
      </c>
      <c r="CA79" s="357"/>
      <c r="CB79" s="396">
        <v>800</v>
      </c>
      <c r="CC79" s="396" t="s">
        <v>564</v>
      </c>
      <c r="CD79" s="397">
        <v>1.5</v>
      </c>
      <c r="CE79" s="397">
        <v>1.8</v>
      </c>
      <c r="CF79" s="397">
        <v>2</v>
      </c>
      <c r="CG79" s="397">
        <v>2.65</v>
      </c>
    </row>
    <row r="80" spans="64:85">
      <c r="BL80" s="391"/>
      <c r="BN80" s="396">
        <v>700</v>
      </c>
      <c r="BO80" s="396" t="s">
        <v>563</v>
      </c>
      <c r="BP80" s="397">
        <v>1.4</v>
      </c>
      <c r="BQ80" s="397">
        <v>1.7</v>
      </c>
      <c r="BR80" s="397">
        <v>1.9</v>
      </c>
      <c r="BS80" s="397">
        <v>2.0499999999999998</v>
      </c>
      <c r="BT80" s="330"/>
      <c r="BU80" s="396">
        <v>700</v>
      </c>
      <c r="BV80" s="396" t="s">
        <v>563</v>
      </c>
      <c r="BW80" s="397">
        <v>1.4</v>
      </c>
      <c r="BX80" s="397">
        <v>1.7</v>
      </c>
      <c r="BY80" s="397">
        <v>1.9</v>
      </c>
      <c r="BZ80" s="397">
        <v>2.0499999999999998</v>
      </c>
      <c r="CA80" s="357"/>
      <c r="CB80" s="396">
        <v>900</v>
      </c>
      <c r="CC80" s="396" t="s">
        <v>564</v>
      </c>
      <c r="CD80" s="397">
        <v>1.6</v>
      </c>
      <c r="CE80" s="397">
        <v>1.9</v>
      </c>
      <c r="CF80" s="397">
        <v>2.1</v>
      </c>
      <c r="CG80" s="397">
        <v>2.75</v>
      </c>
    </row>
    <row r="81" spans="5:85">
      <c r="BL81" s="391"/>
      <c r="BN81" s="396">
        <v>800</v>
      </c>
      <c r="BO81" s="396" t="s">
        <v>563</v>
      </c>
      <c r="BP81" s="397">
        <v>1.5</v>
      </c>
      <c r="BQ81" s="397">
        <v>1.8</v>
      </c>
      <c r="BR81" s="397">
        <v>2</v>
      </c>
      <c r="BS81" s="397">
        <v>2.15</v>
      </c>
      <c r="BT81" s="330"/>
      <c r="BU81" s="396">
        <v>800</v>
      </c>
      <c r="BV81" s="396" t="s">
        <v>563</v>
      </c>
      <c r="BW81" s="397">
        <v>1.5</v>
      </c>
      <c r="BX81" s="397">
        <v>1.8</v>
      </c>
      <c r="BY81" s="397">
        <v>2</v>
      </c>
      <c r="BZ81" s="397">
        <v>2.15</v>
      </c>
      <c r="CA81" s="330"/>
      <c r="CB81" s="396">
        <v>1000</v>
      </c>
      <c r="CC81" s="396" t="s">
        <v>564</v>
      </c>
      <c r="CD81" s="397">
        <v>1.7</v>
      </c>
      <c r="CE81" s="397">
        <v>2</v>
      </c>
      <c r="CF81" s="397">
        <v>2.1</v>
      </c>
      <c r="CG81" s="397">
        <v>2.85</v>
      </c>
    </row>
    <row r="82" spans="5:85" ht="12" customHeight="1">
      <c r="BL82" s="391"/>
      <c r="BN82" s="396">
        <v>900</v>
      </c>
      <c r="BO82" s="396" t="s">
        <v>563</v>
      </c>
      <c r="BP82" s="397">
        <v>1.6</v>
      </c>
      <c r="BQ82" s="397">
        <v>1.9</v>
      </c>
      <c r="BR82" s="397">
        <v>2.0499999999999998</v>
      </c>
      <c r="BS82" s="397">
        <v>2.25</v>
      </c>
      <c r="BT82" s="330"/>
      <c r="BU82" s="396">
        <v>900</v>
      </c>
      <c r="BV82" s="396" t="s">
        <v>563</v>
      </c>
      <c r="BW82" s="397">
        <v>1.6</v>
      </c>
      <c r="BX82" s="397">
        <v>1.9</v>
      </c>
      <c r="BY82" s="397">
        <v>2.0499999999999998</v>
      </c>
      <c r="BZ82" s="397">
        <v>2.25</v>
      </c>
      <c r="CA82" s="395"/>
      <c r="CB82" s="330"/>
      <c r="CC82" s="330"/>
      <c r="CD82" s="357"/>
      <c r="CE82" s="357"/>
      <c r="CF82" s="361"/>
      <c r="CG82" s="361"/>
    </row>
    <row r="83" spans="5:85" ht="12" customHeight="1">
      <c r="BL83" s="391"/>
      <c r="BN83" s="396">
        <v>1000</v>
      </c>
      <c r="BO83" s="396" t="s">
        <v>563</v>
      </c>
      <c r="BP83" s="397">
        <v>1.7</v>
      </c>
      <c r="BQ83" s="397">
        <v>2</v>
      </c>
      <c r="BR83" s="397">
        <v>2.1</v>
      </c>
      <c r="BS83" s="397">
        <v>2.35</v>
      </c>
      <c r="BT83" s="330"/>
      <c r="BU83" s="396">
        <v>1000</v>
      </c>
      <c r="BV83" s="396" t="s">
        <v>563</v>
      </c>
      <c r="BW83" s="397">
        <v>2</v>
      </c>
      <c r="BX83" s="397">
        <v>2.1</v>
      </c>
      <c r="BY83" s="397">
        <v>2.2000000000000002</v>
      </c>
      <c r="BZ83" s="397">
        <v>2.4</v>
      </c>
      <c r="CA83" s="395"/>
      <c r="CB83" s="396">
        <v>100</v>
      </c>
      <c r="CC83" s="396" t="s">
        <v>565</v>
      </c>
      <c r="CD83" s="397">
        <v>0.85</v>
      </c>
      <c r="CE83" s="397">
        <v>1.05</v>
      </c>
      <c r="CF83" s="397">
        <v>1.35</v>
      </c>
      <c r="CG83" s="397" t="s">
        <v>562</v>
      </c>
    </row>
    <row r="84" spans="5:85" ht="12" customHeight="1">
      <c r="BL84" s="391"/>
      <c r="BN84" s="396">
        <v>1200</v>
      </c>
      <c r="BO84" s="396" t="s">
        <v>563</v>
      </c>
      <c r="BP84" s="397" t="s">
        <v>562</v>
      </c>
      <c r="BQ84" s="397" t="s">
        <v>562</v>
      </c>
      <c r="BR84" s="397" t="s">
        <v>562</v>
      </c>
      <c r="BS84" s="397">
        <v>2.4</v>
      </c>
      <c r="BT84" s="330"/>
      <c r="BU84" s="396">
        <v>1200</v>
      </c>
      <c r="BV84" s="396" t="s">
        <v>563</v>
      </c>
      <c r="BW84" s="397" t="s">
        <v>562</v>
      </c>
      <c r="BX84" s="397" t="s">
        <v>562</v>
      </c>
      <c r="BY84" s="397" t="s">
        <v>562</v>
      </c>
      <c r="BZ84" s="397">
        <v>2.6</v>
      </c>
      <c r="CA84" s="395"/>
      <c r="CB84" s="396">
        <v>150</v>
      </c>
      <c r="CC84" s="396" t="s">
        <v>565</v>
      </c>
      <c r="CD84" s="397">
        <v>0.85</v>
      </c>
      <c r="CE84" s="397">
        <v>1.05</v>
      </c>
      <c r="CF84" s="397">
        <v>1.35</v>
      </c>
      <c r="CG84" s="397" t="s">
        <v>562</v>
      </c>
    </row>
    <row r="85" spans="5:85" ht="12" customHeight="1">
      <c r="BL85" s="391"/>
      <c r="BT85" s="330"/>
      <c r="BU85" s="396">
        <v>1500</v>
      </c>
      <c r="BV85" s="396" t="s">
        <v>563</v>
      </c>
      <c r="BW85" s="397" t="s">
        <v>562</v>
      </c>
      <c r="BX85" s="397" t="s">
        <v>562</v>
      </c>
      <c r="BY85" s="397" t="s">
        <v>562</v>
      </c>
      <c r="BZ85" s="397">
        <v>2.85</v>
      </c>
      <c r="CA85" s="395"/>
      <c r="CB85" s="396">
        <v>200</v>
      </c>
      <c r="CC85" s="396" t="s">
        <v>565</v>
      </c>
      <c r="CD85" s="397">
        <v>0.9</v>
      </c>
      <c r="CE85" s="397">
        <v>1.1000000000000001</v>
      </c>
      <c r="CF85" s="397">
        <v>1.4</v>
      </c>
      <c r="CG85" s="397">
        <v>1.9</v>
      </c>
    </row>
    <row r="86" spans="5:85" ht="12" customHeight="1">
      <c r="BL86" s="391"/>
      <c r="BT86" s="330"/>
      <c r="BU86" s="396">
        <v>1800</v>
      </c>
      <c r="BV86" s="396" t="s">
        <v>563</v>
      </c>
      <c r="BW86" s="397" t="s">
        <v>562</v>
      </c>
      <c r="BX86" s="397" t="s">
        <v>562</v>
      </c>
      <c r="BY86" s="397" t="s">
        <v>562</v>
      </c>
      <c r="BZ86" s="397">
        <v>3.15</v>
      </c>
      <c r="CA86" s="395"/>
      <c r="CB86" s="396">
        <v>250</v>
      </c>
      <c r="CC86" s="396" t="s">
        <v>565</v>
      </c>
      <c r="CD86" s="397">
        <v>1</v>
      </c>
      <c r="CE86" s="397">
        <v>1.2</v>
      </c>
      <c r="CF86" s="397">
        <v>1.5</v>
      </c>
      <c r="CG86" s="397">
        <v>2</v>
      </c>
    </row>
    <row r="87" spans="5:85" ht="12" customHeight="1">
      <c r="BL87" s="391"/>
      <c r="BT87" s="330"/>
      <c r="BU87" s="396">
        <v>2100</v>
      </c>
      <c r="BV87" s="396" t="s">
        <v>563</v>
      </c>
      <c r="BW87" s="397" t="s">
        <v>562</v>
      </c>
      <c r="BX87" s="397" t="s">
        <v>562</v>
      </c>
      <c r="BY87" s="397" t="s">
        <v>562</v>
      </c>
      <c r="BZ87" s="397">
        <v>3.45</v>
      </c>
      <c r="CA87" s="395"/>
      <c r="CB87" s="396">
        <v>300</v>
      </c>
      <c r="CC87" s="396" t="s">
        <v>565</v>
      </c>
      <c r="CD87" s="397">
        <v>1</v>
      </c>
      <c r="CE87" s="397">
        <v>1.2</v>
      </c>
      <c r="CF87" s="397">
        <v>1.5</v>
      </c>
      <c r="CG87" s="397">
        <v>2</v>
      </c>
    </row>
    <row r="88" spans="5:85" ht="12" customHeight="1">
      <c r="BL88" s="391"/>
      <c r="BT88" s="330"/>
      <c r="BU88" s="396">
        <v>2500</v>
      </c>
      <c r="BV88" s="396" t="s">
        <v>563</v>
      </c>
      <c r="BW88" s="397" t="s">
        <v>562</v>
      </c>
      <c r="BX88" s="397" t="s">
        <v>562</v>
      </c>
      <c r="BY88" s="397" t="s">
        <v>562</v>
      </c>
      <c r="BZ88" s="397">
        <v>3.9</v>
      </c>
      <c r="CA88" s="395"/>
      <c r="CB88" s="396">
        <v>350</v>
      </c>
      <c r="CC88" s="396" t="s">
        <v>565</v>
      </c>
      <c r="CD88" s="397">
        <v>1.1000000000000001</v>
      </c>
      <c r="CE88" s="397">
        <v>1.5</v>
      </c>
      <c r="CF88" s="397">
        <v>1.8</v>
      </c>
      <c r="CG88" s="397">
        <v>2.2999999999999998</v>
      </c>
    </row>
    <row r="89" spans="5:85" ht="12" customHeight="1">
      <c r="BL89" s="391"/>
      <c r="BT89" s="330"/>
      <c r="CA89" s="395"/>
      <c r="CB89" s="396">
        <v>400</v>
      </c>
      <c r="CC89" s="396" t="s">
        <v>565</v>
      </c>
      <c r="CD89" s="397">
        <v>1.1000000000000001</v>
      </c>
      <c r="CE89" s="397">
        <v>1.5</v>
      </c>
      <c r="CF89" s="397">
        <v>1.8</v>
      </c>
      <c r="CG89" s="397">
        <v>2.2999999999999998</v>
      </c>
    </row>
    <row r="90" spans="5:85" ht="12" customHeight="1">
      <c r="BL90" s="391"/>
      <c r="BT90" s="330"/>
      <c r="CA90" s="395"/>
      <c r="CB90" s="396">
        <v>450</v>
      </c>
      <c r="CC90" s="396" t="s">
        <v>565</v>
      </c>
      <c r="CD90" s="397">
        <v>1.2</v>
      </c>
      <c r="CE90" s="397">
        <v>1.55</v>
      </c>
      <c r="CF90" s="397">
        <v>1.85</v>
      </c>
      <c r="CG90" s="397">
        <v>2.4</v>
      </c>
    </row>
    <row r="91" spans="5:85" ht="12" customHeight="1">
      <c r="BL91" s="391"/>
      <c r="BT91" s="330"/>
      <c r="CA91" s="395"/>
      <c r="CB91" s="396">
        <v>500</v>
      </c>
      <c r="CC91" s="396" t="s">
        <v>565</v>
      </c>
      <c r="CD91" s="397">
        <v>1.3</v>
      </c>
      <c r="CE91" s="397">
        <v>1.7</v>
      </c>
      <c r="CF91" s="397">
        <v>2</v>
      </c>
      <c r="CG91" s="397">
        <v>2.5</v>
      </c>
    </row>
    <row r="92" spans="5:85" ht="12" customHeight="1">
      <c r="BL92" s="391"/>
      <c r="BT92" s="330"/>
      <c r="CA92" s="395"/>
      <c r="CB92" s="396">
        <v>600</v>
      </c>
      <c r="CC92" s="396" t="s">
        <v>565</v>
      </c>
      <c r="CD92" s="397">
        <v>1.4</v>
      </c>
      <c r="CE92" s="397">
        <v>1.8</v>
      </c>
      <c r="CF92" s="397">
        <v>2.1</v>
      </c>
      <c r="CG92" s="397">
        <v>2.6</v>
      </c>
    </row>
    <row r="93" spans="5:85" ht="12" customHeight="1">
      <c r="BL93" s="391"/>
      <c r="BT93" s="330"/>
      <c r="CA93" s="395"/>
      <c r="CB93" s="396">
        <v>700</v>
      </c>
      <c r="CC93" s="396" t="s">
        <v>565</v>
      </c>
      <c r="CD93" s="397">
        <v>1.5</v>
      </c>
      <c r="CE93" s="397">
        <v>1.9</v>
      </c>
      <c r="CF93" s="397">
        <v>2.2000000000000002</v>
      </c>
      <c r="CG93" s="397">
        <v>2.7</v>
      </c>
    </row>
    <row r="94" spans="5:85" ht="12" customHeight="1">
      <c r="E94" s="319"/>
      <c r="BL94" s="391"/>
      <c r="BT94" s="330"/>
      <c r="CA94" s="395"/>
      <c r="CB94" s="396">
        <v>800</v>
      </c>
      <c r="CC94" s="396" t="s">
        <v>565</v>
      </c>
      <c r="CD94" s="397">
        <v>1.6</v>
      </c>
      <c r="CE94" s="397">
        <v>2</v>
      </c>
      <c r="CF94" s="397">
        <v>2.2999999999999998</v>
      </c>
      <c r="CG94" s="397">
        <v>2.8</v>
      </c>
    </row>
    <row r="95" spans="5:85" ht="12" customHeight="1">
      <c r="E95" s="319"/>
      <c r="BL95" s="391"/>
      <c r="BT95" s="330"/>
      <c r="CA95" s="395"/>
      <c r="CB95" s="396">
        <v>900</v>
      </c>
      <c r="CC95" s="396" t="s">
        <v>565</v>
      </c>
      <c r="CD95" s="397">
        <v>1.7</v>
      </c>
      <c r="CE95" s="397">
        <v>2.1</v>
      </c>
      <c r="CF95" s="397">
        <v>2.4</v>
      </c>
      <c r="CG95" s="397">
        <v>2.9</v>
      </c>
    </row>
    <row r="96" spans="5:85" ht="12" customHeight="1">
      <c r="E96" s="319"/>
      <c r="BL96" s="391"/>
      <c r="BT96" s="330"/>
      <c r="CA96" s="395"/>
      <c r="CB96" s="396">
        <v>1000</v>
      </c>
      <c r="CC96" s="396" t="s">
        <v>565</v>
      </c>
      <c r="CD96" s="397">
        <v>1.8</v>
      </c>
      <c r="CE96" s="397">
        <v>2.2000000000000002</v>
      </c>
      <c r="CF96" s="397">
        <v>2.5</v>
      </c>
      <c r="CG96" s="397">
        <v>3</v>
      </c>
    </row>
    <row r="97" spans="5:85" ht="12" customHeight="1">
      <c r="E97" s="319"/>
      <c r="BL97" s="391"/>
      <c r="BT97" s="330"/>
      <c r="CA97" s="395"/>
      <c r="CB97" s="330"/>
      <c r="CC97" s="330"/>
      <c r="CD97" s="357"/>
      <c r="CE97" s="357"/>
      <c r="CF97" s="361"/>
      <c r="CG97" s="361"/>
    </row>
    <row r="98" spans="5:85" ht="12" customHeight="1">
      <c r="E98" s="319"/>
      <c r="BL98" s="391"/>
      <c r="BT98" s="330"/>
      <c r="CA98" s="395"/>
      <c r="CB98" s="396">
        <v>100</v>
      </c>
      <c r="CC98" s="396" t="s">
        <v>566</v>
      </c>
      <c r="CD98" s="397">
        <v>0.95</v>
      </c>
      <c r="CE98" s="397">
        <v>1.25</v>
      </c>
      <c r="CF98" s="397">
        <v>1.65</v>
      </c>
      <c r="CG98" s="397" t="s">
        <v>562</v>
      </c>
    </row>
    <row r="99" spans="5:85" ht="12" customHeight="1">
      <c r="E99" s="319"/>
      <c r="BL99" s="391"/>
      <c r="BT99" s="330"/>
      <c r="CA99" s="395"/>
      <c r="CB99" s="396">
        <v>150</v>
      </c>
      <c r="CC99" s="396" t="s">
        <v>566</v>
      </c>
      <c r="CD99" s="397">
        <v>0.95</v>
      </c>
      <c r="CE99" s="397">
        <v>1.25</v>
      </c>
      <c r="CF99" s="397">
        <v>1.65</v>
      </c>
      <c r="CG99" s="397" t="s">
        <v>562</v>
      </c>
    </row>
    <row r="100" spans="5:85" ht="12" customHeight="1">
      <c r="E100" s="319"/>
      <c r="BL100" s="391"/>
      <c r="BT100" s="330"/>
      <c r="BU100" s="395"/>
      <c r="BV100" s="395"/>
      <c r="BW100" s="395"/>
      <c r="BX100" s="395"/>
      <c r="BY100" s="395"/>
      <c r="BZ100" s="330"/>
      <c r="CA100" s="395"/>
      <c r="CB100" s="396">
        <v>200</v>
      </c>
      <c r="CC100" s="396" t="s">
        <v>566</v>
      </c>
      <c r="CD100" s="397">
        <v>1</v>
      </c>
      <c r="CE100" s="397">
        <v>1.3</v>
      </c>
      <c r="CF100" s="397">
        <v>1.7</v>
      </c>
      <c r="CG100" s="397">
        <v>2.0499999999999998</v>
      </c>
    </row>
    <row r="101" spans="5:85" ht="12" customHeight="1">
      <c r="E101" s="319"/>
      <c r="BL101" s="391"/>
      <c r="BN101" s="398"/>
      <c r="BP101" s="320"/>
      <c r="BQ101" s="357"/>
      <c r="BR101" s="357"/>
      <c r="BS101" s="357"/>
      <c r="BT101" s="330"/>
      <c r="BU101" s="395"/>
      <c r="BV101" s="395"/>
      <c r="BW101" s="395"/>
      <c r="BX101" s="395"/>
      <c r="BY101" s="395"/>
      <c r="BZ101" s="330"/>
      <c r="CA101" s="395"/>
      <c r="CB101" s="396">
        <v>250</v>
      </c>
      <c r="CC101" s="396" t="s">
        <v>566</v>
      </c>
      <c r="CD101" s="397">
        <v>1.1000000000000001</v>
      </c>
      <c r="CE101" s="397">
        <v>1.4</v>
      </c>
      <c r="CF101" s="397">
        <v>1.8</v>
      </c>
      <c r="CG101" s="397">
        <v>2.15</v>
      </c>
    </row>
    <row r="102" spans="5:85" ht="12" customHeight="1">
      <c r="E102" s="319"/>
      <c r="BL102" s="391"/>
      <c r="BN102" s="398"/>
      <c r="BP102" s="320"/>
      <c r="BQ102" s="357"/>
      <c r="BR102" s="357"/>
      <c r="BS102" s="357"/>
      <c r="BT102" s="330"/>
      <c r="BU102" s="395"/>
      <c r="BV102" s="395"/>
      <c r="BW102" s="395"/>
      <c r="BX102" s="395"/>
      <c r="BY102" s="395"/>
      <c r="BZ102" s="330"/>
      <c r="CA102" s="395"/>
      <c r="CB102" s="396">
        <v>300</v>
      </c>
      <c r="CC102" s="396" t="s">
        <v>566</v>
      </c>
      <c r="CD102" s="397">
        <v>1.1000000000000001</v>
      </c>
      <c r="CE102" s="397">
        <v>1.4</v>
      </c>
      <c r="CF102" s="397">
        <v>1.8</v>
      </c>
      <c r="CG102" s="397">
        <v>2.15</v>
      </c>
    </row>
    <row r="103" spans="5:85" ht="12" customHeight="1">
      <c r="E103" s="319"/>
      <c r="BL103" s="391"/>
      <c r="BN103" s="398"/>
      <c r="BP103" s="320"/>
      <c r="BQ103" s="357"/>
      <c r="BR103" s="357"/>
      <c r="BS103" s="357"/>
      <c r="BT103" s="330"/>
      <c r="BU103" s="395"/>
      <c r="BV103" s="395"/>
      <c r="BW103" s="395"/>
      <c r="BX103" s="395"/>
      <c r="BY103" s="395"/>
      <c r="BZ103" s="330"/>
      <c r="CA103" s="395"/>
      <c r="CB103" s="396">
        <v>350</v>
      </c>
      <c r="CC103" s="396" t="s">
        <v>566</v>
      </c>
      <c r="CD103" s="397">
        <v>1.2</v>
      </c>
      <c r="CE103" s="397">
        <v>1.7</v>
      </c>
      <c r="CF103" s="397">
        <v>2.1</v>
      </c>
      <c r="CG103" s="397">
        <v>2.4500000000000002</v>
      </c>
    </row>
    <row r="104" spans="5:85" ht="12" customHeight="1">
      <c r="E104" s="319"/>
      <c r="BL104" s="391"/>
      <c r="BW104" s="395"/>
      <c r="BX104" s="395"/>
      <c r="BY104" s="395"/>
      <c r="BZ104" s="330"/>
      <c r="CA104" s="395"/>
      <c r="CB104" s="396">
        <v>400</v>
      </c>
      <c r="CC104" s="396" t="s">
        <v>566</v>
      </c>
      <c r="CD104" s="397">
        <v>1.2</v>
      </c>
      <c r="CE104" s="397">
        <v>1.7</v>
      </c>
      <c r="CF104" s="397">
        <v>2.1</v>
      </c>
      <c r="CG104" s="397">
        <v>2.4500000000000002</v>
      </c>
    </row>
    <row r="105" spans="5:85" ht="12" customHeight="1">
      <c r="E105" s="319"/>
      <c r="BL105" s="391"/>
      <c r="BW105" s="395"/>
      <c r="BX105" s="395"/>
      <c r="BY105" s="395"/>
      <c r="BZ105" s="330"/>
      <c r="CA105" s="395"/>
      <c r="CB105" s="396">
        <v>450</v>
      </c>
      <c r="CC105" s="396" t="s">
        <v>566</v>
      </c>
      <c r="CD105" s="397">
        <v>1.3</v>
      </c>
      <c r="CE105" s="397">
        <v>1.75</v>
      </c>
      <c r="CF105" s="397">
        <v>2.15</v>
      </c>
      <c r="CG105" s="397">
        <v>2.5499999999999998</v>
      </c>
    </row>
    <row r="106" spans="5:85" ht="12" customHeight="1">
      <c r="E106" s="319"/>
      <c r="BL106" s="391"/>
      <c r="BW106" s="395"/>
      <c r="BX106" s="395"/>
      <c r="BY106" s="395"/>
      <c r="BZ106" s="330"/>
      <c r="CA106" s="395"/>
      <c r="CB106" s="396">
        <v>500</v>
      </c>
      <c r="CC106" s="396" t="s">
        <v>566</v>
      </c>
      <c r="CD106" s="397">
        <v>1.4</v>
      </c>
      <c r="CE106" s="397">
        <v>1.9</v>
      </c>
      <c r="CF106" s="397">
        <v>2.2999999999999998</v>
      </c>
      <c r="CG106" s="397">
        <v>2.65</v>
      </c>
    </row>
    <row r="107" spans="5:85" ht="12" customHeight="1">
      <c r="E107" s="319"/>
      <c r="BL107" s="391"/>
      <c r="BN107" s="330"/>
      <c r="BP107" s="357"/>
      <c r="BQ107" s="357"/>
      <c r="BR107" s="357"/>
      <c r="BS107" s="357"/>
      <c r="BT107" s="330"/>
      <c r="BU107" s="395"/>
      <c r="BV107" s="395"/>
      <c r="BW107" s="395"/>
      <c r="BX107" s="395"/>
      <c r="BY107" s="395"/>
      <c r="BZ107" s="330"/>
      <c r="CA107" s="395"/>
      <c r="CB107" s="396">
        <v>600</v>
      </c>
      <c r="CC107" s="396" t="s">
        <v>566</v>
      </c>
      <c r="CD107" s="397">
        <v>1.5</v>
      </c>
      <c r="CE107" s="397">
        <v>2</v>
      </c>
      <c r="CF107" s="397">
        <v>2.4</v>
      </c>
      <c r="CG107" s="397">
        <v>2.75</v>
      </c>
    </row>
    <row r="108" spans="5:85" ht="12" customHeight="1">
      <c r="E108" s="319"/>
      <c r="BL108" s="391"/>
      <c r="BN108" s="330"/>
      <c r="BO108" s="357"/>
      <c r="BP108" s="357"/>
      <c r="BQ108" s="357"/>
      <c r="BR108" s="357"/>
      <c r="BS108" s="357"/>
      <c r="BT108" s="330"/>
      <c r="BU108" s="395"/>
      <c r="BV108" s="395"/>
      <c r="BW108" s="395"/>
      <c r="BX108" s="395"/>
      <c r="BY108" s="395"/>
      <c r="BZ108" s="330"/>
      <c r="CA108" s="395"/>
      <c r="CB108" s="396">
        <v>700</v>
      </c>
      <c r="CC108" s="396" t="s">
        <v>566</v>
      </c>
      <c r="CD108" s="397">
        <v>1.6</v>
      </c>
      <c r="CE108" s="397">
        <v>2.1</v>
      </c>
      <c r="CF108" s="397">
        <v>2.5</v>
      </c>
      <c r="CG108" s="397">
        <v>2.85</v>
      </c>
    </row>
    <row r="109" spans="5:85" ht="12" customHeight="1">
      <c r="E109" s="319"/>
      <c r="BL109" s="391"/>
      <c r="BN109" s="330"/>
      <c r="BO109" s="357"/>
      <c r="BP109" s="357"/>
      <c r="BQ109" s="357"/>
      <c r="BR109" s="357"/>
      <c r="BS109" s="357"/>
      <c r="BT109" s="330"/>
      <c r="BU109" s="395"/>
      <c r="BV109" s="395"/>
      <c r="BW109" s="395"/>
      <c r="BX109" s="395"/>
      <c r="BY109" s="395"/>
      <c r="BZ109" s="330"/>
      <c r="CA109" s="395"/>
      <c r="CB109" s="396">
        <v>800</v>
      </c>
      <c r="CC109" s="396" t="s">
        <v>566</v>
      </c>
      <c r="CD109" s="397">
        <v>1.7</v>
      </c>
      <c r="CE109" s="397">
        <v>2.2000000000000002</v>
      </c>
      <c r="CF109" s="397">
        <v>2.6</v>
      </c>
      <c r="CG109" s="397">
        <v>2.9</v>
      </c>
    </row>
    <row r="110" spans="5:85" ht="12" customHeight="1">
      <c r="E110" s="319"/>
      <c r="BL110" s="391"/>
      <c r="BN110" s="330"/>
      <c r="BO110" s="357"/>
      <c r="BP110" s="357"/>
      <c r="BQ110" s="357"/>
      <c r="BR110" s="357"/>
      <c r="BS110" s="357"/>
      <c r="BT110" s="330"/>
      <c r="BU110" s="395"/>
      <c r="BV110" s="395"/>
      <c r="BW110" s="395"/>
      <c r="BX110" s="395"/>
      <c r="BY110" s="395"/>
      <c r="BZ110" s="330"/>
      <c r="CA110" s="395"/>
      <c r="CB110" s="396">
        <v>900</v>
      </c>
      <c r="CC110" s="396" t="s">
        <v>566</v>
      </c>
      <c r="CD110" s="397">
        <v>1.8</v>
      </c>
      <c r="CE110" s="397">
        <v>2.2999999999999998</v>
      </c>
      <c r="CF110" s="397">
        <v>2.7</v>
      </c>
      <c r="CG110" s="397">
        <v>3.05</v>
      </c>
    </row>
    <row r="111" spans="5:85" ht="12" customHeight="1">
      <c r="E111" s="319"/>
      <c r="BL111" s="391"/>
      <c r="BN111" s="330"/>
      <c r="BO111" s="357"/>
      <c r="BP111" s="357"/>
      <c r="BQ111" s="357"/>
      <c r="BR111" s="357"/>
      <c r="BS111" s="357"/>
      <c r="BT111" s="330"/>
      <c r="BU111" s="395"/>
      <c r="BV111" s="395"/>
      <c r="BW111" s="395"/>
      <c r="BX111" s="395"/>
      <c r="BY111" s="395"/>
      <c r="BZ111" s="330"/>
      <c r="CA111" s="395"/>
      <c r="CB111" s="396">
        <v>1000</v>
      </c>
      <c r="CC111" s="396" t="s">
        <v>566</v>
      </c>
      <c r="CD111" s="397">
        <v>1.9</v>
      </c>
      <c r="CE111" s="397">
        <v>2.4</v>
      </c>
      <c r="CF111" s="397">
        <v>2.8</v>
      </c>
      <c r="CG111" s="397">
        <v>3.15</v>
      </c>
    </row>
    <row r="112" spans="5:85" ht="12" customHeight="1">
      <c r="E112" s="319"/>
      <c r="BL112" s="391"/>
      <c r="BN112" s="330"/>
      <c r="BO112" s="357"/>
      <c r="BP112" s="357"/>
      <c r="BQ112" s="357"/>
      <c r="BR112" s="357"/>
      <c r="BS112" s="357"/>
      <c r="BT112" s="330"/>
      <c r="BU112" s="395"/>
      <c r="BV112" s="395"/>
      <c r="BW112" s="395"/>
      <c r="BX112" s="395"/>
      <c r="BY112" s="395"/>
      <c r="BZ112" s="330"/>
      <c r="CA112" s="395"/>
      <c r="CB112" s="395"/>
      <c r="CC112" s="395"/>
      <c r="CD112" s="395"/>
      <c r="CE112" s="395"/>
      <c r="CF112" s="395"/>
    </row>
    <row r="113" spans="5:117" ht="12" customHeight="1">
      <c r="E113" s="319"/>
      <c r="BL113" s="391"/>
      <c r="BN113" s="330"/>
      <c r="BO113" s="357"/>
      <c r="BP113" s="357"/>
      <c r="BQ113" s="357"/>
      <c r="BR113" s="357"/>
      <c r="BS113" s="357"/>
      <c r="BT113" s="330"/>
      <c r="BU113" s="395"/>
      <c r="BV113" s="395"/>
      <c r="BW113" s="395"/>
      <c r="BX113" s="395"/>
      <c r="BY113" s="395"/>
      <c r="BZ113" s="330"/>
      <c r="CA113" s="395"/>
      <c r="CB113" s="399">
        <v>100</v>
      </c>
      <c r="CC113" s="399" t="s">
        <v>567</v>
      </c>
      <c r="CD113" s="400">
        <f t="shared" ref="CD113:CG126" si="4">CEILING(1.1*CD98*CD98/CD83,0.05)</f>
        <v>1.2000000000000002</v>
      </c>
      <c r="CE113" s="400">
        <f t="shared" si="4"/>
        <v>1.6500000000000001</v>
      </c>
      <c r="CF113" s="400">
        <f t="shared" si="4"/>
        <v>2.25</v>
      </c>
      <c r="CG113" s="400">
        <f>CEILING(1.1*CG100*CG100/CG85,0.05)</f>
        <v>2.4500000000000002</v>
      </c>
      <c r="CH113" s="401" t="s">
        <v>568</v>
      </c>
      <c r="CI113" s="401"/>
      <c r="CJ113" s="401"/>
    </row>
    <row r="114" spans="5:117" ht="12" customHeight="1">
      <c r="E114" s="319"/>
      <c r="BL114" s="391"/>
      <c r="BN114" s="330"/>
      <c r="BO114" s="357"/>
      <c r="BP114" s="357"/>
      <c r="BQ114" s="357"/>
      <c r="BR114" s="357"/>
      <c r="BS114" s="357"/>
      <c r="BT114" s="330"/>
      <c r="BU114" s="395"/>
      <c r="BV114" s="395"/>
      <c r="BW114" s="395"/>
      <c r="BX114" s="395"/>
      <c r="BY114" s="395"/>
      <c r="BZ114" s="330"/>
      <c r="CA114" s="395"/>
      <c r="CB114" s="399">
        <v>150</v>
      </c>
      <c r="CC114" s="399" t="s">
        <v>567</v>
      </c>
      <c r="CD114" s="400">
        <f t="shared" si="4"/>
        <v>1.2000000000000002</v>
      </c>
      <c r="CE114" s="400">
        <f t="shared" si="4"/>
        <v>1.6500000000000001</v>
      </c>
      <c r="CF114" s="400">
        <f t="shared" si="4"/>
        <v>2.25</v>
      </c>
      <c r="CG114" s="400">
        <f>CEILING(1.1*CG100*CG100/CG85,0.05)</f>
        <v>2.4500000000000002</v>
      </c>
    </row>
    <row r="115" spans="5:117" ht="12" customHeight="1">
      <c r="E115" s="319"/>
      <c r="BL115" s="391"/>
      <c r="BN115" s="330"/>
      <c r="BO115" s="357"/>
      <c r="BP115" s="357"/>
      <c r="BQ115" s="357"/>
      <c r="BR115" s="357"/>
      <c r="BS115" s="357"/>
      <c r="BT115" s="330"/>
      <c r="BU115" s="395"/>
      <c r="BV115" s="395"/>
      <c r="BW115" s="395"/>
      <c r="BX115" s="395"/>
      <c r="BY115" s="395"/>
      <c r="BZ115" s="330"/>
      <c r="CA115" s="395"/>
      <c r="CB115" s="399">
        <v>200</v>
      </c>
      <c r="CC115" s="399" t="s">
        <v>567</v>
      </c>
      <c r="CD115" s="400">
        <f t="shared" si="4"/>
        <v>1.25</v>
      </c>
      <c r="CE115" s="400">
        <f t="shared" si="4"/>
        <v>1.7000000000000002</v>
      </c>
      <c r="CF115" s="400">
        <f t="shared" si="4"/>
        <v>2.3000000000000003</v>
      </c>
      <c r="CG115" s="400">
        <f>CEILING(1.1*CG100*CG100/CG85,0.05)</f>
        <v>2.4500000000000002</v>
      </c>
    </row>
    <row r="116" spans="5:117" ht="12" customHeight="1">
      <c r="E116" s="319"/>
      <c r="BL116" s="391"/>
      <c r="BN116" s="330"/>
      <c r="BO116" s="357"/>
      <c r="BP116" s="357"/>
      <c r="BQ116" s="357"/>
      <c r="BR116" s="357"/>
      <c r="BS116" s="357"/>
      <c r="BT116" s="330"/>
      <c r="BU116" s="395"/>
      <c r="BV116" s="395"/>
      <c r="BW116" s="395"/>
      <c r="BX116" s="395"/>
      <c r="BY116" s="395"/>
      <c r="BZ116" s="330"/>
      <c r="CA116" s="395"/>
      <c r="CB116" s="399">
        <v>250</v>
      </c>
      <c r="CC116" s="399" t="s">
        <v>567</v>
      </c>
      <c r="CD116" s="400">
        <f t="shared" si="4"/>
        <v>1.35</v>
      </c>
      <c r="CE116" s="400">
        <f t="shared" si="4"/>
        <v>1.8</v>
      </c>
      <c r="CF116" s="400">
        <f t="shared" si="4"/>
        <v>2.4000000000000004</v>
      </c>
      <c r="CG116" s="400">
        <f t="shared" si="4"/>
        <v>2.5500000000000003</v>
      </c>
    </row>
    <row r="117" spans="5:117" ht="12" customHeight="1">
      <c r="E117" s="319"/>
      <c r="BL117" s="391"/>
      <c r="BN117" s="330"/>
      <c r="BO117" s="357"/>
      <c r="BP117" s="357"/>
      <c r="BQ117" s="357"/>
      <c r="BR117" s="357"/>
      <c r="BS117" s="357"/>
      <c r="BT117" s="330"/>
      <c r="BU117" s="395"/>
      <c r="BV117" s="395"/>
      <c r="BW117" s="395"/>
      <c r="BX117" s="395"/>
      <c r="BY117" s="395"/>
      <c r="BZ117" s="330"/>
      <c r="CA117" s="395"/>
      <c r="CB117" s="399">
        <v>300</v>
      </c>
      <c r="CC117" s="399" t="s">
        <v>567</v>
      </c>
      <c r="CD117" s="400">
        <f t="shared" si="4"/>
        <v>1.35</v>
      </c>
      <c r="CE117" s="400">
        <f t="shared" si="4"/>
        <v>1.8</v>
      </c>
      <c r="CF117" s="400">
        <f t="shared" si="4"/>
        <v>2.4000000000000004</v>
      </c>
      <c r="CG117" s="400">
        <f t="shared" si="4"/>
        <v>2.5500000000000003</v>
      </c>
    </row>
    <row r="118" spans="5:117" ht="12" customHeight="1">
      <c r="E118" s="319"/>
      <c r="BL118" s="391"/>
      <c r="BN118" s="330"/>
      <c r="BO118" s="357"/>
      <c r="BP118" s="357"/>
      <c r="BQ118" s="357"/>
      <c r="BR118" s="357"/>
      <c r="BS118" s="357"/>
      <c r="BT118" s="330"/>
      <c r="BU118" s="395"/>
      <c r="BV118" s="395"/>
      <c r="BW118" s="395"/>
      <c r="BX118" s="395"/>
      <c r="BY118" s="395"/>
      <c r="BZ118" s="330"/>
      <c r="CA118" s="395"/>
      <c r="CB118" s="399">
        <v>350</v>
      </c>
      <c r="CC118" s="399" t="s">
        <v>567</v>
      </c>
      <c r="CD118" s="400">
        <f t="shared" si="4"/>
        <v>1.4500000000000002</v>
      </c>
      <c r="CE118" s="400">
        <f t="shared" si="4"/>
        <v>2.15</v>
      </c>
      <c r="CF118" s="400">
        <f t="shared" si="4"/>
        <v>2.7</v>
      </c>
      <c r="CG118" s="400">
        <f t="shared" si="4"/>
        <v>2.9000000000000004</v>
      </c>
    </row>
    <row r="119" spans="5:117" ht="12" customHeight="1">
      <c r="E119" s="319"/>
      <c r="BN119" s="330"/>
      <c r="BO119" s="357"/>
      <c r="BP119" s="357"/>
      <c r="BQ119" s="357"/>
      <c r="BR119" s="357"/>
      <c r="BS119" s="357"/>
      <c r="BT119" s="330"/>
      <c r="BU119" s="395"/>
      <c r="BV119" s="395"/>
      <c r="BW119" s="395"/>
      <c r="BX119" s="395"/>
      <c r="BY119" s="395"/>
      <c r="BZ119" s="330"/>
      <c r="CA119" s="395"/>
      <c r="CB119" s="399">
        <v>400</v>
      </c>
      <c r="CC119" s="399" t="s">
        <v>567</v>
      </c>
      <c r="CD119" s="400">
        <f t="shared" si="4"/>
        <v>1.4500000000000002</v>
      </c>
      <c r="CE119" s="400">
        <f t="shared" si="4"/>
        <v>2.15</v>
      </c>
      <c r="CF119" s="400">
        <f t="shared" si="4"/>
        <v>2.7</v>
      </c>
      <c r="CG119" s="400">
        <f t="shared" si="4"/>
        <v>2.9000000000000004</v>
      </c>
    </row>
    <row r="120" spans="5:117" ht="12" customHeight="1">
      <c r="E120" s="319"/>
      <c r="BN120" s="330"/>
      <c r="BO120" s="357"/>
      <c r="BP120" s="357"/>
      <c r="BQ120" s="357"/>
      <c r="BR120" s="357"/>
      <c r="BS120" s="357"/>
      <c r="BT120" s="330"/>
      <c r="BU120" s="395"/>
      <c r="BV120" s="395"/>
      <c r="BW120" s="395"/>
      <c r="BX120" s="395"/>
      <c r="BY120" s="395"/>
      <c r="BZ120" s="330"/>
      <c r="CA120" s="395"/>
      <c r="CB120" s="399">
        <v>450</v>
      </c>
      <c r="CC120" s="399" t="s">
        <v>567</v>
      </c>
      <c r="CD120" s="400">
        <f t="shared" si="4"/>
        <v>1.55</v>
      </c>
      <c r="CE120" s="400">
        <f t="shared" si="4"/>
        <v>2.2000000000000002</v>
      </c>
      <c r="CF120" s="400">
        <f t="shared" si="4"/>
        <v>2.75</v>
      </c>
      <c r="CG120" s="400">
        <f t="shared" si="4"/>
        <v>3</v>
      </c>
    </row>
    <row r="121" spans="5:117" ht="12" customHeight="1">
      <c r="E121" s="319"/>
      <c r="BN121" s="330"/>
      <c r="BO121" s="357"/>
      <c r="BP121" s="357"/>
      <c r="BQ121" s="357"/>
      <c r="BR121" s="357"/>
      <c r="BS121" s="357"/>
      <c r="BT121" s="330"/>
      <c r="BU121" s="395"/>
      <c r="BV121" s="395"/>
      <c r="BW121" s="395"/>
      <c r="BX121" s="395"/>
      <c r="BY121" s="395"/>
      <c r="BZ121" s="330"/>
      <c r="CA121" s="395"/>
      <c r="CB121" s="399">
        <v>500</v>
      </c>
      <c r="CC121" s="399" t="s">
        <v>567</v>
      </c>
      <c r="CD121" s="400">
        <f t="shared" si="4"/>
        <v>1.7000000000000002</v>
      </c>
      <c r="CE121" s="400">
        <f t="shared" si="4"/>
        <v>2.35</v>
      </c>
      <c r="CF121" s="400">
        <f t="shared" si="4"/>
        <v>2.95</v>
      </c>
      <c r="CG121" s="400">
        <f t="shared" si="4"/>
        <v>3.1</v>
      </c>
    </row>
    <row r="122" spans="5:117" ht="12" customHeight="1">
      <c r="E122" s="319"/>
      <c r="BN122" s="330"/>
      <c r="BO122" s="357"/>
      <c r="BP122" s="357"/>
      <c r="BQ122" s="357"/>
      <c r="BR122" s="357"/>
      <c r="BS122" s="357"/>
      <c r="BT122" s="330"/>
      <c r="BU122" s="395"/>
      <c r="BV122" s="395"/>
      <c r="BW122" s="395"/>
      <c r="BX122" s="395"/>
      <c r="BY122" s="395"/>
      <c r="BZ122" s="330"/>
      <c r="CA122" s="395"/>
      <c r="CB122" s="399">
        <v>600</v>
      </c>
      <c r="CC122" s="399" t="s">
        <v>567</v>
      </c>
      <c r="CD122" s="400">
        <f t="shared" si="4"/>
        <v>1.8</v>
      </c>
      <c r="CE122" s="400">
        <f t="shared" si="4"/>
        <v>2.4500000000000002</v>
      </c>
      <c r="CF122" s="400">
        <f t="shared" si="4"/>
        <v>3.0500000000000003</v>
      </c>
      <c r="CG122" s="400">
        <f t="shared" si="4"/>
        <v>3.2</v>
      </c>
    </row>
    <row r="123" spans="5:117" ht="12" customHeight="1">
      <c r="E123" s="319"/>
      <c r="BN123" s="330"/>
      <c r="BO123" s="357"/>
      <c r="BP123" s="357"/>
      <c r="BQ123" s="357"/>
      <c r="BR123" s="357"/>
      <c r="BS123" s="357"/>
      <c r="BT123" s="330"/>
      <c r="BU123" s="395"/>
      <c r="BV123" s="395"/>
      <c r="BW123" s="395"/>
      <c r="BX123" s="395"/>
      <c r="BY123" s="395"/>
      <c r="BZ123" s="330"/>
      <c r="CA123" s="395"/>
      <c r="CB123" s="399">
        <v>700</v>
      </c>
      <c r="CC123" s="399" t="s">
        <v>567</v>
      </c>
      <c r="CD123" s="400">
        <f t="shared" si="4"/>
        <v>1.9000000000000001</v>
      </c>
      <c r="CE123" s="400">
        <f t="shared" si="4"/>
        <v>2.6</v>
      </c>
      <c r="CF123" s="400">
        <f t="shared" si="4"/>
        <v>3.1500000000000004</v>
      </c>
      <c r="CG123" s="400">
        <f t="shared" si="4"/>
        <v>3.35</v>
      </c>
    </row>
    <row r="124" spans="5:117" ht="12" customHeight="1">
      <c r="E124" s="319"/>
      <c r="BN124" s="330"/>
      <c r="BO124" s="357"/>
      <c r="BP124" s="357"/>
      <c r="BQ124" s="357"/>
      <c r="BR124" s="357"/>
      <c r="BS124" s="357"/>
      <c r="BT124" s="330"/>
      <c r="BU124" s="395"/>
      <c r="BV124" s="395"/>
      <c r="BW124" s="395"/>
      <c r="BX124" s="395"/>
      <c r="BY124" s="395"/>
      <c r="BZ124" s="330"/>
      <c r="CA124" s="395"/>
      <c r="CB124" s="399">
        <v>800</v>
      </c>
      <c r="CC124" s="399" t="s">
        <v>567</v>
      </c>
      <c r="CD124" s="400">
        <f t="shared" si="4"/>
        <v>2</v>
      </c>
      <c r="CE124" s="400">
        <f t="shared" si="4"/>
        <v>2.7</v>
      </c>
      <c r="CF124" s="400">
        <f t="shared" si="4"/>
        <v>3.25</v>
      </c>
      <c r="CG124" s="400">
        <f t="shared" si="4"/>
        <v>3.35</v>
      </c>
    </row>
    <row r="125" spans="5:117" ht="12" customHeight="1">
      <c r="E125" s="319"/>
      <c r="BN125" s="330"/>
      <c r="BO125" s="357"/>
      <c r="BP125" s="357"/>
      <c r="BQ125" s="357"/>
      <c r="BR125" s="357"/>
      <c r="BS125" s="357"/>
      <c r="BT125" s="330"/>
      <c r="BU125" s="395"/>
      <c r="BV125" s="395"/>
      <c r="BW125" s="395"/>
      <c r="BX125" s="395"/>
      <c r="BY125" s="395"/>
      <c r="BZ125" s="330"/>
      <c r="CA125" s="395"/>
      <c r="CB125" s="399">
        <v>900</v>
      </c>
      <c r="CC125" s="399" t="s">
        <v>567</v>
      </c>
      <c r="CD125" s="400">
        <f t="shared" si="4"/>
        <v>2.1</v>
      </c>
      <c r="CE125" s="400">
        <f t="shared" si="4"/>
        <v>2.8000000000000003</v>
      </c>
      <c r="CF125" s="400">
        <f t="shared" si="4"/>
        <v>3.35</v>
      </c>
      <c r="CG125" s="400">
        <f t="shared" si="4"/>
        <v>3.5500000000000003</v>
      </c>
    </row>
    <row r="126" spans="5:117" ht="12" customHeight="1">
      <c r="E126" s="319"/>
      <c r="BN126" s="330"/>
      <c r="BO126" s="357"/>
      <c r="BP126" s="357"/>
      <c r="BQ126" s="357"/>
      <c r="BR126" s="357"/>
      <c r="BS126" s="357"/>
      <c r="BT126" s="330"/>
      <c r="BU126" s="395"/>
      <c r="BV126" s="395"/>
      <c r="BW126" s="395"/>
      <c r="BX126" s="395"/>
      <c r="BY126" s="395"/>
      <c r="BZ126" s="330"/>
      <c r="CA126" s="395"/>
      <c r="CB126" s="399">
        <v>1000</v>
      </c>
      <c r="CC126" s="399" t="s">
        <v>567</v>
      </c>
      <c r="CD126" s="400">
        <f t="shared" si="4"/>
        <v>2.25</v>
      </c>
      <c r="CE126" s="400">
        <f t="shared" si="4"/>
        <v>2.9000000000000004</v>
      </c>
      <c r="CF126" s="400">
        <f t="shared" si="4"/>
        <v>3.45</v>
      </c>
      <c r="CG126" s="400">
        <f t="shared" si="4"/>
        <v>3.6500000000000004</v>
      </c>
    </row>
    <row r="127" spans="5:117" ht="12" customHeight="1">
      <c r="BN127" s="330"/>
      <c r="BO127" s="357"/>
      <c r="BP127" s="357"/>
      <c r="BQ127" s="357"/>
      <c r="BR127" s="357"/>
      <c r="BS127" s="357"/>
      <c r="BT127" s="330"/>
      <c r="BU127" s="395"/>
      <c r="BV127" s="395"/>
      <c r="BW127" s="395"/>
      <c r="BX127" s="395"/>
      <c r="BY127" s="395"/>
      <c r="BZ127" s="330"/>
      <c r="CA127" s="395"/>
      <c r="CB127" s="395"/>
      <c r="CC127" s="395"/>
      <c r="CD127" s="395"/>
      <c r="CE127" s="395"/>
      <c r="CF127" s="395"/>
    </row>
    <row r="128" spans="5:117">
      <c r="BW128" s="855" t="s">
        <v>569</v>
      </c>
      <c r="BX128" s="856"/>
      <c r="BY128" s="856"/>
      <c r="BZ128" s="857"/>
      <c r="CA128" s="402" t="s">
        <v>570</v>
      </c>
      <c r="CB128" s="858" t="s">
        <v>570</v>
      </c>
      <c r="CC128" s="859"/>
      <c r="CD128" s="859"/>
      <c r="CE128" s="859"/>
      <c r="CF128" s="859"/>
      <c r="CG128" s="860"/>
      <c r="CH128" s="847" t="s">
        <v>570</v>
      </c>
      <c r="CI128" s="847"/>
      <c r="CJ128" s="847"/>
      <c r="CK128" s="847"/>
      <c r="CL128" s="402" t="s">
        <v>571</v>
      </c>
      <c r="CP128" s="847" t="s">
        <v>572</v>
      </c>
      <c r="CQ128" s="847"/>
      <c r="CR128" s="847"/>
      <c r="CS128" s="847"/>
      <c r="CT128" s="847"/>
      <c r="CU128" s="847" t="s">
        <v>573</v>
      </c>
      <c r="CV128" s="847"/>
      <c r="CW128" s="847"/>
      <c r="CX128" s="847"/>
      <c r="CY128" s="847"/>
      <c r="CZ128" s="847" t="s">
        <v>574</v>
      </c>
      <c r="DA128" s="847"/>
      <c r="DB128" s="847"/>
      <c r="DC128" s="847"/>
      <c r="DD128" s="847"/>
      <c r="DE128" s="847" t="s">
        <v>574</v>
      </c>
      <c r="DF128" s="847"/>
      <c r="DG128" s="847"/>
      <c r="DH128" s="847"/>
      <c r="DI128" s="847"/>
      <c r="DJ128" s="847" t="s">
        <v>575</v>
      </c>
      <c r="DK128" s="847"/>
      <c r="DL128" s="847"/>
      <c r="DM128" s="847"/>
    </row>
    <row r="129" spans="56:121">
      <c r="BN129" s="403" t="s">
        <v>576</v>
      </c>
      <c r="BO129" s="404"/>
      <c r="BP129" s="404"/>
      <c r="BQ129" s="405" t="s">
        <v>577</v>
      </c>
      <c r="BR129" s="404"/>
      <c r="BS129" s="404"/>
      <c r="BT129" s="404"/>
      <c r="BU129" s="404"/>
      <c r="BV129" s="406"/>
      <c r="BW129" s="848" t="s">
        <v>578</v>
      </c>
      <c r="BX129" s="849"/>
      <c r="BY129" s="849"/>
      <c r="BZ129" s="849"/>
      <c r="CA129" s="849"/>
      <c r="CB129" s="849"/>
      <c r="CC129" s="849"/>
      <c r="CD129" s="849"/>
      <c r="CE129" s="849"/>
      <c r="CF129" s="849"/>
      <c r="CG129" s="849"/>
      <c r="CH129" s="849"/>
      <c r="CI129" s="849"/>
      <c r="CJ129" s="849"/>
      <c r="CK129" s="849"/>
      <c r="CL129" s="849"/>
      <c r="CM129" s="849"/>
      <c r="CN129" s="849"/>
      <c r="CO129" s="849"/>
      <c r="CP129" s="849"/>
      <c r="CQ129" s="849"/>
      <c r="CR129" s="849"/>
      <c r="CS129" s="849"/>
      <c r="CT129" s="849"/>
      <c r="CU129" s="849"/>
      <c r="CV129" s="849"/>
      <c r="CW129" s="849"/>
      <c r="CX129" s="849"/>
      <c r="CY129" s="849"/>
      <c r="CZ129" s="849"/>
      <c r="DA129" s="849"/>
      <c r="DB129" s="849"/>
      <c r="DC129" s="849"/>
      <c r="DD129" s="849"/>
      <c r="DE129" s="849"/>
      <c r="DF129" s="849"/>
      <c r="DG129" s="849"/>
      <c r="DH129" s="849"/>
      <c r="DI129" s="849"/>
      <c r="DJ129" s="849"/>
      <c r="DK129" s="849"/>
      <c r="DL129" s="849"/>
      <c r="DM129" s="849"/>
      <c r="DN129" s="849"/>
      <c r="DO129" s="849"/>
      <c r="DP129" s="849"/>
      <c r="DQ129" s="850"/>
    </row>
    <row r="130" spans="56:121" ht="12.75" customHeight="1">
      <c r="BN130" s="407"/>
      <c r="BO130" s="330"/>
      <c r="BP130" s="330"/>
      <c r="BQ130" s="408"/>
      <c r="BR130" s="330"/>
      <c r="BS130" s="330"/>
      <c r="BT130" s="330"/>
      <c r="BU130" s="330"/>
      <c r="BV130" s="409"/>
      <c r="BW130" s="851" t="s">
        <v>579</v>
      </c>
      <c r="BX130" s="851"/>
      <c r="BY130" s="410" t="s">
        <v>580</v>
      </c>
      <c r="BZ130" s="410" t="s">
        <v>581</v>
      </c>
      <c r="CA130" s="411" t="s">
        <v>582</v>
      </c>
      <c r="CB130" s="852" t="s">
        <v>583</v>
      </c>
      <c r="CC130" s="852"/>
      <c r="CD130" s="852"/>
      <c r="CE130" s="853" t="s">
        <v>584</v>
      </c>
      <c r="CF130" s="842" t="s">
        <v>585</v>
      </c>
      <c r="CG130" s="842" t="s">
        <v>586</v>
      </c>
      <c r="CH130" s="844" t="s">
        <v>587</v>
      </c>
      <c r="CI130" s="846"/>
      <c r="CJ130" s="846"/>
      <c r="CK130" s="842" t="s">
        <v>588</v>
      </c>
      <c r="CL130" s="842" t="s">
        <v>589</v>
      </c>
      <c r="CM130" s="412" t="s">
        <v>590</v>
      </c>
      <c r="CN130" s="413" t="s">
        <v>591</v>
      </c>
      <c r="CO130" s="414">
        <v>0.25</v>
      </c>
      <c r="CP130" s="844" t="s">
        <v>592</v>
      </c>
      <c r="CQ130" s="845"/>
      <c r="CR130" s="415" t="s">
        <v>593</v>
      </c>
      <c r="CS130" s="415" t="s">
        <v>594</v>
      </c>
      <c r="CT130" s="415" t="s">
        <v>595</v>
      </c>
      <c r="CU130" s="844" t="s">
        <v>596</v>
      </c>
      <c r="CV130" s="846"/>
      <c r="CW130" s="846"/>
      <c r="CX130" s="846"/>
      <c r="CY130" s="845"/>
      <c r="CZ130" s="844" t="s">
        <v>597</v>
      </c>
      <c r="DA130" s="846"/>
      <c r="DB130" s="846"/>
      <c r="DC130" s="846"/>
      <c r="DD130" s="845"/>
      <c r="DE130" s="844" t="s">
        <v>598</v>
      </c>
      <c r="DF130" s="846"/>
      <c r="DG130" s="846"/>
      <c r="DH130" s="846"/>
      <c r="DI130" s="845"/>
      <c r="DJ130" s="852" t="s">
        <v>599</v>
      </c>
      <c r="DK130" s="852"/>
      <c r="DL130" s="852"/>
      <c r="DM130" s="852"/>
      <c r="DN130" s="861"/>
      <c r="DO130" s="861"/>
      <c r="DP130" s="861"/>
      <c r="DQ130" s="861"/>
    </row>
    <row r="131" spans="56:121">
      <c r="BN131" s="416" t="s">
        <v>531</v>
      </c>
      <c r="BO131" s="417"/>
      <c r="BP131" s="417"/>
      <c r="BQ131" s="416" t="s">
        <v>600</v>
      </c>
      <c r="BR131" s="417"/>
      <c r="BS131" s="418"/>
      <c r="BT131" s="417"/>
      <c r="BU131" s="418">
        <v>0.1</v>
      </c>
      <c r="BV131" s="419" t="s">
        <v>4</v>
      </c>
      <c r="BW131" s="396" t="s">
        <v>601</v>
      </c>
      <c r="BX131" s="396" t="s">
        <v>602</v>
      </c>
      <c r="BY131" s="420" t="s">
        <v>603</v>
      </c>
      <c r="BZ131" s="420" t="s">
        <v>603</v>
      </c>
      <c r="CA131" s="421" t="s">
        <v>603</v>
      </c>
      <c r="CB131" s="415" t="s">
        <v>601</v>
      </c>
      <c r="CC131" s="415" t="s">
        <v>604</v>
      </c>
      <c r="CD131" s="415" t="s">
        <v>602</v>
      </c>
      <c r="CE131" s="854"/>
      <c r="CF131" s="843"/>
      <c r="CG131" s="843"/>
      <c r="CH131" s="415" t="s">
        <v>601</v>
      </c>
      <c r="CI131" s="415" t="s">
        <v>604</v>
      </c>
      <c r="CJ131" s="415" t="s">
        <v>602</v>
      </c>
      <c r="CK131" s="843"/>
      <c r="CL131" s="843"/>
      <c r="CM131" s="412" t="s">
        <v>601</v>
      </c>
      <c r="CN131" s="412" t="s">
        <v>602</v>
      </c>
      <c r="CO131" s="412" t="s">
        <v>605</v>
      </c>
      <c r="CP131" s="422" t="s">
        <v>601</v>
      </c>
      <c r="CQ131" s="415" t="s">
        <v>602</v>
      </c>
      <c r="CR131" s="415" t="s">
        <v>605</v>
      </c>
      <c r="CS131" s="415" t="s">
        <v>605</v>
      </c>
      <c r="CT131" s="415" t="s">
        <v>605</v>
      </c>
      <c r="CU131" s="415" t="s">
        <v>601</v>
      </c>
      <c r="CV131" s="415" t="s">
        <v>604</v>
      </c>
      <c r="CW131" s="415" t="s">
        <v>606</v>
      </c>
      <c r="CX131" s="415" t="s">
        <v>607</v>
      </c>
      <c r="CY131" s="415" t="s">
        <v>605</v>
      </c>
      <c r="CZ131" s="415" t="s">
        <v>601</v>
      </c>
      <c r="DA131" s="415" t="s">
        <v>604</v>
      </c>
      <c r="DB131" s="415" t="s">
        <v>606</v>
      </c>
      <c r="DC131" s="415" t="s">
        <v>608</v>
      </c>
      <c r="DD131" s="415" t="s">
        <v>605</v>
      </c>
      <c r="DE131" s="415" t="s">
        <v>601</v>
      </c>
      <c r="DF131" s="415" t="s">
        <v>604</v>
      </c>
      <c r="DG131" s="415" t="s">
        <v>606</v>
      </c>
      <c r="DH131" s="415" t="s">
        <v>608</v>
      </c>
      <c r="DI131" s="415" t="s">
        <v>605</v>
      </c>
      <c r="DJ131" s="415" t="s">
        <v>601</v>
      </c>
      <c r="DK131" s="415" t="s">
        <v>609</v>
      </c>
      <c r="DL131" s="415" t="s">
        <v>602</v>
      </c>
      <c r="DM131" s="415" t="s">
        <v>603</v>
      </c>
      <c r="DN131" s="412"/>
      <c r="DO131" s="412"/>
      <c r="DP131" s="412"/>
      <c r="DQ131" s="412"/>
    </row>
    <row r="132" spans="56:121">
      <c r="BN132" s="416" t="s">
        <v>610</v>
      </c>
      <c r="BO132" s="417"/>
      <c r="BP132" s="417"/>
      <c r="BQ132" s="423" t="s">
        <v>611</v>
      </c>
      <c r="BR132" s="424"/>
      <c r="BS132" s="425"/>
      <c r="BT132" s="424"/>
      <c r="BU132" s="425">
        <v>0.1</v>
      </c>
      <c r="BV132" s="426" t="s">
        <v>4</v>
      </c>
      <c r="BW132" s="427">
        <v>80</v>
      </c>
      <c r="BX132" s="427">
        <v>98</v>
      </c>
      <c r="BY132" s="428"/>
      <c r="BZ132" s="428">
        <v>14.5</v>
      </c>
      <c r="CA132" s="429"/>
      <c r="CB132" s="430">
        <v>50</v>
      </c>
      <c r="CC132" s="430">
        <v>60</v>
      </c>
      <c r="CD132" s="430">
        <v>60</v>
      </c>
      <c r="CE132" s="431">
        <f>4.525/6</f>
        <v>0.75416666666666676</v>
      </c>
      <c r="CF132" s="431">
        <f>5.46/6</f>
        <v>0.91</v>
      </c>
      <c r="CG132" s="431">
        <f>6.93/6</f>
        <v>1.155</v>
      </c>
      <c r="CH132" s="430">
        <v>100</v>
      </c>
      <c r="CI132" s="431">
        <f>CJ132-2*2.5</f>
        <v>105</v>
      </c>
      <c r="CJ132" s="430">
        <v>110</v>
      </c>
      <c r="CK132" s="432">
        <f>8.049/6</f>
        <v>1.3414999999999999</v>
      </c>
      <c r="CL132" s="432"/>
      <c r="CM132" s="433">
        <v>50</v>
      </c>
      <c r="CN132" s="361">
        <f>CM132/25*25.4</f>
        <v>50.8</v>
      </c>
      <c r="CO132" s="434">
        <f>(PI()*(CN132/2000)^2-PI()*((CN132-2*($CO$130*25.4))/2000)^2)*7700</f>
        <v>6.8278832808387824</v>
      </c>
      <c r="CP132" s="435">
        <v>300</v>
      </c>
      <c r="CQ132" s="436">
        <f>(324.5+323.4)/2</f>
        <v>323.95</v>
      </c>
      <c r="CR132" s="437">
        <v>10.3</v>
      </c>
      <c r="CS132" s="437">
        <v>10.3</v>
      </c>
      <c r="CT132" s="438">
        <v>9.3000000000000007</v>
      </c>
      <c r="CU132" s="439">
        <v>250</v>
      </c>
      <c r="CV132" s="440">
        <v>250</v>
      </c>
      <c r="CW132" s="441">
        <v>296</v>
      </c>
      <c r="CX132" s="441">
        <v>1.5</v>
      </c>
      <c r="CY132" s="442"/>
      <c r="CZ132" s="435">
        <v>450</v>
      </c>
      <c r="DA132" s="443">
        <v>460</v>
      </c>
      <c r="DB132" s="437">
        <f>(DA132+2*1.9+DC132)/2</f>
        <v>504.4</v>
      </c>
      <c r="DC132" s="444">
        <v>545</v>
      </c>
      <c r="DD132" s="445">
        <f>63.4/6</f>
        <v>10.566666666666666</v>
      </c>
      <c r="DE132" s="430">
        <v>100</v>
      </c>
      <c r="DF132" s="430">
        <v>103</v>
      </c>
      <c r="DG132" s="430">
        <f>(DF132+2*0.5+DH132)/2</f>
        <v>112</v>
      </c>
      <c r="DH132" s="415">
        <v>120</v>
      </c>
      <c r="DI132" s="431">
        <f>4/6</f>
        <v>0.66666666666666663</v>
      </c>
      <c r="DJ132" s="415">
        <v>300</v>
      </c>
      <c r="DK132" s="415">
        <v>52.4</v>
      </c>
      <c r="DL132" s="415">
        <f>ROUNDUP(DJ132+2*DK132,1)</f>
        <v>404.8</v>
      </c>
      <c r="DM132" s="431">
        <v>160</v>
      </c>
      <c r="DN132" s="446"/>
      <c r="DO132" s="447"/>
      <c r="DP132" s="447"/>
      <c r="DQ132" s="442"/>
    </row>
    <row r="133" spans="56:121">
      <c r="BN133" s="416" t="s">
        <v>612</v>
      </c>
      <c r="BO133" s="417"/>
      <c r="BP133" s="417"/>
      <c r="BQ133" s="448" t="s">
        <v>613</v>
      </c>
      <c r="BR133" s="449"/>
      <c r="BS133" s="450"/>
      <c r="BT133" s="449"/>
      <c r="BU133" s="450">
        <v>0.1</v>
      </c>
      <c r="BV133" s="451" t="s">
        <v>4</v>
      </c>
      <c r="BW133" s="427">
        <v>100</v>
      </c>
      <c r="BX133" s="427">
        <v>118</v>
      </c>
      <c r="BY133" s="428"/>
      <c r="BZ133" s="428">
        <v>18.100000000000001</v>
      </c>
      <c r="CA133" s="431">
        <f>15.119/6</f>
        <v>2.5198333333333331</v>
      </c>
      <c r="CB133" s="430">
        <v>60</v>
      </c>
      <c r="CC133" s="430">
        <v>75</v>
      </c>
      <c r="CD133" s="430">
        <v>75</v>
      </c>
      <c r="CE133" s="431">
        <f>7.118/6</f>
        <v>1.1863333333333335</v>
      </c>
      <c r="CF133" s="431">
        <f>8.638/6</f>
        <v>1.4396666666666667</v>
      </c>
      <c r="CG133" s="431">
        <f>10.568/6</f>
        <v>1.7613333333333332</v>
      </c>
      <c r="CH133" s="430">
        <v>150</v>
      </c>
      <c r="CI133" s="431">
        <f>CJ133-2*3.6</f>
        <v>152.80000000000001</v>
      </c>
      <c r="CJ133" s="430">
        <v>160</v>
      </c>
      <c r="CK133" s="432">
        <f>16.71/6</f>
        <v>2.7850000000000001</v>
      </c>
      <c r="CL133" s="432">
        <f>11.17782/6</f>
        <v>1.86297</v>
      </c>
      <c r="CM133" s="452">
        <v>100</v>
      </c>
      <c r="CN133" s="361">
        <f t="shared" ref="CN133:CN168" si="5">CM133/25*25.4</f>
        <v>101.6</v>
      </c>
      <c r="CO133" s="434">
        <f>(PI()*(CN133/2000)^2-PI()*((CN133-2*($CO$130*25.4))/2000)^2)*7700</f>
        <v>14.631178458940248</v>
      </c>
      <c r="CP133" s="433">
        <v>350</v>
      </c>
      <c r="CQ133" s="453">
        <f>(376.4+375.4)/2</f>
        <v>375.9</v>
      </c>
      <c r="CR133" s="454">
        <v>13.8</v>
      </c>
      <c r="CS133" s="454">
        <v>14.3</v>
      </c>
      <c r="CT133" s="455">
        <v>12.3</v>
      </c>
      <c r="CU133" s="452">
        <v>300</v>
      </c>
      <c r="CV133" s="456">
        <v>300</v>
      </c>
      <c r="CW133" s="361">
        <v>371</v>
      </c>
      <c r="CX133" s="361">
        <v>1.7</v>
      </c>
      <c r="CY133" s="434"/>
      <c r="CZ133" s="433">
        <v>600</v>
      </c>
      <c r="DA133" s="457">
        <v>614</v>
      </c>
      <c r="DB133" s="454">
        <f>(DA133+2*2.2+DC133)/2</f>
        <v>667.7</v>
      </c>
      <c r="DC133" s="458">
        <v>717</v>
      </c>
      <c r="DD133" s="459">
        <f>109.1/6</f>
        <v>18.183333333333334</v>
      </c>
      <c r="DE133" s="430">
        <v>150</v>
      </c>
      <c r="DF133" s="430">
        <v>153</v>
      </c>
      <c r="DG133" s="430">
        <f>(DF133+2*0.5+DH133)/2</f>
        <v>165</v>
      </c>
      <c r="DH133" s="415">
        <v>176</v>
      </c>
      <c r="DI133" s="431">
        <f>8/6</f>
        <v>1.3333333333333333</v>
      </c>
      <c r="DJ133" s="415">
        <v>400</v>
      </c>
      <c r="DK133" s="415">
        <v>59.4</v>
      </c>
      <c r="DL133" s="415">
        <f t="shared" ref="DL133:DL139" si="6">ROUNDUP(DJ133+2*DK133,1)</f>
        <v>518.79999999999995</v>
      </c>
      <c r="DM133" s="431">
        <v>228</v>
      </c>
      <c r="DN133" s="460"/>
      <c r="DO133" s="357"/>
      <c r="DP133" s="357"/>
      <c r="DQ133" s="434"/>
    </row>
    <row r="134" spans="56:121">
      <c r="BN134" s="407"/>
      <c r="BO134" s="330"/>
      <c r="BP134" s="330"/>
      <c r="BQ134" s="448" t="s">
        <v>614</v>
      </c>
      <c r="BR134" s="449"/>
      <c r="BS134" s="450"/>
      <c r="BT134" s="449"/>
      <c r="BU134" s="450">
        <v>0.1</v>
      </c>
      <c r="BV134" s="451" t="s">
        <v>4</v>
      </c>
      <c r="BW134" s="427">
        <v>150</v>
      </c>
      <c r="BX134" s="427">
        <v>170</v>
      </c>
      <c r="BY134" s="428">
        <v>23.3</v>
      </c>
      <c r="BZ134" s="428">
        <v>27.3</v>
      </c>
      <c r="CA134" s="431">
        <f>30.67/6</f>
        <v>5.1116666666666672</v>
      </c>
      <c r="CB134" s="430">
        <v>75</v>
      </c>
      <c r="CC134" s="430">
        <v>85</v>
      </c>
      <c r="CD134" s="430">
        <v>85</v>
      </c>
      <c r="CE134" s="431">
        <f>9.193/6</f>
        <v>1.5321666666666667</v>
      </c>
      <c r="CF134" s="431">
        <f>10.948/6</f>
        <v>1.8246666666666667</v>
      </c>
      <c r="CG134" s="431">
        <f>13.704/6</f>
        <v>2.2840000000000003</v>
      </c>
      <c r="CH134" s="430">
        <v>200</v>
      </c>
      <c r="CI134" s="431">
        <f>CJ134-2*4.5</f>
        <v>191</v>
      </c>
      <c r="CJ134" s="430">
        <v>200</v>
      </c>
      <c r="CK134" s="432">
        <f>26.698/6</f>
        <v>4.4496666666666664</v>
      </c>
      <c r="CL134" s="432">
        <f>15.98697/6</f>
        <v>2.6644950000000001</v>
      </c>
      <c r="CM134" s="452">
        <v>150</v>
      </c>
      <c r="CN134" s="361">
        <f t="shared" si="5"/>
        <v>152.39999999999998</v>
      </c>
      <c r="CO134" s="434">
        <f t="shared" ref="CO134:CO168" si="7">(PI()*(CN134/2000)^2-PI()*((CN134-2*($CO$130*25.4))/2000)^2)*7700</f>
        <v>22.434473637041712</v>
      </c>
      <c r="CP134" s="433">
        <v>400</v>
      </c>
      <c r="CQ134" s="453">
        <f>(427.3+426.3)/2</f>
        <v>426.8</v>
      </c>
      <c r="CR134" s="454">
        <v>17.600000000000001</v>
      </c>
      <c r="CS134" s="454">
        <v>18.5</v>
      </c>
      <c r="CT134" s="455">
        <v>15.8</v>
      </c>
      <c r="CU134" s="452">
        <v>400</v>
      </c>
      <c r="CV134" s="456">
        <v>400</v>
      </c>
      <c r="CW134" s="361">
        <v>465</v>
      </c>
      <c r="CX134" s="361">
        <v>2.2999999999999998</v>
      </c>
      <c r="CY134" s="434"/>
      <c r="CZ134" s="433">
        <v>750</v>
      </c>
      <c r="DA134" s="457">
        <v>774</v>
      </c>
      <c r="DB134" s="454">
        <f>(DA134+2*2.4+DC134)/2</f>
        <v>839.4</v>
      </c>
      <c r="DC134" s="458">
        <v>900</v>
      </c>
      <c r="DD134" s="459">
        <f>150/6</f>
        <v>25</v>
      </c>
      <c r="DE134" s="430">
        <v>200</v>
      </c>
      <c r="DF134" s="430">
        <v>200</v>
      </c>
      <c r="DG134" s="430">
        <f>(DF134+2*0.6+DH134)/2</f>
        <v>216.6</v>
      </c>
      <c r="DH134" s="415">
        <v>232</v>
      </c>
      <c r="DI134" s="431">
        <f>14/6</f>
        <v>2.3333333333333335</v>
      </c>
      <c r="DJ134" s="415">
        <v>500</v>
      </c>
      <c r="DK134" s="415">
        <v>68.900000000000006</v>
      </c>
      <c r="DL134" s="415">
        <f t="shared" si="6"/>
        <v>637.79999999999995</v>
      </c>
      <c r="DM134" s="431">
        <v>344</v>
      </c>
      <c r="DN134" s="460"/>
      <c r="DO134" s="357"/>
      <c r="DP134" s="357"/>
      <c r="DQ134" s="434"/>
    </row>
    <row r="135" spans="56:121">
      <c r="BN135" s="407"/>
      <c r="BO135" s="330"/>
      <c r="BP135" s="330"/>
      <c r="BQ135" s="407"/>
      <c r="BR135" s="330"/>
      <c r="BS135" s="348"/>
      <c r="BT135" s="330"/>
      <c r="BU135" s="348"/>
      <c r="BV135" s="409"/>
      <c r="BW135" s="427">
        <v>200</v>
      </c>
      <c r="BX135" s="427">
        <v>222</v>
      </c>
      <c r="BY135" s="428">
        <v>31.9</v>
      </c>
      <c r="BZ135" s="428">
        <v>36.700000000000003</v>
      </c>
      <c r="CA135" s="431">
        <f>52.752/6</f>
        <v>8.7919999999999998</v>
      </c>
      <c r="CB135" s="430">
        <v>100</v>
      </c>
      <c r="CC135" s="430">
        <v>110</v>
      </c>
      <c r="CD135" s="430">
        <v>110</v>
      </c>
      <c r="CE135" s="431">
        <f>15.433/6</f>
        <v>2.5721666666666665</v>
      </c>
      <c r="CF135" s="431">
        <f>18.463/6</f>
        <v>3.0771666666666668</v>
      </c>
      <c r="CG135" s="431">
        <f>23.035/6</f>
        <v>3.8391666666666668</v>
      </c>
      <c r="CH135" s="430">
        <v>250</v>
      </c>
      <c r="CI135" s="431">
        <f>CJ135-2*6.1</f>
        <v>237.8</v>
      </c>
      <c r="CJ135" s="430">
        <v>250</v>
      </c>
      <c r="CK135" s="432">
        <f>44.777/6</f>
        <v>7.4628333333333332</v>
      </c>
      <c r="CL135" s="432">
        <f>23.608665/6</f>
        <v>3.9347774999999996</v>
      </c>
      <c r="CM135" s="452">
        <v>200</v>
      </c>
      <c r="CN135" s="361">
        <f t="shared" si="5"/>
        <v>203.2</v>
      </c>
      <c r="CO135" s="434">
        <f t="shared" si="7"/>
        <v>30.237768815143131</v>
      </c>
      <c r="CP135" s="433">
        <v>450</v>
      </c>
      <c r="CQ135" s="453">
        <f>(478.2+477.2)/2</f>
        <v>477.7</v>
      </c>
      <c r="CR135" s="454">
        <v>22</v>
      </c>
      <c r="CS135" s="454">
        <v>24</v>
      </c>
      <c r="CT135" s="455">
        <v>19.600000000000001</v>
      </c>
      <c r="CU135" s="452">
        <v>500</v>
      </c>
      <c r="CV135" s="456">
        <v>500</v>
      </c>
      <c r="CW135" s="361">
        <v>586</v>
      </c>
      <c r="CX135" s="361">
        <v>3</v>
      </c>
      <c r="CY135" s="434"/>
      <c r="CZ135" s="461">
        <v>800</v>
      </c>
      <c r="DA135" s="462">
        <v>800</v>
      </c>
      <c r="DB135" s="463">
        <v>903</v>
      </c>
      <c r="DC135" s="464">
        <v>900</v>
      </c>
      <c r="DD135" s="465">
        <v>30.5</v>
      </c>
      <c r="DE135" s="430">
        <v>250</v>
      </c>
      <c r="DF135" s="430">
        <v>249</v>
      </c>
      <c r="DG135" s="430">
        <f>(DF135+2*0.6+DH135)/2</f>
        <v>270.10000000000002</v>
      </c>
      <c r="DH135" s="415">
        <v>290</v>
      </c>
      <c r="DI135" s="431">
        <f>21/6</f>
        <v>3.5</v>
      </c>
      <c r="DJ135" s="415">
        <v>600</v>
      </c>
      <c r="DK135" s="415">
        <v>74.3</v>
      </c>
      <c r="DL135" s="415">
        <f t="shared" si="6"/>
        <v>748.6</v>
      </c>
      <c r="DM135" s="431">
        <v>440</v>
      </c>
      <c r="DN135" s="460"/>
      <c r="DO135" s="357"/>
      <c r="DP135" s="357"/>
      <c r="DQ135" s="434"/>
    </row>
    <row r="136" spans="56:121">
      <c r="BN136" s="416" t="s">
        <v>532</v>
      </c>
      <c r="BO136" s="417"/>
      <c r="BP136" s="417"/>
      <c r="BQ136" s="448" t="s">
        <v>615</v>
      </c>
      <c r="BR136" s="449"/>
      <c r="BS136" s="450"/>
      <c r="BT136" s="449"/>
      <c r="BU136" s="450">
        <v>0.15</v>
      </c>
      <c r="BV136" s="451" t="s">
        <v>4</v>
      </c>
      <c r="BW136" s="427">
        <v>250</v>
      </c>
      <c r="BX136" s="427">
        <v>274</v>
      </c>
      <c r="BY136" s="428">
        <v>40.299999999999997</v>
      </c>
      <c r="BZ136" s="428">
        <v>48</v>
      </c>
      <c r="CA136" s="431">
        <f>79.112/6</f>
        <v>13.185333333333332</v>
      </c>
      <c r="CB136" s="466"/>
      <c r="CC136" s="466"/>
      <c r="CD136" s="466"/>
      <c r="CE136" s="466"/>
      <c r="CF136" s="466"/>
      <c r="CG136" s="466"/>
      <c r="CH136" s="430">
        <v>300</v>
      </c>
      <c r="CI136" s="431">
        <f>CJ136-2*7.7</f>
        <v>299.60000000000002</v>
      </c>
      <c r="CJ136" s="430">
        <v>315</v>
      </c>
      <c r="CK136" s="432">
        <f>71.483/6</f>
        <v>11.913833333333335</v>
      </c>
      <c r="CL136" s="432">
        <f>35.363151/6</f>
        <v>5.8938585000000003</v>
      </c>
      <c r="CM136" s="452">
        <v>250</v>
      </c>
      <c r="CN136" s="361">
        <f t="shared" si="5"/>
        <v>254</v>
      </c>
      <c r="CO136" s="434">
        <f>(PI()*(CN136/2000)^2-PI()*((CN136-2*($CO$130*25.4))/2000)^2)*7700</f>
        <v>38.041063993244627</v>
      </c>
      <c r="CP136" s="433">
        <v>500</v>
      </c>
      <c r="CQ136" s="453">
        <f>(530.1+529.1)/2</f>
        <v>529.6</v>
      </c>
      <c r="CR136" s="454">
        <v>27</v>
      </c>
      <c r="CS136" s="454">
        <v>30</v>
      </c>
      <c r="CT136" s="455">
        <v>24</v>
      </c>
      <c r="CU136" s="452">
        <v>600</v>
      </c>
      <c r="CV136" s="456">
        <v>600</v>
      </c>
      <c r="CW136" s="361">
        <v>704</v>
      </c>
      <c r="CX136" s="361">
        <v>3.5</v>
      </c>
      <c r="CY136" s="434"/>
      <c r="CZ136" s="433">
        <v>900</v>
      </c>
      <c r="DA136" s="457">
        <v>914</v>
      </c>
      <c r="DB136" s="454">
        <f>(DA136+2*2.7+DC136)/2</f>
        <v>981.7</v>
      </c>
      <c r="DC136" s="458">
        <v>1044</v>
      </c>
      <c r="DD136" s="459">
        <f>183/6</f>
        <v>30.5</v>
      </c>
      <c r="DE136" s="430">
        <v>300</v>
      </c>
      <c r="DF136" s="430">
        <v>308</v>
      </c>
      <c r="DG136" s="430">
        <f>(DF136+2*0.9+DH136)/2</f>
        <v>338.4</v>
      </c>
      <c r="DH136" s="415">
        <v>367</v>
      </c>
      <c r="DI136" s="431">
        <f>29/6</f>
        <v>4.833333333333333</v>
      </c>
      <c r="DJ136" s="415">
        <v>700</v>
      </c>
      <c r="DK136" s="415">
        <v>74.900000000000006</v>
      </c>
      <c r="DL136" s="415">
        <f t="shared" si="6"/>
        <v>849.8</v>
      </c>
      <c r="DM136" s="431">
        <v>540</v>
      </c>
      <c r="DN136" s="467"/>
      <c r="DO136" s="468"/>
      <c r="DP136" s="468"/>
      <c r="DQ136" s="469"/>
    </row>
    <row r="137" spans="56:121">
      <c r="BN137" s="416" t="s">
        <v>616</v>
      </c>
      <c r="BO137" s="417"/>
      <c r="BP137" s="417"/>
      <c r="BQ137" s="448" t="s">
        <v>617</v>
      </c>
      <c r="BR137" s="449"/>
      <c r="BS137" s="450"/>
      <c r="BT137" s="449"/>
      <c r="BU137" s="450">
        <v>0.15</v>
      </c>
      <c r="BV137" s="451" t="s">
        <v>4</v>
      </c>
      <c r="BW137" s="427">
        <v>300</v>
      </c>
      <c r="BX137" s="427">
        <v>326</v>
      </c>
      <c r="BY137" s="428">
        <v>49.8</v>
      </c>
      <c r="BZ137" s="428">
        <v>60.4</v>
      </c>
      <c r="CA137" s="431">
        <f>112.389/6</f>
        <v>18.7315</v>
      </c>
      <c r="CB137" s="466"/>
      <c r="CC137" s="466"/>
      <c r="CD137" s="466"/>
      <c r="CE137" s="466"/>
      <c r="CF137" s="466"/>
      <c r="CG137" s="466"/>
      <c r="CH137" s="430">
        <v>350</v>
      </c>
      <c r="CI137" s="431">
        <f>CJ137-2*8.7</f>
        <v>337.6</v>
      </c>
      <c r="CJ137" s="430">
        <v>355</v>
      </c>
      <c r="CK137" s="432">
        <f>91.38/6</f>
        <v>15.229999999999999</v>
      </c>
      <c r="CL137" s="432">
        <f>44.0781/6</f>
        <v>7.3463500000000002</v>
      </c>
      <c r="CM137" s="452">
        <v>300</v>
      </c>
      <c r="CN137" s="361">
        <f t="shared" si="5"/>
        <v>304.79999999999995</v>
      </c>
      <c r="CO137" s="434">
        <f t="shared" si="7"/>
        <v>45.844359171346127</v>
      </c>
      <c r="CP137" s="433">
        <v>600</v>
      </c>
      <c r="CQ137" s="453">
        <f>(617+616)/2</f>
        <v>616.5</v>
      </c>
      <c r="CR137" s="454">
        <v>37</v>
      </c>
      <c r="CS137" s="454">
        <v>40</v>
      </c>
      <c r="CT137" s="455">
        <v>32</v>
      </c>
      <c r="CU137" s="452">
        <v>800</v>
      </c>
      <c r="CV137" s="456">
        <v>800</v>
      </c>
      <c r="CW137" s="361">
        <v>903</v>
      </c>
      <c r="CX137" s="361">
        <v>4.5</v>
      </c>
      <c r="CY137" s="434">
        <v>30.5</v>
      </c>
      <c r="CZ137" s="433">
        <v>1050</v>
      </c>
      <c r="DA137" s="457">
        <v>1050</v>
      </c>
      <c r="DB137" s="454">
        <f>(DA137+2*3.2+DC137)/2</f>
        <v>1134.2</v>
      </c>
      <c r="DC137" s="458">
        <v>1212</v>
      </c>
      <c r="DD137" s="459">
        <f>250/6</f>
        <v>41.666666666666664</v>
      </c>
      <c r="DE137" s="430">
        <v>375</v>
      </c>
      <c r="DF137" s="430">
        <v>382</v>
      </c>
      <c r="DG137" s="430">
        <f>(DF137+2*1+DH137)/2</f>
        <v>414.5</v>
      </c>
      <c r="DH137" s="415">
        <v>445</v>
      </c>
      <c r="DI137" s="431">
        <f>41/6</f>
        <v>6.833333333333333</v>
      </c>
      <c r="DJ137" s="415">
        <v>800</v>
      </c>
      <c r="DK137" s="415">
        <v>90.2</v>
      </c>
      <c r="DL137" s="415">
        <f t="shared" si="6"/>
        <v>980.4</v>
      </c>
      <c r="DM137" s="431">
        <v>700</v>
      </c>
    </row>
    <row r="138" spans="56:121">
      <c r="BN138" s="407"/>
      <c r="BO138" s="330"/>
      <c r="BP138" s="330"/>
      <c r="BQ138" s="423" t="s">
        <v>618</v>
      </c>
      <c r="BR138" s="424"/>
      <c r="BS138" s="425"/>
      <c r="BT138" s="424"/>
      <c r="BU138" s="470">
        <v>2</v>
      </c>
      <c r="BV138" s="426"/>
      <c r="BW138" s="427">
        <v>350</v>
      </c>
      <c r="BX138" s="427">
        <v>378</v>
      </c>
      <c r="BY138" s="428">
        <v>64.900000000000006</v>
      </c>
      <c r="BZ138" s="428">
        <v>79.7</v>
      </c>
      <c r="CA138" s="431">
        <f>155.675/6</f>
        <v>25.945833333333336</v>
      </c>
      <c r="CB138" s="466"/>
      <c r="CC138" s="466"/>
      <c r="CD138" s="466"/>
      <c r="CE138" s="466"/>
      <c r="CF138" s="466"/>
      <c r="CG138" s="466"/>
      <c r="CH138" s="430">
        <v>400</v>
      </c>
      <c r="CI138" s="431">
        <f>CJ138-2*9.8</f>
        <v>380.4</v>
      </c>
      <c r="CJ138" s="430">
        <v>400</v>
      </c>
      <c r="CK138" s="432">
        <f>112.634/6</f>
        <v>18.772333333333332</v>
      </c>
      <c r="CL138" s="432">
        <f>57.565485/6</f>
        <v>9.5942474999999998</v>
      </c>
      <c r="CM138" s="452">
        <v>350</v>
      </c>
      <c r="CN138" s="361">
        <f t="shared" si="5"/>
        <v>355.59999999999997</v>
      </c>
      <c r="CO138" s="434">
        <f t="shared" si="7"/>
        <v>53.64765434944762</v>
      </c>
      <c r="CP138" s="433">
        <v>700</v>
      </c>
      <c r="CQ138" s="453">
        <f>(719+718)/2</f>
        <v>718.5</v>
      </c>
      <c r="CR138" s="454">
        <v>49</v>
      </c>
      <c r="CS138" s="454">
        <v>54</v>
      </c>
      <c r="CT138" s="455">
        <v>43</v>
      </c>
      <c r="CU138" s="452">
        <v>1000</v>
      </c>
      <c r="CV138" s="456">
        <v>1000</v>
      </c>
      <c r="CW138" s="361">
        <v>1141</v>
      </c>
      <c r="CX138" s="361">
        <v>5</v>
      </c>
      <c r="CY138" s="434"/>
      <c r="CZ138" s="471">
        <v>1200</v>
      </c>
      <c r="DA138" s="472">
        <v>1204</v>
      </c>
      <c r="DB138" s="473">
        <f>(DA138+2*3.5+DC138)/2</f>
        <v>1289</v>
      </c>
      <c r="DC138" s="474">
        <v>1367</v>
      </c>
      <c r="DD138" s="475">
        <f>307.5/6</f>
        <v>51.25</v>
      </c>
      <c r="DE138" s="430">
        <v>450</v>
      </c>
      <c r="DF138" s="430">
        <v>460</v>
      </c>
      <c r="DG138" s="430">
        <f>(DF138+2*1.3+DH138)/2</f>
        <v>503.8</v>
      </c>
      <c r="DH138" s="415">
        <v>545</v>
      </c>
      <c r="DI138" s="431">
        <f>59/6</f>
        <v>9.8333333333333339</v>
      </c>
      <c r="DJ138" s="415">
        <v>900</v>
      </c>
      <c r="DK138" s="415">
        <v>99.1</v>
      </c>
      <c r="DL138" s="415">
        <f t="shared" si="6"/>
        <v>1098.2</v>
      </c>
      <c r="DM138" s="431">
        <v>860</v>
      </c>
    </row>
    <row r="139" spans="56:121">
      <c r="BN139" s="407"/>
      <c r="BO139" s="330"/>
      <c r="BP139" s="330"/>
      <c r="BQ139" s="423" t="s">
        <v>619</v>
      </c>
      <c r="BR139" s="424"/>
      <c r="BS139" s="425"/>
      <c r="BT139" s="424"/>
      <c r="BU139" s="425">
        <v>0.3</v>
      </c>
      <c r="BV139" s="426" t="s">
        <v>4</v>
      </c>
      <c r="BW139" s="427">
        <v>400</v>
      </c>
      <c r="BX139" s="427">
        <v>429</v>
      </c>
      <c r="BY139" s="428">
        <v>77.900000000000006</v>
      </c>
      <c r="BZ139" s="428">
        <v>94.7</v>
      </c>
      <c r="CA139" s="431">
        <f>194.226/6</f>
        <v>32.371000000000002</v>
      </c>
      <c r="CB139" s="466"/>
      <c r="CC139" s="466"/>
      <c r="CD139" s="466"/>
      <c r="CE139" s="466"/>
      <c r="CF139" s="466"/>
      <c r="CG139" s="466"/>
      <c r="CH139" s="476"/>
      <c r="CI139" s="476"/>
      <c r="CJ139" s="476"/>
      <c r="CK139" s="466"/>
      <c r="CL139" s="466"/>
      <c r="CM139" s="452">
        <v>400</v>
      </c>
      <c r="CN139" s="361">
        <f t="shared" si="5"/>
        <v>406.4</v>
      </c>
      <c r="CO139" s="434">
        <f t="shared" si="7"/>
        <v>61.450949527549014</v>
      </c>
      <c r="CP139" s="433">
        <v>800</v>
      </c>
      <c r="CQ139" s="453">
        <f>(821+820)/2</f>
        <v>820.5</v>
      </c>
      <c r="CR139" s="454">
        <v>64</v>
      </c>
      <c r="CS139" s="454">
        <v>69</v>
      </c>
      <c r="CT139" s="455">
        <v>56</v>
      </c>
      <c r="CU139" s="477">
        <v>1200</v>
      </c>
      <c r="CV139" s="478">
        <v>1200</v>
      </c>
      <c r="CW139" s="479">
        <v>1387</v>
      </c>
      <c r="CX139" s="479">
        <v>5</v>
      </c>
      <c r="CY139" s="469"/>
      <c r="CZ139" s="476"/>
      <c r="DA139" s="476"/>
      <c r="DB139" s="320"/>
      <c r="DE139" s="430">
        <v>600</v>
      </c>
      <c r="DF139" s="430">
        <v>614</v>
      </c>
      <c r="DG139" s="430">
        <f>(DF139+2*1.5+DH139)/2</f>
        <v>667</v>
      </c>
      <c r="DH139" s="415">
        <v>717</v>
      </c>
      <c r="DI139" s="431">
        <f>98/6</f>
        <v>16.333333333333332</v>
      </c>
      <c r="DJ139" s="415">
        <v>1000</v>
      </c>
      <c r="DK139" s="415">
        <v>106.4</v>
      </c>
      <c r="DL139" s="415">
        <f t="shared" si="6"/>
        <v>1212.8</v>
      </c>
      <c r="DM139" s="431">
        <v>1006.7</v>
      </c>
    </row>
    <row r="140" spans="56:121" ht="12.75" customHeight="1">
      <c r="BJ140" s="840" t="s">
        <v>620</v>
      </c>
      <c r="BK140" s="840"/>
      <c r="BL140" s="840"/>
      <c r="BM140" s="841"/>
      <c r="BN140" s="416" t="s">
        <v>530</v>
      </c>
      <c r="BO140" s="417"/>
      <c r="BP140" s="417"/>
      <c r="BQ140" s="423" t="s">
        <v>621</v>
      </c>
      <c r="BR140" s="424"/>
      <c r="BS140" s="425"/>
      <c r="BT140" s="424"/>
      <c r="BU140" s="425">
        <v>0.4</v>
      </c>
      <c r="BV140" s="426" t="s">
        <v>4</v>
      </c>
      <c r="BW140" s="427">
        <v>450</v>
      </c>
      <c r="BX140" s="427">
        <v>480</v>
      </c>
      <c r="BY140" s="428">
        <v>91.7</v>
      </c>
      <c r="BZ140" s="428">
        <v>111.8</v>
      </c>
      <c r="CA140" s="480"/>
      <c r="CB140" s="466"/>
      <c r="CC140" s="466"/>
      <c r="CD140" s="466"/>
      <c r="CE140" s="466"/>
      <c r="CF140" s="466"/>
      <c r="CG140" s="466"/>
      <c r="CH140" s="476"/>
      <c r="CI140" s="476"/>
      <c r="CJ140" s="476"/>
      <c r="CK140" s="466"/>
      <c r="CL140" s="466"/>
      <c r="CM140" s="452">
        <v>450</v>
      </c>
      <c r="CN140" s="361">
        <f t="shared" si="5"/>
        <v>457.2</v>
      </c>
      <c r="CO140" s="434">
        <f t="shared" si="7"/>
        <v>69.254244705650407</v>
      </c>
      <c r="CP140" s="433">
        <v>900</v>
      </c>
      <c r="CQ140" s="453">
        <f>(923+922)/2</f>
        <v>922.5</v>
      </c>
      <c r="CR140" s="454">
        <v>81</v>
      </c>
      <c r="CS140" s="454">
        <v>87</v>
      </c>
      <c r="CT140" s="455">
        <v>70</v>
      </c>
      <c r="CZ140" s="476"/>
      <c r="DA140" s="384"/>
      <c r="DB140" s="481"/>
      <c r="DE140" s="430">
        <v>750</v>
      </c>
      <c r="DF140" s="430">
        <v>774</v>
      </c>
      <c r="DG140" s="430">
        <f>(DF140+2*1.5+DH140)/2</f>
        <v>838.5</v>
      </c>
      <c r="DH140" s="415">
        <v>900</v>
      </c>
      <c r="DI140" s="431">
        <f>144/6</f>
        <v>24</v>
      </c>
      <c r="DJ140" s="415">
        <v>1200</v>
      </c>
      <c r="DK140" s="415">
        <v>122.9</v>
      </c>
      <c r="DL140" s="415">
        <f>ROUNDUP(DJ140+2*DK140,1)</f>
        <v>1445.8</v>
      </c>
      <c r="DM140" s="431">
        <v>1392</v>
      </c>
    </row>
    <row r="141" spans="56:121" ht="12">
      <c r="BJ141" s="824" t="s">
        <v>620</v>
      </c>
      <c r="BK141" s="824"/>
      <c r="BL141" s="824"/>
      <c r="BM141" s="825"/>
      <c r="BN141" s="423" t="s">
        <v>622</v>
      </c>
      <c r="BO141" s="424"/>
      <c r="BP141" s="424"/>
      <c r="BQ141" s="423" t="s">
        <v>623</v>
      </c>
      <c r="BR141" s="424"/>
      <c r="BS141" s="425"/>
      <c r="BT141" s="424"/>
      <c r="BU141" s="425">
        <v>0.3</v>
      </c>
      <c r="BV141" s="426" t="s">
        <v>4</v>
      </c>
      <c r="BW141" s="427">
        <v>500</v>
      </c>
      <c r="BX141" s="427">
        <v>532</v>
      </c>
      <c r="BY141" s="428">
        <v>106.1</v>
      </c>
      <c r="BZ141" s="428">
        <v>129.30000000000001</v>
      </c>
      <c r="CA141" s="431">
        <f>298.26/6</f>
        <v>49.71</v>
      </c>
      <c r="CB141" s="466"/>
      <c r="CC141" s="466"/>
      <c r="CD141" s="466"/>
      <c r="CE141" s="466"/>
      <c r="CF141" s="466"/>
      <c r="CG141" s="466"/>
      <c r="CH141" s="476"/>
      <c r="CI141" s="476"/>
      <c r="CJ141" s="476"/>
      <c r="CK141" s="476"/>
      <c r="CL141" s="476"/>
      <c r="CM141" s="452">
        <v>500</v>
      </c>
      <c r="CN141" s="361">
        <f t="shared" si="5"/>
        <v>508</v>
      </c>
      <c r="CO141" s="434">
        <f t="shared" si="7"/>
        <v>77.057539883752014</v>
      </c>
      <c r="CP141" s="433">
        <v>1000</v>
      </c>
      <c r="CQ141" s="453">
        <f>(1025+1024)/2</f>
        <v>1024.5</v>
      </c>
      <c r="CR141" s="454">
        <v>100</v>
      </c>
      <c r="CS141" s="454">
        <v>110</v>
      </c>
      <c r="CT141" s="455">
        <v>86</v>
      </c>
      <c r="CZ141" s="476"/>
      <c r="DA141" s="384"/>
      <c r="DE141" s="430">
        <v>900</v>
      </c>
      <c r="DF141" s="430">
        <v>912</v>
      </c>
      <c r="DG141" s="430">
        <f>(DF141+2*1.7+DH141)/2</f>
        <v>979.7</v>
      </c>
      <c r="DH141" s="415">
        <v>1044</v>
      </c>
      <c r="DI141" s="431">
        <f>169.8/6</f>
        <v>28.3</v>
      </c>
      <c r="DJ141" s="415">
        <v>1500</v>
      </c>
      <c r="DK141" s="415">
        <v>122</v>
      </c>
      <c r="DL141" s="415">
        <f>ROUNDUP(DJ141+2*DK141,1)</f>
        <v>1744</v>
      </c>
      <c r="DM141" s="431">
        <v>1760</v>
      </c>
    </row>
    <row r="142" spans="56:121" ht="12.75" customHeight="1">
      <c r="BD142" s="824" t="s">
        <v>624</v>
      </c>
      <c r="BE142" s="824"/>
      <c r="BF142" s="824" t="s">
        <v>625</v>
      </c>
      <c r="BG142" s="824"/>
      <c r="BH142" s="824"/>
      <c r="BI142" s="824"/>
      <c r="BJ142" s="824"/>
      <c r="BK142" s="824"/>
      <c r="BL142" s="824"/>
      <c r="BM142" s="825"/>
      <c r="BN142" s="423" t="s">
        <v>626</v>
      </c>
      <c r="BO142" s="424"/>
      <c r="BP142" s="424"/>
      <c r="BQ142" s="407"/>
      <c r="BR142" s="330"/>
      <c r="BS142" s="348"/>
      <c r="BT142" s="330"/>
      <c r="BU142" s="348"/>
      <c r="BV142" s="409"/>
      <c r="BW142" s="427">
        <v>600</v>
      </c>
      <c r="BX142" s="427">
        <v>635</v>
      </c>
      <c r="BY142" s="428">
        <v>137.9</v>
      </c>
      <c r="BZ142" s="428">
        <v>168.4</v>
      </c>
      <c r="CA142" s="480"/>
      <c r="CB142" s="466"/>
      <c r="CC142" s="466"/>
      <c r="CD142" s="466"/>
      <c r="CE142" s="466"/>
      <c r="CF142" s="466"/>
      <c r="CG142" s="466"/>
      <c r="CH142" s="476"/>
      <c r="CI142" s="476"/>
      <c r="CJ142" s="476"/>
      <c r="CK142" s="476"/>
      <c r="CL142" s="476"/>
      <c r="CM142" s="452">
        <v>550</v>
      </c>
      <c r="CN142" s="361">
        <f t="shared" si="5"/>
        <v>558.79999999999995</v>
      </c>
      <c r="CO142" s="434">
        <f t="shared" si="7"/>
        <v>84.860835061853621</v>
      </c>
      <c r="CP142" s="433">
        <v>1200</v>
      </c>
      <c r="CQ142" s="453">
        <f>(1229+1228)/2</f>
        <v>1228.5</v>
      </c>
      <c r="CR142" s="454">
        <v>145</v>
      </c>
      <c r="CS142" s="454">
        <v>155</v>
      </c>
      <c r="CT142" s="455">
        <v>125</v>
      </c>
      <c r="CZ142" s="476"/>
      <c r="DA142" s="384"/>
      <c r="DE142" s="430">
        <v>1050</v>
      </c>
      <c r="DF142" s="430">
        <v>1060</v>
      </c>
      <c r="DG142" s="430">
        <f>(DF142+2*1.8+DH142)/2</f>
        <v>1142.3</v>
      </c>
      <c r="DH142" s="415">
        <v>1221</v>
      </c>
      <c r="DI142" s="431">
        <f>224.1/6</f>
        <v>37.35</v>
      </c>
      <c r="DJ142" s="415">
        <v>2000</v>
      </c>
      <c r="DK142" s="415">
        <v>192.1</v>
      </c>
      <c r="DL142" s="415">
        <f>ROUNDUP(DJ142+2*DK142,1)</f>
        <v>2384.1999999999998</v>
      </c>
      <c r="DM142" s="431">
        <v>3580</v>
      </c>
    </row>
    <row r="143" spans="56:121" ht="12">
      <c r="BD143" s="824" t="s">
        <v>624</v>
      </c>
      <c r="BE143" s="824"/>
      <c r="BF143" s="824" t="s">
        <v>625</v>
      </c>
      <c r="BG143" s="824"/>
      <c r="BH143" s="824"/>
      <c r="BI143" s="824"/>
      <c r="BJ143" s="824"/>
      <c r="BK143" s="824"/>
      <c r="BL143" s="824"/>
      <c r="BM143" s="825"/>
      <c r="BN143" s="423" t="s">
        <v>627</v>
      </c>
      <c r="BO143" s="424"/>
      <c r="BP143" s="424"/>
      <c r="BQ143" s="407"/>
      <c r="BR143" s="330"/>
      <c r="BS143" s="348"/>
      <c r="BT143" s="330"/>
      <c r="BU143" s="348"/>
      <c r="BV143" s="409"/>
      <c r="BW143" s="427">
        <v>700</v>
      </c>
      <c r="BX143" s="427">
        <v>738</v>
      </c>
      <c r="BY143" s="428">
        <v>176.5</v>
      </c>
      <c r="BZ143" s="428">
        <v>215.1</v>
      </c>
      <c r="CA143" s="480"/>
      <c r="CB143" s="466"/>
      <c r="CC143" s="466"/>
      <c r="CD143" s="466"/>
      <c r="CE143" s="466"/>
      <c r="CF143" s="466"/>
      <c r="CG143" s="466"/>
      <c r="CH143" s="476"/>
      <c r="CI143" s="476"/>
      <c r="CJ143" s="476"/>
      <c r="CK143" s="476"/>
      <c r="CL143" s="476"/>
      <c r="CM143" s="452">
        <v>600</v>
      </c>
      <c r="CN143" s="361">
        <f t="shared" si="5"/>
        <v>609.59999999999991</v>
      </c>
      <c r="CO143" s="434">
        <f t="shared" si="7"/>
        <v>92.664130239955426</v>
      </c>
      <c r="CP143" s="433">
        <v>1400</v>
      </c>
      <c r="CQ143" s="453">
        <f>(1433+1432)/2</f>
        <v>1432.5</v>
      </c>
      <c r="CR143" s="454">
        <v>195</v>
      </c>
      <c r="CS143" s="454">
        <v>210</v>
      </c>
      <c r="CT143" s="455">
        <v>165</v>
      </c>
      <c r="CZ143" s="476"/>
      <c r="DA143" s="384"/>
      <c r="DE143" s="430">
        <v>1200</v>
      </c>
      <c r="DF143" s="430">
        <v>1204</v>
      </c>
      <c r="DG143" s="430">
        <f>(DF143+2*1.8+DH143)/2</f>
        <v>1287.3</v>
      </c>
      <c r="DH143" s="415">
        <v>1367</v>
      </c>
      <c r="DI143" s="431">
        <f>278/6</f>
        <v>46.333333333333336</v>
      </c>
    </row>
    <row r="144" spans="56:121" ht="12">
      <c r="BD144" s="824" t="s">
        <v>624</v>
      </c>
      <c r="BE144" s="824"/>
      <c r="BF144" s="824" t="s">
        <v>625</v>
      </c>
      <c r="BG144" s="824"/>
      <c r="BH144" s="824"/>
      <c r="BI144" s="824"/>
      <c r="BJ144" s="824"/>
      <c r="BK144" s="824"/>
      <c r="BL144" s="824"/>
      <c r="BM144" s="825"/>
      <c r="BN144" s="423" t="s">
        <v>628</v>
      </c>
      <c r="BO144" s="424"/>
      <c r="BP144" s="424"/>
      <c r="BQ144" s="407"/>
      <c r="BR144" s="330"/>
      <c r="BS144" s="348"/>
      <c r="BT144" s="330"/>
      <c r="BU144" s="348"/>
      <c r="BV144" s="409"/>
      <c r="BW144" s="427">
        <v>800</v>
      </c>
      <c r="BX144" s="427">
        <v>842</v>
      </c>
      <c r="BY144" s="428">
        <v>216.3</v>
      </c>
      <c r="BZ144" s="428">
        <v>264.10000000000002</v>
      </c>
      <c r="CA144" s="480"/>
      <c r="CB144" s="466"/>
      <c r="CC144" s="466"/>
      <c r="CD144" s="466"/>
      <c r="CE144" s="466"/>
      <c r="CF144" s="466"/>
      <c r="CG144" s="466"/>
      <c r="CH144" s="476"/>
      <c r="CI144" s="476"/>
      <c r="CJ144" s="476"/>
      <c r="CK144" s="476"/>
      <c r="CL144" s="476"/>
      <c r="CM144" s="452">
        <v>650</v>
      </c>
      <c r="CN144" s="361">
        <f t="shared" si="5"/>
        <v>660.4</v>
      </c>
      <c r="CO144" s="434">
        <f t="shared" si="7"/>
        <v>100.46742541805661</v>
      </c>
      <c r="CP144" s="433">
        <v>1600</v>
      </c>
      <c r="CQ144" s="453">
        <f>(1637+1636)/2</f>
        <v>1636.5</v>
      </c>
      <c r="CR144" s="454">
        <v>255</v>
      </c>
      <c r="CS144" s="454">
        <v>270</v>
      </c>
      <c r="CT144" s="455">
        <v>336.79</v>
      </c>
      <c r="CZ144" s="476"/>
      <c r="DA144" s="384"/>
    </row>
    <row r="145" spans="56:105" ht="12">
      <c r="BD145" s="824" t="s">
        <v>624</v>
      </c>
      <c r="BE145" s="824"/>
      <c r="BF145" s="824" t="s">
        <v>625</v>
      </c>
      <c r="BG145" s="824"/>
      <c r="BH145" s="824"/>
      <c r="BI145" s="824"/>
      <c r="BJ145" s="824"/>
      <c r="BK145" s="824"/>
      <c r="BL145" s="824"/>
      <c r="BM145" s="825"/>
      <c r="BN145" s="423" t="s">
        <v>629</v>
      </c>
      <c r="BO145" s="424"/>
      <c r="BP145" s="424"/>
      <c r="BQ145" s="407"/>
      <c r="BR145" s="330"/>
      <c r="BS145" s="348"/>
      <c r="BT145" s="330"/>
      <c r="BU145" s="348"/>
      <c r="BV145" s="409"/>
      <c r="BW145" s="427">
        <v>900</v>
      </c>
      <c r="BX145" s="427">
        <v>945</v>
      </c>
      <c r="BY145" s="428">
        <v>259.39999999999998</v>
      </c>
      <c r="BZ145" s="428">
        <v>317.2</v>
      </c>
      <c r="CA145" s="480"/>
      <c r="CB145" s="466"/>
      <c r="CC145" s="466"/>
      <c r="CD145" s="466"/>
      <c r="CE145" s="466"/>
      <c r="CF145" s="466"/>
      <c r="CG145" s="466"/>
      <c r="CH145" s="476"/>
      <c r="CI145" s="476"/>
      <c r="CJ145" s="476"/>
      <c r="CK145" s="476"/>
      <c r="CL145" s="476"/>
      <c r="CM145" s="452">
        <v>700</v>
      </c>
      <c r="CN145" s="361">
        <f t="shared" si="5"/>
        <v>711.19999999999993</v>
      </c>
      <c r="CO145" s="434">
        <f t="shared" si="7"/>
        <v>108.27072059615821</v>
      </c>
      <c r="CP145" s="433">
        <v>1800</v>
      </c>
      <c r="CQ145" s="453">
        <f>(1841+1840)/2</f>
        <v>1840.5</v>
      </c>
      <c r="CR145" s="454">
        <v>320</v>
      </c>
      <c r="CS145" s="454">
        <v>345</v>
      </c>
      <c r="CT145" s="455">
        <v>424.91</v>
      </c>
      <c r="CZ145" s="476"/>
      <c r="DA145" s="384"/>
    </row>
    <row r="146" spans="56:105" ht="12">
      <c r="BD146" s="824" t="s">
        <v>624</v>
      </c>
      <c r="BE146" s="824"/>
      <c r="BF146" s="824" t="s">
        <v>625</v>
      </c>
      <c r="BG146" s="824"/>
      <c r="BH146" s="824"/>
      <c r="BI146" s="824"/>
      <c r="BJ146" s="824"/>
      <c r="BK146" s="824"/>
      <c r="BL146" s="824"/>
      <c r="BM146" s="825"/>
      <c r="BN146" s="423" t="s">
        <v>630</v>
      </c>
      <c r="BO146" s="424"/>
      <c r="BP146" s="424"/>
      <c r="BQ146" s="407"/>
      <c r="BR146" s="330"/>
      <c r="BS146" s="348"/>
      <c r="BT146" s="330"/>
      <c r="BU146" s="348"/>
      <c r="BV146" s="409"/>
      <c r="BW146" s="427">
        <v>1000</v>
      </c>
      <c r="BX146" s="427">
        <v>1048</v>
      </c>
      <c r="BY146" s="428">
        <v>316.2</v>
      </c>
      <c r="BZ146" s="428">
        <v>375</v>
      </c>
      <c r="CA146" s="480"/>
      <c r="CB146" s="466"/>
      <c r="CC146" s="466"/>
      <c r="CD146" s="466"/>
      <c r="CE146" s="466"/>
      <c r="CF146" s="466"/>
      <c r="CG146" s="466"/>
      <c r="CH146" s="476"/>
      <c r="CI146" s="476"/>
      <c r="CJ146" s="476"/>
      <c r="CK146" s="476"/>
      <c r="CL146" s="476"/>
      <c r="CM146" s="452">
        <v>750</v>
      </c>
      <c r="CN146" s="361">
        <f t="shared" si="5"/>
        <v>762</v>
      </c>
      <c r="CO146" s="434">
        <f t="shared" si="7"/>
        <v>116.07401577426025</v>
      </c>
      <c r="CP146" s="433">
        <v>2000</v>
      </c>
      <c r="CQ146" s="453">
        <f>(2045+2044)/2</f>
        <v>2044.5</v>
      </c>
      <c r="CR146" s="454">
        <v>390</v>
      </c>
      <c r="CS146" s="454">
        <v>420</v>
      </c>
      <c r="CT146" s="455">
        <v>522.72</v>
      </c>
      <c r="CZ146" s="476"/>
      <c r="DA146" s="384"/>
    </row>
    <row r="147" spans="56:105" ht="12">
      <c r="BD147" s="824" t="s">
        <v>624</v>
      </c>
      <c r="BE147" s="824"/>
      <c r="BF147" s="824" t="s">
        <v>625</v>
      </c>
      <c r="BG147" s="824"/>
      <c r="BH147" s="824"/>
      <c r="BI147" s="824"/>
      <c r="BJ147" s="824"/>
      <c r="BK147" s="824"/>
      <c r="BL147" s="824"/>
      <c r="BM147" s="825"/>
      <c r="BN147" s="423" t="s">
        <v>631</v>
      </c>
      <c r="BO147" s="424"/>
      <c r="BP147" s="424"/>
      <c r="BQ147" s="407"/>
      <c r="BR147" s="330"/>
      <c r="BS147" s="348"/>
      <c r="BT147" s="330"/>
      <c r="BU147" s="348"/>
      <c r="BV147" s="409"/>
      <c r="BW147" s="427">
        <v>1200</v>
      </c>
      <c r="BX147" s="427">
        <v>1255</v>
      </c>
      <c r="BY147" s="428">
        <v>411.9</v>
      </c>
      <c r="BZ147" s="428">
        <v>505.3</v>
      </c>
      <c r="CA147" s="480"/>
      <c r="CB147" s="466"/>
      <c r="CC147" s="466"/>
      <c r="CD147" s="466"/>
      <c r="CE147" s="466"/>
      <c r="CF147" s="466"/>
      <c r="CG147" s="466"/>
      <c r="CH147" s="476"/>
      <c r="CI147" s="476"/>
      <c r="CJ147" s="476"/>
      <c r="CK147" s="476"/>
      <c r="CL147" s="476"/>
      <c r="CM147" s="452">
        <v>800</v>
      </c>
      <c r="CN147" s="361">
        <f t="shared" si="5"/>
        <v>812.8</v>
      </c>
      <c r="CO147" s="434">
        <f t="shared" si="7"/>
        <v>123.877310952361</v>
      </c>
      <c r="CP147" s="433">
        <v>2200</v>
      </c>
      <c r="CQ147" s="453">
        <f>(2249+2248)/2</f>
        <v>2248.5</v>
      </c>
      <c r="CR147" s="454">
        <v>470</v>
      </c>
      <c r="CS147" s="454">
        <v>510</v>
      </c>
      <c r="CT147" s="455">
        <v>632.04</v>
      </c>
      <c r="CZ147" s="476"/>
      <c r="DA147" s="384"/>
    </row>
    <row r="148" spans="56:105" ht="12">
      <c r="BD148" s="824" t="s">
        <v>624</v>
      </c>
      <c r="BE148" s="824"/>
      <c r="BF148" s="824" t="s">
        <v>625</v>
      </c>
      <c r="BG148" s="824"/>
      <c r="BH148" s="824"/>
      <c r="BI148" s="824"/>
      <c r="BJ148" s="824"/>
      <c r="BK148" s="824"/>
      <c r="BL148" s="824"/>
      <c r="BM148" s="825"/>
      <c r="BN148" s="423" t="s">
        <v>632</v>
      </c>
      <c r="BO148" s="424"/>
      <c r="BP148" s="424"/>
      <c r="BQ148" s="407"/>
      <c r="BR148" s="330"/>
      <c r="BS148" s="348"/>
      <c r="BT148" s="330"/>
      <c r="BU148" s="348"/>
      <c r="BV148" s="409"/>
      <c r="BW148" s="482"/>
      <c r="BX148" s="482"/>
      <c r="BY148" s="429"/>
      <c r="BZ148" s="429"/>
      <c r="CA148" s="480"/>
      <c r="CB148" s="466"/>
      <c r="CC148" s="466"/>
      <c r="CD148" s="466"/>
      <c r="CE148" s="466"/>
      <c r="CF148" s="466"/>
      <c r="CG148" s="466"/>
      <c r="CH148" s="476"/>
      <c r="CI148" s="476"/>
      <c r="CJ148" s="476"/>
      <c r="CK148" s="476"/>
      <c r="CL148" s="476"/>
      <c r="CM148" s="452">
        <v>850</v>
      </c>
      <c r="CN148" s="361">
        <f t="shared" si="5"/>
        <v>863.59999999999991</v>
      </c>
      <c r="CO148" s="434">
        <f t="shared" si="7"/>
        <v>131.68060613046302</v>
      </c>
      <c r="CP148" s="433">
        <v>2400</v>
      </c>
      <c r="CQ148" s="453">
        <f>(2453+2452)/2</f>
        <v>2452.5</v>
      </c>
      <c r="CR148" s="454">
        <v>560</v>
      </c>
      <c r="CS148" s="454">
        <v>610</v>
      </c>
      <c r="CT148" s="455">
        <v>749.92</v>
      </c>
      <c r="CZ148" s="476"/>
      <c r="DA148" s="384"/>
    </row>
    <row r="149" spans="56:105">
      <c r="BN149" s="483" t="s">
        <v>633</v>
      </c>
      <c r="BO149" s="484"/>
      <c r="BP149" s="484"/>
      <c r="BQ149" s="407"/>
      <c r="BR149" s="330"/>
      <c r="BS149" s="348"/>
      <c r="BT149" s="330"/>
      <c r="BU149" s="348"/>
      <c r="BV149" s="409"/>
      <c r="BW149" s="482"/>
      <c r="BX149" s="482"/>
      <c r="BY149" s="429"/>
      <c r="BZ149" s="429"/>
      <c r="CA149" s="480"/>
      <c r="CB149" s="466"/>
      <c r="CC149" s="466"/>
      <c r="CD149" s="466"/>
      <c r="CE149" s="466"/>
      <c r="CF149" s="466"/>
      <c r="CG149" s="466"/>
      <c r="CH149" s="476"/>
      <c r="CI149" s="476"/>
      <c r="CJ149" s="476"/>
      <c r="CK149" s="476"/>
      <c r="CL149" s="476"/>
      <c r="CM149" s="452">
        <v>900</v>
      </c>
      <c r="CN149" s="361">
        <f t="shared" si="5"/>
        <v>914.4</v>
      </c>
      <c r="CO149" s="434">
        <f t="shared" si="7"/>
        <v>139.48390130856421</v>
      </c>
      <c r="CP149" s="433">
        <v>2600</v>
      </c>
      <c r="CQ149" s="453">
        <f>(2657+2656)/2</f>
        <v>2656.5</v>
      </c>
      <c r="CR149" s="454">
        <v>660</v>
      </c>
      <c r="CS149" s="454">
        <v>710</v>
      </c>
      <c r="CT149" s="455">
        <v>880.87</v>
      </c>
      <c r="CZ149" s="476"/>
      <c r="DA149" s="384"/>
    </row>
    <row r="150" spans="56:105">
      <c r="BN150" s="483" t="s">
        <v>634</v>
      </c>
      <c r="BO150" s="484"/>
      <c r="BP150" s="484"/>
      <c r="BQ150" s="407"/>
      <c r="BR150" s="330"/>
      <c r="BS150" s="348"/>
      <c r="BT150" s="330"/>
      <c r="BU150" s="348"/>
      <c r="BV150" s="409"/>
      <c r="BW150" s="482"/>
      <c r="BX150" s="482"/>
      <c r="BY150" s="429"/>
      <c r="BZ150" s="429"/>
      <c r="CA150" s="429"/>
      <c r="CB150" s="384"/>
      <c r="CC150" s="384"/>
      <c r="CD150" s="384"/>
      <c r="CE150" s="384"/>
      <c r="CF150" s="384"/>
      <c r="CG150" s="384"/>
      <c r="CH150" s="476"/>
      <c r="CI150" s="476"/>
      <c r="CJ150" s="476"/>
      <c r="CK150" s="476"/>
      <c r="CL150" s="476"/>
      <c r="CM150" s="452">
        <v>950</v>
      </c>
      <c r="CN150" s="361">
        <f t="shared" si="5"/>
        <v>965.19999999999993</v>
      </c>
      <c r="CO150" s="434">
        <f t="shared" si="7"/>
        <v>147.28719648666623</v>
      </c>
      <c r="CP150" s="433">
        <v>2800</v>
      </c>
      <c r="CQ150" s="453">
        <f>(2861+2860)/2</f>
        <v>2860.5</v>
      </c>
      <c r="CR150" s="454">
        <v>760</v>
      </c>
      <c r="CS150" s="454">
        <v>820</v>
      </c>
      <c r="CT150" s="455">
        <v>1020.67</v>
      </c>
      <c r="CZ150" s="476"/>
      <c r="DA150" s="384"/>
    </row>
    <row r="151" spans="56:105">
      <c r="BN151" s="483" t="s">
        <v>635</v>
      </c>
      <c r="BO151" s="484"/>
      <c r="BP151" s="484"/>
      <c r="BQ151" s="407"/>
      <c r="BR151" s="330"/>
      <c r="BS151" s="348"/>
      <c r="BT151" s="330"/>
      <c r="BU151" s="348"/>
      <c r="BV151" s="409"/>
      <c r="BW151" s="482"/>
      <c r="BX151" s="482"/>
      <c r="BY151" s="429"/>
      <c r="BZ151" s="429"/>
      <c r="CA151" s="429"/>
      <c r="CB151" s="384"/>
      <c r="CC151" s="384"/>
      <c r="CD151" s="384"/>
      <c r="CE151" s="384"/>
      <c r="CF151" s="384"/>
      <c r="CG151" s="384"/>
      <c r="CH151" s="476"/>
      <c r="CI151" s="476"/>
      <c r="CJ151" s="476"/>
      <c r="CK151" s="476"/>
      <c r="CL151" s="476"/>
      <c r="CM151" s="452">
        <v>1000</v>
      </c>
      <c r="CN151" s="361">
        <f t="shared" si="5"/>
        <v>1016</v>
      </c>
      <c r="CO151" s="434">
        <f t="shared" si="7"/>
        <v>155.09049166476913</v>
      </c>
      <c r="CP151" s="471">
        <v>3000</v>
      </c>
      <c r="CQ151" s="485">
        <f>(3065+3064)/2</f>
        <v>3064.5</v>
      </c>
      <c r="CR151" s="473">
        <v>870</v>
      </c>
      <c r="CS151" s="473">
        <v>940</v>
      </c>
      <c r="CT151" s="486">
        <v>1169.9000000000001</v>
      </c>
      <c r="CZ151" s="476"/>
      <c r="DA151" s="384"/>
    </row>
    <row r="152" spans="56:105">
      <c r="BN152" s="483" t="s">
        <v>636</v>
      </c>
      <c r="BO152" s="484"/>
      <c r="BP152" s="484"/>
      <c r="BQ152" s="407"/>
      <c r="BR152" s="330"/>
      <c r="BS152" s="348"/>
      <c r="BT152" s="330"/>
      <c r="BU152" s="487"/>
      <c r="BV152" s="409"/>
      <c r="BW152" s="482"/>
      <c r="BX152" s="482"/>
      <c r="BY152" s="429"/>
      <c r="BZ152" s="429"/>
      <c r="CA152" s="429"/>
      <c r="CB152" s="384"/>
      <c r="CC152" s="384"/>
      <c r="CD152" s="384"/>
      <c r="CE152" s="384"/>
      <c r="CF152" s="384"/>
      <c r="CG152" s="384"/>
      <c r="CH152" s="384"/>
      <c r="CI152" s="384"/>
      <c r="CJ152" s="384"/>
      <c r="CK152" s="384"/>
      <c r="CL152" s="384"/>
      <c r="CM152" s="452">
        <v>1050</v>
      </c>
      <c r="CN152" s="361">
        <f t="shared" si="5"/>
        <v>1066.8</v>
      </c>
      <c r="CO152" s="434">
        <f t="shared" si="7"/>
        <v>162.8937868428703</v>
      </c>
      <c r="CZ152" s="476"/>
      <c r="DA152" s="384"/>
    </row>
    <row r="153" spans="56:105" ht="12">
      <c r="BJ153" s="824" t="s">
        <v>637</v>
      </c>
      <c r="BK153" s="824"/>
      <c r="BL153" s="824"/>
      <c r="BM153" s="825"/>
      <c r="BN153" s="423" t="s">
        <v>582</v>
      </c>
      <c r="BO153" s="424"/>
      <c r="BP153" s="424"/>
      <c r="BQ153" s="407"/>
      <c r="BR153" s="330"/>
      <c r="BS153" s="348"/>
      <c r="BT153" s="330"/>
      <c r="BU153" s="348"/>
      <c r="BV153" s="409"/>
      <c r="BW153" s="384"/>
      <c r="BX153" s="384"/>
      <c r="BY153" s="384"/>
      <c r="BZ153" s="384"/>
      <c r="CA153" s="384"/>
      <c r="CB153" s="384"/>
      <c r="CC153" s="384"/>
      <c r="CD153" s="384"/>
      <c r="CE153" s="384"/>
      <c r="CF153" s="384"/>
      <c r="CG153" s="384"/>
      <c r="CH153" s="384"/>
      <c r="CI153" s="384"/>
      <c r="CJ153" s="384"/>
      <c r="CK153" s="384"/>
      <c r="CL153" s="384"/>
      <c r="CM153" s="452">
        <v>1100</v>
      </c>
      <c r="CN153" s="361">
        <f t="shared" si="5"/>
        <v>1117.5999999999999</v>
      </c>
      <c r="CO153" s="434">
        <f t="shared" si="7"/>
        <v>170.69708202097061</v>
      </c>
      <c r="CZ153" s="476"/>
      <c r="DA153" s="384"/>
    </row>
    <row r="154" spans="56:105">
      <c r="BN154" s="483" t="s">
        <v>638</v>
      </c>
      <c r="BO154" s="484"/>
      <c r="BP154" s="484"/>
      <c r="BQ154" s="407"/>
      <c r="BR154" s="330"/>
      <c r="BS154" s="348"/>
      <c r="BT154" s="330"/>
      <c r="BU154" s="348"/>
      <c r="BV154" s="409"/>
      <c r="BW154" s="384"/>
      <c r="BX154" s="384"/>
      <c r="BY154" s="384"/>
      <c r="BZ154" s="384"/>
      <c r="CA154" s="384"/>
      <c r="CB154" s="384"/>
      <c r="CC154" s="384"/>
      <c r="CD154" s="384"/>
      <c r="CE154" s="384"/>
      <c r="CF154" s="384"/>
      <c r="CG154" s="384"/>
      <c r="CH154" s="384"/>
      <c r="CI154" s="384"/>
      <c r="CJ154" s="384"/>
      <c r="CK154" s="384"/>
      <c r="CL154" s="384"/>
      <c r="CM154" s="452">
        <v>1150</v>
      </c>
      <c r="CN154" s="361">
        <f t="shared" si="5"/>
        <v>1168.3999999999999</v>
      </c>
      <c r="CO154" s="434">
        <f t="shared" si="7"/>
        <v>178.50037719907266</v>
      </c>
      <c r="CZ154" s="476"/>
      <c r="DA154" s="384"/>
    </row>
    <row r="155" spans="56:105">
      <c r="BN155" s="483" t="s">
        <v>639</v>
      </c>
      <c r="BO155" s="484"/>
      <c r="BP155" s="484"/>
      <c r="BQ155" s="483" t="s">
        <v>640</v>
      </c>
      <c r="BR155" s="484"/>
      <c r="BS155" s="488"/>
      <c r="BT155" s="484"/>
      <c r="BU155" s="488">
        <v>0.5</v>
      </c>
      <c r="BV155" s="489" t="s">
        <v>641</v>
      </c>
      <c r="BW155" s="384"/>
      <c r="BX155" s="384"/>
      <c r="BY155" s="384"/>
      <c r="BZ155" s="384"/>
      <c r="CA155" s="384"/>
      <c r="CB155" s="384"/>
      <c r="CC155" s="384"/>
      <c r="CD155" s="384"/>
      <c r="CE155" s="384"/>
      <c r="CF155" s="384"/>
      <c r="CG155" s="384"/>
      <c r="CH155" s="384"/>
      <c r="CI155" s="384"/>
      <c r="CJ155" s="384"/>
      <c r="CK155" s="384"/>
      <c r="CL155" s="384"/>
      <c r="CM155" s="452">
        <v>1200</v>
      </c>
      <c r="CN155" s="361">
        <f t="shared" si="5"/>
        <v>1219.1999999999998</v>
      </c>
      <c r="CO155" s="434">
        <f t="shared" si="7"/>
        <v>186.30367237717468</v>
      </c>
      <c r="CZ155" s="476"/>
      <c r="DA155" s="384"/>
    </row>
    <row r="156" spans="56:105">
      <c r="BN156" s="483" t="s">
        <v>642</v>
      </c>
      <c r="BO156" s="484"/>
      <c r="BP156" s="484"/>
      <c r="BQ156" s="423" t="s">
        <v>643</v>
      </c>
      <c r="BR156" s="424"/>
      <c r="BS156" s="425"/>
      <c r="BT156" s="424"/>
      <c r="BU156" s="425">
        <v>3</v>
      </c>
      <c r="BV156" s="426" t="s">
        <v>4</v>
      </c>
      <c r="BW156" s="384"/>
      <c r="BX156" s="384"/>
      <c r="BY156" s="384"/>
      <c r="BZ156" s="384"/>
      <c r="CA156" s="384"/>
      <c r="CB156" s="384"/>
      <c r="CC156" s="384"/>
      <c r="CD156" s="384"/>
      <c r="CE156" s="384"/>
      <c r="CF156" s="384"/>
      <c r="CG156" s="384"/>
      <c r="CH156" s="384"/>
      <c r="CI156" s="384"/>
      <c r="CJ156" s="384"/>
      <c r="CK156" s="384"/>
      <c r="CL156" s="384"/>
      <c r="CM156" s="452">
        <v>1300</v>
      </c>
      <c r="CN156" s="361">
        <f t="shared" si="5"/>
        <v>1320.8</v>
      </c>
      <c r="CO156" s="434">
        <f t="shared" si="7"/>
        <v>201.91026273337704</v>
      </c>
      <c r="CZ156" s="476"/>
      <c r="DA156" s="384"/>
    </row>
    <row r="157" spans="56:105">
      <c r="BN157" s="483" t="s">
        <v>644</v>
      </c>
      <c r="BO157" s="484"/>
      <c r="BP157" s="484"/>
      <c r="BQ157" s="423" t="s">
        <v>645</v>
      </c>
      <c r="BR157" s="424"/>
      <c r="BS157" s="425"/>
      <c r="BT157" s="424"/>
      <c r="BU157" s="425">
        <v>6</v>
      </c>
      <c r="BV157" s="426" t="s">
        <v>4</v>
      </c>
      <c r="BW157" s="384"/>
      <c r="BX157" s="384"/>
      <c r="BY157" s="384"/>
      <c r="BZ157" s="384"/>
      <c r="CA157" s="384"/>
      <c r="CB157" s="384"/>
      <c r="CC157" s="384"/>
      <c r="CD157" s="384"/>
      <c r="CE157" s="384"/>
      <c r="CF157" s="384"/>
      <c r="CG157" s="384"/>
      <c r="CH157" s="384"/>
      <c r="CI157" s="384"/>
      <c r="CJ157" s="384"/>
      <c r="CK157" s="384"/>
      <c r="CL157" s="384"/>
      <c r="CM157" s="452">
        <v>1350</v>
      </c>
      <c r="CN157" s="361">
        <f t="shared" si="5"/>
        <v>1371.6</v>
      </c>
      <c r="CO157" s="434">
        <f t="shared" si="7"/>
        <v>209.71355791147909</v>
      </c>
      <c r="CP157" s="384"/>
      <c r="CZ157" s="476"/>
      <c r="DA157" s="384"/>
    </row>
    <row r="158" spans="56:105">
      <c r="BN158" s="483" t="s">
        <v>646</v>
      </c>
      <c r="BO158" s="484"/>
      <c r="BP158" s="484"/>
      <c r="BQ158" s="483" t="s">
        <v>647</v>
      </c>
      <c r="BR158" s="484"/>
      <c r="BS158" s="488"/>
      <c r="BT158" s="484"/>
      <c r="BU158" s="488">
        <v>0.8</v>
      </c>
      <c r="BV158" s="489" t="s">
        <v>4</v>
      </c>
      <c r="BW158" s="384"/>
      <c r="BX158" s="384"/>
      <c r="BY158" s="384"/>
      <c r="BZ158" s="384"/>
      <c r="CA158" s="384"/>
      <c r="CB158" s="384"/>
      <c r="CC158" s="384"/>
      <c r="CD158" s="384"/>
      <c r="CE158" s="384"/>
      <c r="CF158" s="384"/>
      <c r="CG158" s="384"/>
      <c r="CH158" s="384"/>
      <c r="CI158" s="384"/>
      <c r="CJ158" s="384"/>
      <c r="CK158" s="384"/>
      <c r="CL158" s="384"/>
      <c r="CM158" s="460">
        <v>1500</v>
      </c>
      <c r="CN158" s="361">
        <f t="shared" si="5"/>
        <v>1524</v>
      </c>
      <c r="CO158" s="434">
        <f t="shared" si="7"/>
        <v>233.12344344578688</v>
      </c>
      <c r="CP158" s="384"/>
    </row>
    <row r="159" spans="56:105">
      <c r="BN159" s="483" t="s">
        <v>648</v>
      </c>
      <c r="BO159" s="484"/>
      <c r="BP159" s="484"/>
      <c r="BQ159" s="483" t="s">
        <v>649</v>
      </c>
      <c r="BR159" s="484"/>
      <c r="BS159" s="488"/>
      <c r="BT159" s="484"/>
      <c r="BU159" s="488">
        <v>1.5</v>
      </c>
      <c r="BV159" s="489" t="s">
        <v>4</v>
      </c>
      <c r="BW159" s="384"/>
      <c r="BX159" s="384"/>
      <c r="BY159" s="384"/>
      <c r="BZ159" s="384"/>
      <c r="CA159" s="384"/>
      <c r="CB159" s="384"/>
      <c r="CC159" s="384"/>
      <c r="CD159" s="384"/>
      <c r="CE159" s="384"/>
      <c r="CF159" s="384"/>
      <c r="CG159" s="384"/>
      <c r="CH159" s="384"/>
      <c r="CI159" s="384"/>
      <c r="CJ159" s="384"/>
      <c r="CK159" s="384"/>
      <c r="CL159" s="384"/>
      <c r="CM159" s="460">
        <v>1800</v>
      </c>
      <c r="CN159" s="361">
        <f t="shared" si="5"/>
        <v>1828.8</v>
      </c>
      <c r="CO159" s="434">
        <f t="shared" si="7"/>
        <v>279.94321451439396</v>
      </c>
      <c r="CP159" s="384"/>
    </row>
    <row r="160" spans="56:105">
      <c r="BN160" s="483" t="s">
        <v>650</v>
      </c>
      <c r="BO160" s="484"/>
      <c r="BP160" s="484"/>
      <c r="BQ160" s="483" t="s">
        <v>651</v>
      </c>
      <c r="BR160" s="484"/>
      <c r="BS160" s="488"/>
      <c r="BT160" s="484"/>
      <c r="BU160" s="488">
        <v>2.5</v>
      </c>
      <c r="BV160" s="489" t="s">
        <v>4</v>
      </c>
      <c r="BW160" s="384"/>
      <c r="BX160" s="384"/>
      <c r="BY160" s="384"/>
      <c r="BZ160" s="384"/>
      <c r="CA160" s="384"/>
      <c r="CB160" s="384"/>
      <c r="CC160" s="384"/>
      <c r="CD160" s="384"/>
      <c r="CE160" s="384"/>
      <c r="CF160" s="384"/>
      <c r="CG160" s="384"/>
      <c r="CH160" s="384"/>
      <c r="CI160" s="384"/>
      <c r="CJ160" s="384"/>
      <c r="CK160" s="384"/>
      <c r="CL160" s="384"/>
      <c r="CM160" s="460">
        <v>1900</v>
      </c>
      <c r="CN160" s="361">
        <f t="shared" si="5"/>
        <v>1930.3999999999999</v>
      </c>
      <c r="CO160" s="434">
        <f t="shared" si="7"/>
        <v>295.549804870598</v>
      </c>
      <c r="CP160" s="384"/>
    </row>
    <row r="161" spans="66:94">
      <c r="BN161" s="483" t="s">
        <v>652</v>
      </c>
      <c r="BO161" s="484"/>
      <c r="BP161" s="484"/>
      <c r="BQ161" s="483" t="s">
        <v>653</v>
      </c>
      <c r="BR161" s="484"/>
      <c r="BS161" s="488"/>
      <c r="BT161" s="484"/>
      <c r="BU161" s="488">
        <f>MAX(BP53:BS66,BP68:BS89,BW53:BZ66,BW68:BZ88,CD53:CG66,CD68:CG81,CD83:CG96,CD98:CG111)</f>
        <v>3.9</v>
      </c>
      <c r="BV161" s="489" t="s">
        <v>4</v>
      </c>
      <c r="BW161" s="384"/>
      <c r="BX161" s="384"/>
      <c r="BY161" s="384"/>
      <c r="BZ161" s="384"/>
      <c r="CA161" s="384"/>
      <c r="CB161" s="384"/>
      <c r="CC161" s="384"/>
      <c r="CD161" s="384"/>
      <c r="CE161" s="384"/>
      <c r="CF161" s="384"/>
      <c r="CG161" s="384"/>
      <c r="CH161" s="384"/>
      <c r="CI161" s="384"/>
      <c r="CJ161" s="384"/>
      <c r="CK161" s="384"/>
      <c r="CL161" s="384"/>
      <c r="CM161" s="460">
        <v>2000</v>
      </c>
      <c r="CN161" s="361">
        <f t="shared" si="5"/>
        <v>2032</v>
      </c>
      <c r="CO161" s="434">
        <f t="shared" si="7"/>
        <v>311.15639522679868</v>
      </c>
      <c r="CP161" s="384"/>
    </row>
    <row r="162" spans="66:94">
      <c r="BN162" s="483" t="s">
        <v>590</v>
      </c>
      <c r="BO162" s="484"/>
      <c r="BP162" s="484"/>
      <c r="BQ162" s="407"/>
      <c r="BR162" s="330"/>
      <c r="BS162" s="348"/>
      <c r="BT162" s="330"/>
      <c r="BU162" s="348"/>
      <c r="BV162" s="409"/>
      <c r="BW162" s="384"/>
      <c r="BX162" s="384"/>
      <c r="BY162" s="384"/>
      <c r="BZ162" s="384"/>
      <c r="CA162" s="384"/>
      <c r="CH162" s="384"/>
      <c r="CI162" s="384"/>
      <c r="CJ162" s="384"/>
      <c r="CK162" s="384"/>
      <c r="CL162" s="384"/>
      <c r="CM162" s="460">
        <v>2100</v>
      </c>
      <c r="CN162" s="361">
        <f t="shared" si="5"/>
        <v>2133.6</v>
      </c>
      <c r="CO162" s="434">
        <f t="shared" si="7"/>
        <v>326.7629855829959</v>
      </c>
    </row>
    <row r="163" spans="66:94">
      <c r="BN163" s="407"/>
      <c r="BQ163" s="407"/>
      <c r="BR163" s="330"/>
      <c r="BS163" s="348"/>
      <c r="BT163" s="330"/>
      <c r="BU163" s="348"/>
      <c r="BV163" s="409"/>
      <c r="BW163" s="384"/>
      <c r="BX163" s="384"/>
      <c r="BY163" s="384"/>
      <c r="BZ163" s="384"/>
      <c r="CA163" s="384"/>
      <c r="CH163" s="384"/>
      <c r="CM163" s="460">
        <v>2200</v>
      </c>
      <c r="CN163" s="361">
        <f t="shared" si="5"/>
        <v>2235.1999999999998</v>
      </c>
      <c r="CO163" s="434">
        <f t="shared" si="7"/>
        <v>342.3695759391897</v>
      </c>
    </row>
    <row r="164" spans="66:94">
      <c r="BN164" s="407"/>
      <c r="BO164" s="330"/>
      <c r="BP164" s="330"/>
      <c r="BQ164" s="483" t="s">
        <v>654</v>
      </c>
      <c r="BR164" s="484"/>
      <c r="BS164" s="488"/>
      <c r="BT164" s="484"/>
      <c r="BU164" s="488">
        <v>1.5</v>
      </c>
      <c r="BV164" s="489" t="s">
        <v>4</v>
      </c>
      <c r="BW164" s="384"/>
      <c r="BX164" s="384"/>
      <c r="BY164" s="384"/>
      <c r="BZ164" s="384"/>
      <c r="CA164" s="384"/>
      <c r="CH164" s="384"/>
      <c r="CM164" s="460">
        <v>2300</v>
      </c>
      <c r="CN164" s="361">
        <f t="shared" si="5"/>
        <v>2336.7999999999997</v>
      </c>
      <c r="CO164" s="434">
        <f t="shared" si="7"/>
        <v>357.97616629539374</v>
      </c>
    </row>
    <row r="165" spans="66:94">
      <c r="BN165" s="407"/>
      <c r="BO165" s="330"/>
      <c r="BP165" s="330"/>
      <c r="BQ165" s="483" t="s">
        <v>655</v>
      </c>
      <c r="BR165" s="484"/>
      <c r="BS165" s="488"/>
      <c r="BT165" s="484"/>
      <c r="BU165" s="488">
        <v>1.5</v>
      </c>
      <c r="BV165" s="489" t="s">
        <v>4</v>
      </c>
      <c r="BW165" s="384"/>
      <c r="CM165" s="460">
        <v>2400</v>
      </c>
      <c r="CN165" s="361">
        <f t="shared" si="5"/>
        <v>2438.3999999999996</v>
      </c>
      <c r="CO165" s="434">
        <f t="shared" si="7"/>
        <v>373.58275665160124</v>
      </c>
    </row>
    <row r="166" spans="66:94">
      <c r="BN166" s="407"/>
      <c r="BQ166" s="407"/>
      <c r="BR166" s="330"/>
      <c r="BS166" s="348"/>
      <c r="BT166" s="330"/>
      <c r="BU166" s="348"/>
      <c r="BV166" s="409"/>
      <c r="CM166" s="460">
        <v>2500</v>
      </c>
      <c r="CN166" s="361">
        <f t="shared" si="5"/>
        <v>2540</v>
      </c>
      <c r="CO166" s="434">
        <f t="shared" si="7"/>
        <v>389.18934700779505</v>
      </c>
    </row>
    <row r="167" spans="66:94" ht="12" customHeight="1">
      <c r="BN167" s="407"/>
      <c r="BO167" s="330"/>
      <c r="BP167" s="330"/>
      <c r="BQ167" s="407"/>
      <c r="BR167" s="330"/>
      <c r="BS167" s="348"/>
      <c r="BT167" s="330"/>
      <c r="BU167" s="348"/>
      <c r="BV167" s="409"/>
      <c r="CM167" s="460">
        <v>2800</v>
      </c>
      <c r="CN167" s="361">
        <f t="shared" si="5"/>
        <v>2844.7999999999997</v>
      </c>
      <c r="CO167" s="434">
        <f t="shared" si="7"/>
        <v>436.00911807641063</v>
      </c>
    </row>
    <row r="168" spans="66:94" ht="12" customHeight="1">
      <c r="BN168" s="407"/>
      <c r="BQ168" s="407"/>
      <c r="BR168" s="330"/>
      <c r="BS168" s="348"/>
      <c r="BT168" s="330"/>
      <c r="BU168" s="348"/>
      <c r="BV168" s="409"/>
      <c r="CB168" s="490"/>
      <c r="CM168" s="467">
        <v>3500</v>
      </c>
      <c r="CN168" s="479">
        <f t="shared" si="5"/>
        <v>3556</v>
      </c>
      <c r="CO168" s="469">
        <f t="shared" si="7"/>
        <v>545.25525056983565</v>
      </c>
    </row>
    <row r="169" spans="66:94" ht="12" customHeight="1">
      <c r="BN169" s="407"/>
      <c r="BQ169" s="407"/>
      <c r="BR169" s="330"/>
      <c r="BS169" s="348"/>
      <c r="BT169" s="330"/>
      <c r="BU169" s="348"/>
      <c r="BV169" s="409"/>
      <c r="CB169" s="490"/>
    </row>
    <row r="170" spans="66:94" ht="12" customHeight="1">
      <c r="BN170" s="407"/>
      <c r="BQ170" s="407"/>
      <c r="BR170" s="330"/>
      <c r="BS170" s="348"/>
      <c r="BT170" s="330"/>
      <c r="BU170" s="348"/>
      <c r="BV170" s="409"/>
      <c r="BZ170" s="398"/>
    </row>
    <row r="171" spans="66:94" ht="12" customHeight="1">
      <c r="BN171" s="407"/>
      <c r="BQ171" s="407"/>
      <c r="BR171" s="330"/>
      <c r="BS171" s="348"/>
      <c r="BT171" s="330"/>
      <c r="BU171" s="348"/>
      <c r="BV171" s="409"/>
      <c r="BZ171" s="398"/>
      <c r="CA171" s="490"/>
    </row>
    <row r="172" spans="66:94" ht="12" customHeight="1">
      <c r="BN172" s="407"/>
      <c r="BO172" s="330"/>
      <c r="BP172" s="330"/>
      <c r="BQ172" s="407"/>
      <c r="BR172" s="330"/>
      <c r="BS172" s="348"/>
      <c r="BT172" s="330"/>
      <c r="BU172" s="348"/>
      <c r="BV172" s="409"/>
      <c r="BZ172" s="398"/>
      <c r="CA172" s="490"/>
    </row>
    <row r="173" spans="66:94" ht="12" customHeight="1">
      <c r="BN173" s="407"/>
      <c r="BO173" s="330"/>
      <c r="BP173" s="330"/>
      <c r="BQ173" s="407"/>
      <c r="BR173" s="330"/>
      <c r="BS173" s="348"/>
      <c r="BT173" s="330"/>
      <c r="BU173" s="348"/>
      <c r="BV173" s="409"/>
      <c r="BZ173" s="398"/>
    </row>
    <row r="174" spans="66:94" ht="12" customHeight="1">
      <c r="BN174" s="483" t="s">
        <v>446</v>
      </c>
      <c r="BO174" s="330"/>
      <c r="BP174" s="330"/>
      <c r="BQ174" s="483" t="s">
        <v>656</v>
      </c>
      <c r="BR174" s="484"/>
      <c r="BS174" s="488"/>
      <c r="BT174" s="484"/>
      <c r="BU174" s="488">
        <v>1.3</v>
      </c>
      <c r="BV174" s="489"/>
      <c r="BZ174" s="398"/>
    </row>
    <row r="175" spans="66:94" ht="12" customHeight="1">
      <c r="BN175" s="491" t="s">
        <v>657</v>
      </c>
      <c r="BO175" s="484"/>
      <c r="BP175" s="492" t="s">
        <v>658</v>
      </c>
      <c r="BQ175" s="407"/>
      <c r="BR175" s="330"/>
      <c r="BS175" s="348"/>
      <c r="BT175" s="330"/>
      <c r="BU175" s="348"/>
      <c r="BV175" s="409"/>
      <c r="BZ175" s="398"/>
    </row>
    <row r="176" spans="66:94" ht="12" customHeight="1">
      <c r="BN176" s="493">
        <v>0</v>
      </c>
      <c r="BO176" s="494" t="s">
        <v>562</v>
      </c>
      <c r="BP176" s="492">
        <v>3</v>
      </c>
      <c r="BQ176" s="483" t="s">
        <v>659</v>
      </c>
      <c r="BR176" s="484"/>
      <c r="BS176" s="488"/>
      <c r="BT176" s="484"/>
      <c r="BU176" s="488">
        <v>1</v>
      </c>
      <c r="BV176" s="489"/>
    </row>
    <row r="177" spans="64:78" ht="12" customHeight="1">
      <c r="BN177" s="493">
        <v>1.2</v>
      </c>
      <c r="BO177" s="494" t="s">
        <v>538</v>
      </c>
      <c r="BP177" s="492">
        <v>3</v>
      </c>
      <c r="BQ177" s="483" t="s">
        <v>660</v>
      </c>
      <c r="BR177" s="484"/>
      <c r="BS177" s="488"/>
      <c r="BT177" s="484"/>
      <c r="BU177" s="488">
        <v>1.3</v>
      </c>
      <c r="BV177" s="489"/>
    </row>
    <row r="178" spans="64:78">
      <c r="BL178" s="495" t="s">
        <v>661</v>
      </c>
      <c r="BM178" s="401"/>
      <c r="BN178" s="493">
        <v>1.5</v>
      </c>
      <c r="BO178" s="494" t="s">
        <v>539</v>
      </c>
      <c r="BP178" s="492">
        <v>4</v>
      </c>
      <c r="BQ178" s="483" t="s">
        <v>662</v>
      </c>
      <c r="BR178" s="484"/>
      <c r="BS178" s="488"/>
      <c r="BT178" s="484"/>
      <c r="BU178" s="488">
        <v>1.5</v>
      </c>
      <c r="BV178" s="489"/>
    </row>
    <row r="179" spans="64:78">
      <c r="BL179" s="495" t="s">
        <v>663</v>
      </c>
      <c r="BM179" s="401"/>
      <c r="BN179" s="493">
        <v>2</v>
      </c>
      <c r="BO179" s="494" t="s">
        <v>542</v>
      </c>
      <c r="BP179" s="492">
        <v>4</v>
      </c>
      <c r="BQ179" s="483" t="s">
        <v>664</v>
      </c>
      <c r="BR179" s="484"/>
      <c r="BS179" s="488"/>
      <c r="BT179" s="484"/>
      <c r="BU179" s="488">
        <v>15</v>
      </c>
      <c r="BV179" s="489" t="s">
        <v>346</v>
      </c>
      <c r="BZ179" s="398"/>
    </row>
    <row r="180" spans="64:78">
      <c r="BL180" s="495" t="s">
        <v>665</v>
      </c>
      <c r="BM180" s="401"/>
      <c r="BN180" s="493">
        <v>4</v>
      </c>
      <c r="BO180" s="494" t="s">
        <v>548</v>
      </c>
      <c r="BP180" s="492">
        <v>6</v>
      </c>
      <c r="BQ180" s="407"/>
      <c r="BR180" s="330"/>
      <c r="BS180" s="348"/>
      <c r="BT180" s="330"/>
      <c r="BU180" s="348"/>
      <c r="BV180" s="409"/>
      <c r="BZ180" s="398"/>
    </row>
    <row r="181" spans="64:78">
      <c r="BL181" s="495" t="s">
        <v>666</v>
      </c>
      <c r="BM181" s="401"/>
      <c r="BN181" s="493">
        <v>4.0000001000000003</v>
      </c>
      <c r="BO181" s="494" t="s">
        <v>548</v>
      </c>
      <c r="BP181" s="492">
        <v>6</v>
      </c>
      <c r="BQ181" s="483" t="s">
        <v>667</v>
      </c>
      <c r="BR181" s="484"/>
      <c r="BS181" s="488"/>
      <c r="BT181" s="484"/>
      <c r="BU181" s="488">
        <v>15</v>
      </c>
      <c r="BV181" s="489" t="s">
        <v>346</v>
      </c>
    </row>
    <row r="182" spans="64:78" ht="12" customHeight="1">
      <c r="BN182" s="407"/>
      <c r="BO182" s="330"/>
      <c r="BP182" s="330"/>
      <c r="BQ182" s="483" t="s">
        <v>668</v>
      </c>
      <c r="BR182" s="484"/>
      <c r="BS182" s="488"/>
      <c r="BT182" s="484"/>
      <c r="BU182" s="488">
        <v>15</v>
      </c>
      <c r="BV182" s="489" t="s">
        <v>346</v>
      </c>
      <c r="BZ182" s="398"/>
    </row>
    <row r="183" spans="64:78">
      <c r="BN183" s="407"/>
      <c r="BO183" s="330"/>
      <c r="BP183" s="330"/>
      <c r="BQ183" s="483" t="s">
        <v>669</v>
      </c>
      <c r="BR183" s="484"/>
      <c r="BS183" s="488"/>
      <c r="BT183" s="484"/>
      <c r="BU183" s="488">
        <v>15</v>
      </c>
      <c r="BV183" s="489" t="s">
        <v>346</v>
      </c>
      <c r="BZ183" s="398"/>
    </row>
    <row r="184" spans="64:78">
      <c r="BN184" s="407"/>
      <c r="BO184" s="330"/>
      <c r="BP184" s="330"/>
      <c r="BQ184" s="483" t="s">
        <v>670</v>
      </c>
      <c r="BR184" s="484"/>
      <c r="BS184" s="488"/>
      <c r="BT184" s="484"/>
      <c r="BU184" s="488">
        <v>30</v>
      </c>
      <c r="BV184" s="489" t="s">
        <v>346</v>
      </c>
      <c r="BZ184" s="398"/>
    </row>
    <row r="185" spans="64:78">
      <c r="BN185" s="460"/>
      <c r="BO185" s="357"/>
      <c r="BP185" s="357"/>
      <c r="BQ185" s="483" t="s">
        <v>671</v>
      </c>
      <c r="BR185" s="484"/>
      <c r="BS185" s="488"/>
      <c r="BT185" s="484"/>
      <c r="BU185" s="488">
        <v>100</v>
      </c>
      <c r="BV185" s="489" t="s">
        <v>4</v>
      </c>
      <c r="BZ185" s="398"/>
    </row>
    <row r="186" spans="64:78">
      <c r="BN186" s="496"/>
      <c r="BO186" s="497"/>
      <c r="BP186" s="357"/>
      <c r="BQ186" s="483" t="s">
        <v>672</v>
      </c>
      <c r="BR186" s="484"/>
      <c r="BS186" s="488"/>
      <c r="BT186" s="484"/>
      <c r="BU186" s="488">
        <v>2</v>
      </c>
      <c r="BV186" s="489" t="s">
        <v>4</v>
      </c>
      <c r="BZ186" s="398"/>
    </row>
    <row r="187" spans="64:78">
      <c r="BN187" s="496"/>
      <c r="BO187" s="497"/>
      <c r="BP187" s="357"/>
      <c r="BQ187" s="407"/>
      <c r="BR187" s="330"/>
      <c r="BS187" s="348"/>
      <c r="BT187" s="330"/>
      <c r="BU187" s="348"/>
      <c r="BV187" s="409"/>
      <c r="BZ187" s="398"/>
    </row>
    <row r="188" spans="64:78">
      <c r="BN188" s="496"/>
      <c r="BO188" s="497"/>
      <c r="BP188" s="357"/>
      <c r="BQ188" s="407"/>
      <c r="BR188" s="330"/>
      <c r="BS188" s="348"/>
      <c r="BT188" s="330"/>
      <c r="BU188" s="348"/>
      <c r="BV188" s="409"/>
      <c r="BZ188" s="398"/>
    </row>
    <row r="189" spans="64:78">
      <c r="BN189" s="496"/>
      <c r="BO189" s="497"/>
      <c r="BP189" s="357"/>
      <c r="BQ189" s="483" t="s">
        <v>673</v>
      </c>
      <c r="BR189" s="484"/>
      <c r="BS189" s="488"/>
      <c r="BT189" s="484"/>
      <c r="BU189" s="488">
        <v>6</v>
      </c>
      <c r="BV189" s="489" t="s">
        <v>4</v>
      </c>
      <c r="BZ189" s="398"/>
    </row>
    <row r="190" spans="64:78">
      <c r="BN190" s="407"/>
      <c r="BO190" s="330"/>
      <c r="BP190" s="330"/>
      <c r="BQ190" s="483" t="s">
        <v>674</v>
      </c>
      <c r="BR190" s="484"/>
      <c r="BS190" s="488"/>
      <c r="BT190" s="484"/>
      <c r="BU190" s="488">
        <v>2</v>
      </c>
      <c r="BV190" s="489" t="s">
        <v>4</v>
      </c>
      <c r="BZ190" s="398"/>
    </row>
    <row r="191" spans="64:78">
      <c r="BN191" s="483"/>
      <c r="BO191" s="492" t="s">
        <v>675</v>
      </c>
      <c r="BP191" s="492" t="s">
        <v>676</v>
      </c>
      <c r="BQ191" s="483" t="s">
        <v>677</v>
      </c>
      <c r="BR191" s="484"/>
      <c r="BS191" s="488"/>
      <c r="BT191" s="484"/>
      <c r="BU191" s="488">
        <v>50</v>
      </c>
      <c r="BV191" s="489" t="s">
        <v>4</v>
      </c>
      <c r="BZ191" s="398"/>
    </row>
    <row r="192" spans="64:78">
      <c r="BN192" s="483" t="s">
        <v>533</v>
      </c>
      <c r="BO192" s="498">
        <v>0</v>
      </c>
      <c r="BP192" s="498">
        <v>0.3</v>
      </c>
      <c r="BQ192" s="483" t="s">
        <v>678</v>
      </c>
      <c r="BR192" s="484"/>
      <c r="BS192" s="488"/>
      <c r="BT192" s="484"/>
      <c r="BU192" s="499">
        <v>3</v>
      </c>
      <c r="BV192" s="489" t="s">
        <v>679</v>
      </c>
      <c r="BZ192" s="398"/>
    </row>
    <row r="193" spans="66:86">
      <c r="BN193" s="483" t="s">
        <v>536</v>
      </c>
      <c r="BO193" s="498">
        <v>0.05</v>
      </c>
      <c r="BP193" s="498">
        <v>0.3</v>
      </c>
      <c r="BQ193" s="483" t="s">
        <v>680</v>
      </c>
      <c r="BR193" s="484"/>
      <c r="BS193" s="488"/>
      <c r="BT193" s="484"/>
      <c r="BU193" s="488">
        <v>1</v>
      </c>
      <c r="BV193" s="489" t="s">
        <v>4</v>
      </c>
      <c r="BZ193" s="398"/>
    </row>
    <row r="194" spans="66:86">
      <c r="BN194" s="483" t="s">
        <v>681</v>
      </c>
      <c r="BO194" s="498">
        <f>$AZ$7</f>
        <v>0.1</v>
      </c>
      <c r="BP194" s="498">
        <v>0.2</v>
      </c>
      <c r="BQ194" s="483" t="s">
        <v>682</v>
      </c>
      <c r="BR194" s="484"/>
      <c r="BS194" s="488"/>
      <c r="BT194" s="484"/>
      <c r="BU194" s="488">
        <v>0.3</v>
      </c>
      <c r="BV194" s="489" t="s">
        <v>4</v>
      </c>
      <c r="BZ194" s="398"/>
    </row>
    <row r="195" spans="66:86">
      <c r="BN195" s="407"/>
      <c r="BO195" s="361"/>
      <c r="BP195" s="361"/>
      <c r="BQ195" s="407"/>
      <c r="BR195" s="330"/>
      <c r="BS195" s="348"/>
      <c r="BT195" s="330"/>
      <c r="BU195" s="348"/>
      <c r="BV195" s="409"/>
      <c r="BZ195" s="398"/>
    </row>
    <row r="196" spans="66:86">
      <c r="BN196" s="407"/>
      <c r="BO196" s="361"/>
      <c r="BP196" s="361"/>
      <c r="BQ196" s="407"/>
      <c r="BR196" s="330"/>
      <c r="BS196" s="348"/>
      <c r="BT196" s="330"/>
      <c r="BU196" s="348"/>
      <c r="BV196" s="409"/>
      <c r="BZ196" s="398"/>
    </row>
    <row r="197" spans="66:86">
      <c r="BN197" s="407"/>
      <c r="BQ197" s="407"/>
      <c r="BR197" s="330"/>
      <c r="BS197" s="348"/>
      <c r="BT197" s="330"/>
      <c r="BU197" s="348"/>
      <c r="BV197" s="409"/>
    </row>
    <row r="198" spans="66:86">
      <c r="BN198" s="407"/>
      <c r="BO198" s="330"/>
      <c r="BP198" s="330"/>
      <c r="BQ198" s="407"/>
      <c r="BR198" s="330"/>
      <c r="BS198" s="348"/>
      <c r="BT198" s="330"/>
      <c r="BU198" s="348"/>
      <c r="BV198" s="409"/>
      <c r="CH198" s="500"/>
    </row>
    <row r="199" spans="66:86">
      <c r="BN199" s="407"/>
      <c r="BO199" s="330"/>
      <c r="BP199" s="330"/>
      <c r="BQ199" s="407"/>
      <c r="BR199" s="330"/>
      <c r="BS199" s="348"/>
      <c r="BT199" s="330"/>
      <c r="BU199" s="348"/>
      <c r="BV199" s="409"/>
      <c r="CH199" s="500"/>
    </row>
    <row r="200" spans="66:86">
      <c r="BN200" s="483" t="s">
        <v>535</v>
      </c>
      <c r="BO200" s="484"/>
      <c r="BP200" s="484"/>
      <c r="BQ200" s="407"/>
      <c r="BR200" s="330"/>
      <c r="BS200" s="348"/>
      <c r="BT200" s="330"/>
      <c r="BU200" s="348"/>
      <c r="BV200" s="409"/>
      <c r="CD200" s="501"/>
      <c r="CH200" s="500"/>
    </row>
    <row r="201" spans="66:86">
      <c r="BN201" s="483" t="s">
        <v>683</v>
      </c>
      <c r="BO201" s="484"/>
      <c r="BP201" s="484"/>
      <c r="BQ201" s="407"/>
      <c r="BR201" s="330"/>
      <c r="BS201" s="348"/>
      <c r="BT201" s="330"/>
      <c r="BU201" s="348"/>
      <c r="BV201" s="409"/>
      <c r="CH201" s="500"/>
    </row>
    <row r="202" spans="66:86">
      <c r="BN202" s="483" t="s">
        <v>684</v>
      </c>
      <c r="BO202" s="484"/>
      <c r="BP202" s="484"/>
      <c r="BQ202" s="407"/>
      <c r="BR202" s="330"/>
      <c r="BS202" s="348"/>
      <c r="BT202" s="330"/>
      <c r="BU202" s="348"/>
      <c r="BV202" s="409"/>
      <c r="BX202" s="372"/>
      <c r="BY202" s="384"/>
      <c r="CD202" s="501"/>
      <c r="CE202" s="372"/>
      <c r="CF202" s="384"/>
      <c r="CG202" s="501"/>
      <c r="CH202" s="500"/>
    </row>
    <row r="203" spans="66:86">
      <c r="BN203" s="407"/>
      <c r="BO203" s="330"/>
      <c r="BP203" s="330"/>
      <c r="BQ203" s="407"/>
      <c r="BR203" s="330"/>
      <c r="BS203" s="348"/>
      <c r="BT203" s="330"/>
      <c r="BU203" s="348"/>
      <c r="BV203" s="409"/>
      <c r="BX203" s="372"/>
      <c r="BY203" s="384"/>
      <c r="CE203" s="372"/>
      <c r="CF203" s="384"/>
    </row>
    <row r="204" spans="66:86">
      <c r="BN204" s="407"/>
      <c r="BO204" s="330"/>
      <c r="BP204" s="330"/>
      <c r="BQ204" s="407"/>
      <c r="BR204" s="330"/>
      <c r="BS204" s="348"/>
      <c r="BT204" s="330"/>
      <c r="BU204" s="348"/>
      <c r="BV204" s="409"/>
      <c r="CD204" s="372"/>
      <c r="CE204" s="500"/>
      <c r="CF204" s="500"/>
      <c r="CG204" s="502"/>
      <c r="CH204" s="363"/>
    </row>
    <row r="205" spans="66:86">
      <c r="BN205" s="483" t="s">
        <v>534</v>
      </c>
      <c r="BO205" s="484"/>
      <c r="BP205" s="484"/>
      <c r="BQ205" s="407"/>
      <c r="BR205" s="330"/>
      <c r="BS205" s="348"/>
      <c r="BT205" s="330"/>
      <c r="BU205" s="348"/>
      <c r="BV205" s="409"/>
      <c r="BY205" s="379"/>
      <c r="CD205" s="372"/>
      <c r="CE205" s="500"/>
      <c r="CF205" s="500"/>
      <c r="CG205" s="502"/>
      <c r="CH205" s="363"/>
    </row>
    <row r="206" spans="66:86">
      <c r="BN206" s="483" t="s">
        <v>685</v>
      </c>
      <c r="BO206" s="484"/>
      <c r="BP206" s="484"/>
      <c r="BQ206" s="407"/>
      <c r="BR206" s="330"/>
      <c r="BS206" s="348"/>
      <c r="BT206" s="330"/>
      <c r="BU206" s="348"/>
      <c r="BV206" s="409"/>
      <c r="CD206" s="372"/>
      <c r="CE206" s="500"/>
      <c r="CF206" s="500"/>
      <c r="CG206" s="502"/>
    </row>
    <row r="207" spans="66:86">
      <c r="BN207" s="407"/>
      <c r="BO207" s="330"/>
      <c r="BP207" s="330"/>
      <c r="BQ207" s="407"/>
      <c r="BR207" s="330"/>
      <c r="BS207" s="348"/>
      <c r="BT207" s="330"/>
      <c r="BU207" s="348"/>
      <c r="BV207" s="409"/>
      <c r="CE207" s="500"/>
      <c r="CF207" s="500"/>
      <c r="CG207" s="500"/>
      <c r="CH207" s="363"/>
    </row>
    <row r="208" spans="66:86">
      <c r="BN208" s="407"/>
      <c r="BO208" s="330"/>
      <c r="BP208" s="330"/>
      <c r="BQ208" s="407"/>
      <c r="BR208" s="330"/>
      <c r="BS208" s="348"/>
      <c r="BT208" s="330"/>
      <c r="BU208" s="348"/>
      <c r="BV208" s="409"/>
      <c r="CF208" s="500"/>
      <c r="CG208" s="500"/>
      <c r="CH208" s="500"/>
    </row>
    <row r="209" spans="66:74">
      <c r="BN209" s="407"/>
      <c r="BO209" s="330"/>
      <c r="BP209" s="330"/>
      <c r="BQ209" s="407"/>
      <c r="BR209" s="330"/>
      <c r="BS209" s="348"/>
      <c r="BT209" s="330"/>
      <c r="BU209" s="348"/>
      <c r="BV209" s="409"/>
    </row>
    <row r="210" spans="66:74">
      <c r="BN210" s="407"/>
      <c r="BO210" s="330"/>
      <c r="BP210" s="330"/>
      <c r="BQ210" s="407"/>
      <c r="BR210" s="330"/>
      <c r="BS210" s="348"/>
      <c r="BT210" s="330"/>
      <c r="BU210" s="348"/>
      <c r="BV210" s="409"/>
    </row>
    <row r="211" spans="66:74">
      <c r="BN211" s="407"/>
      <c r="BO211" s="330"/>
      <c r="BP211" s="330"/>
      <c r="BQ211" s="407"/>
      <c r="BR211" s="330"/>
      <c r="BS211" s="348"/>
      <c r="BT211" s="330"/>
      <c r="BU211" s="348"/>
      <c r="BV211" s="409"/>
    </row>
    <row r="212" spans="66:74">
      <c r="BN212" s="407"/>
      <c r="BO212" s="330"/>
      <c r="BP212" s="330"/>
      <c r="BQ212" s="407"/>
      <c r="BR212" s="330"/>
      <c r="BS212" s="348"/>
      <c r="BT212" s="330"/>
      <c r="BU212" s="348"/>
      <c r="BV212" s="409"/>
    </row>
    <row r="213" spans="66:74">
      <c r="BN213" s="407"/>
      <c r="BO213" s="330"/>
      <c r="BP213" s="361"/>
      <c r="BQ213" s="407"/>
      <c r="BR213" s="330"/>
      <c r="BS213" s="348"/>
      <c r="BT213" s="330"/>
      <c r="BU213" s="348"/>
      <c r="BV213" s="409"/>
    </row>
    <row r="214" spans="66:74">
      <c r="BN214" s="407"/>
      <c r="BO214" s="330"/>
      <c r="BP214" s="361"/>
      <c r="BQ214" s="460"/>
      <c r="BR214" s="330"/>
      <c r="BS214" s="330"/>
      <c r="BT214" s="348"/>
      <c r="BU214" s="330"/>
      <c r="BV214" s="409"/>
    </row>
    <row r="215" spans="66:74">
      <c r="BN215" s="407"/>
      <c r="BO215" s="330"/>
      <c r="BP215" s="361"/>
      <c r="BQ215" s="460"/>
      <c r="BR215" s="330"/>
      <c r="BS215" s="330"/>
      <c r="BT215" s="348"/>
      <c r="BU215" s="330"/>
      <c r="BV215" s="409"/>
    </row>
    <row r="216" spans="66:74">
      <c r="BN216" s="407"/>
      <c r="BO216" s="330"/>
      <c r="BP216" s="361"/>
      <c r="BQ216" s="460"/>
      <c r="BR216" s="330"/>
      <c r="BS216" s="330"/>
      <c r="BT216" s="348"/>
      <c r="BU216" s="330"/>
      <c r="BV216" s="409"/>
    </row>
    <row r="217" spans="66:74">
      <c r="BN217" s="407"/>
      <c r="BO217" s="330"/>
      <c r="BP217" s="361"/>
      <c r="BQ217" s="460"/>
      <c r="BR217" s="330"/>
      <c r="BS217" s="330"/>
      <c r="BT217" s="348"/>
      <c r="BU217" s="330"/>
      <c r="BV217" s="409"/>
    </row>
    <row r="218" spans="66:74">
      <c r="BN218" s="503"/>
      <c r="BO218" s="504"/>
      <c r="BP218" s="504"/>
      <c r="BQ218" s="467"/>
      <c r="BR218" s="504"/>
      <c r="BS218" s="504"/>
      <c r="BT218" s="505"/>
      <c r="BU218" s="504"/>
      <c r="BV218" s="506"/>
    </row>
    <row r="219" spans="66:74">
      <c r="BQ219" s="320"/>
      <c r="BT219" s="363"/>
    </row>
    <row r="220" spans="66:74">
      <c r="BQ220" s="320"/>
      <c r="BT220" s="363"/>
      <c r="BV220" s="330"/>
    </row>
    <row r="221" spans="66:74">
      <c r="BV221" s="507"/>
    </row>
    <row r="224" spans="66:74">
      <c r="BQ224" s="320"/>
      <c r="BU224" s="320"/>
    </row>
    <row r="225" spans="66:74">
      <c r="BO225" s="384"/>
      <c r="BQ225" s="320"/>
      <c r="BS225" s="384"/>
      <c r="BU225" s="320"/>
      <c r="BV225" s="330"/>
    </row>
    <row r="226" spans="66:74">
      <c r="BN226" s="320"/>
      <c r="BO226" s="384"/>
      <c r="BP226" s="320"/>
      <c r="BQ226" s="320"/>
      <c r="BR226" s="320"/>
      <c r="BS226" s="384"/>
      <c r="BT226" s="320"/>
      <c r="BU226" s="320"/>
      <c r="BV226" s="330"/>
    </row>
    <row r="227" spans="66:74">
      <c r="BN227" s="384"/>
      <c r="BO227" s="384"/>
      <c r="BP227" s="320"/>
      <c r="BQ227" s="320"/>
      <c r="BR227" s="384"/>
      <c r="BS227" s="384"/>
      <c r="BT227" s="320"/>
      <c r="BU227" s="320"/>
      <c r="BV227" s="330"/>
    </row>
    <row r="228" spans="66:74">
      <c r="BN228" s="384"/>
      <c r="BO228" s="384"/>
      <c r="BP228" s="320"/>
      <c r="BQ228" s="320"/>
      <c r="BR228" s="384"/>
      <c r="BS228" s="384"/>
      <c r="BT228" s="320"/>
      <c r="BU228" s="320"/>
      <c r="BV228" s="330"/>
    </row>
    <row r="229" spans="66:74">
      <c r="BN229" s="384"/>
      <c r="BO229" s="384"/>
      <c r="BP229" s="320"/>
      <c r="BQ229" s="320"/>
      <c r="BR229" s="384"/>
      <c r="BS229" s="384"/>
      <c r="BT229" s="320"/>
      <c r="BU229" s="320"/>
      <c r="BV229" s="330"/>
    </row>
    <row r="230" spans="66:74">
      <c r="BN230" s="384"/>
      <c r="BO230" s="384"/>
      <c r="BP230" s="320"/>
      <c r="BQ230" s="320"/>
      <c r="BR230" s="384"/>
      <c r="BS230" s="384"/>
      <c r="BT230" s="320"/>
      <c r="BU230" s="320"/>
      <c r="BV230" s="330"/>
    </row>
    <row r="231" spans="66:74">
      <c r="BN231" s="384"/>
      <c r="BO231" s="384"/>
      <c r="BP231" s="320"/>
      <c r="BQ231" s="320"/>
      <c r="BR231" s="384"/>
      <c r="BS231" s="384"/>
      <c r="BT231" s="320"/>
      <c r="BU231" s="320"/>
      <c r="BV231" s="330"/>
    </row>
    <row r="232" spans="66:74">
      <c r="BN232" s="384"/>
      <c r="BO232" s="384"/>
      <c r="BP232" s="320"/>
      <c r="BQ232" s="320"/>
      <c r="BR232" s="384"/>
      <c r="BS232" s="384"/>
      <c r="BT232" s="320"/>
      <c r="BU232" s="320"/>
      <c r="BV232" s="330"/>
    </row>
    <row r="233" spans="66:74">
      <c r="BN233" s="384"/>
      <c r="BO233" s="384"/>
      <c r="BP233" s="320"/>
      <c r="BQ233" s="320"/>
      <c r="BR233" s="384"/>
      <c r="BS233" s="384"/>
      <c r="BT233" s="320"/>
      <c r="BU233" s="320"/>
      <c r="BV233" s="330"/>
    </row>
    <row r="234" spans="66:74">
      <c r="BN234" s="384"/>
      <c r="BO234" s="384"/>
      <c r="BP234" s="320"/>
      <c r="BQ234" s="320"/>
      <c r="BR234" s="384"/>
      <c r="BS234" s="384"/>
      <c r="BT234" s="320"/>
      <c r="BU234" s="320"/>
      <c r="BV234" s="330"/>
    </row>
    <row r="235" spans="66:74">
      <c r="BN235" s="384"/>
      <c r="BO235" s="384"/>
      <c r="BP235" s="320"/>
      <c r="BQ235" s="320"/>
      <c r="BR235" s="384"/>
      <c r="BS235" s="384"/>
      <c r="BT235" s="320"/>
      <c r="BU235" s="320"/>
    </row>
    <row r="236" spans="66:74">
      <c r="BN236" s="384"/>
      <c r="BO236" s="384"/>
      <c r="BP236" s="320"/>
      <c r="BQ236" s="320"/>
      <c r="BR236" s="384"/>
      <c r="BS236" s="384"/>
      <c r="BT236" s="320"/>
      <c r="BU236" s="320"/>
    </row>
    <row r="237" spans="66:74">
      <c r="BN237" s="384"/>
      <c r="BO237" s="384"/>
      <c r="BP237" s="320"/>
      <c r="BQ237" s="320"/>
      <c r="BR237" s="384"/>
      <c r="BS237" s="384"/>
      <c r="BT237" s="320"/>
      <c r="BU237" s="320"/>
    </row>
    <row r="238" spans="66:74">
      <c r="BN238" s="384"/>
      <c r="BO238" s="384"/>
      <c r="BP238" s="320"/>
      <c r="BQ238" s="320"/>
      <c r="BR238" s="384"/>
      <c r="BS238" s="384"/>
      <c r="BT238" s="320"/>
      <c r="BU238" s="320"/>
    </row>
    <row r="239" spans="66:74">
      <c r="BN239" s="384"/>
      <c r="BO239" s="384"/>
      <c r="BP239" s="320"/>
      <c r="BQ239" s="320"/>
      <c r="BR239" s="384"/>
      <c r="BS239" s="384"/>
      <c r="BT239" s="320"/>
      <c r="BU239" s="320"/>
    </row>
    <row r="240" spans="66:74">
      <c r="BN240" s="384"/>
      <c r="BO240" s="384"/>
      <c r="BP240" s="320"/>
      <c r="BQ240" s="320"/>
      <c r="BR240" s="384"/>
      <c r="BS240" s="384"/>
      <c r="BT240" s="320"/>
      <c r="BU240" s="320"/>
    </row>
    <row r="241" spans="66:73">
      <c r="BN241" s="384"/>
      <c r="BO241" s="384"/>
      <c r="BP241" s="320"/>
      <c r="BQ241" s="320"/>
      <c r="BR241" s="384"/>
      <c r="BS241" s="384"/>
      <c r="BT241" s="320"/>
      <c r="BU241" s="320"/>
    </row>
    <row r="242" spans="66:73">
      <c r="BN242" s="384"/>
      <c r="BO242" s="384"/>
      <c r="BP242" s="320"/>
      <c r="BQ242" s="320"/>
      <c r="BR242" s="384"/>
      <c r="BS242" s="384"/>
      <c r="BT242" s="320"/>
      <c r="BU242" s="320"/>
    </row>
    <row r="243" spans="66:73">
      <c r="BN243" s="384"/>
      <c r="BO243" s="384"/>
      <c r="BP243" s="320"/>
      <c r="BQ243" s="320"/>
    </row>
    <row r="244" spans="66:73">
      <c r="BN244" s="384"/>
      <c r="BO244" s="384"/>
      <c r="BP244" s="320"/>
      <c r="BQ244" s="320"/>
    </row>
    <row r="245" spans="66:73">
      <c r="BN245" s="384"/>
      <c r="BO245" s="384"/>
      <c r="BP245" s="320"/>
      <c r="BQ245" s="320"/>
    </row>
    <row r="246" spans="66:73">
      <c r="BN246" s="384"/>
      <c r="BO246" s="384"/>
      <c r="BP246" s="320"/>
      <c r="BQ246" s="320"/>
    </row>
    <row r="247" spans="66:73">
      <c r="BN247" s="384"/>
      <c r="BO247" s="384"/>
      <c r="BP247" s="320"/>
      <c r="BQ247" s="320"/>
    </row>
    <row r="248" spans="66:73">
      <c r="BN248" s="384"/>
      <c r="BO248" s="384"/>
      <c r="BP248" s="320"/>
      <c r="BQ248" s="320"/>
    </row>
    <row r="249" spans="66:73">
      <c r="BN249" s="384"/>
      <c r="BO249" s="384"/>
      <c r="BP249" s="320"/>
      <c r="BQ249" s="320"/>
    </row>
    <row r="250" spans="66:73">
      <c r="BN250" s="384"/>
      <c r="BO250" s="384"/>
      <c r="BP250" s="320"/>
      <c r="BQ250" s="320"/>
    </row>
    <row r="251" spans="66:73">
      <c r="BN251" s="384"/>
      <c r="BO251" s="384"/>
      <c r="BP251" s="320"/>
      <c r="BQ251" s="320"/>
      <c r="BT251" s="363"/>
    </row>
    <row r="252" spans="66:73">
      <c r="BN252" s="384"/>
      <c r="BO252" s="384"/>
      <c r="BP252" s="320"/>
      <c r="BT252" s="363"/>
    </row>
    <row r="253" spans="66:73">
      <c r="BN253" s="384"/>
      <c r="BO253" s="384"/>
      <c r="BP253" s="320"/>
      <c r="BS253" s="363"/>
    </row>
    <row r="254" spans="66:73">
      <c r="BP254" s="320"/>
      <c r="BQ254" s="320"/>
    </row>
    <row r="255" spans="66:73">
      <c r="BQ255" s="320"/>
    </row>
    <row r="256" spans="66:73">
      <c r="BP256" s="320"/>
    </row>
    <row r="257" spans="66:69">
      <c r="BN257" s="384"/>
      <c r="BO257" s="384"/>
      <c r="BP257" s="320"/>
    </row>
    <row r="258" spans="66:69">
      <c r="BN258" s="384"/>
      <c r="BO258" s="384"/>
      <c r="BP258" s="320"/>
    </row>
    <row r="259" spans="66:69">
      <c r="BQ259" s="320"/>
    </row>
    <row r="260" spans="66:69">
      <c r="BO260" s="384"/>
      <c r="BQ260" s="320"/>
    </row>
    <row r="261" spans="66:69">
      <c r="BN261" s="320"/>
      <c r="BO261" s="384"/>
      <c r="BP261" s="320"/>
      <c r="BQ261" s="320"/>
    </row>
    <row r="262" spans="66:69">
      <c r="BN262" s="384"/>
      <c r="BO262" s="384"/>
      <c r="BP262" s="320"/>
      <c r="BQ262" s="320"/>
    </row>
    <row r="263" spans="66:69">
      <c r="BN263" s="384"/>
      <c r="BO263" s="384"/>
      <c r="BP263" s="320"/>
      <c r="BQ263" s="320"/>
    </row>
    <row r="264" spans="66:69">
      <c r="BN264" s="384"/>
      <c r="BO264" s="384"/>
      <c r="BP264" s="320"/>
      <c r="BQ264" s="320"/>
    </row>
    <row r="265" spans="66:69">
      <c r="BN265" s="384"/>
      <c r="BO265" s="384"/>
      <c r="BP265" s="320"/>
      <c r="BQ265" s="320"/>
    </row>
    <row r="266" spans="66:69">
      <c r="BN266" s="384"/>
      <c r="BO266" s="384"/>
      <c r="BP266" s="320"/>
      <c r="BQ266" s="320"/>
    </row>
    <row r="267" spans="66:69">
      <c r="BN267" s="384"/>
      <c r="BO267" s="384"/>
      <c r="BP267" s="320"/>
      <c r="BQ267" s="320"/>
    </row>
    <row r="268" spans="66:69">
      <c r="BN268" s="384"/>
      <c r="BO268" s="384"/>
      <c r="BP268" s="320"/>
      <c r="BQ268" s="320"/>
    </row>
    <row r="269" spans="66:69">
      <c r="BN269" s="384"/>
      <c r="BO269" s="384"/>
      <c r="BP269" s="320"/>
      <c r="BQ269" s="320"/>
    </row>
    <row r="270" spans="66:69">
      <c r="BN270" s="384"/>
      <c r="BO270" s="384"/>
      <c r="BP270" s="320"/>
      <c r="BQ270" s="320"/>
    </row>
    <row r="271" spans="66:69">
      <c r="BN271" s="384"/>
      <c r="BO271" s="384"/>
      <c r="BP271" s="320"/>
      <c r="BQ271" s="320"/>
    </row>
    <row r="272" spans="66:69">
      <c r="BN272" s="384"/>
      <c r="BO272" s="384"/>
      <c r="BP272" s="320"/>
      <c r="BQ272" s="320"/>
    </row>
    <row r="273" spans="66:69">
      <c r="BN273" s="384"/>
      <c r="BO273" s="384"/>
      <c r="BP273" s="320"/>
      <c r="BQ273" s="320"/>
    </row>
    <row r="274" spans="66:69">
      <c r="BN274" s="384"/>
      <c r="BO274" s="384"/>
      <c r="BP274" s="320"/>
      <c r="BQ274" s="320"/>
    </row>
    <row r="275" spans="66:69">
      <c r="BN275" s="384"/>
      <c r="BO275" s="384"/>
      <c r="BP275" s="320"/>
      <c r="BQ275" s="320"/>
    </row>
    <row r="276" spans="66:69">
      <c r="BN276" s="384"/>
      <c r="BO276" s="384"/>
      <c r="BP276" s="320"/>
      <c r="BQ276" s="320"/>
    </row>
    <row r="277" spans="66:69">
      <c r="BN277" s="384"/>
      <c r="BO277" s="384"/>
      <c r="BP277" s="320"/>
      <c r="BQ277" s="320"/>
    </row>
    <row r="278" spans="66:69">
      <c r="BN278" s="384"/>
      <c r="BO278" s="384"/>
      <c r="BP278" s="320"/>
      <c r="BQ278" s="320"/>
    </row>
    <row r="279" spans="66:69">
      <c r="BN279" s="384"/>
      <c r="BO279" s="384"/>
      <c r="BP279" s="320"/>
      <c r="BQ279" s="320"/>
    </row>
    <row r="280" spans="66:69">
      <c r="BN280" s="384"/>
      <c r="BO280" s="384"/>
      <c r="BP280" s="320"/>
      <c r="BQ280" s="320"/>
    </row>
    <row r="281" spans="66:69">
      <c r="BN281" s="384"/>
      <c r="BO281" s="384"/>
      <c r="BP281" s="320"/>
      <c r="BQ281" s="320"/>
    </row>
    <row r="282" spans="66:69">
      <c r="BN282" s="384"/>
      <c r="BO282" s="384"/>
      <c r="BP282" s="320"/>
      <c r="BQ282" s="320"/>
    </row>
    <row r="283" spans="66:69">
      <c r="BN283" s="384"/>
      <c r="BO283" s="384"/>
      <c r="BP283" s="320"/>
      <c r="BQ283" s="320"/>
    </row>
    <row r="284" spans="66:69">
      <c r="BN284" s="384"/>
      <c r="BO284" s="384"/>
      <c r="BP284" s="320"/>
      <c r="BQ284" s="320"/>
    </row>
    <row r="285" spans="66:69">
      <c r="BN285" s="384"/>
      <c r="BO285" s="384"/>
      <c r="BP285" s="320"/>
      <c r="BQ285" s="320"/>
    </row>
    <row r="286" spans="66:69">
      <c r="BN286" s="384"/>
      <c r="BO286" s="384"/>
      <c r="BP286" s="320"/>
      <c r="BQ286" s="320"/>
    </row>
    <row r="287" spans="66:69">
      <c r="BN287" s="384"/>
      <c r="BO287" s="384"/>
      <c r="BP287" s="320"/>
    </row>
    <row r="288" spans="66:69">
      <c r="BN288" s="384"/>
      <c r="BO288" s="384"/>
      <c r="BP288" s="320"/>
    </row>
    <row r="289" spans="68:68">
      <c r="BP289" s="320"/>
    </row>
  </sheetData>
  <dataConsolidate/>
  <mergeCells count="201">
    <mergeCell ref="E4:AE4"/>
    <mergeCell ref="AF4:BL4"/>
    <mergeCell ref="A5:B8"/>
    <mergeCell ref="C5:D8"/>
    <mergeCell ref="E5:E7"/>
    <mergeCell ref="F5:F8"/>
    <mergeCell ref="G5:G8"/>
    <mergeCell ref="H5:H8"/>
    <mergeCell ref="I5:I7"/>
    <mergeCell ref="J5:J6"/>
    <mergeCell ref="Q5:Q7"/>
    <mergeCell ref="R5:R8"/>
    <mergeCell ref="S5:S8"/>
    <mergeCell ref="T5:Y5"/>
    <mergeCell ref="Z5:AE5"/>
    <mergeCell ref="AF5:AG5"/>
    <mergeCell ref="Y6:Y7"/>
    <mergeCell ref="Z6:Z7"/>
    <mergeCell ref="BL5:BL7"/>
    <mergeCell ref="T6:T7"/>
    <mergeCell ref="U6:U7"/>
    <mergeCell ref="V6:V7"/>
    <mergeCell ref="W6:W7"/>
    <mergeCell ref="X6:X7"/>
    <mergeCell ref="J7:J8"/>
    <mergeCell ref="K7:K8"/>
    <mergeCell ref="L7:L8"/>
    <mergeCell ref="F9:F11"/>
    <mergeCell ref="G9:G11"/>
    <mergeCell ref="H9:H11"/>
    <mergeCell ref="R9:R11"/>
    <mergeCell ref="S9:S11"/>
    <mergeCell ref="AO6:AO7"/>
    <mergeCell ref="AH9:AH11"/>
    <mergeCell ref="AA6:AA7"/>
    <mergeCell ref="AB6:AB7"/>
    <mergeCell ref="K5:K6"/>
    <mergeCell ref="L5:L6"/>
    <mergeCell ref="M5:M7"/>
    <mergeCell ref="N5:N7"/>
    <mergeCell ref="O5:O7"/>
    <mergeCell ref="P5:P7"/>
    <mergeCell ref="AI5:AJ5"/>
    <mergeCell ref="AL5:AL7"/>
    <mergeCell ref="AM5:AO5"/>
    <mergeCell ref="AI6:AI7"/>
    <mergeCell ref="AJ6:AJ7"/>
    <mergeCell ref="AM6:AM7"/>
    <mergeCell ref="BE6:BE7"/>
    <mergeCell ref="AC6:AC7"/>
    <mergeCell ref="AD6:AD7"/>
    <mergeCell ref="AE6:AE7"/>
    <mergeCell ref="AF6:AF8"/>
    <mergeCell ref="AG6:AG7"/>
    <mergeCell ref="AH6:AH8"/>
    <mergeCell ref="AT5:AT6"/>
    <mergeCell ref="AU5:AY5"/>
    <mergeCell ref="AZ5:AZ6"/>
    <mergeCell ref="BA5:BK5"/>
    <mergeCell ref="BG6:BG7"/>
    <mergeCell ref="BJ6:BJ7"/>
    <mergeCell ref="AQ6:AQ7"/>
    <mergeCell ref="AR6:AR7"/>
    <mergeCell ref="BA6:BA7"/>
    <mergeCell ref="BC6:BC7"/>
    <mergeCell ref="AP5:AP7"/>
    <mergeCell ref="AQ5:AR5"/>
    <mergeCell ref="AS5:AS7"/>
    <mergeCell ref="AN6:AN7"/>
    <mergeCell ref="A30:C30"/>
    <mergeCell ref="A31:C31"/>
    <mergeCell ref="F31:J31"/>
    <mergeCell ref="A32:C32"/>
    <mergeCell ref="A33:C33"/>
    <mergeCell ref="G17:G19"/>
    <mergeCell ref="H17:H19"/>
    <mergeCell ref="R17:R19"/>
    <mergeCell ref="S17:S19"/>
    <mergeCell ref="H20:H22"/>
    <mergeCell ref="R20:R22"/>
    <mergeCell ref="S20:S22"/>
    <mergeCell ref="A20:B20"/>
    <mergeCell ref="C20:D20"/>
    <mergeCell ref="A21:B21"/>
    <mergeCell ref="C21:D21"/>
    <mergeCell ref="A22:B22"/>
    <mergeCell ref="C22:D22"/>
    <mergeCell ref="A17:B17"/>
    <mergeCell ref="C17:D17"/>
    <mergeCell ref="A18:B18"/>
    <mergeCell ref="C18:D18"/>
    <mergeCell ref="A19:B19"/>
    <mergeCell ref="C19:D19"/>
    <mergeCell ref="BN45:BS46"/>
    <mergeCell ref="BU45:BZ46"/>
    <mergeCell ref="CB45:CG46"/>
    <mergeCell ref="BN47:BS47"/>
    <mergeCell ref="BU47:BZ47"/>
    <mergeCell ref="CB47:CG47"/>
    <mergeCell ref="A34:C34"/>
    <mergeCell ref="A35:C35"/>
    <mergeCell ref="A36:C36"/>
    <mergeCell ref="A37:C37"/>
    <mergeCell ref="A38:C38"/>
    <mergeCell ref="A39:C39"/>
    <mergeCell ref="BW128:BZ128"/>
    <mergeCell ref="CB128:CG128"/>
    <mergeCell ref="BV49:BV51"/>
    <mergeCell ref="BW49:BW51"/>
    <mergeCell ref="BX49:BX51"/>
    <mergeCell ref="BY49:BY51"/>
    <mergeCell ref="BZ49:BZ51"/>
    <mergeCell ref="CB49:CB51"/>
    <mergeCell ref="BN48:BS48"/>
    <mergeCell ref="BU48:BZ48"/>
    <mergeCell ref="CB48:CG48"/>
    <mergeCell ref="BN49:BN51"/>
    <mergeCell ref="BO49:BO51"/>
    <mergeCell ref="BP49:BP51"/>
    <mergeCell ref="BQ49:BQ51"/>
    <mergeCell ref="BR49:BR51"/>
    <mergeCell ref="BS49:BS51"/>
    <mergeCell ref="BU49:BU51"/>
    <mergeCell ref="CH128:CK128"/>
    <mergeCell ref="CP128:CT128"/>
    <mergeCell ref="CU128:CY128"/>
    <mergeCell ref="CZ128:DD128"/>
    <mergeCell ref="DE128:DI128"/>
    <mergeCell ref="DJ128:DM128"/>
    <mergeCell ref="CC49:CC51"/>
    <mergeCell ref="CD49:CD51"/>
    <mergeCell ref="CE49:CE51"/>
    <mergeCell ref="CF49:CF51"/>
    <mergeCell ref="CG49:CG51"/>
    <mergeCell ref="CU130:CY130"/>
    <mergeCell ref="CZ130:DD130"/>
    <mergeCell ref="DE130:DI130"/>
    <mergeCell ref="DJ130:DM130"/>
    <mergeCell ref="DN130:DQ130"/>
    <mergeCell ref="BJ140:BM140"/>
    <mergeCell ref="BW129:DQ129"/>
    <mergeCell ref="BW130:BX130"/>
    <mergeCell ref="CB130:CD130"/>
    <mergeCell ref="CE130:CE131"/>
    <mergeCell ref="CF130:CF131"/>
    <mergeCell ref="CG130:CG131"/>
    <mergeCell ref="CH130:CJ130"/>
    <mergeCell ref="CK130:CK131"/>
    <mergeCell ref="CL130:CL131"/>
    <mergeCell ref="CP130:CQ130"/>
    <mergeCell ref="BJ153:BM153"/>
    <mergeCell ref="F13:F15"/>
    <mergeCell ref="G13:G15"/>
    <mergeCell ref="H13:H15"/>
    <mergeCell ref="R13:R15"/>
    <mergeCell ref="S13:S15"/>
    <mergeCell ref="AH13:AH15"/>
    <mergeCell ref="F17:F19"/>
    <mergeCell ref="BD145:BE145"/>
    <mergeCell ref="BF145:BM145"/>
    <mergeCell ref="BD146:BE146"/>
    <mergeCell ref="BF146:BM146"/>
    <mergeCell ref="BD147:BE147"/>
    <mergeCell ref="BF147:BM147"/>
    <mergeCell ref="BJ141:BM141"/>
    <mergeCell ref="BD142:BE142"/>
    <mergeCell ref="BF142:BM142"/>
    <mergeCell ref="BD143:BE143"/>
    <mergeCell ref="BF143:BM143"/>
    <mergeCell ref="BD144:BE144"/>
    <mergeCell ref="BF144:BM144"/>
    <mergeCell ref="AH17:AH19"/>
    <mergeCell ref="F20:F22"/>
    <mergeCell ref="G20:G22"/>
    <mergeCell ref="AH20:AH22"/>
    <mergeCell ref="BD148:BE148"/>
    <mergeCell ref="BF148:BM148"/>
    <mergeCell ref="F26:F28"/>
    <mergeCell ref="G26:G28"/>
    <mergeCell ref="H26:H28"/>
    <mergeCell ref="R26:R28"/>
    <mergeCell ref="S26:S28"/>
    <mergeCell ref="AH26:AH28"/>
    <mergeCell ref="F23:F25"/>
    <mergeCell ref="G23:G25"/>
    <mergeCell ref="H23:H25"/>
    <mergeCell ref="R23:R25"/>
    <mergeCell ref="S23:S25"/>
    <mergeCell ref="AH23:AH25"/>
    <mergeCell ref="A28:B28"/>
    <mergeCell ref="C28:D28"/>
    <mergeCell ref="C27:D27"/>
    <mergeCell ref="C26:D26"/>
    <mergeCell ref="A26:B26"/>
    <mergeCell ref="A27:B27"/>
    <mergeCell ref="A23:B23"/>
    <mergeCell ref="C23:D23"/>
    <mergeCell ref="A24:B24"/>
    <mergeCell ref="C24:D24"/>
    <mergeCell ref="C25:D25"/>
    <mergeCell ref="A25:B25"/>
  </mergeCells>
  <conditionalFormatting sqref="AS40 BC39:BD40 BG39:BH40 G37:J40 F40 K37:L39 K40:AO40 AQ40 AR39:AR40 N32:N39 AT39:AU40 AU38 AZ37:AZ38 AZ33:AZ35 AZ39:BA40 BJ39:BK40 G32:G36 I32:L36 AV38:AY40 BI38:BI40 BC31:BD34 BB31:BB40 BE31:BF40 AU31:AU36 BG31:BH34 BJ31:BK34 BI31:BI33 AX31:AY33 AV31:AW32 AZ31:BA32 G9:I9 A9:E9 A11:E12 A10:D10 G10:H10 G11:I11 L9:BL11 P32:T32 AP34:AP40 E33:E35 E39 F12:BK12 D30:G30 J30 V39:AO39 P33:S39 V32:AJ38 C18 A18 C24 A24 R31:AT31 K30:Q31 S30:BL30">
    <cfRule type="cellIs" dxfId="102" priority="79" operator="lessThan">
      <formula>0</formula>
    </cfRule>
  </conditionalFormatting>
  <conditionalFormatting sqref="AK10">
    <cfRule type="cellIs" dxfId="101" priority="78" operator="lessThan">
      <formula>0</formula>
    </cfRule>
  </conditionalFormatting>
  <conditionalFormatting sqref="AK10">
    <cfRule type="cellIs" dxfId="100" priority="77" operator="lessThan">
      <formula>0</formula>
    </cfRule>
  </conditionalFormatting>
  <conditionalFormatting sqref="AK10">
    <cfRule type="cellIs" dxfId="99" priority="76" operator="lessThan">
      <formula>0</formula>
    </cfRule>
  </conditionalFormatting>
  <conditionalFormatting sqref="AK10">
    <cfRule type="cellIs" dxfId="98" priority="75" operator="lessThan">
      <formula>0</formula>
    </cfRule>
  </conditionalFormatting>
  <conditionalFormatting sqref="E10">
    <cfRule type="cellIs" dxfId="97" priority="74" operator="lessThan">
      <formula>0</formula>
    </cfRule>
  </conditionalFormatting>
  <conditionalFormatting sqref="I10">
    <cfRule type="cellIs" dxfId="96" priority="73" operator="lessThan">
      <formula>0</formula>
    </cfRule>
  </conditionalFormatting>
  <conditionalFormatting sqref="J9:K11">
    <cfRule type="cellIs" dxfId="95" priority="72" operator="lessThan">
      <formula>0</formula>
    </cfRule>
  </conditionalFormatting>
  <conditionalFormatting sqref="AQ32:AQ33">
    <cfRule type="cellIs" dxfId="94" priority="68" operator="lessThan">
      <formula>0</formula>
    </cfRule>
  </conditionalFormatting>
  <conditionalFormatting sqref="AM33">
    <cfRule type="cellIs" dxfId="93" priority="66" operator="lessThan">
      <formula>0</formula>
    </cfRule>
  </conditionalFormatting>
  <conditionalFormatting sqref="AK32:AK33">
    <cfRule type="cellIs" dxfId="92" priority="71" operator="lessThan">
      <formula>0</formula>
    </cfRule>
  </conditionalFormatting>
  <conditionalFormatting sqref="AS32">
    <cfRule type="cellIs" dxfId="91" priority="70" operator="lessThan">
      <formula>0</formula>
    </cfRule>
  </conditionalFormatting>
  <conditionalFormatting sqref="AS33">
    <cfRule type="cellIs" dxfId="90" priority="69" operator="lessThan">
      <formula>0</formula>
    </cfRule>
  </conditionalFormatting>
  <conditionalFormatting sqref="AM32">
    <cfRule type="cellIs" dxfId="89" priority="67" operator="lessThan">
      <formula>0</formula>
    </cfRule>
  </conditionalFormatting>
  <conditionalFormatting sqref="A33 D33">
    <cfRule type="cellIs" dxfId="88" priority="65" operator="lessThan">
      <formula>0</formula>
    </cfRule>
  </conditionalFormatting>
  <conditionalFormatting sqref="A34 D34">
    <cfRule type="cellIs" dxfId="87" priority="64" operator="lessThan">
      <formula>0</formula>
    </cfRule>
  </conditionalFormatting>
  <conditionalFormatting sqref="A35">
    <cfRule type="cellIs" dxfId="86" priority="63" operator="lessThan">
      <formula>0</formula>
    </cfRule>
  </conditionalFormatting>
  <conditionalFormatting sqref="A30">
    <cfRule type="cellIs" dxfId="85" priority="62" operator="lessThan">
      <formula>0</formula>
    </cfRule>
  </conditionalFormatting>
  <conditionalFormatting sqref="AV35:AV36">
    <cfRule type="cellIs" dxfId="84" priority="56" operator="lessThan">
      <formula>0</formula>
    </cfRule>
  </conditionalFormatting>
  <conditionalFormatting sqref="A39 D39">
    <cfRule type="cellIs" dxfId="83" priority="60" operator="lessThan">
      <formula>0</formula>
    </cfRule>
  </conditionalFormatting>
  <conditionalFormatting sqref="A36">
    <cfRule type="cellIs" dxfId="82" priority="59" operator="lessThan">
      <formula>0</formula>
    </cfRule>
  </conditionalFormatting>
  <conditionalFormatting sqref="E38">
    <cfRule type="cellIs" dxfId="81" priority="58" operator="lessThan">
      <formula>0</formula>
    </cfRule>
  </conditionalFormatting>
  <conditionalFormatting sqref="A37:A38 D38">
    <cfRule type="cellIs" dxfId="80" priority="57" operator="lessThan">
      <formula>0</formula>
    </cfRule>
  </conditionalFormatting>
  <conditionalFormatting sqref="AK18">
    <cfRule type="cellIs" dxfId="79" priority="44" operator="lessThan">
      <formula>0</formula>
    </cfRule>
  </conditionalFormatting>
  <conditionalFormatting sqref="G13:I13 A13:E13 A15:E16 A14:D14 G14:H14 G15:I16 L13:BL16">
    <cfRule type="cellIs" dxfId="78" priority="55" operator="lessThan">
      <formula>0</formula>
    </cfRule>
  </conditionalFormatting>
  <conditionalFormatting sqref="AK14">
    <cfRule type="cellIs" dxfId="77" priority="54" operator="lessThan">
      <formula>0</formula>
    </cfRule>
  </conditionalFormatting>
  <conditionalFormatting sqref="AK14">
    <cfRule type="cellIs" dxfId="76" priority="53" operator="lessThan">
      <formula>0</formula>
    </cfRule>
  </conditionalFormatting>
  <conditionalFormatting sqref="AK14">
    <cfRule type="cellIs" dxfId="75" priority="52" operator="lessThan">
      <formula>0</formula>
    </cfRule>
  </conditionalFormatting>
  <conditionalFormatting sqref="AK14">
    <cfRule type="cellIs" dxfId="74" priority="51" operator="lessThan">
      <formula>0</formula>
    </cfRule>
  </conditionalFormatting>
  <conditionalFormatting sqref="E14">
    <cfRule type="cellIs" dxfId="73" priority="50" operator="lessThan">
      <formula>0</formula>
    </cfRule>
  </conditionalFormatting>
  <conditionalFormatting sqref="I14">
    <cfRule type="cellIs" dxfId="72" priority="49" operator="lessThan">
      <formula>0</formula>
    </cfRule>
  </conditionalFormatting>
  <conditionalFormatting sqref="J14:K16 K13">
    <cfRule type="cellIs" dxfId="71" priority="48" operator="lessThan">
      <formula>0</formula>
    </cfRule>
  </conditionalFormatting>
  <conditionalFormatting sqref="G17:I17 A17 A19 G18:H18 G19:I19 L17:BL19 L29:BL29 G29:I29 A29:E29 C17 E17 E19">
    <cfRule type="cellIs" dxfId="70" priority="47" operator="lessThan">
      <formula>0</formula>
    </cfRule>
  </conditionalFormatting>
  <conditionalFormatting sqref="AK18">
    <cfRule type="cellIs" dxfId="69" priority="46" operator="lessThan">
      <formula>0</formula>
    </cfRule>
  </conditionalFormatting>
  <conditionalFormatting sqref="AK18">
    <cfRule type="cellIs" dxfId="68" priority="45" operator="lessThan">
      <formula>0</formula>
    </cfRule>
  </conditionalFormatting>
  <conditionalFormatting sqref="AK18">
    <cfRule type="cellIs" dxfId="67" priority="43" operator="lessThan">
      <formula>0</formula>
    </cfRule>
  </conditionalFormatting>
  <conditionalFormatting sqref="E18">
    <cfRule type="cellIs" dxfId="66" priority="42" operator="lessThan">
      <formula>0</formula>
    </cfRule>
  </conditionalFormatting>
  <conditionalFormatting sqref="I18">
    <cfRule type="cellIs" dxfId="65" priority="41" operator="lessThan">
      <formula>0</formula>
    </cfRule>
  </conditionalFormatting>
  <conditionalFormatting sqref="J17:K19 J29:K29">
    <cfRule type="cellIs" dxfId="64" priority="40" operator="lessThan">
      <formula>0</formula>
    </cfRule>
  </conditionalFormatting>
  <conditionalFormatting sqref="G20:I20 E20 E22 G21:H21 G22:I22 L20:BL22">
    <cfRule type="cellIs" dxfId="63" priority="39" operator="lessThan">
      <formula>0</formula>
    </cfRule>
  </conditionalFormatting>
  <conditionalFormatting sqref="AK21">
    <cfRule type="cellIs" dxfId="62" priority="38" operator="lessThan">
      <formula>0</formula>
    </cfRule>
  </conditionalFormatting>
  <conditionalFormatting sqref="AK21">
    <cfRule type="cellIs" dxfId="61" priority="37" operator="lessThan">
      <formula>0</formula>
    </cfRule>
  </conditionalFormatting>
  <conditionalFormatting sqref="AK21">
    <cfRule type="cellIs" dxfId="60" priority="36" operator="lessThan">
      <formula>0</formula>
    </cfRule>
  </conditionalFormatting>
  <conditionalFormatting sqref="AK21">
    <cfRule type="cellIs" dxfId="59" priority="35" operator="lessThan">
      <formula>0</formula>
    </cfRule>
  </conditionalFormatting>
  <conditionalFormatting sqref="E21">
    <cfRule type="cellIs" dxfId="58" priority="34" operator="lessThan">
      <formula>0</formula>
    </cfRule>
  </conditionalFormatting>
  <conditionalFormatting sqref="I21">
    <cfRule type="cellIs" dxfId="57" priority="33" operator="lessThan">
      <formula>0</formula>
    </cfRule>
  </conditionalFormatting>
  <conditionalFormatting sqref="J20:K22">
    <cfRule type="cellIs" dxfId="56" priority="32" operator="lessThan">
      <formula>0</formula>
    </cfRule>
  </conditionalFormatting>
  <conditionalFormatting sqref="G23:I23 A23 A25 G24:H24 G25:I25 L23:BL25 C23 E23 E25 C25">
    <cfRule type="cellIs" dxfId="55" priority="31" operator="lessThan">
      <formula>0</formula>
    </cfRule>
  </conditionalFormatting>
  <conditionalFormatting sqref="AK24">
    <cfRule type="cellIs" dxfId="54" priority="30" operator="lessThan">
      <formula>0</formula>
    </cfRule>
  </conditionalFormatting>
  <conditionalFormatting sqref="AK24">
    <cfRule type="cellIs" dxfId="53" priority="29" operator="lessThan">
      <formula>0</formula>
    </cfRule>
  </conditionalFormatting>
  <conditionalFormatting sqref="AK24">
    <cfRule type="cellIs" dxfId="52" priority="28" operator="lessThan">
      <formula>0</formula>
    </cfRule>
  </conditionalFormatting>
  <conditionalFormatting sqref="AK24">
    <cfRule type="cellIs" dxfId="51" priority="27" operator="lessThan">
      <formula>0</formula>
    </cfRule>
  </conditionalFormatting>
  <conditionalFormatting sqref="E24">
    <cfRule type="cellIs" dxfId="50" priority="26" operator="lessThan">
      <formula>0</formula>
    </cfRule>
  </conditionalFormatting>
  <conditionalFormatting sqref="I24">
    <cfRule type="cellIs" dxfId="49" priority="25" operator="lessThan">
      <formula>0</formula>
    </cfRule>
  </conditionalFormatting>
  <conditionalFormatting sqref="J23:K25">
    <cfRule type="cellIs" dxfId="48" priority="24" operator="lessThan">
      <formula>0</formula>
    </cfRule>
  </conditionalFormatting>
  <conditionalFormatting sqref="D31:E31">
    <cfRule type="cellIs" dxfId="47" priority="23" operator="lessThan">
      <formula>0</formula>
    </cfRule>
  </conditionalFormatting>
  <conditionalFormatting sqref="A31">
    <cfRule type="cellIs" dxfId="46" priority="22" operator="lessThan">
      <formula>0</formula>
    </cfRule>
  </conditionalFormatting>
  <conditionalFormatting sqref="D32:E32">
    <cfRule type="cellIs" dxfId="45" priority="21" operator="lessThan">
      <formula>0</formula>
    </cfRule>
  </conditionalFormatting>
  <conditionalFormatting sqref="A32">
    <cfRule type="cellIs" dxfId="44" priority="20" operator="lessThan">
      <formula>0</formula>
    </cfRule>
  </conditionalFormatting>
  <conditionalFormatting sqref="J13">
    <cfRule type="cellIs" dxfId="43" priority="19" operator="lessThan">
      <formula>0</formula>
    </cfRule>
  </conditionalFormatting>
  <conditionalFormatting sqref="G26:I26 G27:H27 G28:I28 L26:BL28 E28 E26 A26:A28 C26:C28">
    <cfRule type="cellIs" dxfId="42" priority="18" operator="lessThan">
      <formula>0</formula>
    </cfRule>
  </conditionalFormatting>
  <conditionalFormatting sqref="AK27">
    <cfRule type="cellIs" dxfId="41" priority="17" operator="lessThan">
      <formula>0</formula>
    </cfRule>
  </conditionalFormatting>
  <conditionalFormatting sqref="AK27">
    <cfRule type="cellIs" dxfId="40" priority="16" operator="lessThan">
      <formula>0</formula>
    </cfRule>
  </conditionalFormatting>
  <conditionalFormatting sqref="AK27">
    <cfRule type="cellIs" dxfId="39" priority="15" operator="lessThan">
      <formula>0</formula>
    </cfRule>
  </conditionalFormatting>
  <conditionalFormatting sqref="AK27">
    <cfRule type="cellIs" dxfId="38" priority="14" operator="lessThan">
      <formula>0</formula>
    </cfRule>
  </conditionalFormatting>
  <conditionalFormatting sqref="E27">
    <cfRule type="cellIs" dxfId="37" priority="13" operator="lessThan">
      <formula>0</formula>
    </cfRule>
  </conditionalFormatting>
  <conditionalFormatting sqref="I27">
    <cfRule type="cellIs" dxfId="36" priority="12" operator="lessThan">
      <formula>0</formula>
    </cfRule>
  </conditionalFormatting>
  <conditionalFormatting sqref="J26:K28">
    <cfRule type="cellIs" dxfId="35" priority="11" operator="lessThan">
      <formula>0</formula>
    </cfRule>
  </conditionalFormatting>
  <conditionalFormatting sqref="T33:T39">
    <cfRule type="cellIs" dxfId="34" priority="10" operator="lessThan">
      <formula>0</formula>
    </cfRule>
  </conditionalFormatting>
  <conditionalFormatting sqref="U32:U39">
    <cfRule type="cellIs" dxfId="33" priority="9" operator="lessThan">
      <formula>0</formula>
    </cfRule>
  </conditionalFormatting>
  <conditionalFormatting sqref="AO33">
    <cfRule type="cellIs" dxfId="32" priority="7" operator="lessThan">
      <formula>0</formula>
    </cfRule>
  </conditionalFormatting>
  <conditionalFormatting sqref="AO32">
    <cfRule type="cellIs" dxfId="31" priority="6" operator="lessThan">
      <formula>0</formula>
    </cfRule>
  </conditionalFormatting>
  <conditionalFormatting sqref="C21 A21">
    <cfRule type="cellIs" dxfId="30" priority="5" operator="lessThan">
      <formula>0</formula>
    </cfRule>
  </conditionalFormatting>
  <conditionalFormatting sqref="A20 A22 C20 C22">
    <cfRule type="cellIs" dxfId="29" priority="4" operator="lessThan">
      <formula>0</formula>
    </cfRule>
  </conditionalFormatting>
  <conditionalFormatting sqref="C19">
    <cfRule type="cellIs" dxfId="28" priority="3" operator="lessThan">
      <formula>0</formula>
    </cfRule>
  </conditionalFormatting>
  <conditionalFormatting sqref="D35:D36">
    <cfRule type="cellIs" dxfId="27" priority="2" operator="lessThan">
      <formula>0</formula>
    </cfRule>
  </conditionalFormatting>
  <conditionalFormatting sqref="D37">
    <cfRule type="cellIs" dxfId="26" priority="1" operator="lessThan">
      <formula>0</formula>
    </cfRule>
  </conditionalFormatting>
  <dataValidations count="6">
    <dataValidation type="list" showInputMessage="1" showErrorMessage="1" sqref="R9:R11 R13:R29">
      <formula1>$BN$192:$BN$196</formula1>
    </dataValidation>
    <dataValidation type="list" showErrorMessage="1" sqref="H9:H11 H13:H29">
      <formula1>$BN$136:$BN$137</formula1>
    </dataValidation>
    <dataValidation type="list" showInputMessage="1" showErrorMessage="1" sqref="S9:S11 S13:S29">
      <formula1>$BN$205:$BN$206</formula1>
    </dataValidation>
    <dataValidation type="list" showInputMessage="1" showErrorMessage="1" sqref="F9 F23 F17 F13 F20 F26">
      <formula1>$BN$140:$BN$167</formula1>
    </dataValidation>
    <dataValidation type="list" showErrorMessage="1" sqref="G9 G23 G17 G13 G20 G26">
      <formula1>$BN$131:$BN$133</formula1>
    </dataValidation>
    <dataValidation type="list" showInputMessage="1" showErrorMessage="1" sqref="AH9 AH23 AH17 AH13 AH20 AH26">
      <formula1>$BN$200:$BN$202</formula1>
    </dataValidation>
  </dataValidations>
  <printOptions horizontalCentered="1"/>
  <pageMargins left="0.59055118110236227" right="0.51181102362204722" top="0.98425196850393704" bottom="0.78740157480314965" header="0.39370078740157483" footer="0.39370078740157483"/>
  <pageSetup paperSize="9" scale="62" orientation="landscape" r:id="rId1"/>
  <headerFooter scaleWithDoc="0">
    <oddHeader>&amp;R&amp;G</oddHeader>
    <oddFooter>&amp;L&amp;"Arial,Negrito"&amp;10CTR 477F&amp;C&amp;"Arial,Negrito"&amp;10A.&amp;P</oddFooter>
  </headerFooter>
  <colBreaks count="1" manualBreakCount="1">
    <brk id="31" max="1048575" man="1"/>
  </colBreaks>
  <legacyDrawingHF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B2:H256"/>
  <sheetViews>
    <sheetView zoomScaleSheetLayoutView="110" workbookViewId="0">
      <selection activeCell="P38" sqref="P38"/>
    </sheetView>
  </sheetViews>
  <sheetFormatPr defaultColWidth="9.140625" defaultRowHeight="12.75" customHeight="1"/>
  <cols>
    <col min="1" max="1" width="9.140625" style="20"/>
    <col min="2" max="2" width="62.85546875" style="20" customWidth="1"/>
    <col min="3" max="3" width="13.7109375" style="20" customWidth="1"/>
    <col min="4" max="4" width="11.28515625" style="20" customWidth="1"/>
    <col min="5" max="5" width="9.140625" style="20"/>
    <col min="6" max="6" width="9.140625" style="20" customWidth="1"/>
    <col min="7" max="16384" width="9.140625" style="20"/>
  </cols>
  <sheetData>
    <row r="2" spans="2:8" s="2" customFormat="1" ht="15.75" customHeight="1">
      <c r="B2" s="894" t="s">
        <v>7</v>
      </c>
      <c r="C2" s="894"/>
      <c r="D2" s="894"/>
      <c r="E2" s="232"/>
    </row>
    <row r="3" spans="2:8" s="2" customFormat="1" ht="15.75" customHeight="1">
      <c r="B3" s="895" t="s">
        <v>375</v>
      </c>
      <c r="C3" s="895"/>
      <c r="D3" s="895"/>
      <c r="E3" s="232"/>
    </row>
    <row r="4" spans="2:8" s="2" customFormat="1" ht="12.75" customHeight="1">
      <c r="B4" s="3"/>
      <c r="C4" s="4"/>
      <c r="D4" s="4"/>
    </row>
    <row r="5" spans="2:8" s="2" customFormat="1" ht="12.75" customHeight="1">
      <c r="B5" s="3" t="s">
        <v>311</v>
      </c>
      <c r="C5" s="4"/>
      <c r="D5" s="4"/>
    </row>
    <row r="6" spans="2:8" s="2" customFormat="1" ht="12.75" customHeight="1">
      <c r="C6" s="4"/>
      <c r="D6" s="4"/>
    </row>
    <row r="7" spans="2:8" s="2" customFormat="1" ht="12.75" customHeight="1">
      <c r="B7" s="234" t="s">
        <v>312</v>
      </c>
      <c r="C7" s="4"/>
      <c r="D7" s="4"/>
    </row>
    <row r="8" spans="2:8" s="2" customFormat="1" ht="12.75" customHeight="1">
      <c r="B8" s="235" t="s">
        <v>313</v>
      </c>
      <c r="C8" s="5">
        <v>2</v>
      </c>
      <c r="D8" s="235" t="s">
        <v>4</v>
      </c>
    </row>
    <row r="9" spans="2:8" s="2" customFormat="1" ht="12.75" customHeight="1">
      <c r="B9" s="235" t="s">
        <v>314</v>
      </c>
      <c r="C9" s="5">
        <v>2</v>
      </c>
      <c r="D9" s="235" t="s">
        <v>4</v>
      </c>
      <c r="E9" s="232"/>
      <c r="F9" s="236"/>
      <c r="G9" s="236"/>
      <c r="H9" s="233"/>
    </row>
    <row r="10" spans="2:8" s="2" customFormat="1" ht="12.75" customHeight="1">
      <c r="B10" s="235" t="s">
        <v>354</v>
      </c>
      <c r="C10" s="5">
        <v>0.25</v>
      </c>
      <c r="D10" s="235" t="s">
        <v>4</v>
      </c>
      <c r="E10" s="232"/>
      <c r="F10" s="236"/>
      <c r="G10" s="236"/>
      <c r="H10" s="233"/>
    </row>
    <row r="11" spans="2:8" s="2" customFormat="1" ht="12.75" customHeight="1">
      <c r="B11" s="4" t="s">
        <v>315</v>
      </c>
      <c r="C11" s="6">
        <v>0.05</v>
      </c>
      <c r="D11" s="4" t="s">
        <v>4</v>
      </c>
      <c r="E11" s="232"/>
      <c r="F11" s="236"/>
      <c r="G11" s="236"/>
      <c r="H11" s="233"/>
    </row>
    <row r="12" spans="2:8" s="2" customFormat="1" ht="12.75" customHeight="1">
      <c r="B12" s="4" t="s">
        <v>316</v>
      </c>
      <c r="C12" s="6">
        <v>0.05</v>
      </c>
      <c r="D12" s="4" t="s">
        <v>4</v>
      </c>
      <c r="E12" s="232"/>
      <c r="F12" s="237"/>
    </row>
    <row r="13" spans="2:8" s="2" customFormat="1" ht="12.75" customHeight="1">
      <c r="B13" s="234" t="s">
        <v>317</v>
      </c>
      <c r="C13" s="238">
        <v>2</v>
      </c>
      <c r="D13" s="235" t="s">
        <v>8</v>
      </c>
      <c r="E13" s="232"/>
      <c r="F13" s="236"/>
      <c r="G13" s="236"/>
      <c r="H13" s="233"/>
    </row>
    <row r="14" spans="2:8" s="2" customFormat="1" ht="12.75" customHeight="1">
      <c r="B14" s="4" t="s">
        <v>313</v>
      </c>
      <c r="C14" s="6">
        <v>1.6</v>
      </c>
      <c r="D14" s="4" t="s">
        <v>4</v>
      </c>
      <c r="E14" s="232"/>
      <c r="F14" s="236"/>
      <c r="G14" s="236"/>
      <c r="H14" s="233"/>
    </row>
    <row r="15" spans="2:8" s="2" customFormat="1" ht="12.75" customHeight="1">
      <c r="B15" s="4" t="s">
        <v>314</v>
      </c>
      <c r="C15" s="6">
        <v>0.2</v>
      </c>
      <c r="D15" s="4" t="s">
        <v>4</v>
      </c>
      <c r="E15" s="232"/>
      <c r="F15" s="236"/>
      <c r="G15" s="236"/>
      <c r="H15" s="233"/>
    </row>
    <row r="16" spans="2:8" s="2" customFormat="1" ht="12.75" customHeight="1">
      <c r="B16" s="234" t="s">
        <v>318</v>
      </c>
      <c r="C16" s="238">
        <v>2</v>
      </c>
      <c r="D16" s="235" t="s">
        <v>8</v>
      </c>
      <c r="E16" s="232"/>
      <c r="F16" s="239"/>
      <c r="G16" s="240"/>
    </row>
    <row r="17" spans="2:8" s="2" customFormat="1" ht="12.75" customHeight="1">
      <c r="B17" s="4" t="s">
        <v>313</v>
      </c>
      <c r="C17" s="6">
        <v>1.2</v>
      </c>
      <c r="D17" s="4" t="s">
        <v>4</v>
      </c>
      <c r="E17" s="232"/>
      <c r="F17" s="236"/>
      <c r="G17" s="236"/>
      <c r="H17" s="233"/>
    </row>
    <row r="18" spans="2:8" s="2" customFormat="1" ht="12.75" customHeight="1">
      <c r="B18" s="4" t="s">
        <v>314</v>
      </c>
      <c r="C18" s="6">
        <v>0.2</v>
      </c>
      <c r="D18" s="4" t="s">
        <v>4</v>
      </c>
      <c r="E18" s="232"/>
      <c r="F18" s="236"/>
      <c r="G18" s="236"/>
      <c r="H18" s="233"/>
    </row>
    <row r="19" spans="2:8" s="2" customFormat="1" ht="12.75" customHeight="1">
      <c r="B19" s="235" t="s">
        <v>354</v>
      </c>
      <c r="C19" s="6">
        <v>1.8</v>
      </c>
      <c r="D19" s="4" t="s">
        <v>4</v>
      </c>
      <c r="E19" s="232"/>
      <c r="F19" s="237"/>
    </row>
    <row r="20" spans="2:8" s="2" customFormat="1" ht="12.75" customHeight="1">
      <c r="E20" s="232"/>
      <c r="F20" s="237"/>
    </row>
    <row r="21" spans="2:8" s="2" customFormat="1" ht="12.75" customHeight="1">
      <c r="F21" s="237"/>
    </row>
    <row r="22" spans="2:8" s="8" customFormat="1" ht="12.75" customHeight="1">
      <c r="B22" s="241" t="s">
        <v>319</v>
      </c>
      <c r="C22" s="242"/>
      <c r="D22" s="243"/>
      <c r="E22" s="244"/>
      <c r="F22" s="7"/>
      <c r="G22" s="141"/>
    </row>
    <row r="23" spans="2:8" s="8" customFormat="1" ht="12.75" customHeight="1">
      <c r="B23" s="241"/>
      <c r="C23" s="242"/>
      <c r="D23" s="243"/>
      <c r="E23" s="244"/>
      <c r="F23" s="7"/>
      <c r="G23" s="141"/>
    </row>
    <row r="24" spans="2:8" s="8" customFormat="1" ht="12.75" customHeight="1">
      <c r="B24" s="9" t="s">
        <v>320</v>
      </c>
      <c r="C24" s="242"/>
      <c r="D24" s="243"/>
      <c r="E24" s="244"/>
      <c r="F24" s="7"/>
      <c r="G24" s="141"/>
    </row>
    <row r="25" spans="2:8" s="8" customFormat="1" ht="12.75" customHeight="1">
      <c r="B25" s="9"/>
      <c r="C25" s="242"/>
      <c r="D25" s="243"/>
      <c r="E25" s="244"/>
      <c r="F25" s="7"/>
      <c r="G25" s="141"/>
    </row>
    <row r="26" spans="2:8" s="8" customFormat="1" ht="12.75" customHeight="1">
      <c r="B26" s="9" t="s">
        <v>376</v>
      </c>
      <c r="C26" s="9">
        <v>1</v>
      </c>
      <c r="D26" s="9" t="s">
        <v>377</v>
      </c>
      <c r="E26" s="244"/>
      <c r="F26" s="7"/>
      <c r="G26" s="141"/>
    </row>
    <row r="27" spans="2:8" s="8" customFormat="1" ht="12.75" customHeight="1">
      <c r="B27" s="9" t="s">
        <v>321</v>
      </c>
      <c r="C27" s="9">
        <v>1</v>
      </c>
      <c r="D27" s="9" t="s">
        <v>62</v>
      </c>
      <c r="E27" s="244"/>
      <c r="F27" s="7"/>
      <c r="G27" s="141"/>
    </row>
    <row r="28" spans="2:8" s="8" customFormat="1" ht="12.75" customHeight="1">
      <c r="B28" s="9" t="s">
        <v>9</v>
      </c>
      <c r="C28" s="245">
        <f>(C26*C27)</f>
        <v>1</v>
      </c>
      <c r="D28" s="9" t="str">
        <f>D27</f>
        <v>eqxdia</v>
      </c>
      <c r="E28" s="244"/>
      <c r="F28" s="7"/>
      <c r="G28" s="141"/>
    </row>
    <row r="29" spans="2:8" s="8" customFormat="1" ht="12.75" customHeight="1">
      <c r="B29" s="9"/>
      <c r="C29" s="242"/>
      <c r="D29" s="243"/>
      <c r="E29" s="244"/>
      <c r="F29" s="7"/>
      <c r="G29" s="141"/>
    </row>
    <row r="30" spans="2:8" s="8" customFormat="1" ht="12.75" customHeight="1">
      <c r="B30" s="584" t="s">
        <v>322</v>
      </c>
      <c r="C30" s="620">
        <f>(C28)</f>
        <v>1</v>
      </c>
      <c r="D30" s="621" t="str">
        <f>D28</f>
        <v>eqxdia</v>
      </c>
      <c r="E30" s="587">
        <v>70010008</v>
      </c>
      <c r="F30" s="587" t="s">
        <v>5</v>
      </c>
      <c r="G30" s="141"/>
    </row>
    <row r="31" spans="2:8" s="8" customFormat="1" ht="12.75" customHeight="1">
      <c r="B31" s="241"/>
      <c r="C31" s="246"/>
      <c r="D31" s="247"/>
      <c r="E31" s="244"/>
      <c r="F31" s="7"/>
      <c r="G31" s="141"/>
    </row>
    <row r="32" spans="2:8" s="8" customFormat="1" ht="12.75" customHeight="1">
      <c r="B32" s="241"/>
      <c r="C32" s="246"/>
      <c r="D32" s="247"/>
      <c r="E32" s="244"/>
      <c r="F32" s="7"/>
      <c r="G32" s="141"/>
    </row>
    <row r="33" spans="2:7" s="2" customFormat="1" ht="12.75" customHeight="1">
      <c r="B33" s="241" t="s">
        <v>323</v>
      </c>
      <c r="C33" s="242"/>
      <c r="D33" s="243"/>
      <c r="E33" s="232"/>
      <c r="F33" s="248"/>
      <c r="G33" s="249"/>
    </row>
    <row r="34" spans="2:7" s="2" customFormat="1" ht="12.75" customHeight="1">
      <c r="B34" s="10"/>
      <c r="C34" s="5"/>
      <c r="D34" s="11"/>
      <c r="E34" s="232"/>
      <c r="F34" s="248"/>
      <c r="G34" s="249"/>
    </row>
    <row r="35" spans="2:7" s="2" customFormat="1" ht="12.75" customHeight="1">
      <c r="B35" s="235" t="s">
        <v>324</v>
      </c>
      <c r="C35" s="5"/>
      <c r="D35" s="11"/>
      <c r="E35" s="232"/>
      <c r="F35" s="248"/>
      <c r="G35" s="249"/>
    </row>
    <row r="36" spans="2:7" s="2" customFormat="1" ht="12.75" customHeight="1">
      <c r="B36" s="235"/>
      <c r="C36" s="5"/>
      <c r="D36" s="11"/>
      <c r="E36" s="232"/>
      <c r="F36" s="248"/>
      <c r="G36" s="249"/>
    </row>
    <row r="37" spans="2:7" s="2" customFormat="1" ht="12.75" customHeight="1">
      <c r="B37" s="162" t="s">
        <v>325</v>
      </c>
      <c r="C37" s="12">
        <v>0.5</v>
      </c>
      <c r="D37" s="13" t="s">
        <v>4</v>
      </c>
      <c r="E37" s="232"/>
      <c r="F37" s="248"/>
      <c r="G37" s="249"/>
    </row>
    <row r="38" spans="2:7" s="2" customFormat="1" ht="12.75" customHeight="1">
      <c r="B38" s="14" t="s">
        <v>326</v>
      </c>
      <c r="C38" s="12">
        <f>(C10+C19+C11+C12)</f>
        <v>2.1499999999999995</v>
      </c>
      <c r="D38" s="13" t="s">
        <v>4</v>
      </c>
      <c r="E38" s="232"/>
      <c r="F38" s="248"/>
      <c r="G38" s="249"/>
    </row>
    <row r="39" spans="2:7" s="2" customFormat="1" ht="12.75" customHeight="1">
      <c r="B39" s="14" t="str">
        <f t="shared" ref="B39:D40" si="0">B8</f>
        <v xml:space="preserve">Comprimento </v>
      </c>
      <c r="C39" s="250">
        <f t="shared" si="0"/>
        <v>2</v>
      </c>
      <c r="D39" s="14" t="str">
        <f t="shared" si="0"/>
        <v>m</v>
      </c>
      <c r="E39" s="232"/>
      <c r="F39" s="248"/>
      <c r="G39" s="249"/>
    </row>
    <row r="40" spans="2:7" s="2" customFormat="1" ht="12.75" customHeight="1">
      <c r="B40" s="14" t="str">
        <f t="shared" si="0"/>
        <v xml:space="preserve">Largura </v>
      </c>
      <c r="C40" s="250">
        <f t="shared" si="0"/>
        <v>2</v>
      </c>
      <c r="D40" s="14" t="str">
        <f t="shared" si="0"/>
        <v>m</v>
      </c>
      <c r="E40" s="232"/>
      <c r="F40" s="248"/>
      <c r="G40" s="249"/>
    </row>
    <row r="41" spans="2:7" s="2" customFormat="1" ht="12.75" customHeight="1">
      <c r="B41" s="14" t="s">
        <v>327</v>
      </c>
      <c r="C41" s="250">
        <f>(C37+C39+C37)</f>
        <v>3</v>
      </c>
      <c r="D41" s="14" t="s">
        <v>4</v>
      </c>
      <c r="E41" s="232"/>
      <c r="F41" s="248"/>
      <c r="G41" s="249"/>
    </row>
    <row r="42" spans="2:7" s="2" customFormat="1" ht="12.75" customHeight="1">
      <c r="B42" s="14" t="s">
        <v>328</v>
      </c>
      <c r="C42" s="250">
        <f>(C37+C40+C37)</f>
        <v>3</v>
      </c>
      <c r="D42" s="14" t="s">
        <v>4</v>
      </c>
      <c r="E42" s="232"/>
      <c r="F42" s="248"/>
      <c r="G42" s="249"/>
    </row>
    <row r="43" spans="2:7" s="2" customFormat="1" ht="12.75" customHeight="1">
      <c r="B43" s="9" t="s">
        <v>329</v>
      </c>
      <c r="C43" s="12">
        <f>(C41*C42)</f>
        <v>9</v>
      </c>
      <c r="D43" s="142" t="s">
        <v>1</v>
      </c>
      <c r="E43" s="232"/>
      <c r="F43" s="248"/>
      <c r="G43" s="249"/>
    </row>
    <row r="44" spans="2:7" s="2" customFormat="1" ht="12.75" customHeight="1">
      <c r="B44" s="14" t="s">
        <v>330</v>
      </c>
      <c r="C44" s="12">
        <f>C41+C37+C37</f>
        <v>4</v>
      </c>
      <c r="D44" s="13" t="s">
        <v>4</v>
      </c>
      <c r="E44" s="232"/>
      <c r="F44" s="248"/>
      <c r="G44" s="249"/>
    </row>
    <row r="45" spans="2:7" s="2" customFormat="1" ht="12.75" customHeight="1">
      <c r="B45" s="14" t="s">
        <v>331</v>
      </c>
      <c r="C45" s="12">
        <f>C42+C37+C37</f>
        <v>4</v>
      </c>
      <c r="D45" s="142" t="s">
        <v>4</v>
      </c>
      <c r="E45" s="232"/>
      <c r="F45" s="248"/>
      <c r="G45" s="249"/>
    </row>
    <row r="46" spans="2:7" s="2" customFormat="1" ht="12.75" customHeight="1">
      <c r="B46" s="9" t="s">
        <v>332</v>
      </c>
      <c r="C46" s="12">
        <f>(C44*C45)</f>
        <v>16</v>
      </c>
      <c r="D46" s="142" t="s">
        <v>1</v>
      </c>
      <c r="E46" s="232"/>
      <c r="F46" s="248"/>
      <c r="G46" s="249"/>
    </row>
    <row r="47" spans="2:7" s="2" customFormat="1" ht="12.75" customHeight="1">
      <c r="B47" s="251" t="s">
        <v>9</v>
      </c>
      <c r="C47" s="146">
        <f>((C38/3)*(C43+(SQRT(C43*C46))+C46))</f>
        <v>26.516666666666659</v>
      </c>
      <c r="D47" s="142" t="s">
        <v>6</v>
      </c>
      <c r="E47" s="232"/>
      <c r="F47" s="248"/>
      <c r="G47" s="249"/>
    </row>
    <row r="48" spans="2:7" s="2" customFormat="1" ht="12.75" customHeight="1">
      <c r="B48" s="251"/>
      <c r="C48" s="146"/>
      <c r="D48" s="142"/>
      <c r="E48" s="232"/>
      <c r="F48" s="248"/>
      <c r="G48" s="249"/>
    </row>
    <row r="49" spans="2:7" s="2" customFormat="1" ht="12.75" customHeight="1">
      <c r="B49" s="622" t="s">
        <v>333</v>
      </c>
      <c r="C49" s="623">
        <f>(C47)</f>
        <v>26.516666666666659</v>
      </c>
      <c r="D49" s="586" t="s">
        <v>6</v>
      </c>
      <c r="E49" s="624">
        <v>70030009</v>
      </c>
      <c r="F49" s="587" t="s">
        <v>5</v>
      </c>
      <c r="G49" s="249"/>
    </row>
    <row r="50" spans="2:7" s="2" customFormat="1" ht="12.75" customHeight="1">
      <c r="B50" s="10"/>
      <c r="C50" s="252"/>
      <c r="D50" s="11"/>
      <c r="E50" s="232"/>
      <c r="F50" s="248"/>
      <c r="G50" s="249"/>
    </row>
    <row r="51" spans="2:7" s="2" customFormat="1" ht="12.75" customHeight="1">
      <c r="B51" s="10"/>
      <c r="C51" s="252"/>
      <c r="D51" s="11"/>
      <c r="E51" s="232"/>
      <c r="F51" s="248"/>
      <c r="G51" s="249"/>
    </row>
    <row r="52" spans="2:7" s="2" customFormat="1" ht="12.75" customHeight="1">
      <c r="B52" s="253" t="s">
        <v>334</v>
      </c>
      <c r="C52" s="254"/>
      <c r="D52" s="255"/>
      <c r="E52" s="232"/>
      <c r="F52" s="248"/>
      <c r="G52" s="249"/>
    </row>
    <row r="53" spans="2:7" s="2" customFormat="1" ht="12.75" customHeight="1">
      <c r="B53" s="255"/>
      <c r="C53" s="256"/>
      <c r="D53" s="255"/>
      <c r="E53" s="232"/>
      <c r="F53" s="248"/>
      <c r="G53" s="249"/>
    </row>
    <row r="54" spans="2:7" s="2" customFormat="1" ht="12.75" customHeight="1">
      <c r="B54" s="255" t="s">
        <v>335</v>
      </c>
      <c r="C54" s="257">
        <f>C49</f>
        <v>26.516666666666659</v>
      </c>
      <c r="D54" s="255" t="s">
        <v>6</v>
      </c>
      <c r="E54" s="232"/>
      <c r="F54" s="248"/>
      <c r="G54" s="249"/>
    </row>
    <row r="55" spans="2:7" s="2" customFormat="1" ht="12.75" customHeight="1">
      <c r="B55" s="255" t="s">
        <v>336</v>
      </c>
      <c r="C55" s="257">
        <f>C92</f>
        <v>0.2</v>
      </c>
      <c r="D55" s="257" t="str">
        <f>D92</f>
        <v>m³</v>
      </c>
      <c r="E55" s="232"/>
      <c r="F55" s="248"/>
      <c r="G55" s="249"/>
    </row>
    <row r="56" spans="2:7" s="2" customFormat="1" ht="12.75" customHeight="1">
      <c r="B56" s="255" t="s">
        <v>337</v>
      </c>
      <c r="C56" s="257">
        <f>C103</f>
        <v>0.2</v>
      </c>
      <c r="D56" s="257" t="s">
        <v>6</v>
      </c>
      <c r="E56" s="232"/>
      <c r="F56" s="248"/>
      <c r="G56" s="249"/>
    </row>
    <row r="57" spans="2:7" s="2" customFormat="1" ht="12.75" customHeight="1">
      <c r="B57" s="255" t="s">
        <v>338</v>
      </c>
      <c r="C57" s="257">
        <f>(C8*C9*C10)+(C14*C14*C19)</f>
        <v>5.6080000000000014</v>
      </c>
      <c r="D57" s="257" t="str">
        <f>D134</f>
        <v>m³</v>
      </c>
      <c r="E57" s="232"/>
      <c r="F57" s="248"/>
      <c r="G57" s="249"/>
    </row>
    <row r="58" spans="2:7" s="2" customFormat="1" ht="12.75" customHeight="1">
      <c r="B58" s="255" t="s">
        <v>9</v>
      </c>
      <c r="C58" s="146">
        <f>C54-(C55+C56+C57)</f>
        <v>20.508666666666656</v>
      </c>
      <c r="D58" s="142" t="s">
        <v>6</v>
      </c>
      <c r="E58" s="232"/>
      <c r="F58" s="248"/>
      <c r="G58" s="249"/>
    </row>
    <row r="59" spans="2:7" s="2" customFormat="1" ht="12.75" customHeight="1">
      <c r="B59" s="255"/>
      <c r="C59" s="257"/>
      <c r="D59" s="255"/>
      <c r="E59" s="232"/>
      <c r="F59" s="248"/>
      <c r="G59" s="249"/>
    </row>
    <row r="60" spans="2:7" s="2" customFormat="1" ht="12.75" customHeight="1">
      <c r="B60" s="622" t="s">
        <v>339</v>
      </c>
      <c r="C60" s="623">
        <f>(C58)</f>
        <v>20.508666666666656</v>
      </c>
      <c r="D60" s="586" t="s">
        <v>6</v>
      </c>
      <c r="E60" s="624">
        <v>70030025</v>
      </c>
      <c r="F60" s="587" t="s">
        <v>5</v>
      </c>
      <c r="G60" s="249"/>
    </row>
    <row r="61" spans="2:7" s="2" customFormat="1" ht="12.75" customHeight="1">
      <c r="B61" s="15"/>
      <c r="C61" s="258"/>
      <c r="D61" s="15"/>
      <c r="E61" s="232"/>
      <c r="F61" s="248"/>
      <c r="G61" s="249"/>
    </row>
    <row r="62" spans="2:7" s="2" customFormat="1" ht="12.75" customHeight="1">
      <c r="B62" s="15"/>
      <c r="C62" s="258"/>
      <c r="D62" s="15"/>
      <c r="E62" s="232"/>
      <c r="F62" s="248"/>
      <c r="G62" s="249"/>
    </row>
    <row r="63" spans="2:7" s="17" customFormat="1" ht="12.75" customHeight="1">
      <c r="B63" s="255" t="s">
        <v>340</v>
      </c>
      <c r="C63" s="254"/>
      <c r="D63" s="255"/>
      <c r="E63" s="16"/>
      <c r="F63" s="259"/>
      <c r="G63" s="260"/>
    </row>
    <row r="64" spans="2:7" s="17" customFormat="1" ht="12.75" customHeight="1">
      <c r="B64" s="15"/>
      <c r="C64" s="258"/>
      <c r="D64" s="15"/>
      <c r="E64" s="16"/>
      <c r="F64" s="259"/>
      <c r="G64" s="260"/>
    </row>
    <row r="65" spans="2:7" s="17" customFormat="1" ht="12.75" customHeight="1">
      <c r="B65" s="255" t="s">
        <v>341</v>
      </c>
      <c r="C65" s="256">
        <f>C49</f>
        <v>26.516666666666659</v>
      </c>
      <c r="D65" s="255" t="s">
        <v>6</v>
      </c>
      <c r="E65" s="16"/>
      <c r="F65" s="259"/>
      <c r="G65" s="260"/>
    </row>
    <row r="66" spans="2:7" s="17" customFormat="1" ht="12.75" customHeight="1">
      <c r="B66" s="254" t="s">
        <v>342</v>
      </c>
      <c r="C66" s="256">
        <f>C60</f>
        <v>20.508666666666656</v>
      </c>
      <c r="D66" s="255" t="s">
        <v>6</v>
      </c>
      <c r="E66" s="16"/>
      <c r="F66" s="259"/>
      <c r="G66" s="260"/>
    </row>
    <row r="67" spans="2:7" s="17" customFormat="1" ht="12.75" customHeight="1">
      <c r="B67" s="14" t="s">
        <v>343</v>
      </c>
      <c r="C67" s="254">
        <v>1.3</v>
      </c>
      <c r="D67" s="255"/>
      <c r="E67" s="16"/>
      <c r="F67" s="259"/>
      <c r="G67" s="260"/>
    </row>
    <row r="68" spans="2:7" s="17" customFormat="1" ht="12.75" customHeight="1">
      <c r="B68" s="14" t="s">
        <v>9</v>
      </c>
      <c r="C68" s="254">
        <f>((C65-C66)*C67)</f>
        <v>7.810400000000004</v>
      </c>
      <c r="D68" s="255" t="s">
        <v>6</v>
      </c>
      <c r="E68" s="16"/>
      <c r="F68" s="259"/>
      <c r="G68" s="260"/>
    </row>
    <row r="69" spans="2:7" s="17" customFormat="1" ht="12.75" customHeight="1">
      <c r="B69" s="255"/>
      <c r="C69" s="254"/>
      <c r="D69" s="255"/>
      <c r="E69" s="16"/>
      <c r="F69" s="259"/>
      <c r="G69" s="260"/>
    </row>
    <row r="70" spans="2:7" s="17" customFormat="1" ht="12.75" customHeight="1">
      <c r="B70" s="622" t="s">
        <v>396</v>
      </c>
      <c r="C70" s="623">
        <f>(C68)</f>
        <v>7.810400000000004</v>
      </c>
      <c r="D70" s="586" t="s">
        <v>6</v>
      </c>
      <c r="E70" s="624">
        <v>100978</v>
      </c>
      <c r="F70" s="587" t="s">
        <v>2</v>
      </c>
      <c r="G70" s="260"/>
    </row>
    <row r="71" spans="2:7" s="17" customFormat="1" ht="12.75" customHeight="1">
      <c r="B71" s="255"/>
      <c r="C71" s="18"/>
      <c r="D71" s="255"/>
      <c r="E71" s="16"/>
      <c r="F71" s="259"/>
      <c r="G71" s="260"/>
    </row>
    <row r="72" spans="2:7" s="17" customFormat="1" ht="12.75" customHeight="1">
      <c r="B72" s="255"/>
      <c r="C72" s="256"/>
      <c r="D72" s="255"/>
      <c r="E72" s="16"/>
      <c r="F72" s="259"/>
      <c r="G72" s="260"/>
    </row>
    <row r="73" spans="2:7" s="2" customFormat="1" ht="12.75" customHeight="1">
      <c r="B73" s="253" t="s">
        <v>344</v>
      </c>
      <c r="C73" s="254"/>
      <c r="D73" s="255"/>
      <c r="E73" s="232"/>
      <c r="F73" s="248"/>
      <c r="G73" s="249"/>
    </row>
    <row r="74" spans="2:7" s="2" customFormat="1" ht="12.75" customHeight="1">
      <c r="B74" s="235"/>
      <c r="C74" s="5"/>
      <c r="D74" s="261"/>
      <c r="E74" s="232"/>
      <c r="F74" s="248"/>
      <c r="G74" s="249"/>
    </row>
    <row r="75" spans="2:7" s="2" customFormat="1" ht="12.75" customHeight="1">
      <c r="B75" s="235" t="s">
        <v>345</v>
      </c>
      <c r="C75" s="238">
        <v>15</v>
      </c>
      <c r="D75" s="261" t="s">
        <v>346</v>
      </c>
      <c r="E75" s="232"/>
      <c r="F75" s="248"/>
      <c r="G75" s="249"/>
    </row>
    <row r="76" spans="2:7" s="2" customFormat="1" ht="12.75" customHeight="1">
      <c r="B76" s="235" t="str">
        <f>B70</f>
        <v>Volume total de carga, manobra e descarga de solos</v>
      </c>
      <c r="C76" s="5">
        <f>ROUND(C70,2)</f>
        <v>7.81</v>
      </c>
      <c r="D76" s="235" t="str">
        <f>D70</f>
        <v>m³</v>
      </c>
      <c r="E76" s="232"/>
      <c r="F76" s="248"/>
      <c r="G76" s="249"/>
    </row>
    <row r="77" spans="2:7" s="2" customFormat="1" ht="12.75" customHeight="1">
      <c r="B77" s="235" t="s">
        <v>9</v>
      </c>
      <c r="C77" s="5">
        <f>(C76*C75)</f>
        <v>117.14999999999999</v>
      </c>
      <c r="D77" s="261" t="s">
        <v>397</v>
      </c>
      <c r="E77" s="232"/>
      <c r="F77" s="248"/>
      <c r="G77" s="249"/>
    </row>
    <row r="78" spans="2:7" s="2" customFormat="1" ht="12.75" customHeight="1">
      <c r="B78" s="235"/>
      <c r="C78" s="5"/>
      <c r="D78" s="261"/>
      <c r="E78" s="232"/>
      <c r="F78" s="248"/>
      <c r="G78" s="249"/>
    </row>
    <row r="79" spans="2:7" s="2" customFormat="1" ht="12.75" customHeight="1">
      <c r="B79" s="622" t="s">
        <v>347</v>
      </c>
      <c r="C79" s="623">
        <f>(C77)</f>
        <v>117.14999999999999</v>
      </c>
      <c r="D79" s="586" t="s">
        <v>397</v>
      </c>
      <c r="E79" s="624">
        <v>95875</v>
      </c>
      <c r="F79" s="587" t="s">
        <v>2</v>
      </c>
      <c r="G79" s="249"/>
    </row>
    <row r="80" spans="2:7" s="2" customFormat="1" ht="12.75" customHeight="1">
      <c r="B80" s="10"/>
      <c r="C80" s="252"/>
      <c r="D80" s="11"/>
      <c r="E80" s="232"/>
      <c r="F80" s="248"/>
      <c r="G80" s="249"/>
    </row>
    <row r="81" spans="2:7" s="2" customFormat="1" ht="12.75" customHeight="1">
      <c r="B81" s="10"/>
      <c r="C81" s="252"/>
      <c r="D81" s="11"/>
      <c r="E81" s="232"/>
      <c r="F81" s="248"/>
      <c r="G81" s="249"/>
    </row>
    <row r="82" spans="2:7" ht="12.75" customHeight="1">
      <c r="B82" s="241" t="s">
        <v>348</v>
      </c>
      <c r="C82" s="242"/>
      <c r="D82" s="243"/>
      <c r="E82" s="19"/>
      <c r="F82" s="262"/>
      <c r="G82" s="262"/>
    </row>
    <row r="83" spans="2:7" ht="12.75" customHeight="1">
      <c r="B83" s="3"/>
      <c r="C83" s="254"/>
      <c r="D83" s="143"/>
      <c r="E83" s="19"/>
      <c r="F83" s="262"/>
      <c r="G83" s="262"/>
    </row>
    <row r="84" spans="2:7" ht="12.75" customHeight="1">
      <c r="B84" s="263" t="s">
        <v>349</v>
      </c>
      <c r="C84" s="264"/>
      <c r="D84" s="265"/>
      <c r="E84" s="19"/>
      <c r="F84" s="262"/>
      <c r="G84" s="262"/>
    </row>
    <row r="85" spans="2:7" ht="12.75" customHeight="1">
      <c r="B85" s="4"/>
      <c r="C85" s="254"/>
      <c r="D85" s="255"/>
      <c r="E85" s="19"/>
      <c r="F85" s="262"/>
      <c r="G85" s="262"/>
    </row>
    <row r="86" spans="2:7" ht="12.75" customHeight="1">
      <c r="B86" s="22" t="str">
        <f>B7</f>
        <v>Laje de Fundo em Concreto Armado</v>
      </c>
      <c r="C86" s="4"/>
      <c r="D86" s="4"/>
      <c r="E86" s="19"/>
      <c r="F86" s="262"/>
      <c r="G86" s="262"/>
    </row>
    <row r="87" spans="2:7" ht="12.75" customHeight="1">
      <c r="B87" s="4" t="str">
        <f>B8</f>
        <v xml:space="preserve">Comprimento </v>
      </c>
      <c r="C87" s="6">
        <f>C8</f>
        <v>2</v>
      </c>
      <c r="D87" s="4" t="str">
        <f>D8</f>
        <v>m</v>
      </c>
      <c r="E87" s="19"/>
      <c r="F87" s="262"/>
      <c r="G87" s="262"/>
    </row>
    <row r="88" spans="2:7" ht="12.75" customHeight="1">
      <c r="B88" s="4" t="str">
        <f>B9</f>
        <v xml:space="preserve">Largura </v>
      </c>
      <c r="C88" s="6">
        <f>C9</f>
        <v>2</v>
      </c>
      <c r="D88" s="4" t="str">
        <f>D9</f>
        <v>m</v>
      </c>
      <c r="E88" s="19"/>
      <c r="F88" s="262"/>
      <c r="G88" s="262"/>
    </row>
    <row r="89" spans="2:7" ht="12.75" customHeight="1">
      <c r="B89" s="4" t="str">
        <f>B11</f>
        <v>Altura do lastro de brita</v>
      </c>
      <c r="C89" s="4">
        <f>C11</f>
        <v>0.05</v>
      </c>
      <c r="D89" s="4" t="str">
        <f>D11</f>
        <v>m</v>
      </c>
      <c r="E89" s="19"/>
      <c r="F89" s="262"/>
      <c r="G89" s="262"/>
    </row>
    <row r="90" spans="2:7" ht="12.75" customHeight="1">
      <c r="B90" s="4" t="s">
        <v>9</v>
      </c>
      <c r="C90" s="6">
        <f>(C87*C88*C89)</f>
        <v>0.2</v>
      </c>
      <c r="D90" s="4" t="s">
        <v>6</v>
      </c>
      <c r="E90" s="19"/>
      <c r="F90" s="262"/>
      <c r="G90" s="262"/>
    </row>
    <row r="91" spans="2:7" ht="12.75" customHeight="1">
      <c r="B91" s="4"/>
      <c r="C91" s="4"/>
      <c r="D91" s="4"/>
      <c r="E91" s="19"/>
      <c r="F91" s="262"/>
      <c r="G91" s="262"/>
    </row>
    <row r="92" spans="2:7" ht="12.75" customHeight="1">
      <c r="B92" s="625" t="s">
        <v>350</v>
      </c>
      <c r="C92" s="627">
        <f>(C90)</f>
        <v>0.2</v>
      </c>
      <c r="D92" s="628" t="s">
        <v>6</v>
      </c>
      <c r="E92" s="624">
        <v>96622</v>
      </c>
      <c r="F92" s="587" t="s">
        <v>2</v>
      </c>
      <c r="G92" s="262"/>
    </row>
    <row r="93" spans="2:7" ht="12.75" customHeight="1">
      <c r="B93" s="254"/>
      <c r="C93" s="254"/>
      <c r="D93" s="255"/>
      <c r="E93" s="19"/>
      <c r="F93" s="262"/>
      <c r="G93" s="262"/>
    </row>
    <row r="94" spans="2:7" ht="12.75" customHeight="1">
      <c r="B94" s="254"/>
      <c r="C94" s="254"/>
      <c r="D94" s="255"/>
      <c r="E94" s="19"/>
      <c r="F94" s="262"/>
      <c r="G94" s="262"/>
    </row>
    <row r="95" spans="2:7" ht="12.75" customHeight="1">
      <c r="B95" s="253" t="s">
        <v>351</v>
      </c>
      <c r="C95" s="254"/>
      <c r="D95" s="255"/>
      <c r="E95" s="19"/>
      <c r="F95" s="262"/>
      <c r="G95" s="262"/>
    </row>
    <row r="96" spans="2:7" ht="12.75" customHeight="1">
      <c r="B96" s="4"/>
      <c r="C96" s="254"/>
      <c r="D96" s="255"/>
      <c r="E96" s="19"/>
      <c r="F96" s="262"/>
      <c r="G96" s="262"/>
    </row>
    <row r="97" spans="2:7" ht="12.75" customHeight="1">
      <c r="B97" s="22" t="str">
        <f>B7</f>
        <v>Laje de Fundo em Concreto Armado</v>
      </c>
      <c r="C97" s="4"/>
      <c r="D97" s="4"/>
      <c r="E97" s="19"/>
      <c r="F97" s="262"/>
      <c r="G97" s="262"/>
    </row>
    <row r="98" spans="2:7" ht="12.75" customHeight="1">
      <c r="B98" s="4" t="str">
        <f>B8</f>
        <v xml:space="preserve">Comprimento </v>
      </c>
      <c r="C98" s="6">
        <f>C8</f>
        <v>2</v>
      </c>
      <c r="D98" s="4" t="str">
        <f>D8</f>
        <v>m</v>
      </c>
      <c r="E98" s="19"/>
      <c r="F98" s="262"/>
      <c r="G98" s="262"/>
    </row>
    <row r="99" spans="2:7" ht="12.75" customHeight="1">
      <c r="B99" s="4" t="str">
        <f>B9</f>
        <v xml:space="preserve">Largura </v>
      </c>
      <c r="C99" s="6">
        <f>C9</f>
        <v>2</v>
      </c>
      <c r="D99" s="4" t="str">
        <f>D9</f>
        <v>m</v>
      </c>
      <c r="E99" s="19"/>
      <c r="F99" s="262"/>
      <c r="G99" s="262"/>
    </row>
    <row r="100" spans="2:7" ht="12.75" customHeight="1">
      <c r="B100" s="4" t="str">
        <f>B12</f>
        <v>Altura do lastro de concreto magro</v>
      </c>
      <c r="C100" s="6">
        <f>C12</f>
        <v>0.05</v>
      </c>
      <c r="D100" s="4" t="str">
        <f>D12</f>
        <v>m</v>
      </c>
      <c r="E100" s="19"/>
      <c r="F100" s="262"/>
      <c r="G100" s="262"/>
    </row>
    <row r="101" spans="2:7" ht="12.75" customHeight="1">
      <c r="B101" s="4" t="s">
        <v>9</v>
      </c>
      <c r="C101" s="6">
        <f>(C98*C99*C100)</f>
        <v>0.2</v>
      </c>
      <c r="D101" s="4" t="s">
        <v>6</v>
      </c>
      <c r="E101" s="19"/>
      <c r="F101" s="262"/>
      <c r="G101" s="262"/>
    </row>
    <row r="102" spans="2:7" ht="12.75" customHeight="1">
      <c r="B102" s="4"/>
      <c r="C102" s="6"/>
      <c r="D102" s="4"/>
      <c r="E102" s="19"/>
      <c r="F102" s="262"/>
      <c r="G102" s="262"/>
    </row>
    <row r="103" spans="2:7" ht="12.75" customHeight="1">
      <c r="B103" s="622" t="s">
        <v>352</v>
      </c>
      <c r="C103" s="623">
        <f>(C101)</f>
        <v>0.2</v>
      </c>
      <c r="D103" s="586" t="s">
        <v>6</v>
      </c>
      <c r="E103" s="624">
        <v>96620</v>
      </c>
      <c r="F103" s="587" t="s">
        <v>2</v>
      </c>
      <c r="G103" s="262"/>
    </row>
    <row r="104" spans="2:7" ht="12.75" customHeight="1">
      <c r="B104" s="4"/>
      <c r="C104" s="254"/>
      <c r="D104" s="255"/>
      <c r="E104" s="19"/>
      <c r="F104" s="262"/>
      <c r="G104" s="262"/>
    </row>
    <row r="105" spans="2:7" ht="12.75" customHeight="1">
      <c r="B105" s="4"/>
      <c r="C105" s="254"/>
      <c r="D105" s="255"/>
      <c r="E105" s="19"/>
      <c r="F105" s="262"/>
      <c r="G105" s="262"/>
    </row>
    <row r="106" spans="2:7" ht="12.75" customHeight="1">
      <c r="B106" s="255" t="s">
        <v>353</v>
      </c>
      <c r="C106" s="254"/>
      <c r="D106" s="255"/>
      <c r="E106" s="19"/>
      <c r="F106" s="262"/>
      <c r="G106" s="262"/>
    </row>
    <row r="107" spans="2:7" ht="12.75" customHeight="1">
      <c r="B107" s="4"/>
      <c r="C107" s="6"/>
      <c r="D107" s="4"/>
      <c r="E107" s="19"/>
      <c r="F107" s="262"/>
      <c r="G107" s="262"/>
    </row>
    <row r="108" spans="2:7" ht="12.75" customHeight="1">
      <c r="B108" s="22" t="str">
        <f>B7</f>
        <v>Laje de Fundo em Concreto Armado</v>
      </c>
      <c r="C108" s="4"/>
      <c r="D108" s="4"/>
      <c r="E108" s="19"/>
      <c r="F108" s="262"/>
      <c r="G108" s="262"/>
    </row>
    <row r="109" spans="2:7" ht="12.75" customHeight="1">
      <c r="B109" s="4" t="str">
        <f>B8</f>
        <v xml:space="preserve">Comprimento </v>
      </c>
      <c r="C109" s="6">
        <f t="shared" ref="C109:D111" si="1">C8</f>
        <v>2</v>
      </c>
      <c r="D109" s="4" t="str">
        <f t="shared" si="1"/>
        <v>m</v>
      </c>
      <c r="E109" s="19"/>
      <c r="F109" s="262"/>
      <c r="G109" s="262"/>
    </row>
    <row r="110" spans="2:7" ht="12.75" customHeight="1">
      <c r="B110" s="4" t="str">
        <f>B9</f>
        <v xml:space="preserve">Largura </v>
      </c>
      <c r="C110" s="6">
        <f t="shared" si="1"/>
        <v>2</v>
      </c>
      <c r="D110" s="4" t="str">
        <f t="shared" si="1"/>
        <v>m</v>
      </c>
      <c r="E110" s="19"/>
      <c r="F110" s="262"/>
      <c r="G110" s="262"/>
    </row>
    <row r="111" spans="2:7" ht="12.75" customHeight="1">
      <c r="B111" s="4" t="str">
        <f>B10</f>
        <v>Altura</v>
      </c>
      <c r="C111" s="6">
        <f t="shared" si="1"/>
        <v>0.25</v>
      </c>
      <c r="D111" s="4" t="str">
        <f t="shared" si="1"/>
        <v>m</v>
      </c>
      <c r="E111" s="19"/>
      <c r="F111" s="262"/>
      <c r="G111" s="262"/>
    </row>
    <row r="112" spans="2:7" ht="12.75" customHeight="1">
      <c r="B112" s="4" t="s">
        <v>9</v>
      </c>
      <c r="C112" s="6">
        <f>((C109*C111*2)+(C110*C111*2))</f>
        <v>2</v>
      </c>
      <c r="D112" s="4" t="s">
        <v>1</v>
      </c>
      <c r="E112" s="19"/>
      <c r="F112" s="262"/>
      <c r="G112" s="262"/>
    </row>
    <row r="113" spans="2:7" ht="12.75" customHeight="1">
      <c r="B113" s="4"/>
      <c r="C113" s="6"/>
      <c r="D113" s="4"/>
      <c r="E113" s="19"/>
      <c r="F113" s="262"/>
      <c r="G113" s="262"/>
    </row>
    <row r="114" spans="2:7" ht="12.75" customHeight="1">
      <c r="B114" s="622" t="s">
        <v>355</v>
      </c>
      <c r="C114" s="623">
        <f>(C112)</f>
        <v>2</v>
      </c>
      <c r="D114" s="586" t="s">
        <v>1</v>
      </c>
      <c r="E114" s="624">
        <v>70070127</v>
      </c>
      <c r="F114" s="587" t="s">
        <v>5</v>
      </c>
      <c r="G114" s="262"/>
    </row>
    <row r="115" spans="2:7" ht="12.75" customHeight="1">
      <c r="B115" s="3"/>
      <c r="C115" s="258"/>
      <c r="D115" s="3"/>
      <c r="E115" s="19"/>
      <c r="F115" s="262"/>
      <c r="G115" s="262"/>
    </row>
    <row r="116" spans="2:7" ht="12.75" customHeight="1">
      <c r="B116" s="3"/>
      <c r="C116" s="258"/>
      <c r="D116" s="3"/>
      <c r="E116" s="19"/>
      <c r="F116" s="262"/>
      <c r="G116" s="262"/>
    </row>
    <row r="117" spans="2:7" s="266" customFormat="1" ht="12.75" customHeight="1">
      <c r="B117" s="255" t="s">
        <v>358</v>
      </c>
      <c r="C117" s="21"/>
      <c r="D117" s="3"/>
      <c r="E117" s="19"/>
      <c r="F117" s="259"/>
      <c r="G117" s="262"/>
    </row>
    <row r="118" spans="2:7" s="266" customFormat="1" ht="12.75" customHeight="1">
      <c r="B118" s="144"/>
      <c r="C118" s="21"/>
      <c r="D118" s="3"/>
      <c r="E118" s="19"/>
      <c r="F118" s="259"/>
      <c r="G118" s="262"/>
    </row>
    <row r="119" spans="2:7" s="266" customFormat="1" ht="12.75" customHeight="1">
      <c r="B119" s="144" t="s">
        <v>378</v>
      </c>
      <c r="C119" s="6">
        <v>100</v>
      </c>
      <c r="D119" s="4" t="s">
        <v>379</v>
      </c>
      <c r="E119" s="19"/>
      <c r="F119" s="259"/>
      <c r="G119" s="262"/>
    </row>
    <row r="120" spans="2:7" s="266" customFormat="1" ht="12.75" customHeight="1">
      <c r="B120" s="144" t="str">
        <f>B134</f>
        <v>Volume total de concreto estrutural, FCK = 30,0 MPa</v>
      </c>
      <c r="C120" s="276">
        <f t="shared" ref="C120:D120" si="2">C134</f>
        <v>1</v>
      </c>
      <c r="D120" s="144" t="str">
        <f t="shared" si="2"/>
        <v>m³</v>
      </c>
      <c r="E120" s="19"/>
      <c r="F120" s="259"/>
      <c r="G120" s="262"/>
    </row>
    <row r="121" spans="2:7" s="266" customFormat="1" ht="12.75" customHeight="1">
      <c r="B121" s="144" t="s">
        <v>9</v>
      </c>
      <c r="C121" s="256">
        <f>(C119*C120)</f>
        <v>100</v>
      </c>
      <c r="D121" s="256" t="s">
        <v>61</v>
      </c>
      <c r="E121" s="19"/>
      <c r="F121" s="259"/>
      <c r="G121" s="262"/>
    </row>
    <row r="122" spans="2:7" s="266" customFormat="1" ht="12.75" customHeight="1">
      <c r="B122" s="144"/>
      <c r="C122" s="256"/>
      <c r="D122" s="256"/>
      <c r="E122" s="19"/>
      <c r="F122" s="259"/>
      <c r="G122" s="262"/>
    </row>
    <row r="123" spans="2:7" ht="12.75" customHeight="1">
      <c r="B123" s="629" t="s">
        <v>359</v>
      </c>
      <c r="C123" s="630">
        <f>(C121)</f>
        <v>100</v>
      </c>
      <c r="D123" s="586" t="s">
        <v>61</v>
      </c>
      <c r="E123" s="624">
        <v>70070135</v>
      </c>
      <c r="F123" s="587" t="s">
        <v>5</v>
      </c>
      <c r="G123" s="262"/>
    </row>
    <row r="124" spans="2:7" ht="12.75" customHeight="1">
      <c r="B124" s="267"/>
      <c r="C124" s="268"/>
      <c r="D124" s="269"/>
      <c r="E124" s="19"/>
      <c r="F124" s="262"/>
      <c r="G124" s="262"/>
    </row>
    <row r="125" spans="2:7" ht="12.75" customHeight="1">
      <c r="B125" s="3"/>
      <c r="C125" s="258"/>
      <c r="D125" s="3"/>
      <c r="E125" s="19"/>
      <c r="F125" s="262"/>
      <c r="G125" s="262"/>
    </row>
    <row r="126" spans="2:7" ht="12.75" customHeight="1">
      <c r="B126" s="4" t="s">
        <v>360</v>
      </c>
      <c r="C126" s="3"/>
      <c r="D126" s="3"/>
      <c r="E126" s="19"/>
      <c r="F126" s="262"/>
      <c r="G126" s="262"/>
    </row>
    <row r="127" spans="2:7" ht="12.75" customHeight="1">
      <c r="B127" s="4"/>
      <c r="C127" s="4"/>
      <c r="D127" s="4"/>
      <c r="E127" s="19"/>
      <c r="F127" s="262"/>
      <c r="G127" s="262"/>
    </row>
    <row r="128" spans="2:7" ht="12.75" customHeight="1">
      <c r="B128" s="22" t="str">
        <f>B7</f>
        <v>Laje de Fundo em Concreto Armado</v>
      </c>
      <c r="C128" s="4"/>
      <c r="D128" s="4"/>
      <c r="E128" s="19"/>
      <c r="F128" s="262"/>
      <c r="G128" s="262"/>
    </row>
    <row r="129" spans="2:7" ht="12.75" customHeight="1">
      <c r="B129" s="4" t="str">
        <f>B8</f>
        <v xml:space="preserve">Comprimento </v>
      </c>
      <c r="C129" s="6">
        <f t="shared" ref="C129:D129" si="3">C8</f>
        <v>2</v>
      </c>
      <c r="D129" s="4" t="str">
        <f t="shared" si="3"/>
        <v>m</v>
      </c>
      <c r="E129" s="19"/>
      <c r="F129" s="262"/>
      <c r="G129" s="262"/>
    </row>
    <row r="130" spans="2:7" ht="12.75" customHeight="1">
      <c r="B130" s="4" t="str">
        <f t="shared" ref="B130:D131" si="4">B9</f>
        <v xml:space="preserve">Largura </v>
      </c>
      <c r="C130" s="6">
        <f t="shared" si="4"/>
        <v>2</v>
      </c>
      <c r="D130" s="4" t="str">
        <f t="shared" si="4"/>
        <v>m</v>
      </c>
      <c r="E130" s="19"/>
      <c r="F130" s="262"/>
      <c r="G130" s="262"/>
    </row>
    <row r="131" spans="2:7" ht="12.75" customHeight="1">
      <c r="B131" s="4" t="str">
        <f t="shared" si="4"/>
        <v>Altura</v>
      </c>
      <c r="C131" s="4">
        <f t="shared" si="4"/>
        <v>0.25</v>
      </c>
      <c r="D131" s="4" t="str">
        <f t="shared" si="4"/>
        <v>m</v>
      </c>
      <c r="E131" s="19"/>
      <c r="F131" s="262"/>
      <c r="G131" s="262"/>
    </row>
    <row r="132" spans="2:7" ht="12.75" customHeight="1">
      <c r="B132" s="144" t="s">
        <v>9</v>
      </c>
      <c r="C132" s="6">
        <f>(C129*C130*C131)</f>
        <v>1</v>
      </c>
      <c r="D132" s="4" t="s">
        <v>6</v>
      </c>
      <c r="E132" s="19"/>
      <c r="F132" s="262"/>
      <c r="G132" s="262"/>
    </row>
    <row r="133" spans="2:7" ht="12.75" customHeight="1">
      <c r="B133" s="4"/>
      <c r="C133" s="6"/>
      <c r="D133" s="4"/>
      <c r="E133" s="19"/>
      <c r="F133" s="262"/>
      <c r="G133" s="262"/>
    </row>
    <row r="134" spans="2:7" ht="12.75" customHeight="1">
      <c r="B134" s="625" t="s">
        <v>361</v>
      </c>
      <c r="C134" s="630">
        <f>(C132)</f>
        <v>1</v>
      </c>
      <c r="D134" s="586" t="s">
        <v>6</v>
      </c>
      <c r="E134" s="624">
        <v>70070147</v>
      </c>
      <c r="F134" s="587" t="s">
        <v>5</v>
      </c>
      <c r="G134" s="262"/>
    </row>
    <row r="135" spans="2:7" ht="12.75" customHeight="1">
      <c r="B135" s="270"/>
      <c r="C135" s="270"/>
      <c r="D135" s="270"/>
      <c r="E135" s="19"/>
      <c r="F135" s="262"/>
      <c r="G135" s="262"/>
    </row>
    <row r="136" spans="2:7" ht="12.75" customHeight="1">
      <c r="B136" s="4"/>
      <c r="C136" s="271"/>
      <c r="D136" s="4"/>
      <c r="E136" s="19"/>
      <c r="F136" s="262"/>
      <c r="G136" s="262"/>
    </row>
    <row r="137" spans="2:7" s="2" customFormat="1" ht="12.75" customHeight="1">
      <c r="B137" s="4" t="s">
        <v>362</v>
      </c>
      <c r="C137" s="235"/>
      <c r="D137" s="4"/>
      <c r="E137" s="232"/>
      <c r="F137" s="237"/>
    </row>
    <row r="138" spans="2:7" s="2" customFormat="1" ht="12.75" customHeight="1">
      <c r="B138" s="22"/>
      <c r="C138" s="235"/>
      <c r="D138" s="4"/>
      <c r="E138" s="232"/>
      <c r="F138" s="237"/>
    </row>
    <row r="139" spans="2:7" s="2" customFormat="1" ht="12.75" customHeight="1">
      <c r="B139" s="22" t="s">
        <v>380</v>
      </c>
      <c r="C139" s="4"/>
      <c r="D139" s="4"/>
      <c r="E139" s="232"/>
      <c r="F139" s="237"/>
    </row>
    <row r="140" spans="2:7" s="2" customFormat="1" ht="12.75" customHeight="1">
      <c r="B140" s="4" t="s">
        <v>356</v>
      </c>
      <c r="C140" s="6">
        <f>(C14-C15-C15)</f>
        <v>1.2000000000000002</v>
      </c>
      <c r="D140" s="4" t="s">
        <v>4</v>
      </c>
      <c r="E140" s="232"/>
      <c r="F140" s="237"/>
    </row>
    <row r="141" spans="2:7" s="2" customFormat="1" ht="12.75" customHeight="1">
      <c r="B141" s="4" t="s">
        <v>357</v>
      </c>
      <c r="C141" s="6">
        <f>C17</f>
        <v>1.2</v>
      </c>
      <c r="D141" s="4" t="s">
        <v>4</v>
      </c>
      <c r="E141" s="232"/>
      <c r="F141" s="237"/>
    </row>
    <row r="142" spans="2:7" ht="12.75" customHeight="1">
      <c r="B142" s="4" t="s">
        <v>381</v>
      </c>
      <c r="C142" s="6">
        <v>0.05</v>
      </c>
      <c r="D142" s="4" t="s">
        <v>4</v>
      </c>
      <c r="E142" s="19"/>
      <c r="F142" s="262"/>
      <c r="G142" s="262"/>
    </row>
    <row r="143" spans="2:7" ht="12.75" customHeight="1">
      <c r="B143" s="4" t="s">
        <v>9</v>
      </c>
      <c r="C143" s="6">
        <f>(C140*C141*C142)</f>
        <v>7.2000000000000008E-2</v>
      </c>
      <c r="D143" s="4" t="s">
        <v>6</v>
      </c>
      <c r="E143" s="19"/>
      <c r="F143" s="262"/>
      <c r="G143" s="262"/>
    </row>
    <row r="144" spans="2:7" ht="12.75" customHeight="1">
      <c r="B144" s="4"/>
      <c r="C144" s="6"/>
      <c r="D144" s="4"/>
      <c r="E144" s="19"/>
      <c r="F144" s="262"/>
      <c r="G144" s="262"/>
    </row>
    <row r="145" spans="2:7" ht="12.75" customHeight="1">
      <c r="B145" s="625" t="s">
        <v>363</v>
      </c>
      <c r="C145" s="585">
        <f>(C143)</f>
        <v>7.2000000000000008E-2</v>
      </c>
      <c r="D145" s="625" t="s">
        <v>6</v>
      </c>
      <c r="E145" s="624">
        <v>70070142</v>
      </c>
      <c r="F145" s="587" t="s">
        <v>5</v>
      </c>
      <c r="G145" s="262"/>
    </row>
    <row r="146" spans="2:7" ht="12.75" customHeight="1">
      <c r="B146" s="4"/>
      <c r="C146" s="6"/>
      <c r="D146" s="4"/>
      <c r="E146" s="19"/>
      <c r="F146" s="262"/>
      <c r="G146" s="262"/>
    </row>
    <row r="147" spans="2:7" ht="12.75" customHeight="1">
      <c r="B147" s="4"/>
      <c r="C147" s="6"/>
      <c r="D147" s="4"/>
      <c r="E147" s="19"/>
      <c r="F147" s="262"/>
      <c r="G147" s="262"/>
    </row>
    <row r="148" spans="2:7" s="235" customFormat="1" ht="12.75" customHeight="1">
      <c r="B148" s="3" t="s">
        <v>364</v>
      </c>
      <c r="D148" s="4"/>
      <c r="E148" s="232"/>
      <c r="F148" s="237"/>
      <c r="G148" s="272"/>
    </row>
    <row r="149" spans="2:7" s="235" customFormat="1" ht="12.75" customHeight="1">
      <c r="B149" s="22"/>
      <c r="D149" s="4"/>
      <c r="E149" s="232"/>
      <c r="F149" s="237"/>
      <c r="G149" s="272"/>
    </row>
    <row r="150" spans="2:7" s="235" customFormat="1" ht="12.75" customHeight="1">
      <c r="B150" s="263" t="s">
        <v>365</v>
      </c>
      <c r="C150" s="256"/>
      <c r="D150" s="6"/>
      <c r="E150" s="232"/>
      <c r="F150" s="237"/>
      <c r="G150" s="272"/>
    </row>
    <row r="151" spans="2:7" s="235" customFormat="1" ht="12.75" customHeight="1">
      <c r="B151" s="22"/>
      <c r="D151" s="4"/>
      <c r="E151" s="232"/>
      <c r="F151" s="237"/>
      <c r="G151" s="272"/>
    </row>
    <row r="152" spans="2:7" s="235" customFormat="1" ht="12.75" customHeight="1">
      <c r="B152" s="22" t="str">
        <f t="shared" ref="B152:D158" si="5">B13</f>
        <v>Paredes em Alvenaria (1)</v>
      </c>
      <c r="C152" s="4">
        <f t="shared" si="5"/>
        <v>2</v>
      </c>
      <c r="D152" s="4" t="str">
        <f t="shared" si="5"/>
        <v>unid</v>
      </c>
      <c r="E152" s="232"/>
      <c r="F152" s="237"/>
      <c r="G152" s="272"/>
    </row>
    <row r="153" spans="2:7" s="235" customFormat="1" ht="12.75" customHeight="1">
      <c r="B153" s="4" t="str">
        <f t="shared" si="5"/>
        <v xml:space="preserve">Comprimento </v>
      </c>
      <c r="C153" s="6">
        <f t="shared" si="5"/>
        <v>1.6</v>
      </c>
      <c r="D153" s="4" t="str">
        <f t="shared" si="5"/>
        <v>m</v>
      </c>
      <c r="E153" s="232"/>
      <c r="F153" s="237"/>
      <c r="G153" s="272"/>
    </row>
    <row r="154" spans="2:7" s="235" customFormat="1" ht="12.75" customHeight="1">
      <c r="B154" s="4" t="str">
        <f t="shared" si="5"/>
        <v xml:space="preserve">Largura </v>
      </c>
      <c r="C154" s="6">
        <f t="shared" si="5"/>
        <v>0.2</v>
      </c>
      <c r="D154" s="4" t="str">
        <f t="shared" si="5"/>
        <v>m</v>
      </c>
      <c r="E154" s="232"/>
      <c r="F154" s="237"/>
      <c r="G154" s="272"/>
    </row>
    <row r="155" spans="2:7" s="235" customFormat="1" ht="12.75" customHeight="1">
      <c r="B155" s="22" t="str">
        <f t="shared" si="5"/>
        <v>Paredes em Alvenaria (2)</v>
      </c>
      <c r="C155" s="4">
        <f t="shared" si="5"/>
        <v>2</v>
      </c>
      <c r="D155" s="4" t="str">
        <f t="shared" si="5"/>
        <v>unid</v>
      </c>
      <c r="E155" s="232"/>
      <c r="F155" s="237"/>
      <c r="G155" s="272"/>
    </row>
    <row r="156" spans="2:7" s="235" customFormat="1" ht="12.75" customHeight="1">
      <c r="B156" s="4" t="str">
        <f t="shared" si="5"/>
        <v xml:space="preserve">Comprimento </v>
      </c>
      <c r="C156" s="6">
        <f t="shared" si="5"/>
        <v>1.2</v>
      </c>
      <c r="D156" s="4" t="str">
        <f t="shared" si="5"/>
        <v>m</v>
      </c>
      <c r="E156" s="232"/>
      <c r="F156" s="237"/>
      <c r="G156" s="272"/>
    </row>
    <row r="157" spans="2:7" s="235" customFormat="1" ht="12.75" customHeight="1">
      <c r="B157" s="4" t="str">
        <f t="shared" si="5"/>
        <v xml:space="preserve">Largura </v>
      </c>
      <c r="C157" s="6">
        <f t="shared" si="5"/>
        <v>0.2</v>
      </c>
      <c r="D157" s="4" t="str">
        <f t="shared" si="5"/>
        <v>m</v>
      </c>
      <c r="E157" s="232"/>
      <c r="F157" s="237"/>
      <c r="G157" s="272"/>
    </row>
    <row r="158" spans="2:7" s="235" customFormat="1" ht="12.75" customHeight="1">
      <c r="B158" s="4" t="str">
        <f t="shared" si="5"/>
        <v>Altura</v>
      </c>
      <c r="C158" s="6">
        <f t="shared" si="5"/>
        <v>1.8</v>
      </c>
      <c r="D158" s="4" t="str">
        <f t="shared" si="5"/>
        <v>m</v>
      </c>
      <c r="E158" s="232"/>
      <c r="F158" s="237"/>
      <c r="G158" s="272"/>
    </row>
    <row r="159" spans="2:7" s="235" customFormat="1" ht="12.75" customHeight="1">
      <c r="B159" s="4" t="s">
        <v>9</v>
      </c>
      <c r="C159" s="6">
        <f>((C153*C158*C152)+(C156*C158*C155))</f>
        <v>10.080000000000002</v>
      </c>
      <c r="D159" s="4" t="s">
        <v>1</v>
      </c>
      <c r="E159" s="232"/>
      <c r="F159" s="237"/>
      <c r="G159" s="272"/>
    </row>
    <row r="160" spans="2:7" s="235" customFormat="1" ht="12.75" customHeight="1">
      <c r="B160" s="4"/>
      <c r="C160" s="6"/>
      <c r="D160" s="4"/>
      <c r="E160" s="232"/>
      <c r="F160" s="237"/>
      <c r="G160" s="272"/>
    </row>
    <row r="161" spans="2:7" s="235" customFormat="1" ht="12.75" customHeight="1">
      <c r="B161" s="625" t="s">
        <v>366</v>
      </c>
      <c r="C161" s="589">
        <f>(C159)</f>
        <v>10.080000000000002</v>
      </c>
      <c r="D161" s="585" t="s">
        <v>1</v>
      </c>
      <c r="E161" s="624">
        <v>70110015</v>
      </c>
      <c r="F161" s="587" t="s">
        <v>5</v>
      </c>
      <c r="G161" s="272"/>
    </row>
    <row r="162" spans="2:7" s="235" customFormat="1" ht="12.75" customHeight="1">
      <c r="B162" s="4"/>
      <c r="D162" s="4"/>
      <c r="E162" s="232"/>
      <c r="F162" s="237"/>
      <c r="G162" s="272"/>
    </row>
    <row r="163" spans="2:7" s="235" customFormat="1" ht="12.75" customHeight="1">
      <c r="B163" s="4"/>
      <c r="D163" s="4"/>
      <c r="E163" s="232"/>
      <c r="F163" s="237"/>
    </row>
    <row r="164" spans="2:7" s="9" customFormat="1" ht="12.75" customHeight="1">
      <c r="B164" s="241" t="s">
        <v>367</v>
      </c>
      <c r="C164" s="273"/>
      <c r="D164" s="243"/>
      <c r="E164" s="244"/>
      <c r="F164" s="274"/>
    </row>
    <row r="165" spans="2:7" s="9" customFormat="1" ht="12.75" customHeight="1">
      <c r="B165" s="241"/>
      <c r="C165" s="273"/>
      <c r="D165" s="243"/>
      <c r="E165" s="244"/>
      <c r="F165" s="274"/>
    </row>
    <row r="166" spans="2:7" s="9" customFormat="1" ht="12.75" customHeight="1">
      <c r="B166" s="4" t="s">
        <v>382</v>
      </c>
      <c r="C166" s="3"/>
      <c r="D166" s="3"/>
      <c r="E166" s="244"/>
      <c r="F166" s="274"/>
    </row>
    <row r="167" spans="2:7" s="9" customFormat="1" ht="12.75" customHeight="1">
      <c r="C167" s="273"/>
      <c r="D167" s="243"/>
      <c r="E167" s="244"/>
      <c r="F167" s="274"/>
    </row>
    <row r="168" spans="2:7" s="9" customFormat="1" ht="12.75" customHeight="1">
      <c r="B168" s="9" t="s">
        <v>368</v>
      </c>
      <c r="C168" s="9">
        <v>1</v>
      </c>
      <c r="D168" s="9" t="s">
        <v>8</v>
      </c>
      <c r="E168" s="244"/>
      <c r="F168" s="274"/>
    </row>
    <row r="169" spans="2:7" s="9" customFormat="1" ht="12.75" customHeight="1">
      <c r="B169" s="9" t="s">
        <v>9</v>
      </c>
      <c r="C169" s="245">
        <f>(C168)</f>
        <v>1</v>
      </c>
      <c r="D169" s="243" t="s">
        <v>8</v>
      </c>
      <c r="E169" s="244"/>
      <c r="F169" s="274"/>
    </row>
    <row r="170" spans="2:7" s="9" customFormat="1" ht="12.75" customHeight="1">
      <c r="B170" s="241"/>
      <c r="C170" s="273"/>
      <c r="D170" s="243"/>
      <c r="E170" s="244"/>
      <c r="F170" s="274"/>
    </row>
    <row r="171" spans="2:7" s="9" customFormat="1" ht="12.75" customHeight="1">
      <c r="B171" s="625" t="s">
        <v>383</v>
      </c>
      <c r="C171" s="626">
        <f>(C169)</f>
        <v>1</v>
      </c>
      <c r="D171" s="585" t="s">
        <v>8</v>
      </c>
      <c r="E171" s="624">
        <v>90724</v>
      </c>
      <c r="F171" s="587" t="s">
        <v>2</v>
      </c>
    </row>
    <row r="172" spans="2:7" s="9" customFormat="1" ht="12.75" customHeight="1">
      <c r="B172" s="241"/>
      <c r="C172" s="273"/>
      <c r="D172" s="243"/>
      <c r="E172" s="244"/>
      <c r="F172" s="274"/>
    </row>
    <row r="173" spans="2:7" s="2" customFormat="1" ht="12.75" customHeight="1">
      <c r="B173" s="10"/>
      <c r="C173" s="5"/>
      <c r="D173" s="11"/>
      <c r="E173" s="232"/>
    </row>
    <row r="174" spans="2:7" s="9" customFormat="1" ht="12.75" customHeight="1">
      <c r="B174" s="4" t="s">
        <v>384</v>
      </c>
      <c r="C174" s="3"/>
      <c r="D174" s="3"/>
      <c r="E174" s="244"/>
      <c r="F174" s="274"/>
    </row>
    <row r="175" spans="2:7" s="9" customFormat="1" ht="12.75" customHeight="1">
      <c r="C175" s="273"/>
      <c r="D175" s="243"/>
      <c r="E175" s="244"/>
      <c r="F175" s="274"/>
    </row>
    <row r="176" spans="2:7" s="9" customFormat="1" ht="12.75" customHeight="1">
      <c r="B176" s="9" t="s">
        <v>368</v>
      </c>
      <c r="C176" s="9">
        <v>1</v>
      </c>
      <c r="D176" s="9" t="s">
        <v>8</v>
      </c>
      <c r="E176" s="244"/>
      <c r="F176" s="274"/>
    </row>
    <row r="177" spans="2:6" s="9" customFormat="1" ht="12.75" customHeight="1">
      <c r="B177" s="9" t="s">
        <v>9</v>
      </c>
      <c r="C177" s="245">
        <f>(C176)</f>
        <v>1</v>
      </c>
      <c r="D177" s="243" t="s">
        <v>8</v>
      </c>
      <c r="E177" s="244"/>
      <c r="F177" s="274"/>
    </row>
    <row r="178" spans="2:6" s="9" customFormat="1" ht="12.75" customHeight="1">
      <c r="B178" s="241"/>
      <c r="C178" s="273"/>
      <c r="D178" s="243"/>
      <c r="E178" s="244"/>
      <c r="F178" s="274"/>
    </row>
    <row r="179" spans="2:6" s="9" customFormat="1" ht="12.75" customHeight="1">
      <c r="B179" s="625" t="s">
        <v>385</v>
      </c>
      <c r="C179" s="626">
        <f>(C177)</f>
        <v>1</v>
      </c>
      <c r="D179" s="585" t="s">
        <v>8</v>
      </c>
      <c r="E179" s="624">
        <v>90725</v>
      </c>
      <c r="F179" s="587" t="s">
        <v>2</v>
      </c>
    </row>
    <row r="180" spans="2:6" s="9" customFormat="1" ht="12.75" customHeight="1">
      <c r="B180" s="241"/>
      <c r="C180" s="273"/>
      <c r="D180" s="243"/>
      <c r="E180" s="244"/>
      <c r="F180" s="274"/>
    </row>
    <row r="181" spans="2:6" s="2" customFormat="1" ht="12.75" customHeight="1">
      <c r="B181" s="10"/>
      <c r="C181" s="5"/>
      <c r="D181" s="11"/>
      <c r="E181" s="232"/>
    </row>
    <row r="182" spans="2:6" s="9" customFormat="1" ht="12.75" customHeight="1">
      <c r="B182" s="4" t="s">
        <v>386</v>
      </c>
      <c r="C182" s="3"/>
      <c r="D182" s="3"/>
      <c r="E182" s="244"/>
      <c r="F182" s="274"/>
    </row>
    <row r="183" spans="2:6" s="9" customFormat="1" ht="12.75" customHeight="1">
      <c r="C183" s="273"/>
      <c r="D183" s="243"/>
      <c r="E183" s="244"/>
      <c r="F183" s="274"/>
    </row>
    <row r="184" spans="2:6" s="9" customFormat="1" ht="12.75" customHeight="1">
      <c r="B184" s="9" t="s">
        <v>368</v>
      </c>
      <c r="C184" s="9">
        <v>1</v>
      </c>
      <c r="D184" s="9" t="s">
        <v>8</v>
      </c>
      <c r="E184" s="244"/>
      <c r="F184" s="274"/>
    </row>
    <row r="185" spans="2:6" s="9" customFormat="1" ht="12.75" customHeight="1">
      <c r="B185" s="9" t="s">
        <v>9</v>
      </c>
      <c r="C185" s="245">
        <f>(C184)</f>
        <v>1</v>
      </c>
      <c r="D185" s="243" t="s">
        <v>8</v>
      </c>
      <c r="E185" s="244"/>
      <c r="F185" s="274"/>
    </row>
    <row r="186" spans="2:6" s="9" customFormat="1" ht="12.75" customHeight="1">
      <c r="B186" s="241"/>
      <c r="C186" s="273"/>
      <c r="D186" s="243"/>
      <c r="E186" s="244"/>
      <c r="F186" s="274"/>
    </row>
    <row r="187" spans="2:6" s="9" customFormat="1" ht="12.75" customHeight="1">
      <c r="B187" s="625" t="s">
        <v>387</v>
      </c>
      <c r="C187" s="626">
        <f>(C185)</f>
        <v>1</v>
      </c>
      <c r="D187" s="585" t="s">
        <v>8</v>
      </c>
      <c r="E187" s="624">
        <v>90732</v>
      </c>
      <c r="F187" s="587" t="s">
        <v>2</v>
      </c>
    </row>
    <row r="188" spans="2:6" s="9" customFormat="1" ht="12.75" customHeight="1">
      <c r="B188" s="241"/>
      <c r="C188" s="273"/>
      <c r="D188" s="243"/>
      <c r="E188" s="244"/>
      <c r="F188" s="274"/>
    </row>
    <row r="189" spans="2:6" s="2" customFormat="1" ht="12.75" customHeight="1">
      <c r="B189" s="10"/>
      <c r="C189" s="5"/>
      <c r="D189" s="11"/>
      <c r="E189" s="232"/>
    </row>
    <row r="190" spans="2:6" s="23" customFormat="1" ht="12.75" customHeight="1">
      <c r="B190" s="15" t="s">
        <v>392</v>
      </c>
      <c r="C190" s="257"/>
      <c r="D190" s="4"/>
    </row>
    <row r="191" spans="2:6" s="23" customFormat="1" ht="12.75" customHeight="1">
      <c r="B191" s="15"/>
      <c r="C191" s="21"/>
      <c r="D191" s="4"/>
    </row>
    <row r="192" spans="2:6" s="23" customFormat="1" ht="12.75" customHeight="1">
      <c r="B192" s="4" t="s">
        <v>369</v>
      </c>
      <c r="C192" s="235"/>
      <c r="D192" s="4"/>
    </row>
    <row r="193" spans="2:6" s="23" customFormat="1" ht="12.75" customHeight="1">
      <c r="B193" s="22"/>
      <c r="C193" s="4"/>
      <c r="D193" s="4"/>
    </row>
    <row r="194" spans="2:6" s="23" customFormat="1" ht="12.75" customHeight="1">
      <c r="B194" s="22" t="s">
        <v>370</v>
      </c>
      <c r="C194" s="4"/>
      <c r="D194" s="4"/>
    </row>
    <row r="195" spans="2:6" s="23" customFormat="1" ht="12.75" customHeight="1">
      <c r="B195" s="4" t="str">
        <f>B140</f>
        <v>Comprimento interno</v>
      </c>
      <c r="C195" s="6">
        <f t="shared" ref="C195:D195" si="6">C140</f>
        <v>1.2000000000000002</v>
      </c>
      <c r="D195" s="4" t="str">
        <f t="shared" si="6"/>
        <v>m</v>
      </c>
    </row>
    <row r="196" spans="2:6" s="23" customFormat="1" ht="12.75" customHeight="1">
      <c r="B196" s="4" t="str">
        <f>B141</f>
        <v>Largura interna</v>
      </c>
      <c r="C196" s="6">
        <f t="shared" ref="C196:D196" si="7">C141</f>
        <v>1.2</v>
      </c>
      <c r="D196" s="4" t="str">
        <f t="shared" si="7"/>
        <v>m</v>
      </c>
    </row>
    <row r="197" spans="2:6" s="23" customFormat="1" ht="12.75" customHeight="1">
      <c r="B197" s="4" t="str">
        <f>B19</f>
        <v>Altura</v>
      </c>
      <c r="C197" s="6">
        <f t="shared" ref="C197:D197" si="8">C19</f>
        <v>1.8</v>
      </c>
      <c r="D197" s="4" t="str">
        <f t="shared" si="8"/>
        <v>m</v>
      </c>
    </row>
    <row r="198" spans="2:6" s="23" customFormat="1" ht="12.75" customHeight="1">
      <c r="B198" s="4" t="s">
        <v>9</v>
      </c>
      <c r="C198" s="6">
        <f>((C195*C197*2)+(C196*C197*2))</f>
        <v>8.64</v>
      </c>
      <c r="D198" s="4" t="s">
        <v>1</v>
      </c>
    </row>
    <row r="199" spans="2:6" s="23" customFormat="1" ht="12.75" customHeight="1">
      <c r="B199" s="4"/>
      <c r="C199" s="4"/>
      <c r="D199" s="4"/>
    </row>
    <row r="200" spans="2:6" s="23" customFormat="1" ht="12.75" customHeight="1">
      <c r="B200" s="625" t="s">
        <v>371</v>
      </c>
      <c r="C200" s="585">
        <f>(C198)</f>
        <v>8.64</v>
      </c>
      <c r="D200" s="625" t="s">
        <v>1</v>
      </c>
      <c r="E200" s="624">
        <v>70120002</v>
      </c>
      <c r="F200" s="587" t="s">
        <v>5</v>
      </c>
    </row>
    <row r="201" spans="2:6" s="23" customFormat="1" ht="12.75" customHeight="1">
      <c r="B201" s="3"/>
      <c r="C201" s="21"/>
      <c r="D201" s="3"/>
    </row>
    <row r="202" spans="2:6" s="23" customFormat="1" ht="12.75" customHeight="1"/>
    <row r="203" spans="2:6" s="23" customFormat="1" ht="12.75" customHeight="1">
      <c r="B203" s="4" t="s">
        <v>388</v>
      </c>
      <c r="C203" s="235"/>
      <c r="D203" s="4"/>
    </row>
    <row r="204" spans="2:6" s="23" customFormat="1" ht="12.75" customHeight="1">
      <c r="B204" s="22"/>
      <c r="C204" s="4"/>
      <c r="D204" s="4"/>
    </row>
    <row r="205" spans="2:6" s="23" customFormat="1" ht="12.75" customHeight="1">
      <c r="B205" s="22" t="s">
        <v>370</v>
      </c>
      <c r="C205" s="4"/>
      <c r="D205" s="4"/>
    </row>
    <row r="206" spans="2:6" s="23" customFormat="1" ht="12.75" customHeight="1">
      <c r="B206" s="4" t="str">
        <f>B140</f>
        <v>Comprimento interno</v>
      </c>
      <c r="C206" s="6">
        <f t="shared" ref="C206:D206" si="9">C140</f>
        <v>1.2000000000000002</v>
      </c>
      <c r="D206" s="4" t="str">
        <f t="shared" si="9"/>
        <v>m</v>
      </c>
    </row>
    <row r="207" spans="2:6" s="23" customFormat="1" ht="12.75" customHeight="1">
      <c r="B207" s="4" t="str">
        <f>B141</f>
        <v>Largura interna</v>
      </c>
      <c r="C207" s="6">
        <f t="shared" ref="C207:D207" si="10">C141</f>
        <v>1.2</v>
      </c>
      <c r="D207" s="4" t="str">
        <f t="shared" si="10"/>
        <v>m</v>
      </c>
    </row>
    <row r="208" spans="2:6" s="23" customFormat="1" ht="12.75" customHeight="1">
      <c r="B208" s="4" t="str">
        <f>B19</f>
        <v>Altura</v>
      </c>
      <c r="C208" s="6">
        <f t="shared" ref="C208:D208" si="11">C19</f>
        <v>1.8</v>
      </c>
      <c r="D208" s="4" t="str">
        <f t="shared" si="11"/>
        <v>m</v>
      </c>
    </row>
    <row r="209" spans="2:6" s="23" customFormat="1" ht="12.75" customHeight="1">
      <c r="B209" s="4" t="s">
        <v>9</v>
      </c>
      <c r="C209" s="6">
        <f>((C206*C208*2)+(C207*C208*2))</f>
        <v>8.64</v>
      </c>
      <c r="D209" s="4" t="s">
        <v>1</v>
      </c>
    </row>
    <row r="210" spans="2:6" s="23" customFormat="1" ht="12.75" customHeight="1">
      <c r="B210" s="4"/>
      <c r="C210" s="4"/>
      <c r="D210" s="4"/>
    </row>
    <row r="211" spans="2:6" s="23" customFormat="1" ht="12.75" customHeight="1">
      <c r="B211" s="625" t="s">
        <v>389</v>
      </c>
      <c r="C211" s="585">
        <f>(C209)</f>
        <v>8.64</v>
      </c>
      <c r="D211" s="625" t="s">
        <v>1</v>
      </c>
      <c r="E211" s="624">
        <v>70120003</v>
      </c>
      <c r="F211" s="587" t="s">
        <v>5</v>
      </c>
    </row>
    <row r="212" spans="2:6" s="23" customFormat="1" ht="12.75" customHeight="1">
      <c r="B212" s="3"/>
      <c r="C212" s="21"/>
      <c r="D212" s="3"/>
    </row>
    <row r="213" spans="2:6" s="23" customFormat="1" ht="12.75" customHeight="1"/>
    <row r="214" spans="2:6" s="23" customFormat="1" ht="12.75" customHeight="1">
      <c r="B214" s="4" t="s">
        <v>390</v>
      </c>
      <c r="C214" s="235"/>
      <c r="D214" s="4"/>
    </row>
    <row r="215" spans="2:6" s="23" customFormat="1" ht="12.75" customHeight="1">
      <c r="B215" s="22"/>
      <c r="C215" s="4"/>
      <c r="D215" s="4"/>
    </row>
    <row r="216" spans="2:6" s="23" customFormat="1" ht="12.75" customHeight="1">
      <c r="B216" s="22" t="s">
        <v>370</v>
      </c>
      <c r="C216" s="4"/>
      <c r="D216" s="4"/>
    </row>
    <row r="217" spans="2:6" s="23" customFormat="1" ht="12.75" customHeight="1">
      <c r="B217" s="4" t="str">
        <f>B140</f>
        <v>Comprimento interno</v>
      </c>
      <c r="C217" s="6">
        <f t="shared" ref="C217:D217" si="12">C140</f>
        <v>1.2000000000000002</v>
      </c>
      <c r="D217" s="4" t="str">
        <f t="shared" si="12"/>
        <v>m</v>
      </c>
    </row>
    <row r="218" spans="2:6" s="23" customFormat="1" ht="12.75" customHeight="1">
      <c r="B218" s="4" t="str">
        <f>B141</f>
        <v>Largura interna</v>
      </c>
      <c r="C218" s="6">
        <f t="shared" ref="C218:D218" si="13">C141</f>
        <v>1.2</v>
      </c>
      <c r="D218" s="4" t="str">
        <f t="shared" si="13"/>
        <v>m</v>
      </c>
    </row>
    <row r="219" spans="2:6" s="23" customFormat="1" ht="12.75" customHeight="1">
      <c r="B219" s="4" t="str">
        <f>B19</f>
        <v>Altura</v>
      </c>
      <c r="C219" s="6">
        <f t="shared" ref="C219:D219" si="14">C19</f>
        <v>1.8</v>
      </c>
      <c r="D219" s="4" t="str">
        <f t="shared" si="14"/>
        <v>m</v>
      </c>
    </row>
    <row r="220" spans="2:6" s="23" customFormat="1" ht="12.75" customHeight="1">
      <c r="B220" s="4" t="s">
        <v>9</v>
      </c>
      <c r="C220" s="6">
        <f>((C217*C219*2)+(C218*C219*2))</f>
        <v>8.64</v>
      </c>
      <c r="D220" s="4" t="s">
        <v>1</v>
      </c>
    </row>
    <row r="221" spans="2:6" s="23" customFormat="1" ht="12.75" customHeight="1">
      <c r="B221" s="4"/>
      <c r="C221" s="4"/>
      <c r="D221" s="4"/>
    </row>
    <row r="222" spans="2:6" s="23" customFormat="1" ht="12.75" customHeight="1">
      <c r="B222" s="625" t="s">
        <v>391</v>
      </c>
      <c r="C222" s="585">
        <f>(C220)</f>
        <v>8.64</v>
      </c>
      <c r="D222" s="625" t="s">
        <v>1</v>
      </c>
      <c r="E222" s="624">
        <v>70120004</v>
      </c>
      <c r="F222" s="587" t="s">
        <v>5</v>
      </c>
    </row>
    <row r="223" spans="2:6" s="23" customFormat="1" ht="12.75" customHeight="1">
      <c r="B223" s="3"/>
      <c r="C223" s="21"/>
      <c r="D223" s="3"/>
    </row>
    <row r="224" spans="2:6" s="23" customFormat="1" ht="12.75" customHeight="1"/>
    <row r="225" spans="2:6" s="23" customFormat="1" ht="12.75" customHeight="1">
      <c r="B225" s="15" t="s">
        <v>393</v>
      </c>
      <c r="C225" s="257"/>
      <c r="D225" s="4"/>
    </row>
    <row r="226" spans="2:6" s="23" customFormat="1" ht="12.75" customHeight="1">
      <c r="B226" s="15"/>
      <c r="C226" s="21"/>
      <c r="D226" s="4"/>
    </row>
    <row r="227" spans="2:6" s="23" customFormat="1" ht="12.75" customHeight="1">
      <c r="B227" s="4" t="s">
        <v>394</v>
      </c>
      <c r="C227" s="235"/>
      <c r="D227" s="4"/>
    </row>
    <row r="228" spans="2:6" s="23" customFormat="1" ht="12.75" customHeight="1">
      <c r="B228" s="22"/>
      <c r="C228" s="4"/>
      <c r="D228" s="4"/>
    </row>
    <row r="229" spans="2:6" s="23" customFormat="1" ht="12.75" customHeight="1">
      <c r="B229" s="22" t="s">
        <v>372</v>
      </c>
      <c r="C229" s="4"/>
      <c r="D229" s="4"/>
    </row>
    <row r="230" spans="2:6" s="23" customFormat="1" ht="12.75" customHeight="1">
      <c r="B230" s="4" t="str">
        <f>B140</f>
        <v>Comprimento interno</v>
      </c>
      <c r="C230" s="6">
        <f t="shared" ref="C230:D230" si="15">C140</f>
        <v>1.2000000000000002</v>
      </c>
      <c r="D230" s="4" t="str">
        <f t="shared" si="15"/>
        <v>m</v>
      </c>
    </row>
    <row r="231" spans="2:6" s="23" customFormat="1" ht="12.75" customHeight="1">
      <c r="B231" s="4" t="str">
        <f>B141</f>
        <v>Largura interna</v>
      </c>
      <c r="C231" s="6">
        <f t="shared" ref="C231:D231" si="16">C141</f>
        <v>1.2</v>
      </c>
      <c r="D231" s="4" t="str">
        <f t="shared" si="16"/>
        <v>m</v>
      </c>
    </row>
    <row r="232" spans="2:6" s="23" customFormat="1" ht="12.75" customHeight="1">
      <c r="B232" s="4" t="str">
        <f>B19</f>
        <v>Altura</v>
      </c>
      <c r="C232" s="6">
        <f t="shared" ref="C232:D232" si="17">C19</f>
        <v>1.8</v>
      </c>
      <c r="D232" s="4" t="str">
        <f t="shared" si="17"/>
        <v>m</v>
      </c>
    </row>
    <row r="233" spans="2:6" s="23" customFormat="1" ht="12.75" customHeight="1">
      <c r="B233" s="4" t="s">
        <v>9</v>
      </c>
      <c r="C233" s="6">
        <f>((C230*C232*2)+(C231*C232*2)+(C230*C231))</f>
        <v>10.08</v>
      </c>
      <c r="D233" s="4" t="s">
        <v>1</v>
      </c>
    </row>
    <row r="234" spans="2:6" s="23" customFormat="1" ht="12.75" customHeight="1">
      <c r="B234" s="4"/>
      <c r="C234" s="4"/>
      <c r="D234" s="4"/>
    </row>
    <row r="235" spans="2:6" s="23" customFormat="1" ht="12.75" customHeight="1">
      <c r="B235" s="625" t="s">
        <v>395</v>
      </c>
      <c r="C235" s="585">
        <f>(C233)</f>
        <v>10.08</v>
      </c>
      <c r="D235" s="625" t="s">
        <v>1</v>
      </c>
      <c r="E235" s="624">
        <v>70190171</v>
      </c>
      <c r="F235" s="587" t="s">
        <v>5</v>
      </c>
    </row>
    <row r="236" spans="2:6" s="23" customFormat="1" ht="12.75" customHeight="1">
      <c r="B236" s="3"/>
      <c r="C236" s="21"/>
      <c r="D236" s="3"/>
    </row>
    <row r="237" spans="2:6" s="23" customFormat="1" ht="12.75" customHeight="1"/>
    <row r="238" spans="2:6" s="23" customFormat="1" ht="12.75" customHeight="1">
      <c r="B238" s="155" t="s">
        <v>373</v>
      </c>
      <c r="C238" s="144"/>
      <c r="D238" s="4"/>
    </row>
    <row r="239" spans="2:6" s="23" customFormat="1" ht="12.75" customHeight="1">
      <c r="B239" s="22"/>
      <c r="C239" s="4"/>
      <c r="D239" s="4"/>
    </row>
    <row r="240" spans="2:6" s="23" customFormat="1" ht="12.75" customHeight="1">
      <c r="B240" s="22" t="str">
        <f>B7</f>
        <v>Laje de Fundo em Concreto Armado</v>
      </c>
      <c r="C240" s="4"/>
      <c r="D240" s="4"/>
    </row>
    <row r="241" spans="2:6" s="23" customFormat="1" ht="12.75" customHeight="1">
      <c r="B241" s="4" t="str">
        <f>B8</f>
        <v xml:space="preserve">Comprimento </v>
      </c>
      <c r="C241" s="6">
        <f t="shared" ref="C241:D243" si="18">C8</f>
        <v>2</v>
      </c>
      <c r="D241" s="4" t="str">
        <f t="shared" si="18"/>
        <v>m</v>
      </c>
    </row>
    <row r="242" spans="2:6" s="23" customFormat="1" ht="12.75" customHeight="1">
      <c r="B242" s="4" t="str">
        <f>B9</f>
        <v xml:space="preserve">Largura </v>
      </c>
      <c r="C242" s="6">
        <f t="shared" si="18"/>
        <v>2</v>
      </c>
      <c r="D242" s="4" t="str">
        <f t="shared" si="18"/>
        <v>m</v>
      </c>
    </row>
    <row r="243" spans="2:6" s="23" customFormat="1" ht="12.75" customHeight="1">
      <c r="B243" s="4" t="str">
        <f>B10</f>
        <v>Altura</v>
      </c>
      <c r="C243" s="4">
        <f t="shared" si="18"/>
        <v>0.25</v>
      </c>
      <c r="D243" s="4" t="str">
        <f t="shared" si="18"/>
        <v>m</v>
      </c>
    </row>
    <row r="244" spans="2:6" s="23" customFormat="1" ht="12.75" customHeight="1">
      <c r="B244" s="4" t="s">
        <v>9</v>
      </c>
      <c r="C244" s="6">
        <f>((C241*C243*2)+(C242*C243*2))</f>
        <v>2</v>
      </c>
      <c r="D244" s="4" t="s">
        <v>1</v>
      </c>
    </row>
    <row r="245" spans="2:6" s="23" customFormat="1" ht="12.75" customHeight="1">
      <c r="B245" s="4"/>
      <c r="C245" s="4"/>
      <c r="D245" s="4"/>
    </row>
    <row r="246" spans="2:6" s="23" customFormat="1" ht="12.75" customHeight="1">
      <c r="B246" s="22" t="str">
        <f t="shared" ref="B246:D252" si="19">B13</f>
        <v>Paredes em Alvenaria (1)</v>
      </c>
      <c r="C246" s="4">
        <f t="shared" si="19"/>
        <v>2</v>
      </c>
      <c r="D246" s="4" t="str">
        <f t="shared" si="19"/>
        <v>unid</v>
      </c>
    </row>
    <row r="247" spans="2:6" s="23" customFormat="1" ht="12.75" customHeight="1">
      <c r="B247" s="4" t="str">
        <f t="shared" si="19"/>
        <v xml:space="preserve">Comprimento </v>
      </c>
      <c r="C247" s="6">
        <f t="shared" si="19"/>
        <v>1.6</v>
      </c>
      <c r="D247" s="4" t="str">
        <f t="shared" si="19"/>
        <v>m</v>
      </c>
    </row>
    <row r="248" spans="2:6" s="23" customFormat="1" ht="12.75" customHeight="1">
      <c r="B248" s="4" t="str">
        <f t="shared" si="19"/>
        <v xml:space="preserve">Largura </v>
      </c>
      <c r="C248" s="6">
        <f t="shared" si="19"/>
        <v>0.2</v>
      </c>
      <c r="D248" s="4" t="str">
        <f t="shared" si="19"/>
        <v>m</v>
      </c>
    </row>
    <row r="249" spans="2:6" s="23" customFormat="1" ht="12.75" customHeight="1">
      <c r="B249" s="22" t="str">
        <f t="shared" si="19"/>
        <v>Paredes em Alvenaria (2)</v>
      </c>
      <c r="C249" s="4">
        <f t="shared" si="19"/>
        <v>2</v>
      </c>
      <c r="D249" s="4" t="str">
        <f t="shared" si="19"/>
        <v>unid</v>
      </c>
    </row>
    <row r="250" spans="2:6" s="23" customFormat="1" ht="12.75" customHeight="1">
      <c r="B250" s="4" t="str">
        <f t="shared" si="19"/>
        <v xml:space="preserve">Comprimento </v>
      </c>
      <c r="C250" s="6">
        <f t="shared" si="19"/>
        <v>1.2</v>
      </c>
      <c r="D250" s="4" t="str">
        <f t="shared" si="19"/>
        <v>m</v>
      </c>
    </row>
    <row r="251" spans="2:6" s="23" customFormat="1" ht="12.75" customHeight="1">
      <c r="B251" s="4" t="str">
        <f t="shared" si="19"/>
        <v xml:space="preserve">Largura </v>
      </c>
      <c r="C251" s="6">
        <f t="shared" si="19"/>
        <v>0.2</v>
      </c>
      <c r="D251" s="4" t="str">
        <f t="shared" si="19"/>
        <v>m</v>
      </c>
    </row>
    <row r="252" spans="2:6" s="23" customFormat="1" ht="12.75" customHeight="1">
      <c r="B252" s="4" t="str">
        <f t="shared" si="19"/>
        <v>Altura</v>
      </c>
      <c r="C252" s="6">
        <f t="shared" si="19"/>
        <v>1.8</v>
      </c>
      <c r="D252" s="4" t="str">
        <f t="shared" si="19"/>
        <v>m</v>
      </c>
    </row>
    <row r="253" spans="2:6" s="23" customFormat="1" ht="12.75" customHeight="1">
      <c r="B253" s="4" t="s">
        <v>9</v>
      </c>
      <c r="C253" s="6">
        <f>((C247*C252*C246)+((C250+C251+C251)*C252*C249))</f>
        <v>11.52</v>
      </c>
      <c r="D253" s="4" t="s">
        <v>1</v>
      </c>
    </row>
    <row r="254" spans="2:6" s="23" customFormat="1" ht="12.75" customHeight="1">
      <c r="B254" s="4"/>
      <c r="C254" s="6"/>
      <c r="D254" s="4"/>
    </row>
    <row r="255" spans="2:6" s="23" customFormat="1" ht="12.75" customHeight="1">
      <c r="B255" s="629" t="s">
        <v>374</v>
      </c>
      <c r="C255" s="631">
        <f>(C244+C253)</f>
        <v>13.52</v>
      </c>
      <c r="D255" s="629" t="s">
        <v>1</v>
      </c>
      <c r="E255" s="624">
        <v>98557</v>
      </c>
      <c r="F255" s="587" t="s">
        <v>2</v>
      </c>
    </row>
    <row r="256" spans="2:6" s="23" customFormat="1" ht="12.75" customHeight="1">
      <c r="B256" s="267"/>
      <c r="C256" s="269"/>
      <c r="D256" s="267"/>
      <c r="E256" s="275"/>
    </row>
  </sheetData>
  <sortState ref="B52:H52">
    <sortCondition descending="1" ref="B52"/>
  </sortState>
  <mergeCells count="2">
    <mergeCell ref="B2:D2"/>
    <mergeCell ref="B3:D3"/>
  </mergeCells>
  <printOptions horizontalCentered="1"/>
  <pageMargins left="0.78740157480314965" right="0.59055118110236227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477F&amp;C&amp;"Arial,Negrito"&amp;10A.&amp;P</oddFooter>
  </headerFooter>
  <rowBreaks count="4" manualBreakCount="4">
    <brk id="51" max="16383" man="1"/>
    <brk id="105" max="16383" man="1"/>
    <brk id="154" max="16383" man="1"/>
    <brk id="202" max="16383" man="1"/>
  </rowBreaks>
  <legacyDrawingHF r:id="rId2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A1:DQ272"/>
  <sheetViews>
    <sheetView showGridLines="0" zoomScaleNormal="100" zoomScaleSheetLayoutView="100" workbookViewId="0">
      <selection activeCell="P38" sqref="P38"/>
    </sheetView>
  </sheetViews>
  <sheetFormatPr defaultColWidth="9.140625" defaultRowHeight="12.75"/>
  <cols>
    <col min="1" max="4" width="6.5703125" style="319" customWidth="1"/>
    <col min="5" max="5" width="8.7109375" style="320" customWidth="1"/>
    <col min="6" max="7" width="8.7109375" style="319" customWidth="1"/>
    <col min="8" max="8" width="9.7109375" style="319" customWidth="1"/>
    <col min="9" max="9" width="4.85546875" style="319" customWidth="1"/>
    <col min="10" max="10" width="9" style="319" customWidth="1"/>
    <col min="11" max="11" width="9.140625" style="319" customWidth="1"/>
    <col min="12" max="12" width="6.7109375" style="319" customWidth="1"/>
    <col min="13" max="13" width="10.42578125" style="319" customWidth="1"/>
    <col min="14" max="14" width="7.5703125" style="319" customWidth="1"/>
    <col min="15" max="15" width="7" style="319" customWidth="1"/>
    <col min="16" max="17" width="8.5703125" style="319" customWidth="1"/>
    <col min="18" max="19" width="8.7109375" style="319" customWidth="1"/>
    <col min="20" max="21" width="8.140625" style="319" customWidth="1"/>
    <col min="22" max="25" width="8.140625" style="319" hidden="1" customWidth="1"/>
    <col min="26" max="31" width="8.140625" style="319" customWidth="1"/>
    <col min="32" max="32" width="6" style="319" customWidth="1"/>
    <col min="33" max="33" width="8.28515625" style="319" customWidth="1"/>
    <col min="34" max="34" width="13.140625" style="319" customWidth="1"/>
    <col min="35" max="35" width="10.5703125" style="319" customWidth="1"/>
    <col min="36" max="36" width="11" style="319" customWidth="1"/>
    <col min="37" max="37" width="9.140625" style="319" customWidth="1"/>
    <col min="38" max="38" width="8.5703125" style="319" customWidth="1"/>
    <col min="39" max="39" width="10.5703125" style="319" customWidth="1"/>
    <col min="40" max="41" width="10.5703125" style="319" hidden="1" customWidth="1"/>
    <col min="42" max="42" width="10.7109375" style="319" customWidth="1"/>
    <col min="43" max="43" width="7.5703125" style="319" customWidth="1"/>
    <col min="44" max="44" width="8.42578125" style="319" customWidth="1"/>
    <col min="45" max="45" width="8.28515625" style="319" customWidth="1"/>
    <col min="46" max="46" width="10.42578125" style="319" hidden="1" customWidth="1"/>
    <col min="47" max="49" width="7.140625" style="319" hidden="1" customWidth="1"/>
    <col min="50" max="51" width="9.140625" style="319" hidden="1" customWidth="1"/>
    <col min="52" max="52" width="10.28515625" style="319" hidden="1" customWidth="1"/>
    <col min="53" max="53" width="7.42578125" style="319" customWidth="1"/>
    <col min="54" max="54" width="9.5703125" style="319" customWidth="1"/>
    <col min="55" max="55" width="7.42578125" style="319" customWidth="1"/>
    <col min="56" max="56" width="9.5703125" style="319" customWidth="1"/>
    <col min="57" max="57" width="8.85546875" style="319" customWidth="1"/>
    <col min="58" max="58" width="9.28515625" style="319" customWidth="1"/>
    <col min="59" max="59" width="7.42578125" style="319" hidden="1" customWidth="1"/>
    <col min="60" max="61" width="9.28515625" style="319" hidden="1" customWidth="1"/>
    <col min="62" max="62" width="7.85546875" style="319" customWidth="1"/>
    <col min="63" max="63" width="9.5703125" style="319" customWidth="1"/>
    <col min="64" max="64" width="8.42578125" style="328" customWidth="1"/>
    <col min="65" max="65" width="8.140625" style="319" customWidth="1"/>
    <col min="66" max="85" width="13.7109375" style="319" customWidth="1"/>
    <col min="86" max="101" width="11.5703125" style="319" customWidth="1"/>
    <col min="102" max="102" width="13.28515625" style="319" customWidth="1"/>
    <col min="103" max="121" width="11.5703125" style="319" customWidth="1"/>
    <col min="122" max="16384" width="9.140625" style="319"/>
  </cols>
  <sheetData>
    <row r="1" spans="1:85" ht="12">
      <c r="BI1" s="321">
        <v>2.4</v>
      </c>
      <c r="BJ1" s="322" t="s">
        <v>457</v>
      </c>
      <c r="BL1" s="319"/>
    </row>
    <row r="2" spans="1:85" ht="15.75" customHeight="1">
      <c r="P2" s="323"/>
      <c r="Q2" s="323"/>
      <c r="T2" s="323"/>
      <c r="U2" s="323"/>
      <c r="V2" s="323"/>
      <c r="W2" s="323"/>
      <c r="AK2" s="323"/>
      <c r="AL2" s="323"/>
      <c r="AM2" s="323"/>
      <c r="AN2" s="323" t="s">
        <v>2</v>
      </c>
      <c r="AO2" s="323" t="s">
        <v>2</v>
      </c>
      <c r="AT2" s="323"/>
      <c r="BI2" s="324">
        <v>1.1499999999999999</v>
      </c>
      <c r="BJ2" s="322" t="s">
        <v>462</v>
      </c>
      <c r="BL2" s="319"/>
    </row>
    <row r="3" spans="1:85" ht="15.75" customHeight="1">
      <c r="A3" s="325"/>
      <c r="B3" s="325"/>
      <c r="C3" s="325"/>
      <c r="D3" s="325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3"/>
      <c r="Q3" s="323"/>
      <c r="R3" s="326"/>
      <c r="S3" s="326"/>
      <c r="T3" s="326"/>
      <c r="U3" s="326"/>
      <c r="V3" s="326"/>
      <c r="W3" s="326"/>
      <c r="X3" s="326"/>
      <c r="Y3" s="326"/>
      <c r="Z3" s="326"/>
      <c r="AA3" s="326"/>
      <c r="AB3" s="326"/>
      <c r="AC3" s="326"/>
      <c r="AD3" s="326"/>
      <c r="AE3" s="326"/>
      <c r="AF3" s="326"/>
      <c r="AG3" s="326"/>
      <c r="AH3" s="326"/>
      <c r="AI3" s="326"/>
      <c r="AJ3" s="325"/>
      <c r="AK3" s="323"/>
      <c r="AL3" s="323"/>
      <c r="AM3" s="326"/>
      <c r="AN3" s="326"/>
      <c r="AO3" s="326"/>
      <c r="AP3" s="326"/>
      <c r="AQ3" s="326"/>
      <c r="AR3" s="326"/>
      <c r="AS3" s="326"/>
      <c r="AT3" s="323"/>
      <c r="AU3" s="327">
        <f>ROUND(AU7+AV7+AW7+AX7+AY7,2)</f>
        <v>0.3</v>
      </c>
      <c r="AV3" s="326"/>
      <c r="AW3" s="326"/>
      <c r="AX3" s="326"/>
      <c r="AY3" s="326"/>
      <c r="AZ3" s="326"/>
      <c r="BA3" s="326"/>
      <c r="BB3" s="326"/>
      <c r="BC3" s="326"/>
      <c r="BD3" s="326"/>
      <c r="BE3" s="326"/>
      <c r="BF3" s="326"/>
      <c r="BG3" s="326"/>
      <c r="BH3" s="326"/>
      <c r="BI3" s="324">
        <v>20</v>
      </c>
      <c r="BJ3" s="322" t="s">
        <v>463</v>
      </c>
      <c r="BK3" s="325"/>
    </row>
    <row r="4" spans="1:85" ht="20.100000000000001" customHeight="1">
      <c r="B4" s="329"/>
      <c r="C4" s="329"/>
      <c r="D4" s="329"/>
      <c r="E4" s="826" t="s">
        <v>754</v>
      </c>
      <c r="F4" s="826"/>
      <c r="G4" s="826"/>
      <c r="H4" s="826"/>
      <c r="I4" s="826"/>
      <c r="J4" s="826"/>
      <c r="K4" s="826"/>
      <c r="L4" s="826"/>
      <c r="M4" s="826"/>
      <c r="N4" s="826"/>
      <c r="O4" s="826"/>
      <c r="P4" s="826"/>
      <c r="Q4" s="826"/>
      <c r="R4" s="826"/>
      <c r="S4" s="826"/>
      <c r="T4" s="826"/>
      <c r="U4" s="826"/>
      <c r="V4" s="826"/>
      <c r="W4" s="826"/>
      <c r="X4" s="826"/>
      <c r="Y4" s="826"/>
      <c r="Z4" s="826"/>
      <c r="AA4" s="826"/>
      <c r="AB4" s="826"/>
      <c r="AC4" s="826"/>
      <c r="AD4" s="826"/>
      <c r="AE4" s="826"/>
      <c r="AF4" s="826" t="s">
        <v>754</v>
      </c>
      <c r="AG4" s="826"/>
      <c r="AH4" s="826"/>
      <c r="AI4" s="826"/>
      <c r="AJ4" s="826"/>
      <c r="AK4" s="826"/>
      <c r="AL4" s="826"/>
      <c r="AM4" s="826"/>
      <c r="AN4" s="826"/>
      <c r="AO4" s="826"/>
      <c r="AP4" s="826"/>
      <c r="AQ4" s="826"/>
      <c r="AR4" s="826"/>
      <c r="AS4" s="826"/>
      <c r="AT4" s="826"/>
      <c r="AU4" s="826"/>
      <c r="AV4" s="826"/>
      <c r="AW4" s="826"/>
      <c r="AX4" s="826"/>
      <c r="AY4" s="826"/>
      <c r="AZ4" s="826"/>
      <c r="BA4" s="826"/>
      <c r="BB4" s="826"/>
      <c r="BC4" s="826"/>
      <c r="BD4" s="826"/>
      <c r="BE4" s="826"/>
      <c r="BF4" s="826"/>
      <c r="BG4" s="826"/>
      <c r="BH4" s="826"/>
      <c r="BI4" s="826"/>
      <c r="BJ4" s="826"/>
      <c r="BK4" s="826"/>
      <c r="BL4" s="826"/>
    </row>
    <row r="5" spans="1:85" ht="24" customHeight="1">
      <c r="A5" s="887" t="s">
        <v>464</v>
      </c>
      <c r="B5" s="888"/>
      <c r="C5" s="887" t="s">
        <v>465</v>
      </c>
      <c r="D5" s="888"/>
      <c r="E5" s="879" t="s">
        <v>466</v>
      </c>
      <c r="F5" s="879" t="s">
        <v>467</v>
      </c>
      <c r="G5" s="830" t="s">
        <v>468</v>
      </c>
      <c r="H5" s="830" t="s">
        <v>469</v>
      </c>
      <c r="I5" s="879" t="s">
        <v>470</v>
      </c>
      <c r="J5" s="832" t="s">
        <v>471</v>
      </c>
      <c r="K5" s="832" t="s">
        <v>472</v>
      </c>
      <c r="L5" s="832" t="s">
        <v>473</v>
      </c>
      <c r="M5" s="830" t="s">
        <v>474</v>
      </c>
      <c r="N5" s="830" t="s">
        <v>475</v>
      </c>
      <c r="O5" s="830" t="s">
        <v>476</v>
      </c>
      <c r="P5" s="830" t="s">
        <v>477</v>
      </c>
      <c r="Q5" s="873" t="s">
        <v>686</v>
      </c>
      <c r="R5" s="832" t="s">
        <v>478</v>
      </c>
      <c r="S5" s="832" t="s">
        <v>479</v>
      </c>
      <c r="T5" s="876" t="s">
        <v>480</v>
      </c>
      <c r="U5" s="877"/>
      <c r="V5" s="877"/>
      <c r="W5" s="877"/>
      <c r="X5" s="877"/>
      <c r="Y5" s="878"/>
      <c r="Z5" s="876" t="s">
        <v>481</v>
      </c>
      <c r="AA5" s="877"/>
      <c r="AB5" s="877"/>
      <c r="AC5" s="877"/>
      <c r="AD5" s="877"/>
      <c r="AE5" s="878"/>
      <c r="AF5" s="832" t="s">
        <v>446</v>
      </c>
      <c r="AG5" s="832"/>
      <c r="AH5" s="603" t="s">
        <v>448</v>
      </c>
      <c r="AI5" s="870" t="s">
        <v>448</v>
      </c>
      <c r="AJ5" s="872"/>
      <c r="AK5" s="604" t="s">
        <v>482</v>
      </c>
      <c r="AL5" s="873" t="s">
        <v>483</v>
      </c>
      <c r="AM5" s="884" t="s">
        <v>484</v>
      </c>
      <c r="AN5" s="885"/>
      <c r="AO5" s="886"/>
      <c r="AP5" s="881" t="s">
        <v>485</v>
      </c>
      <c r="AQ5" s="832" t="s">
        <v>486</v>
      </c>
      <c r="AR5" s="832"/>
      <c r="AS5" s="881" t="s">
        <v>487</v>
      </c>
      <c r="AT5" s="832" t="s">
        <v>488</v>
      </c>
      <c r="AU5" s="870" t="s">
        <v>489</v>
      </c>
      <c r="AV5" s="871"/>
      <c r="AW5" s="871"/>
      <c r="AX5" s="871"/>
      <c r="AY5" s="871"/>
      <c r="AZ5" s="832" t="s">
        <v>490</v>
      </c>
      <c r="BA5" s="870" t="s">
        <v>491</v>
      </c>
      <c r="BB5" s="871"/>
      <c r="BC5" s="871"/>
      <c r="BD5" s="871"/>
      <c r="BE5" s="871"/>
      <c r="BF5" s="871"/>
      <c r="BG5" s="871"/>
      <c r="BH5" s="871"/>
      <c r="BI5" s="871"/>
      <c r="BJ5" s="871"/>
      <c r="BK5" s="872"/>
      <c r="BL5" s="881" t="s">
        <v>492</v>
      </c>
      <c r="BM5" s="320"/>
      <c r="BN5" s="320"/>
      <c r="BO5" s="320"/>
      <c r="BP5" s="320"/>
      <c r="BQ5" s="320"/>
      <c r="BR5" s="320"/>
      <c r="BS5" s="320"/>
      <c r="BT5" s="320"/>
      <c r="BU5" s="320"/>
      <c r="BV5" s="320"/>
      <c r="BW5" s="320"/>
      <c r="BX5" s="320"/>
      <c r="BY5" s="320"/>
      <c r="BZ5" s="320"/>
      <c r="CA5" s="320"/>
      <c r="CB5" s="320"/>
      <c r="CC5" s="320"/>
      <c r="CD5" s="320"/>
      <c r="CE5" s="320"/>
      <c r="CF5" s="320"/>
      <c r="CG5" s="320"/>
    </row>
    <row r="6" spans="1:85" ht="27" customHeight="1">
      <c r="A6" s="889"/>
      <c r="B6" s="890"/>
      <c r="C6" s="889"/>
      <c r="D6" s="890"/>
      <c r="E6" s="893"/>
      <c r="F6" s="893"/>
      <c r="G6" s="869"/>
      <c r="H6" s="869"/>
      <c r="I6" s="893"/>
      <c r="J6" s="832"/>
      <c r="K6" s="832"/>
      <c r="L6" s="832"/>
      <c r="M6" s="869"/>
      <c r="N6" s="869"/>
      <c r="O6" s="869"/>
      <c r="P6" s="869"/>
      <c r="Q6" s="874"/>
      <c r="R6" s="832"/>
      <c r="S6" s="832"/>
      <c r="T6" s="873" t="str">
        <f>CONCATENATE("até ",FIXED($BU$147,2)," m")</f>
        <v>até 1,50 m</v>
      </c>
      <c r="U6" s="873" t="str">
        <f>CONCATENATE("de ",FIXED($BU$147,2)," até ",FIXED(2*$BU$147,2)," m")</f>
        <v>de 1,50 até 3,00 m</v>
      </c>
      <c r="V6" s="873" t="str">
        <f>CONCATENATE("de ",FIXED(2*$BU$147,2)," até ",FIXED(3*$BU$147,2)," m")</f>
        <v>de 3,00 até 4,50 m</v>
      </c>
      <c r="W6" s="873" t="str">
        <f>CONCATENATE("de ",FIXED(3*$BU$147,2)," até ",FIXED(4*$BU$147,2)," m")</f>
        <v>de 4,50 até 6,00 m</v>
      </c>
      <c r="X6" s="873" t="str">
        <f>CONCATENATE("de ",FIXED(4*$BU$147,2)," até ",FIXED(5*$BU$147,2)," m")</f>
        <v>de 6,00 até 7,50 m</v>
      </c>
      <c r="Y6" s="873" t="str">
        <f>CONCATENATE("de ",FIXED(5*$BU$147,2)," até ",FIXED(6*$BU$147,2)," m")</f>
        <v>de 7,50 até 9,00 m</v>
      </c>
      <c r="Z6" s="873" t="str">
        <f>CONCATENATE("até ",FIXED($BU$148,2)," m")</f>
        <v>até 1,50 m</v>
      </c>
      <c r="AA6" s="873" t="str">
        <f>CONCATENATE("de ",FIXED($BU$148,2)," até ",FIXED(2*$BU$148,2)," m")</f>
        <v>de 1,50 até 3,00 m</v>
      </c>
      <c r="AB6" s="873" t="str">
        <f>CONCATENATE("de ",FIXED(2*$BU$148,2)," até ",FIXED(3*$BU$148,2)," m")</f>
        <v>de 3,00 até 4,50 m</v>
      </c>
      <c r="AC6" s="873" t="str">
        <f>CONCATENATE("de ",FIXED(3*$BU$148,2)," até ",FIXED(4*$BU$148,2)," m")</f>
        <v>de 4,50 até 6,00 m</v>
      </c>
      <c r="AD6" s="873" t="str">
        <f>CONCATENATE("de ",FIXED(4*$BU$148,2)," até ",FIXED(5*$BU$148,2)," m")</f>
        <v>de 6,00 até 7,50 m</v>
      </c>
      <c r="AE6" s="873" t="str">
        <f>CONCATENATE("de ",FIXED(5*$BU$148,2)," até ",FIXED(6*$BU$148,2)," m")</f>
        <v>de 7,50 até 9,00 m</v>
      </c>
      <c r="AF6" s="832" t="s">
        <v>493</v>
      </c>
      <c r="AG6" s="879" t="s">
        <v>295</v>
      </c>
      <c r="AH6" s="830" t="s">
        <v>493</v>
      </c>
      <c r="AI6" s="830" t="s">
        <v>494</v>
      </c>
      <c r="AJ6" s="830" t="s">
        <v>495</v>
      </c>
      <c r="AK6" s="605" t="s">
        <v>496</v>
      </c>
      <c r="AL6" s="874"/>
      <c r="AM6" s="830" t="s">
        <v>497</v>
      </c>
      <c r="AN6" s="830" t="s">
        <v>498</v>
      </c>
      <c r="AO6" s="830" t="s">
        <v>499</v>
      </c>
      <c r="AP6" s="882"/>
      <c r="AQ6" s="830" t="s">
        <v>500</v>
      </c>
      <c r="AR6" s="830" t="s">
        <v>501</v>
      </c>
      <c r="AS6" s="882"/>
      <c r="AT6" s="832"/>
      <c r="AU6" s="606" t="s">
        <v>502</v>
      </c>
      <c r="AV6" s="606" t="s">
        <v>503</v>
      </c>
      <c r="AW6" s="606" t="s">
        <v>504</v>
      </c>
      <c r="AX6" s="606" t="s">
        <v>505</v>
      </c>
      <c r="AY6" s="607" t="s">
        <v>506</v>
      </c>
      <c r="AZ6" s="832"/>
      <c r="BA6" s="830" t="s">
        <v>507</v>
      </c>
      <c r="BB6" s="608" t="s">
        <v>508</v>
      </c>
      <c r="BC6" s="830" t="s">
        <v>509</v>
      </c>
      <c r="BD6" s="608" t="s">
        <v>510</v>
      </c>
      <c r="BE6" s="830" t="s">
        <v>511</v>
      </c>
      <c r="BF6" s="608" t="s">
        <v>512</v>
      </c>
      <c r="BG6" s="830" t="s">
        <v>513</v>
      </c>
      <c r="BH6" s="608" t="s">
        <v>514</v>
      </c>
      <c r="BI6" s="608" t="s">
        <v>515</v>
      </c>
      <c r="BJ6" s="830" t="s">
        <v>516</v>
      </c>
      <c r="BK6" s="608" t="s">
        <v>517</v>
      </c>
      <c r="BL6" s="882"/>
      <c r="BM6" s="320"/>
      <c r="BN6" s="320"/>
      <c r="BO6" s="320"/>
      <c r="BP6" s="320"/>
      <c r="BQ6" s="320"/>
      <c r="BR6" s="320"/>
      <c r="BS6" s="320"/>
      <c r="BT6" s="320"/>
      <c r="BU6" s="320"/>
      <c r="BV6" s="320"/>
      <c r="BW6" s="320"/>
      <c r="BX6" s="320"/>
      <c r="BY6" s="320"/>
      <c r="BZ6" s="320"/>
      <c r="CA6" s="320"/>
      <c r="CB6" s="320"/>
      <c r="CC6" s="320"/>
      <c r="CD6" s="320"/>
      <c r="CE6" s="320"/>
      <c r="CF6" s="320"/>
      <c r="CG6" s="320"/>
    </row>
    <row r="7" spans="1:85" ht="27" customHeight="1">
      <c r="A7" s="889"/>
      <c r="B7" s="890"/>
      <c r="C7" s="889"/>
      <c r="D7" s="890"/>
      <c r="E7" s="880"/>
      <c r="F7" s="893"/>
      <c r="G7" s="869"/>
      <c r="H7" s="869"/>
      <c r="I7" s="880"/>
      <c r="J7" s="832" t="s">
        <v>518</v>
      </c>
      <c r="K7" s="832" t="s">
        <v>519</v>
      </c>
      <c r="L7" s="833" t="s">
        <v>520</v>
      </c>
      <c r="M7" s="831"/>
      <c r="N7" s="831"/>
      <c r="O7" s="831"/>
      <c r="P7" s="831"/>
      <c r="Q7" s="875"/>
      <c r="R7" s="832"/>
      <c r="S7" s="832"/>
      <c r="T7" s="875"/>
      <c r="U7" s="875"/>
      <c r="V7" s="875"/>
      <c r="W7" s="875"/>
      <c r="X7" s="875"/>
      <c r="Y7" s="875"/>
      <c r="Z7" s="875"/>
      <c r="AA7" s="875"/>
      <c r="AB7" s="875"/>
      <c r="AC7" s="875"/>
      <c r="AD7" s="875"/>
      <c r="AE7" s="875"/>
      <c r="AF7" s="832"/>
      <c r="AG7" s="880"/>
      <c r="AH7" s="869"/>
      <c r="AI7" s="831"/>
      <c r="AJ7" s="831"/>
      <c r="AK7" s="609" t="s">
        <v>521</v>
      </c>
      <c r="AL7" s="875"/>
      <c r="AM7" s="831"/>
      <c r="AN7" s="831"/>
      <c r="AO7" s="831"/>
      <c r="AP7" s="883"/>
      <c r="AQ7" s="831"/>
      <c r="AR7" s="831"/>
      <c r="AS7" s="883"/>
      <c r="AT7" s="604" t="s">
        <v>522</v>
      </c>
      <c r="AU7" s="606">
        <v>0</v>
      </c>
      <c r="AV7" s="606">
        <v>0.15</v>
      </c>
      <c r="AW7" s="606">
        <v>0.1</v>
      </c>
      <c r="AX7" s="606">
        <v>0</v>
      </c>
      <c r="AY7" s="606">
        <v>0.05</v>
      </c>
      <c r="AZ7" s="610">
        <v>0.1</v>
      </c>
      <c r="BA7" s="831"/>
      <c r="BB7" s="611" t="str">
        <f>CONCATENATE("d = ",FIXED($BU$162,1),"km")</f>
        <v>d = 15,0km</v>
      </c>
      <c r="BC7" s="831"/>
      <c r="BD7" s="611" t="str">
        <f>CONCATENATE("d = ",FIXED($BU$164,1),"km")</f>
        <v>d = 15,0km</v>
      </c>
      <c r="BE7" s="831"/>
      <c r="BF7" s="611" t="str">
        <f>CONCATENATE("d = ",FIXED($BU$165,1),"km")</f>
        <v>d = 15,0km</v>
      </c>
      <c r="BG7" s="831"/>
      <c r="BH7" s="611" t="str">
        <f>CONCATENATE("d = ",FIXED($BU$166,1),"km")</f>
        <v>d = 15,0km</v>
      </c>
      <c r="BI7" s="611" t="str">
        <f>CONCATENATE("d = ",FIXED($BI$3,1),"km")</f>
        <v>d = 20,0km</v>
      </c>
      <c r="BJ7" s="831"/>
      <c r="BK7" s="611" t="str">
        <f>CONCATENATE("d = ",FIXED($BU$167,1),"km")</f>
        <v>d = 30,0km</v>
      </c>
      <c r="BL7" s="883"/>
      <c r="BM7" s="330"/>
      <c r="BN7" s="331"/>
      <c r="BO7" s="331"/>
      <c r="BP7" s="330"/>
      <c r="BQ7" s="330"/>
      <c r="BR7" s="330"/>
      <c r="BS7" s="330"/>
      <c r="BT7" s="330"/>
      <c r="BU7" s="330"/>
      <c r="BV7" s="330"/>
      <c r="BW7" s="330"/>
      <c r="BX7" s="330"/>
      <c r="BY7" s="330"/>
      <c r="BZ7" s="330"/>
      <c r="CA7" s="330"/>
      <c r="CB7" s="330"/>
      <c r="CC7" s="330"/>
      <c r="CD7" s="330"/>
      <c r="CE7" s="330"/>
      <c r="CF7" s="330"/>
      <c r="CG7" s="330"/>
    </row>
    <row r="8" spans="1:85" ht="20.100000000000001" customHeight="1">
      <c r="A8" s="891"/>
      <c r="B8" s="892"/>
      <c r="C8" s="891"/>
      <c r="D8" s="892"/>
      <c r="E8" s="612" t="s">
        <v>4</v>
      </c>
      <c r="F8" s="880"/>
      <c r="G8" s="831"/>
      <c r="H8" s="831"/>
      <c r="I8" s="613" t="s">
        <v>523</v>
      </c>
      <c r="J8" s="832"/>
      <c r="K8" s="832"/>
      <c r="L8" s="833"/>
      <c r="M8" s="613" t="s">
        <v>4</v>
      </c>
      <c r="N8" s="613" t="s">
        <v>4</v>
      </c>
      <c r="O8" s="613" t="s">
        <v>4</v>
      </c>
      <c r="P8" s="613" t="s">
        <v>4</v>
      </c>
      <c r="Q8" s="613" t="s">
        <v>1</v>
      </c>
      <c r="R8" s="832"/>
      <c r="S8" s="832"/>
      <c r="T8" s="613" t="s">
        <v>6</v>
      </c>
      <c r="U8" s="613" t="s">
        <v>6</v>
      </c>
      <c r="V8" s="613" t="s">
        <v>6</v>
      </c>
      <c r="W8" s="613" t="s">
        <v>6</v>
      </c>
      <c r="X8" s="613" t="s">
        <v>6</v>
      </c>
      <c r="Y8" s="613" t="s">
        <v>6</v>
      </c>
      <c r="Z8" s="613" t="s">
        <v>6</v>
      </c>
      <c r="AA8" s="613" t="s">
        <v>6</v>
      </c>
      <c r="AB8" s="613" t="s">
        <v>6</v>
      </c>
      <c r="AC8" s="613" t="s">
        <v>6</v>
      </c>
      <c r="AD8" s="613" t="s">
        <v>6</v>
      </c>
      <c r="AE8" s="613" t="s">
        <v>6</v>
      </c>
      <c r="AF8" s="832"/>
      <c r="AG8" s="613" t="s">
        <v>1</v>
      </c>
      <c r="AH8" s="831"/>
      <c r="AI8" s="613" t="s">
        <v>524</v>
      </c>
      <c r="AJ8" s="612" t="s">
        <v>4</v>
      </c>
      <c r="AK8" s="611" t="s">
        <v>4</v>
      </c>
      <c r="AL8" s="613" t="s">
        <v>1</v>
      </c>
      <c r="AM8" s="613" t="s">
        <v>6</v>
      </c>
      <c r="AN8" s="613" t="s">
        <v>6</v>
      </c>
      <c r="AO8" s="613" t="s">
        <v>6</v>
      </c>
      <c r="AP8" s="613" t="s">
        <v>4</v>
      </c>
      <c r="AQ8" s="613" t="s">
        <v>6</v>
      </c>
      <c r="AR8" s="613" t="s">
        <v>6</v>
      </c>
      <c r="AS8" s="613" t="s">
        <v>1</v>
      </c>
      <c r="AT8" s="614" t="s">
        <v>525</v>
      </c>
      <c r="AU8" s="612" t="s">
        <v>1</v>
      </c>
      <c r="AV8" s="612" t="s">
        <v>6</v>
      </c>
      <c r="AW8" s="612" t="s">
        <v>6</v>
      </c>
      <c r="AX8" s="612" t="s">
        <v>1</v>
      </c>
      <c r="AY8" s="612" t="s">
        <v>6</v>
      </c>
      <c r="AZ8" s="612" t="s">
        <v>1</v>
      </c>
      <c r="BA8" s="612" t="s">
        <v>6</v>
      </c>
      <c r="BB8" s="611" t="s">
        <v>526</v>
      </c>
      <c r="BC8" s="612" t="s">
        <v>6</v>
      </c>
      <c r="BD8" s="611" t="s">
        <v>526</v>
      </c>
      <c r="BE8" s="612" t="s">
        <v>6</v>
      </c>
      <c r="BF8" s="611" t="s">
        <v>526</v>
      </c>
      <c r="BG8" s="612" t="s">
        <v>6</v>
      </c>
      <c r="BH8" s="611" t="s">
        <v>526</v>
      </c>
      <c r="BI8" s="612" t="s">
        <v>527</v>
      </c>
      <c r="BJ8" s="613" t="s">
        <v>528</v>
      </c>
      <c r="BK8" s="611" t="s">
        <v>529</v>
      </c>
      <c r="BL8" s="613" t="s">
        <v>1</v>
      </c>
      <c r="BM8" s="330"/>
      <c r="BN8" s="331"/>
      <c r="BO8" s="331"/>
      <c r="BP8" s="330"/>
      <c r="BQ8" s="330"/>
      <c r="BR8" s="330"/>
      <c r="BS8" s="330"/>
      <c r="BT8" s="330"/>
      <c r="BU8" s="330"/>
      <c r="BV8" s="330"/>
      <c r="BW8" s="330"/>
      <c r="BX8" s="330"/>
      <c r="BY8" s="330"/>
      <c r="BZ8" s="330"/>
      <c r="CA8" s="330"/>
      <c r="CB8" s="330"/>
      <c r="CC8" s="330"/>
      <c r="CD8" s="330"/>
      <c r="CE8" s="330"/>
      <c r="CF8" s="330"/>
      <c r="CG8" s="330"/>
    </row>
    <row r="9" spans="1:85" ht="15" customHeight="1">
      <c r="A9" s="332"/>
      <c r="B9" s="332"/>
      <c r="C9" s="333"/>
      <c r="D9" s="333"/>
      <c r="E9" s="334"/>
      <c r="F9" s="834" t="s">
        <v>530</v>
      </c>
      <c r="G9" s="837" t="s">
        <v>531</v>
      </c>
      <c r="H9" s="837" t="s">
        <v>532</v>
      </c>
      <c r="I9" s="335">
        <f>IF(OR(ISNUMBER(MATCH(F9,$BN$123:$BN$124,0)),ISNUMBER(MATCH(F9,$BN$136:$BN$136,0))),(VLOOKUP(I10,$BW$115:$BX$135,2,FALSE)-I10)/2000,0)+IF(ISNUMBER(MATCH(F9,$BN$137:$BN$138,0)),(VLOOKUP(I10,$CH$115:$CJ$121,3,FALSE)-VLOOKUP(I10,$CH$115:$CJ$121,2,FALSE))/2000,0)+IF(ISNUMBER(MATCH(F9,$BN$139:$BN$141,0)),(VLOOKUP(I10,$CB$115:$CD$118,3,FALSE)-VLOOKUP(I10,$CB$115:$CD$118,2,FALSE))/2000,0)+IF(ISNUMBER(MATCH(F9,$BN$142:$BN$144,0)),(VLOOKUP(I10,$CP$115:$CQ$134,2,FALSE)-I10)/2000,0)+IF(ISNUMBER(MATCH(F9,$BN$132:$BN$133,0)),(VLOOKUP(I10,$CZ$115:$DC$121,4,FALSE)-VLOOKUP(I10,$CZ$115:$DC$121,2,FALSE))/2000,0)+IF(ISNUMBER(MATCH(F9,$BN$134:$BN$135,0)),(VLOOKUP(I10,$DE$115:$DH$127,4,FALSE)-VLOOKUP(I10,$DE$115:$DH$127,2,FALSE))/2000,0)+IF(ISNUMBER(MATCH(F9,$BN$145:$BN$145,0)),(VLOOKUP(I10,$CM$115:$CN$151,2,FALSE)-I10)/2000,0)+IF(ISNUMBER(MATCH(F9,$BN$125:$BN$131,0)),(VLOOKUP(I10,$DJ$115:$DL$127,3,FALSE)-I10)/2000,0)</f>
        <v>1.6E-2</v>
      </c>
      <c r="J9" s="336">
        <v>662.29</v>
      </c>
      <c r="K9" s="336">
        <v>660.94</v>
      </c>
      <c r="L9" s="337">
        <f>J9-K9</f>
        <v>1.3499999999999091</v>
      </c>
      <c r="M9" s="337"/>
      <c r="N9" s="337"/>
      <c r="O9" s="337"/>
      <c r="P9" s="337"/>
      <c r="Q9" s="337"/>
      <c r="R9" s="827" t="s">
        <v>533</v>
      </c>
      <c r="S9" s="827" t="s">
        <v>685</v>
      </c>
      <c r="T9" s="337"/>
      <c r="U9" s="337"/>
      <c r="V9" s="337"/>
      <c r="W9" s="337"/>
      <c r="X9" s="337"/>
      <c r="Y9" s="337"/>
      <c r="Z9" s="337"/>
      <c r="AA9" s="337"/>
      <c r="AB9" s="337"/>
      <c r="AC9" s="337"/>
      <c r="AD9" s="337"/>
      <c r="AE9" s="337"/>
      <c r="AF9" s="334"/>
      <c r="AG9" s="337"/>
      <c r="AH9" s="827" t="s">
        <v>535</v>
      </c>
      <c r="AI9" s="337"/>
      <c r="AJ9" s="337"/>
      <c r="AK9" s="337"/>
      <c r="AL9" s="337"/>
      <c r="AM9" s="337"/>
      <c r="AN9" s="337"/>
      <c r="AO9" s="338"/>
      <c r="AP9" s="337"/>
      <c r="AQ9" s="337"/>
      <c r="AR9" s="337"/>
      <c r="AS9" s="337"/>
      <c r="AT9" s="337"/>
      <c r="AU9" s="337"/>
      <c r="AV9" s="337"/>
      <c r="AW9" s="337"/>
      <c r="AX9" s="337"/>
      <c r="AY9" s="337"/>
      <c r="AZ9" s="337"/>
      <c r="BA9" s="337"/>
      <c r="BB9" s="337"/>
      <c r="BC9" s="337"/>
      <c r="BD9" s="337"/>
      <c r="BE9" s="337"/>
      <c r="BF9" s="337"/>
      <c r="BG9" s="337"/>
      <c r="BH9" s="337"/>
      <c r="BI9" s="337"/>
      <c r="BJ9" s="338"/>
      <c r="BK9" s="338"/>
      <c r="BL9" s="337"/>
      <c r="BM9" s="330"/>
      <c r="BN9" s="339"/>
      <c r="BO9" s="339"/>
      <c r="CG9" s="330"/>
    </row>
    <row r="10" spans="1:85" ht="15" customHeight="1">
      <c r="A10" s="332" t="s">
        <v>562</v>
      </c>
      <c r="B10" s="340" t="s">
        <v>562</v>
      </c>
      <c r="C10" s="341" t="s">
        <v>562</v>
      </c>
      <c r="D10" s="340" t="s">
        <v>562</v>
      </c>
      <c r="E10" s="342">
        <v>58</v>
      </c>
      <c r="F10" s="835"/>
      <c r="G10" s="838"/>
      <c r="H10" s="838"/>
      <c r="I10" s="343">
        <v>500</v>
      </c>
      <c r="J10" s="344"/>
      <c r="K10" s="344"/>
      <c r="L10" s="340"/>
      <c r="M10" s="345">
        <f>ABS((L9+L11)/2)+IF(ISNUMBER(MATCH(F9,$BN$123:$BN$131,0)),$BU$114,0)+IF(ISNUMBER(MATCH(AH9,$BN$185,0)),$BU$115,0)+IF(ISNUMBER(MATCH(F9,$BN$132:$BN$135,0)),IF(I10&lt;=600,$BU$116,$BU$117),0)+IF(ISNUMBER(MATCH(F9,$BN$136:$BN$150,0)),$BU$115,0)</f>
        <v>1.4499999999999091</v>
      </c>
      <c r="N10" s="345">
        <f>IF(MATCH(G9,$BN$114:$BN$116,0)=1,IF(ISNUMBER(MATCH(F9,$BN$123:$BN$144,0)),VLOOKUP(I10,IF(M10&lt;=2,$BN$36:$BS$49,$BN$51:$BS$67),VLOOKUP(AF10,$BO$159:$BP$164,2,FALSE),FALSE),IF(ISNUMBER(MATCH(F9,$BN$145,0)),VLOOKUP(I10,IF(M10&lt;=2,$BU$36:$BZ$49,$BU$51:$BZ$71),VLOOKUP(AF10,$BO$159:$BP$164,2,FALSE),FALSE),0)),0)+IF(MATCH(G9,$BN$114:$BN$116,0)=2,VLOOKUP(I10,IF(M10&lt;=2,$CB$36:$CG$49,IF(M10&lt;=4,$CB$51:$CG$64,IF(M10&lt;=6,$CB$66:$CG$79,IF(M10&lt;=8,$CB$81:$CG$94,$CB$96:$CG$109)))),VLOOKUP(AF10,$BO$159:$BP$164,2,FALSE)),0)</f>
        <v>1</v>
      </c>
      <c r="O10" s="346">
        <f>ABS((K11-K9)/E10)</f>
        <v>0</v>
      </c>
      <c r="P10" s="345">
        <f>E10</f>
        <v>58</v>
      </c>
      <c r="Q10" s="345">
        <f>IF(IF(AND(MATCH(R9,$BN$175:$BN$179,0)&lt;=1),E10*(N10+2*$BP$175))=FALSE,0,IF(AND(MATCH(R9,$BN$175:$BN$179,0)&lt;=1),E10*(N10+2*$BP$175)))</f>
        <v>92.800000000000011</v>
      </c>
      <c r="R10" s="828"/>
      <c r="S10" s="828"/>
      <c r="T10" s="345">
        <f>IF(AND(ISNUMBER(MATCH(S9,$BN$188,0))),E10*N10*(MIN(M10,$BU$147)-VLOOKUP(R9,$BN$175:$BP$180,2,FALSE)),VLOOKUP(S9,$BN$188:$BP$189,2,FALSE))</f>
        <v>0</v>
      </c>
      <c r="U10" s="345">
        <f>IF(AND(ISNUMBER(MATCH(S9,$BN$188,0))),E10*N10*MAX(MIN(M10-$BU$147,$BU$147),0)+E10*MAX((MIN(M10-$BU$147,-$BU$147)),0),VLOOKUP(S9,$BN$188:$BP$189,2,FALSE))</f>
        <v>0</v>
      </c>
      <c r="V10" s="345">
        <f>IF(AND(ISNUMBER(MATCH(S9,$BN$188,0))),E10*N10*MAX(MIN(M10-2*$BU$147,$BU$147),0)+E10*MAX((MIN(M10-2*$BU$147,-2*$BU$147,-2*$BU$147,$BU$147)),0),VLOOKUP(S9,$BN$188:$BP$189,2,FALSE))</f>
        <v>0</v>
      </c>
      <c r="W10" s="345">
        <f>IF(AND(ISNUMBER(MATCH(S9,$BN$188,0))),E10*N10*MAX(MIN(M10-3*$BU$147,$BU$147),0)+E10*MAX((MIN(M10-3*$BU$147,-3*$BU$147,-3*$BU$147,$BU$147)),0),VLOOKUP(S9,$BN$188:$BP$189,2,FALSE))</f>
        <v>0</v>
      </c>
      <c r="X10" s="345">
        <f>IF(AND(ISNUMBER(MATCH(S9,$BN$188,0))),E10*N10*MAX(MIN(M10-4*$BU$147,$BU$147),0)+E10*MAX((MIN(M10-4*$BU$147,-4*$BU$147,-4*$BU$147,$BU$147)),0),VLOOKUP(S9,$BN$188:$BP$189,2,FALSE))</f>
        <v>0</v>
      </c>
      <c r="Y10" s="345">
        <f>IF(AND(ISNUMBER(MATCH(S9,$BN$188,0))),E10*N10*MAX(MIN(M10-5*$BU$147,$BU$147),0)+E10*MAX((MIN(M10-5*$BU$147,-5*$BU$147,-5*$BU$147,$BU$147)),0),VLOOKUP(S9,$BN$188:$BP$189,2,FALSE))</f>
        <v>0</v>
      </c>
      <c r="Z10" s="345">
        <f>IF(AND(ISNUMBER(MATCH(S9,$BN$189,0))),E10*N10*(MIN(M10,$BU$148)-VLOOKUP(R9,$BN$175:$BP$180,2,FALSE)),VLOOKUP(S9,$BN$188:$BP$189,2,FALSE))</f>
        <v>84.099999999994736</v>
      </c>
      <c r="AA10" s="345">
        <f>IF(AND(ISNUMBER(MATCH(S9,$BN$189,0))),E10*N10*MAX(MIN(M10-$BU$148,$BU$148),0)+E10*MAX((MIN(M10-$BU$148,-$BU$148)),0))-VLOOKUP(S9,$BN$188:$BP$189,2,FALSE)</f>
        <v>0</v>
      </c>
      <c r="AB10" s="345">
        <f>IF(AND(ISNUMBER(MATCH(S9,$BN$189,0))),E10*N10*MAX(MIN(M10-2*$BU$148,$BU$148),0)+E10*MAX((MIN(M10-2*$BU$148,-2*$BU$148,-2*$BU$148,$BU$148)),0))-VLOOKUP(S9,$BN$188:$BP$189,2,FALSE)</f>
        <v>0</v>
      </c>
      <c r="AC10" s="345">
        <f>IF(AND(ISNUMBER(MATCH(S9,$BN$189,0))),E10*N10*MAX(MIN(M10-3*$BU$148,$BU$148),0)+E10*MAX((MIN(M10-3*$BU$148,-3*$BU$148,-3*$BU$148,$BU$148)),0))-VLOOKUP(S9,$BN$188:$BP$189,2,FALSE)</f>
        <v>0</v>
      </c>
      <c r="AD10" s="345">
        <f>IF(AND(ISNUMBER(MATCH(S9,$BN$189,0))),E10*N10*MAX(MIN(M10-4*$BU$148,$BU$148),0)+E10*MAX((MIN(M10-4*$BU$148,-4*$BU$148,-4*$BU$148,$BU$148)),0))-VLOOKUP(S9,$BN$188:$BP$189,2,FALSE)</f>
        <v>0</v>
      </c>
      <c r="AE10" s="345">
        <f>IF(AND(ISNUMBER(MATCH(S9,$BN$189,0))),E10*N10*MAX(MIN(M10-5*$BU$148,$BU$148),0)+E10*MAX((MIN(M10-5*$BU$148,-5*$BU$148,-5*$BU$148,$BU$148)),0))-VLOOKUP(S9,$BN$188:$BP$189,2,FALSE)</f>
        <v>0</v>
      </c>
      <c r="AF10" s="332" t="str">
        <f>IF(MATCH(G9,$BN$114:$BN$116,0)&lt;=2,VLOOKUP((M10),$BN$159:$BO$164,2),"-")</f>
        <v>P</v>
      </c>
      <c r="AG10" s="345">
        <f>IF(AND(MATCH(G9,$BN$114:$BN$116,0)&lt;=2,MATCH(AF10,$BO$159:$BO$164,0)&gt;1),(M10)*E10*2,0)</f>
        <v>168.19999999998947</v>
      </c>
      <c r="AH10" s="828"/>
      <c r="AI10" s="345" t="str">
        <f>IF(AH9=$BN$184,E10*5*$BU$138,IF(AH9=$BN$183,"-","-"))</f>
        <v>-</v>
      </c>
      <c r="AJ10" s="345">
        <f>IF(MATCH(AH9,$BN$183:$BN$185,0)&lt;=2,0,((_xlfn.CEILING.PRECISE(E10/$BU$139))*$BU$140))</f>
        <v>0</v>
      </c>
      <c r="AK10" s="345">
        <f>IF(MATCH(G9,$BN$114:$BN$116,0)=3,0,E10*$BU$176/($BU$175)*2)</f>
        <v>38.666666666666664</v>
      </c>
      <c r="AL10" s="345">
        <f>IF(MATCH(G9,$BN$114:$BN$116,0)=3,0,(E10/$BU$168)*$BU$169*(N10+2*N10))</f>
        <v>3.4799999999999995</v>
      </c>
      <c r="AM10" s="345">
        <f>IF(ISNUMBER(MATCH(F9,$BN$123:$BN$131,0)),E10*N10*$BU$114,0)</f>
        <v>5.8000000000000007</v>
      </c>
      <c r="AN10" s="345">
        <f>IF(AND(ISNUMBER(MATCH(F9,$BN$123:$BN$131,0)),MATCH(AH9,$BN$183:$BN$185,0)=3),E10*N10*$BU$115,0)</f>
        <v>0</v>
      </c>
      <c r="AO10" s="347">
        <f>IF(MATCH(G9,$BN$114:$BN$116,0)&lt;=2,IF(ISNUMBER(MATCH(F9,$BN$136:$BN$145,0)),E10*(N10*(I11+$BU$116+$BU$117)-(((I11/2)^2)*(IF((M10-$BU$116)&lt;I11,2*ACOS(1-(((M10-$BU$116)*2/I11))),2*PI())-SIN(IF((M10-$BU$116)&lt;I11,2*ACOS(1-(((M10-$BU$116)*2/I11))),2*PI()))))/2),0)+IF(ISNUMBER(MATCH(F9,$BN$132:$BN$133,0)),E10*(N10*(VLOOKUP(I10,$CZ$115:$DC$121,3,FALSE)/1000+IF(I10&lt;=600,$BU$119,$BU$120)+$BU$117)-(((VLOOKUP(I10,$CZ$115:$DC$121,3,FALSE)/2000)^2)*(IF((M10-IF(I10&lt;=600,$BU$119,$BU$120))&lt;VLOOKUP(I10,$CZ$115:$DC$121,3,FALSE)/1000,2*ACOS(1-((M10-IF(I10&lt;=600,$BU$119,$BU$120))*2/VLOOKUP(I10,$CZ$115:$DC$121,3,FALSE)/1000)),2*PI())-SIN(IF((M10-IF(I10&lt;=600,$BU$119,$BU$120))&lt;VLOOKUP(I10,$CZ$115:$DC$121,3,FALSE)/1000,2*ACOS(1-((M10-IF(I10&lt;=600,$BU$119,$BU$120))*2/VLOOKUP(I10,$CZ$115:$DC$121,3,FALSE)/1000)),2*PI()))))/2),0)+IF(ISNUMBER(MATCH(F9,$BN$134:$BN$135,0)),E10*(N10*(VLOOKUP(I10,$DE$115:$DH$127,3,FALSE)/1000+IF(I10&lt;=600,$BU$119,$BU$120)+$BU$117)-(((VLOOKUP(I10,$DE$115:$DH$127,3,FALSE)/2000)^2)*(IF((M10-IF(I10&lt;=600,$BU$119,$BU$120))&lt;VLOOKUP(I10,$DE$115:$DH$127,3,FALSE)/1000,2*ACOS(1-((M10-IF(I10&lt;=600,$BU$119,$BU$120))*2/VLOOKUP(I10,$DE$115:$DH$127,3,FALSE)/1000)),2*PI())-SIN(IF((M10-IF(I10&lt;=600,$BU$119,$BU$120))&lt;VLOOKUP(I10,$DE$115:$DH$127,3,FALSE)/1000,2*ACOS(1-((M10-IF(I10&lt;=600,$BU$119,$BU$120))*2/VLOOKUP(I10,$DE$115:$DH$127,3,FALSE)/1000)),2*PI()))))/2),0),0)</f>
        <v>0</v>
      </c>
      <c r="AP10" s="345">
        <f>E10</f>
        <v>58</v>
      </c>
      <c r="AQ10" s="345">
        <f>IF(ISNUMBER(MATCH(F9,$BN$123:$BN$131,0)),N10*E10*MAX(IF($BU$121=2,IF((M10-$BU$114-I11-$BU$124-VLOOKUP(R9,$BN$175:$BO$179,2,FALSE))&lt;$BU$123,(M10-$BU$114-I11-$BU$124-VLOOKUP(R9,$BN$175:$BO$179,2,FALSE)),IF((M10-$BU$114-I11-$BU$124-VLOOKUP(R9,$BN$175:$BO$179,2,FALSE))&lt;2*$BU$123,$BU$123,(M10-$BU$114-I11-$BU$124-VLOOKUP(R9,$BN$175:$BO$179,2,FALSE))/2)),M10-$BU$114-I11-$BU$122-VLOOKUP(R9,$BN$175:$BO$179,2,FALSE)),0),0)+IF(ISNUMBER(MATCH(F9,$BN$136:$BN$150,0)),N10*E10*MAX(IF((M10-$BU$116-$BU$117-I11-VLOOKUP(R9,$BN$175:$BO$179,2,FALSE))&lt;$BU$123,(M10-$BU$116-$BU$117-I11-VLOOKUP(R9,$BN$175:$BO$179,2,FALSE)),IF((M10-$BU$116-$BU$117-I11-VLOOKUP(R9,$BN$175:$BO$179,2,FALSE))&lt;2*$BU$123,$BU$123,(M10-$BU$116-$BU$117-I11-VLOOKUP(R9,$BN$175:$BO$179,2,FALSE))/2)),0),0)+IF(ISNUMBER(MATCH(F9,$BN$132:$BN$133,0)),N10*E10*MAX(IF((M10-IF(I10&lt;=600,$BU$119,$BU$120)-$BU$117-VLOOKUP(I10,$CZ$115:$DC$121,3,FALSE)/1000-VLOOKUP(R9,$BN$175:$BO$179,2,FALSE))&lt;$BU$123,(M10-IF(I10&lt;=600,$BU$119,$BU$120)-$BU$117-VLOOKUP(I10,$CZ$115:$DC$121,3,FALSE)/1000-VLOOKUP(R9,$BN$175:$BO$179,2,FALSE)),IF((M10-IF(I10&lt;=600,$BU$119,$BU$120)-$BU$117-VLOOKUP(I10,$CZ$115:$DC$121,3,FALSE)/1000-VLOOKUP(R9,$BN$175:$BO$179,2,FALSE))&lt;2*$BU$123,$BU$123,(M10-IF(I10&lt;=600,$BU$119,$BU$120)-$BU$117-VLOOKUP(I10,$CZ$115:$DC$121,3,FALSE)/1000-VLOOKUP(R9,$BN$175:$BO$179,2,FALSE))/2)),0),0)+IF(ISNUMBER(MATCH(F9,$BN$134:$BN$135,0)),N10*E10*MAX(IF((M10-IF(I10&lt;=600,$BU$119,$BU$120)-$BU$117-VLOOKUP(I10,$DE$115:$DH$127,3,FALSE)/1000-VLOOKUP(R9,$BN$175:$BO$179,2,FALSE))&lt;$BU$123,(M10-IF(I10&lt;=600,$BU$119,$BU$120)-$BU$117-VLOOKUP(I10,$DE$115:$DH$127,3,FALSE)/1000-VLOOKUP(R9,$BN$175:$BO$179,2,FALSE)),IF((M10-IF(I10&lt;=600,$BU$119,$BU$120)-$BU$117-VLOOKUP(I10,$DE$115:$DH$127,3,FALSE)/1000-VLOOKUP(R9,$BN$175:$BO$179,2,FALSE))&lt;2*$BU$123,$BU$123,(M10-IF(I10&lt;=600,$BU$119,$BU$120)-$BU$117-VLOOKUP(I10,$DE$115:$DH$127,3,FALSE)/1000-VLOOKUP(R9,$BN$175:$BO$179,2,FALSE))/2)),0),0)</f>
        <v>23.200000000000003</v>
      </c>
      <c r="AR10" s="345">
        <f>IF(ISNUMBER(MATCH(F9,$BN$123:$BN$131,0)),E10*MAX(N10*IF($BU$121=2,IF((M10-$BU$114-I11-$BU$124-VLOOKUP(R9,$BN$175:$BO$179,2,FALSE))&lt;$BU$123,I11+$BU$124,IF((M10-$BU$114-I11-$BU$124-VLOOKUP(R9,$BN$175:$BO$179,2,FALSE))&lt;2*$BU$123,I11+$BU$124+(M10-$BU$114-I11-$BU$124-VLOOKUP(R9,$BN$175:$BO$179,2,FALSE))-$BU$123,I11+$BU$124+(M10-$BU$114-I11-$BU$124-VLOOKUP(R9,$BN$175:$BO$179,2,FALSE))/2)),MAX(MIN(M10-$BU$114-I11-VLOOKUP(R9,$BN$175:$BO$179,2,FALSE),I11+$BU$122),0))-IF((M10-$BU$114)&lt;I11,((I11/2)^2)*(2*ACOS(1-(((M10-$BU$114)*2/I11)))-SIN(2*ACOS(1-(((M10-$BU$114)*2/I11)))))/2,PI()*(I11/2)^2),0),0)+IF(ISNUMBER(MATCH(F9,$BN$136:$BN$150,0)),N10*E10*MAX(IF((M10-$BU$116-$BU$117-I11-VLOOKUP(R9,$BN$175:$BO$179,2,FALSE))&lt;$BU$123,0,IF((M10-$BU$116-$BU$117-I11-VLOOKUP(R9,$BN$175:$BO$179,2,FALSE))&lt;2*$BU$123,(M10-$BU$116-$BU$117-I11-VLOOKUP(R9,$BN$175:$BO$179,2,FALSE))-$BU$123,(M10-$BU$116-$BU$117-I11-VLOOKUP(R9,$BN$175:$BO$179,2,FALSE))/2)),0),0)+IF(ISNUMBER(MATCH(F9,$BN$132:$BN$133,0)),N10*E10*MAX(IF((M10-IF(I10&lt;=600,$BU$119,$BU$120)-$BU$117-VLOOKUP(I10,$CZ$115:$DC$121,3,FALSE)/1000-VLOOKUP(R9,$BN$175:$BO$179,2,FALSE))&lt;$BU$123,0,IF((M10-IF(I10&lt;=600,$BU$119,$BU$120)-$BU$117-VLOOKUP(I10,$CZ$115:$DC$121,3,FALSE)/1000-VLOOKUP(R9,$BN$175:$BO$179,2,FALSE))&lt;2*$BU$123,(M10-IF(I10&lt;=600,$BU$119,$BU$120)-$BU$117-VLOOKUP(I10,$CZ$115:$DC$121,3,FALSE)/1000-VLOOKUP(R9,$BN$175:$BO$179,2,FALSE))-$BU$123,(M10-IF(I10&lt;=600,$BU$119,$BU$120)-$BU$117-VLOOKUP(I10,$CZ$115:$DC$121,3,FALSE)/1000-VLOOKUP(R9,$BN$175:$BO$179,2,FALSE))/2)),0),0)+IF(ISNUMBER(MATCH(F9,$BN$134:$BN$135,0)),N10*E10*MAX(IF((M10-IF(I10&lt;=600,$BU$119,$BU$120)-$BU$117-VLOOKUP(I10,$DE$115:$DH$127,3,FALSE)/1000-VLOOKUP(R9,$BN$175:$BO$179,2,FALSE))&lt;$BU$123,0,IF((M10-IF(I10&lt;=600,$BU$119,$BU$120)-$BU$117-VLOOKUP(I10,$DE$115:$DH$127,3,FALSE)/1000-VLOOKUP(R9,$BN$175:$BO$179,2,FALSE))&lt;2*$BU$123,(M10-IF(I10&lt;=600,$BU$119,$BU$120)-$BU$117-VLOOKUP(I10,$DE$115:$DH$127,3,FALSE)/1000-VLOOKUP(R9,$BN$175:$BO$179,2,FALSE))-$BU$123,(M10-IF(I10&lt;=600,$BU$119,$BU$120)-$BU$117-VLOOKUP(I10,$DE$115:$DH$127,3,FALSE)/1000-VLOOKUP(R9,$BN$175:$BO$179,2,FALSE))/2)),0),0)</f>
        <v>42.207381271745561</v>
      </c>
      <c r="AS10" s="345">
        <f>IF(MATCH(G9,$BN$114:$BN$116,0)=3,0,IF(MATCH(R9,$BN$175:$BN$177,0)&gt;=1,E10*(N10),0))</f>
        <v>58</v>
      </c>
      <c r="AT10" s="345">
        <f>IF(AND(MATCH(G9,$BN$114:$BN$116,0)&lt;=2,MATCH(R9,$BN$175:$BN$179,0)&gt;1,NOT(AND(MATCH(R9,$BN$175:$BN$179,0)&gt;1,))),E10*(N10+2*VLOOKUP(R9,$BN$175:$BP$179,3,FALSE))*IF(OR(MATCH(R9,$BN$175:$BN$179,0)=3,MATCH(R9,$BN$175:$BN$179,0)=3),VLOOKUP(R9,$BN$175:$BP$179,2,FALSE),1),0)</f>
        <v>0</v>
      </c>
      <c r="AU10" s="345">
        <f>IF(AND(MATCH(G9,$BN$114:$BN$116,0)&lt;=2,MATCH(R9,$BN$175:$BN$179,0)=2),E10*(N10+2*VLOOKUP(R9,$BN$175:$BP$179,3,FALSE)),0)</f>
        <v>0</v>
      </c>
      <c r="AV10" s="345">
        <f>IF(AND(MATCH(G9,$BN$114:$BN$116,0)&lt;=2,MATCH(R9,$BN$175:$BN$179,0)=2),E10*(N10+2*VLOOKUP(R9,$BN$175:$BP$179,3,FALSE)),0)*$AV$7</f>
        <v>0</v>
      </c>
      <c r="AW10" s="345">
        <f>IF(AND(MATCH(G9,$BN$114:$BN$116,0)&lt;=2,MATCH(R9,$BN$175:$BN$179,0)=2),E10*(N10+2*VLOOKUP(R9,$BN$175:$BP$179,3,FALSE)),0)*$AW$7</f>
        <v>0</v>
      </c>
      <c r="AX10" s="345">
        <f>IF(AND(MATCH(G9,$BN$114:$BN$116,0)&lt;=2,MATCH(R9,$BN$175:$BN$179,0)=2),E10*(N10+2*VLOOKUP(R9,$BN$175:$BP$179,3,FALSE)),0)</f>
        <v>0</v>
      </c>
      <c r="AY10" s="345">
        <f>IF(AND(MATCH(G9,$BN$114:$BN$116,0)&lt;=2,MATCH(R9,$BN$175:$BN$179,0)=2),E10*(N10+2*VLOOKUP(R9,$BN$175:$BP$179,3,FALSE)),0)*$AY$7</f>
        <v>0</v>
      </c>
      <c r="AZ10" s="345">
        <f>IF(MATCH(R9,$BN$175:$BN$179,0)=3,E10*(N10+2*VLOOKUP(R9,$BN$175:$BP$179,3,FALSE)),0)</f>
        <v>0</v>
      </c>
      <c r="BA10" s="345">
        <f>MAX(SUM(T10:AE10)-AQ10-AR10,0)*$BU$157</f>
        <v>24.300404346723926</v>
      </c>
      <c r="BB10" s="345">
        <f>BA10*$BU$162</f>
        <v>364.50606520085887</v>
      </c>
      <c r="BC10" s="345">
        <f>AM10*$BU$159</f>
        <v>5.8000000000000007</v>
      </c>
      <c r="BD10" s="345">
        <f>BC10*$BU$164</f>
        <v>87.000000000000014</v>
      </c>
      <c r="BE10" s="345">
        <f>(AN10+AO10)*$BU$160</f>
        <v>0</v>
      </c>
      <c r="BF10" s="345">
        <f>BE10*$BU$165</f>
        <v>0</v>
      </c>
      <c r="BG10" s="345">
        <f>IF(MATCH(G9,$BN$114:$BN$116,0)&lt;=2,(E10*(N10+2*VLOOKUP(R9,$BN$175:$BP$179,3,FALSE))*VLOOKUP(R9,$BN$175:$BO$179,2,FALSE))*$BU$161,0)</f>
        <v>0</v>
      </c>
      <c r="BH10" s="345">
        <f>BG10*$BU$166</f>
        <v>0</v>
      </c>
      <c r="BI10" s="345">
        <f>AY10*$BI$1*$BI$2*$BI$3</f>
        <v>0</v>
      </c>
      <c r="BJ10" s="347">
        <f>E10*(IF(ISNUMBER(MATCH(F9,$BN$123,0)),VLOOKUP(I10,$BW$117:$BY$130,3,FALSE)/1000,0)+IF(ISNUMBER(MATCH(F9,$BN$124,0)),VLOOKUP(I10,$BW$115:$BZ$130,4,FALSE)/1000,0)+IF(ISNUMBER(MATCH(F9,$BN$125:$BN$131,0)),VLOOKUP(I10,$DJ$115:$DM$125,4,FALSE)/1000,0)+IF(ISNUMBER(MATCH(F9,$BN$132:$BN$133,0)),VLOOKUP(I10,$CZ$115:$DD121,5,FALSE)/1000,0)+IF(ISNUMBER(MATCH(F9,$BN$134:$BN$135,0)),VLOOKUP(I10,$DE$115:$DI$126,5,FALSE)/1000,0)+IF(ISNUMBER(MATCH(F9,$BN$136:$BN$136,0)),VLOOKUP(I10,$BW$115:$CA$130,5,FALSE)/1000,0)+IF(ISNUMBER(MATCH(F9,$BN$137:$BN$137,0)),VLOOKUP(I10,$CH$115:$CL$121,4,FALSE)/1000,0)+IF(ISNUMBER(MATCH(F9,$BN$138:$BN$138,0)),VLOOKUP(I10,$CH$115:$CL$121,5,FALSE)/1000,0)+IF(ISNUMBER(MATCH(F9,$BN$139:$BN$139,0)),VLOOKUP(I10,$CB$115:$CG$118,4,FALSE)/1000,0)+IF(ISNUMBER(MATCH(F9,$BN$140:$BN$140,0)),VLOOKUP(I10,$CB$115:$CG$118,5,FALSE)/1000,0)+IF(ISNUMBER(MATCH(F9,$BN$141:$BN$141,0)),VLOOKUP(I10,$CB$115:$CG$118,6,FALSE)/1000,0)+IF(ISNUMBER(MATCH(F9,$BN$142:$BN$142,0)),VLOOKUP(I10,$CP$115:$CT$134,3,FALSE)/1000,0)+IF(ISNUMBER(MATCH(F9,$BN$143:$BN$143,0)),VLOOKUP(I10,$CP$115:$CT$134,4,FALSE)/1000,0)+IF(ISNUMBER(MATCH(F9,$BN$144:$BN$144,0)),VLOOKUP(I10,$CP$115:$CT$134,5,FALSE)/1000,0)+IF(ISNUMBER(MATCH(F9,$BN$145:$BN$145,0)),VLOOKUP(I10,$CM$115:$CO$151,3,FALSE)/1000,0))</f>
        <v>6.1538000000000004</v>
      </c>
      <c r="BK10" s="347">
        <f>BJ10*$BU$167</f>
        <v>184.614</v>
      </c>
      <c r="BL10" s="345">
        <f>(E10*(2*$BU$177+N10))</f>
        <v>92.800000000000011</v>
      </c>
      <c r="BM10" s="348"/>
      <c r="BN10" s="339"/>
      <c r="BO10" s="339"/>
      <c r="CG10" s="330"/>
    </row>
    <row r="11" spans="1:85" ht="15" customHeight="1">
      <c r="A11" s="349"/>
      <c r="B11" s="349"/>
      <c r="C11" s="350"/>
      <c r="D11" s="350"/>
      <c r="E11" s="351"/>
      <c r="F11" s="836"/>
      <c r="G11" s="839"/>
      <c r="H11" s="839"/>
      <c r="I11" s="352">
        <f>IF(OR(ISNUMBER(MATCH(F9,$BN$123:$BN$124,0)),ISNUMBER(MATCH(F9,$BN$136:$BN$136,0))),VLOOKUP(I10,$BW$115:$BX$135,2,FALSE)/1000,0)+IF(ISNUMBER(MATCH(F9,$BN$137:$BN$138,0)),VLOOKUP(I10,$CH$115:$CJ$121,3,FALSE)/1000,0)+IF(ISNUMBER(MATCH(F9,$BN$139:$BN$141,0)),VLOOKUP(I10,$CB$115:$CD$118,3,FALSE)/1000,0)+IF(ISNUMBER(MATCH(F9,$BN$142:$BN$144,0)),VLOOKUP(I10,$CP$115:$CQ$134,2,FALSE)/1000,0)+IF(ISNUMBER(MATCH(F9,$BN$132:$BN$133,0)),VLOOKUP(I10,$CZ$115:$DC$121,4,FALSE)/1000,0)+IF(ISNUMBER(MATCH(F9,$BN$134:$BN$135,0)),VLOOKUP(I10,$DE$115:$DH$127,4,FALSE)/1000,0)+IF(ISNUMBER(MATCH(F9,$BN$145:$BN$145,0)),VLOOKUP(I10,$CM$115:$CN$151,2,FALSE)/1000,0)+IF(ISNUMBER(MATCH(F9,$BN$125:$BN$131,0)),VLOOKUP(I10,$DJ$115:$DL$127,3,FALSE)/1000,0)</f>
        <v>0.53200000000000003</v>
      </c>
      <c r="J11" s="353">
        <v>662.29</v>
      </c>
      <c r="K11" s="353">
        <v>660.94</v>
      </c>
      <c r="L11" s="354">
        <f>J11-K11</f>
        <v>1.3499999999999091</v>
      </c>
      <c r="M11" s="355"/>
      <c r="N11" s="354"/>
      <c r="O11" s="354"/>
      <c r="P11" s="354"/>
      <c r="Q11" s="354"/>
      <c r="R11" s="829"/>
      <c r="S11" s="829"/>
      <c r="T11" s="354"/>
      <c r="U11" s="354"/>
      <c r="V11" s="354"/>
      <c r="W11" s="354"/>
      <c r="X11" s="354"/>
      <c r="Y11" s="354"/>
      <c r="Z11" s="354"/>
      <c r="AA11" s="354"/>
      <c r="AB11" s="354"/>
      <c r="AC11" s="354"/>
      <c r="AD11" s="354"/>
      <c r="AE11" s="354"/>
      <c r="AF11" s="349"/>
      <c r="AG11" s="354"/>
      <c r="AH11" s="829"/>
      <c r="AI11" s="354"/>
      <c r="AJ11" s="354"/>
      <c r="AK11" s="354"/>
      <c r="AL11" s="354"/>
      <c r="AM11" s="354"/>
      <c r="AN11" s="354"/>
      <c r="AO11" s="356"/>
      <c r="AP11" s="354"/>
      <c r="AQ11" s="354"/>
      <c r="AR11" s="354"/>
      <c r="AS11" s="354"/>
      <c r="AT11" s="354"/>
      <c r="AU11" s="354"/>
      <c r="AV11" s="354"/>
      <c r="AW11" s="354"/>
      <c r="AX11" s="354"/>
      <c r="AY11" s="354"/>
      <c r="AZ11" s="354"/>
      <c r="BA11" s="354"/>
      <c r="BB11" s="354"/>
      <c r="BC11" s="354"/>
      <c r="BD11" s="354"/>
      <c r="BE11" s="354"/>
      <c r="BF11" s="354"/>
      <c r="BG11" s="354"/>
      <c r="BH11" s="354"/>
      <c r="BI11" s="354"/>
      <c r="BJ11" s="356"/>
      <c r="BK11" s="356"/>
      <c r="BL11" s="354"/>
      <c r="BM11" s="330"/>
      <c r="BN11" s="339"/>
      <c r="BO11" s="339"/>
      <c r="CG11" s="330"/>
    </row>
    <row r="12" spans="1:85" ht="15" customHeight="1">
      <c r="A12" s="357"/>
      <c r="B12" s="357"/>
      <c r="C12" s="357"/>
      <c r="D12" s="357"/>
      <c r="E12" s="358"/>
      <c r="F12" s="359"/>
      <c r="G12" s="357"/>
      <c r="H12" s="357"/>
      <c r="I12" s="357"/>
      <c r="J12" s="360"/>
      <c r="K12" s="360"/>
      <c r="L12" s="361"/>
      <c r="M12" s="361"/>
      <c r="N12" s="357"/>
      <c r="O12" s="357"/>
      <c r="P12" s="361"/>
      <c r="Q12" s="361"/>
      <c r="R12" s="362"/>
      <c r="S12" s="361"/>
      <c r="T12" s="357"/>
      <c r="U12" s="357"/>
      <c r="V12" s="357"/>
      <c r="W12" s="357"/>
      <c r="X12" s="357"/>
      <c r="Y12" s="357"/>
      <c r="Z12" s="357"/>
      <c r="AA12" s="357"/>
      <c r="AB12" s="357"/>
      <c r="AC12" s="357"/>
      <c r="AD12" s="357"/>
      <c r="AE12" s="357"/>
      <c r="AF12" s="357"/>
      <c r="AG12" s="361"/>
      <c r="AH12" s="357"/>
      <c r="AI12" s="357"/>
      <c r="AJ12" s="357"/>
      <c r="AK12" s="361"/>
      <c r="AL12" s="361"/>
      <c r="AM12" s="357"/>
      <c r="AN12" s="357"/>
      <c r="AO12" s="361"/>
      <c r="AP12" s="357"/>
      <c r="AQ12" s="357"/>
      <c r="AR12" s="357"/>
      <c r="AS12" s="357"/>
      <c r="AT12" s="357"/>
      <c r="AU12" s="357"/>
      <c r="AV12" s="357"/>
      <c r="AW12" s="357"/>
      <c r="AX12" s="357"/>
      <c r="AY12" s="357"/>
      <c r="AZ12" s="357"/>
      <c r="BA12" s="357"/>
      <c r="BB12" s="357"/>
      <c r="BC12" s="357"/>
      <c r="BD12" s="357"/>
      <c r="BE12" s="357"/>
      <c r="BF12" s="361"/>
      <c r="BG12" s="357"/>
      <c r="BH12" s="357"/>
      <c r="BI12" s="357"/>
      <c r="BJ12" s="357"/>
      <c r="BK12" s="357"/>
      <c r="BM12" s="330"/>
      <c r="BO12" s="363"/>
      <c r="CG12" s="330"/>
    </row>
    <row r="13" spans="1:85" s="372" customFormat="1" ht="15" customHeight="1">
      <c r="A13" s="866" t="s">
        <v>537</v>
      </c>
      <c r="B13" s="866"/>
      <c r="C13" s="866"/>
      <c r="D13" s="615">
        <v>500</v>
      </c>
      <c r="E13" s="616">
        <f>SUM(E9:E12)</f>
        <v>58</v>
      </c>
      <c r="F13" s="364"/>
      <c r="G13" s="365"/>
      <c r="H13" s="365"/>
      <c r="I13" s="365"/>
      <c r="J13" s="366"/>
      <c r="K13" s="367"/>
      <c r="L13" s="367"/>
      <c r="M13" s="368"/>
      <c r="N13" s="368"/>
      <c r="O13" s="368"/>
      <c r="P13" s="616">
        <f>SUM(P9:P12)</f>
        <v>58</v>
      </c>
      <c r="Q13" s="616">
        <f>SUM(Q9:Q12)</f>
        <v>92.800000000000011</v>
      </c>
      <c r="R13" s="369"/>
      <c r="S13" s="368"/>
      <c r="T13" s="370">
        <f t="shared" ref="T13:AE13" si="0">SUM(T9:T12)</f>
        <v>0</v>
      </c>
      <c r="U13" s="370">
        <f t="shared" si="0"/>
        <v>0</v>
      </c>
      <c r="V13" s="370">
        <f t="shared" si="0"/>
        <v>0</v>
      </c>
      <c r="W13" s="370">
        <f t="shared" si="0"/>
        <v>0</v>
      </c>
      <c r="X13" s="370">
        <f t="shared" si="0"/>
        <v>0</v>
      </c>
      <c r="Y13" s="370">
        <f t="shared" si="0"/>
        <v>0</v>
      </c>
      <c r="Z13" s="616">
        <f t="shared" si="0"/>
        <v>84.099999999994736</v>
      </c>
      <c r="AA13" s="370">
        <f t="shared" si="0"/>
        <v>0</v>
      </c>
      <c r="AB13" s="370">
        <f t="shared" si="0"/>
        <v>0</v>
      </c>
      <c r="AC13" s="370">
        <f t="shared" si="0"/>
        <v>0</v>
      </c>
      <c r="AD13" s="370">
        <f t="shared" si="0"/>
        <v>0</v>
      </c>
      <c r="AE13" s="370">
        <f t="shared" si="0"/>
        <v>0</v>
      </c>
      <c r="AF13" s="615" t="s">
        <v>538</v>
      </c>
      <c r="AG13" s="617">
        <f>SUMIF(AF$9:AF$12,AF13,AG$9:AG$12)</f>
        <v>168.19999999998947</v>
      </c>
      <c r="AH13" s="368"/>
      <c r="AI13" s="370">
        <f>SUM(AI9:AI12)</f>
        <v>0</v>
      </c>
      <c r="AJ13" s="370">
        <f>SUM(AJ9:AJ12)</f>
        <v>0</v>
      </c>
      <c r="AK13" s="617">
        <f>SUM(AK9:AK12)</f>
        <v>38.666666666666664</v>
      </c>
      <c r="AL13" s="617">
        <f>SUM(AL9:AL12)</f>
        <v>3.4799999999999995</v>
      </c>
      <c r="AM13" s="617">
        <f>SUM(AM9:AM12)</f>
        <v>5.8000000000000007</v>
      </c>
      <c r="AN13" s="617">
        <f t="shared" ref="AN13:AO13" si="1">SUM(AN9:AN12)</f>
        <v>0</v>
      </c>
      <c r="AO13" s="617">
        <f t="shared" si="1"/>
        <v>0</v>
      </c>
      <c r="AP13" s="617">
        <f>SUM(AP9:AP12)</f>
        <v>58</v>
      </c>
      <c r="AQ13" s="617">
        <f t="shared" ref="AQ13:BA13" si="2">SUM(AQ9:AQ12)</f>
        <v>23.200000000000003</v>
      </c>
      <c r="AR13" s="617">
        <f t="shared" si="2"/>
        <v>42.207381271745561</v>
      </c>
      <c r="AS13" s="616">
        <f>SUM(AS9:AS12)</f>
        <v>58</v>
      </c>
      <c r="AT13" s="617">
        <f t="shared" si="2"/>
        <v>0</v>
      </c>
      <c r="AU13" s="617">
        <f t="shared" si="2"/>
        <v>0</v>
      </c>
      <c r="AV13" s="617">
        <f t="shared" si="2"/>
        <v>0</v>
      </c>
      <c r="AW13" s="617">
        <f t="shared" si="2"/>
        <v>0</v>
      </c>
      <c r="AX13" s="617">
        <f t="shared" si="2"/>
        <v>0</v>
      </c>
      <c r="AY13" s="617">
        <f t="shared" si="2"/>
        <v>0</v>
      </c>
      <c r="AZ13" s="617">
        <f t="shared" si="2"/>
        <v>0</v>
      </c>
      <c r="BA13" s="617">
        <f t="shared" si="2"/>
        <v>24.300404346723926</v>
      </c>
      <c r="BB13" s="617">
        <f t="shared" ref="BB13:BL13" si="3">SUM(BB9:BB12)</f>
        <v>364.50606520085887</v>
      </c>
      <c r="BC13" s="617">
        <f t="shared" si="3"/>
        <v>5.8000000000000007</v>
      </c>
      <c r="BD13" s="617">
        <f t="shared" si="3"/>
        <v>87.000000000000014</v>
      </c>
      <c r="BE13" s="370">
        <f t="shared" si="3"/>
        <v>0</v>
      </c>
      <c r="BF13" s="370">
        <f t="shared" si="3"/>
        <v>0</v>
      </c>
      <c r="BG13" s="370">
        <f t="shared" si="3"/>
        <v>0</v>
      </c>
      <c r="BH13" s="370">
        <f t="shared" si="3"/>
        <v>0</v>
      </c>
      <c r="BI13" s="370">
        <f t="shared" si="3"/>
        <v>0</v>
      </c>
      <c r="BJ13" s="617">
        <f t="shared" si="3"/>
        <v>6.1538000000000004</v>
      </c>
      <c r="BK13" s="617">
        <f t="shared" si="3"/>
        <v>184.614</v>
      </c>
      <c r="BL13" s="617">
        <f t="shared" si="3"/>
        <v>92.800000000000011</v>
      </c>
      <c r="BM13" s="371"/>
      <c r="BO13" s="373"/>
      <c r="CG13" s="371"/>
    </row>
    <row r="14" spans="1:85" ht="15" customHeight="1">
      <c r="A14" s="867"/>
      <c r="B14" s="867"/>
      <c r="C14" s="867"/>
      <c r="F14" s="868"/>
      <c r="G14" s="868"/>
      <c r="H14" s="868"/>
      <c r="I14" s="868"/>
      <c r="J14" s="868"/>
      <c r="K14" s="374"/>
      <c r="L14" s="374"/>
      <c r="M14" s="320"/>
      <c r="N14" s="374"/>
      <c r="O14" s="374"/>
      <c r="P14" s="374"/>
      <c r="Q14" s="374"/>
      <c r="R14" s="375"/>
      <c r="S14" s="375"/>
      <c r="T14" s="376"/>
      <c r="U14" s="374"/>
      <c r="V14" s="374"/>
      <c r="W14" s="320"/>
      <c r="X14" s="320"/>
      <c r="Y14" s="320"/>
      <c r="Z14" s="320"/>
      <c r="AA14" s="320"/>
      <c r="AB14" s="320"/>
      <c r="AC14" s="320"/>
      <c r="AD14" s="320"/>
      <c r="AE14" s="320"/>
      <c r="AF14" s="374" t="s">
        <v>539</v>
      </c>
      <c r="AG14" s="370">
        <f>SUMIF(AF$9:AF$12,AF14,AG$9:AG$12)</f>
        <v>0</v>
      </c>
      <c r="AH14" s="320"/>
      <c r="AI14" s="374"/>
      <c r="AJ14" s="320"/>
      <c r="AK14" s="374"/>
      <c r="AL14" s="374"/>
      <c r="AM14" s="374"/>
      <c r="AN14" s="320"/>
      <c r="AO14" s="320"/>
      <c r="AP14" s="320"/>
      <c r="AQ14" s="377"/>
      <c r="AR14" s="374"/>
      <c r="AS14" s="374"/>
      <c r="AT14" s="378"/>
      <c r="AU14" s="374"/>
      <c r="AV14" s="374"/>
      <c r="AW14" s="374"/>
      <c r="AX14" s="374"/>
      <c r="AY14" s="374"/>
      <c r="AZ14" s="374"/>
      <c r="BA14" s="374"/>
      <c r="BB14" s="374"/>
      <c r="BC14" s="374"/>
      <c r="BD14" s="320"/>
      <c r="BE14" s="374"/>
      <c r="BF14" s="320"/>
      <c r="BH14" s="374"/>
      <c r="BI14" s="374"/>
      <c r="BK14" s="374"/>
      <c r="BM14" s="330"/>
      <c r="CG14" s="330"/>
    </row>
    <row r="15" spans="1:85" ht="15" customHeight="1">
      <c r="A15" s="867"/>
      <c r="B15" s="867"/>
      <c r="C15" s="867"/>
      <c r="D15" s="374"/>
      <c r="E15" s="508"/>
      <c r="G15" s="319" t="s">
        <v>540</v>
      </c>
      <c r="I15" s="370"/>
      <c r="J15" s="319">
        <v>0</v>
      </c>
      <c r="K15" s="319" t="s">
        <v>541</v>
      </c>
      <c r="L15" s="375"/>
      <c r="N15" s="375" t="str">
        <f>CONCATENATE($BN$119," Nível de Interferência - vala até ",FIXED($BU$141,2)," m")</f>
        <v>Alto Nível de Interferência - vala até 0,80 m</v>
      </c>
      <c r="P15" s="375"/>
      <c r="Q15" s="375"/>
      <c r="S15" s="375"/>
      <c r="T15" s="370">
        <f>SUMIFS($T$10:$T$13,$H$9:$H$12,$BN$119,$N$10:$N$13,"&lt;=0,8")</f>
        <v>0</v>
      </c>
      <c r="U15" s="370">
        <f>SUMIFS($U$10:$U$13,$H$9:$H$12,$BN$119,$N$10:$N$13,"&lt;=0,8")</f>
        <v>0</v>
      </c>
      <c r="V15" s="370">
        <f>SUMIFS($V$10:$V$13,$H$9:$H$12,$BN$119,$N$10:$N$13,"&lt;=0,8")</f>
        <v>0</v>
      </c>
      <c r="W15" s="370">
        <f>SUMIFS($W$10:$W$13,$H$9:$H$12,$BN$119,$N$10:$N$13,"&lt;=0,8")</f>
        <v>0</v>
      </c>
      <c r="X15" s="370">
        <f>SUMIFS($X$10:$X$13,$H$9:$H$12,$BN$119,$N$10:$N$13,"&lt;=0,8")</f>
        <v>0</v>
      </c>
      <c r="Y15" s="370">
        <f>SUMIFS($Y$10:$Y$13,$H$9:$H$12,$BN$119,$N$10:$N$13,"&lt;=0,8")</f>
        <v>0</v>
      </c>
      <c r="AA15" s="379"/>
      <c r="AC15" s="379"/>
      <c r="AF15" s="374" t="s">
        <v>542</v>
      </c>
      <c r="AG15" s="370">
        <f>SUMIF(AF$9:AF$12,AF15,AG$9:AG$12)</f>
        <v>0</v>
      </c>
      <c r="AK15" s="618" t="s">
        <v>543</v>
      </c>
      <c r="AL15" s="619"/>
      <c r="AM15" s="617">
        <f>SUMIFS($AM$10:$AM$13,$N$10:$N$13,"&gt;0,0",$N$10:$N$13,"&lt;=1,5")</f>
        <v>5.8000000000000007</v>
      </c>
      <c r="AO15" s="375"/>
      <c r="AQ15" s="375"/>
      <c r="AS15" s="616">
        <f>SUMIFS($AS$10:$AS$13,$N$10:$N$13,"&gt;0,0",$N$10:$N$13,"&lt;=1,5")</f>
        <v>58</v>
      </c>
      <c r="AU15" s="368"/>
      <c r="AV15" s="368"/>
      <c r="AW15" s="368"/>
      <c r="AX15" s="368"/>
      <c r="AY15" s="368"/>
      <c r="BB15" s="380"/>
      <c r="BI15" s="368"/>
      <c r="BM15" s="330"/>
      <c r="CG15" s="330"/>
    </row>
    <row r="16" spans="1:85" ht="15" customHeight="1">
      <c r="A16" s="867"/>
      <c r="B16" s="867"/>
      <c r="C16" s="867"/>
      <c r="D16" s="374"/>
      <c r="E16" s="508"/>
      <c r="G16" s="319" t="s">
        <v>544</v>
      </c>
      <c r="I16" s="370"/>
      <c r="J16" s="363">
        <f>ROUNDUP(AVERAGE(N9:N12),1)</f>
        <v>1</v>
      </c>
      <c r="K16" s="319" t="s">
        <v>4</v>
      </c>
      <c r="L16" s="375"/>
      <c r="N16" s="375" t="str">
        <f>CONCATENATE($BN$119," Nível de Interferência - vala de ",FIXED($BU$141,2)," - ",FIXED($BU$142,2)," m")</f>
        <v>Alto Nível de Interferência - vala de 0,80 - 1,50 m</v>
      </c>
      <c r="P16" s="375"/>
      <c r="Q16" s="375"/>
      <c r="S16" s="375"/>
      <c r="T16" s="370">
        <f>SUMIFS($T$10:$T$13,$H$9:$H$12,$BN$119,$N$10:$N$13,"&gt;0,8",$N$10:$N$13,"&lt;=1,5")</f>
        <v>0</v>
      </c>
      <c r="U16" s="370">
        <f>SUMIFS($U$10:$U$13,$H$9:$H$12,$BN$119,$N$10:$N$13,"&gt;0,8",$N$10:$N$13,"&lt;=1,5")</f>
        <v>0</v>
      </c>
      <c r="V16" s="370">
        <f>SUMIFS($V$10:$V$13,$H$9:$H$12,$BN$119,$N$10:$N$13,"&gt;0,8",$N$10:$N$13,"&lt;=1,5")</f>
        <v>0</v>
      </c>
      <c r="W16" s="370">
        <f>SUMIFS($W$10:$W$13,$H$9:$H$12,$BN$119,$N$10:$N$13,"&gt;0,8",$N$10:$N$13,"&lt;=1,5")</f>
        <v>0</v>
      </c>
      <c r="X16" s="370">
        <f>SUMIFS($X$10:$X$13,$H$9:$H$12,$BN$119,$N$10:$N$13,"&gt;0,8",$N$10:$N$13,"&lt;=1,5")</f>
        <v>0</v>
      </c>
      <c r="Y16" s="370">
        <f>SUMIFS($Y$10:$Y$13,$H$9:$H$12,$BN$119,$N$10:$N$13,"&gt;0,8",$N$10:$N$13,"&lt;=1,5")</f>
        <v>0</v>
      </c>
      <c r="AA16" s="379"/>
      <c r="AB16" s="379"/>
      <c r="AC16" s="379"/>
      <c r="AD16" s="379"/>
      <c r="AF16" s="374" t="s">
        <v>545</v>
      </c>
      <c r="AG16" s="370">
        <f>SUMIF(AF$9:AF$12,AF16,AG$9:AG$12)</f>
        <v>0</v>
      </c>
      <c r="AK16" s="375" t="s">
        <v>546</v>
      </c>
      <c r="AM16" s="370">
        <f>SUMIFS($AM$10:$AM$13,$N$10:$N$13,"&gt;1,5",$N$10:$N$13,"&lt;=2,5")</f>
        <v>0</v>
      </c>
      <c r="AO16" s="375"/>
      <c r="AQ16" s="375"/>
      <c r="AS16" s="370">
        <f>SUMIFS($AS$10:$AS$13,$N$10:$N$13,"&gt;1,5",$N$10:$N$13,"&lt;=2,5")</f>
        <v>0</v>
      </c>
      <c r="AU16" s="380"/>
      <c r="AV16" s="381"/>
      <c r="AW16" s="381"/>
      <c r="AX16" s="368"/>
      <c r="AY16" s="368"/>
      <c r="BB16" s="380"/>
      <c r="BI16" s="368"/>
      <c r="BM16" s="330"/>
      <c r="BN16" s="380"/>
      <c r="CG16" s="330"/>
    </row>
    <row r="17" spans="1:85" ht="15" customHeight="1">
      <c r="A17" s="867"/>
      <c r="B17" s="867"/>
      <c r="C17" s="867"/>
      <c r="D17" s="374"/>
      <c r="E17" s="508"/>
      <c r="G17" s="380" t="s">
        <v>547</v>
      </c>
      <c r="J17" s="365">
        <f>CEILING(J15*(J16+2*$BU$173)*$BU$172,1)</f>
        <v>0</v>
      </c>
      <c r="K17" s="380" t="s">
        <v>1</v>
      </c>
      <c r="L17" s="375"/>
      <c r="N17" s="375" t="str">
        <f>CONCATENATE($BN$119," Nível de Interferência - vala de ",FIXED($BU$142,2)," - ",FIXED($BU$143,2)," m")</f>
        <v>Alto Nível de Interferência - vala de 1,50 - 2,50 m</v>
      </c>
      <c r="P17" s="375"/>
      <c r="Q17" s="375"/>
      <c r="S17" s="375"/>
      <c r="T17" s="370">
        <f>SUMIFS($T$10:$T$13,$H$9:$H$12,$BN$119,$N$10:$N$13,"&gt;1,5",$N$10:$N$13,"&lt;=2,5")</f>
        <v>0</v>
      </c>
      <c r="U17" s="370">
        <f>SUMIFS($U$10:$U$13,$H$9:$H$12,$BN$119,$N$10:$N$13,"&gt;1,5",$N$10:$N$13,"&lt;=2,5")</f>
        <v>0</v>
      </c>
      <c r="V17" s="370">
        <f>SUMIFS($V$10:$V$13,$H$9:$H$12,$BN$119,$N$10:$N$13,"&gt;1,5",$N$10:$N$13,"&lt;=2,5")</f>
        <v>0</v>
      </c>
      <c r="W17" s="370">
        <f>SUMIFS($W$10:$W$13,$H$9:$H$12,$BN$119,$N$10:$N$13,"&gt;1,5",$N$10:$N$13,"&lt;=2,5")</f>
        <v>0</v>
      </c>
      <c r="X17" s="370">
        <f>SUMIFS($X$10:$X$13,$H$9:$H$12,$BN$119,$N$10:$N$13,"&gt;1,5",$N$10:$N$13,"&lt;=2,5")</f>
        <v>0</v>
      </c>
      <c r="Y17" s="370">
        <f>SUMIFS($Y$10:$Y$13,$H$9:$H$12,$BN$119,$N$10:$N$13,"&gt;1,5",$N$10:$N$13,"&lt;=2,5")</f>
        <v>0</v>
      </c>
      <c r="AA17" s="379"/>
      <c r="AB17" s="382"/>
      <c r="AC17" s="379"/>
      <c r="AD17" s="379"/>
      <c r="AE17" s="379"/>
      <c r="AF17" s="374" t="s">
        <v>548</v>
      </c>
      <c r="AG17" s="370">
        <f>SUMIF(AF$9:AF$12,AF17,AG$9:AG$12)</f>
        <v>0</v>
      </c>
      <c r="AM17" s="382"/>
      <c r="AQ17" s="383"/>
      <c r="AS17" s="382"/>
      <c r="AV17" s="381"/>
      <c r="AW17" s="381"/>
      <c r="AX17" s="384"/>
      <c r="AY17" s="384"/>
      <c r="BI17" s="384"/>
      <c r="BM17" s="330"/>
      <c r="CG17" s="330"/>
    </row>
    <row r="18" spans="1:85" ht="15" customHeight="1">
      <c r="A18" s="867"/>
      <c r="B18" s="867"/>
      <c r="C18" s="867"/>
      <c r="D18" s="374"/>
      <c r="E18" s="508"/>
      <c r="G18" s="380" t="s">
        <v>549</v>
      </c>
      <c r="J18" s="365">
        <f>$BU$174*J15</f>
        <v>0</v>
      </c>
      <c r="K18" s="380" t="s">
        <v>4</v>
      </c>
      <c r="L18" s="375"/>
      <c r="N18" s="375" t="str">
        <f>CONCATENATE($BN$119," Nível de Interferência - vala acima de ",FIXED($BU$143,2)," m")</f>
        <v>Alto Nível de Interferência - vala acima de 2,50 m</v>
      </c>
      <c r="P18" s="375"/>
      <c r="Q18" s="375"/>
      <c r="S18" s="375"/>
      <c r="T18" s="370">
        <f>SUMIFS($T$10:$T$13,$H$9:$H$12,$BN$119,$N$10:$N$13,"&gt;2,5")</f>
        <v>0</v>
      </c>
      <c r="U18" s="370">
        <f>SUMIFS($U$10:$U$13,$H$9:$H$12,$BN$119,$N$10:$N$13,"&gt;2,5")</f>
        <v>0</v>
      </c>
      <c r="V18" s="370">
        <f>SUMIFS($V$10:$V$13,$H$9:$H$12,$BN$119,$N$10:$N$13,"&gt;2,5")</f>
        <v>0</v>
      </c>
      <c r="W18" s="370">
        <f>SUMIFS($W$10:$W$13,$H$9:$H$12,$BN$119,$N$10:$N$13,"&gt;2,5")</f>
        <v>0</v>
      </c>
      <c r="X18" s="370">
        <f>SUMIFS($X$10:$X$13,$H$9:$H$12,$BN$119,$N$10:$N$13,"&gt;2,5")</f>
        <v>0</v>
      </c>
      <c r="Y18" s="370">
        <f>SUMIFS($Y$10:$Y$13,$H$9:$H$12,$BN$119,$N$10:$N$13,"&gt;2,5")</f>
        <v>0</v>
      </c>
      <c r="AA18" s="379"/>
      <c r="AB18" s="379"/>
      <c r="AC18" s="379"/>
      <c r="AD18" s="379"/>
      <c r="AF18" s="374"/>
      <c r="AG18" s="381"/>
      <c r="AK18" s="380"/>
      <c r="AL18" s="380"/>
      <c r="AM18" s="383"/>
      <c r="AQ18" s="383"/>
      <c r="AS18" s="382"/>
      <c r="AU18" s="380"/>
      <c r="AV18" s="370"/>
      <c r="AW18" s="390"/>
      <c r="AX18" s="384"/>
      <c r="AY18" s="384"/>
      <c r="BI18" s="384"/>
      <c r="BM18" s="330"/>
      <c r="CG18" s="330"/>
    </row>
    <row r="19" spans="1:85" ht="15" customHeight="1">
      <c r="A19" s="867"/>
      <c r="B19" s="867"/>
      <c r="C19" s="867"/>
      <c r="G19" s="380" t="s">
        <v>439</v>
      </c>
      <c r="J19" s="509">
        <v>0</v>
      </c>
      <c r="K19" s="380" t="s">
        <v>8</v>
      </c>
      <c r="L19" s="375"/>
      <c r="N19" s="375" t="str">
        <f>CONCATENATE($BN$120," Nível de Interferência - vala até ",FIXED($BU$141,2)," m")</f>
        <v>Baixo Nível de Interferência - vala até 0,80 m</v>
      </c>
      <c r="P19" s="375"/>
      <c r="Q19" s="375"/>
      <c r="S19" s="375"/>
      <c r="T19" s="370">
        <f>SUMIFS($T$10:$T$13,$H$9:$H$12,$BN$120,$N$10:$N$13,"&lt;=0,8")</f>
        <v>0</v>
      </c>
      <c r="U19" s="370">
        <f>SUMIFS($U$10:$U$13,$H$9:$H$12,$BN$120,$N$10:$N$13,"&lt;=0,8")</f>
        <v>0</v>
      </c>
      <c r="V19" s="370">
        <f>SUMIFS($V$10:$V$13,$H$9:$H$12,$BN$120,$N$10:$N$13,"&lt;=0,8")</f>
        <v>0</v>
      </c>
      <c r="W19" s="370">
        <f>SUMIFS($W$10:$W$13,$H$9:$H$12,$BN$120,$N$10:$N$13,"&lt;=0,8")</f>
        <v>0</v>
      </c>
      <c r="X19" s="370">
        <f>SUMIFS($X$10:$X$13,$H$9:$H$12,$BN$120,$N$10:$N$13,"&lt;=0,8")</f>
        <v>0</v>
      </c>
      <c r="Y19" s="370">
        <f>SUMIFS($Y$10:$Y$13,$H$9:$H$12,$BN$120,$N$10:$N$13,"&lt;=0,8")</f>
        <v>0</v>
      </c>
      <c r="AA19" s="385"/>
      <c r="AB19" s="363"/>
      <c r="AC19" s="386"/>
      <c r="AD19" s="379"/>
      <c r="AQ19" s="382"/>
      <c r="AU19" s="380"/>
      <c r="AV19" s="370"/>
      <c r="AW19" s="390"/>
      <c r="AX19" s="384"/>
      <c r="AY19" s="384"/>
      <c r="BI19" s="384"/>
      <c r="CG19" s="330"/>
    </row>
    <row r="20" spans="1:85" ht="15" customHeight="1">
      <c r="A20" s="867"/>
      <c r="B20" s="867"/>
      <c r="C20" s="867"/>
      <c r="D20" s="374"/>
      <c r="E20" s="508"/>
      <c r="G20" s="374"/>
      <c r="H20" s="374"/>
      <c r="I20" s="380"/>
      <c r="K20" s="375"/>
      <c r="L20" s="375"/>
      <c r="N20" s="375" t="str">
        <f>CONCATENATE($BN$120," Nível de Interferência - vala de ",FIXED($BU$141,2)," - ",FIXED($BU$142,2)," m")</f>
        <v>Baixo Nível de Interferência - vala de 0,80 - 1,50 m</v>
      </c>
      <c r="P20" s="375"/>
      <c r="Q20" s="375"/>
      <c r="T20" s="387">
        <f>SUMIFS($T$10:$T$13,$H$9:$H$12,$BN$120,$N$10:$N$13,"&gt;0,8",$N$10:$N$13,"&lt;=1,5")</f>
        <v>0</v>
      </c>
      <c r="U20" s="387">
        <f>SUMIFS($U$10:$U$13,$H$9:$H$12,$BN$120,$N$10:$N$13,"&gt;0,8",$N$10:$N$13,"&lt;=1,5")</f>
        <v>0</v>
      </c>
      <c r="V20" s="387">
        <f>SUMIFS($V$10:$V$13,$H$9:$H$12,$BN$120,$N$10:$N$13,"&gt;0,8",$N$10:$N$13,"&lt;=1,5")</f>
        <v>0</v>
      </c>
      <c r="W20" s="387">
        <f>SUMIFS($W$10:$W$13,$H$9:$H$12,$BN$120,$N$10:$N$13,"&gt;0,8",$N$10:$N$13,"&lt;=1,5")</f>
        <v>0</v>
      </c>
      <c r="X20" s="387">
        <f>SUMIFS($X$10:$X$13,$H$9:$H$12,$BN$120,$N$10:$N$13,"&gt;0,8",$N$10:$N$13,"&lt;=1,5")</f>
        <v>0</v>
      </c>
      <c r="Y20" s="387">
        <f>SUMIFS($Y$10:$Y$13,$H$9:$H$12,$BN$120,$N$10:$N$13,"&gt;0,8",$N$10:$N$13,"&lt;=1,5")</f>
        <v>0</v>
      </c>
      <c r="AA20" s="363"/>
      <c r="AB20" s="387"/>
      <c r="AC20" s="387"/>
      <c r="AD20" s="379"/>
      <c r="AQ20" s="382"/>
      <c r="AX20" s="384"/>
      <c r="AY20" s="384"/>
      <c r="BI20" s="384"/>
      <c r="BN20" s="380"/>
      <c r="CG20" s="330"/>
    </row>
    <row r="21" spans="1:85" ht="15" customHeight="1">
      <c r="A21" s="867"/>
      <c r="B21" s="867"/>
      <c r="C21" s="867"/>
      <c r="D21" s="374"/>
      <c r="E21" s="508"/>
      <c r="G21" s="374"/>
      <c r="H21" s="374"/>
      <c r="I21" s="380"/>
      <c r="K21" s="375"/>
      <c r="L21" s="375"/>
      <c r="N21" s="375" t="str">
        <f>CONCATENATE($BN$120," Nível de Interferência - vala de ",FIXED($BU$142,2)," - ",FIXED($BU$143,2)," m")</f>
        <v>Baixo Nível de Interferência - vala de 1,50 - 2,50 m</v>
      </c>
      <c r="P21" s="375"/>
      <c r="Q21" s="375"/>
      <c r="T21" s="370">
        <f>SUMIFS($T$10:$T$13,$H$9:$H$12,$BN$120,$N$10:$N$13,"&gt;1,5",$N$10:$N$13,"&lt;=2,5")</f>
        <v>0</v>
      </c>
      <c r="U21" s="370">
        <f>SUMIFS($U$10:$U$13,$H$9:$H$12,$BN$120,$N$10:$N$13,"&gt;1,5",$N$10:$N$13,"&lt;=2,5")</f>
        <v>0</v>
      </c>
      <c r="V21" s="370">
        <f>SUMIFS($V$10:$V$13,$H$9:$H$12,$BN$120,$N$10:$N$13,"&gt;1,5",$N$10:$N$13,"&lt;=2,5")</f>
        <v>0</v>
      </c>
      <c r="W21" s="370">
        <f>SUMIFS($W$10:$W$13,$H$9:$H$12,$BN$120,$N$10:$N$13,"&gt;1,5",$N$10:$N$13,"&lt;=2,5")</f>
        <v>0</v>
      </c>
      <c r="X21" s="370">
        <f>SUMIFS($X$10:$X$13,$H$9:$H$12,$BN$120,$N$10:$N$13,"&gt;1,5",$N$10:$N$13,"&lt;=2,5")</f>
        <v>0</v>
      </c>
      <c r="Y21" s="370">
        <f>SUMIFS($Y$10:$Y$13,$H$9:$H$12,$BN$120,$N$10:$N$13,"&gt;1,5",$N$10:$N$13,"&lt;=2,5")</f>
        <v>0</v>
      </c>
      <c r="AB21" s="365"/>
      <c r="AC21" s="387"/>
      <c r="AD21" s="379"/>
      <c r="AL21" s="380"/>
      <c r="AM21" s="380"/>
      <c r="BN21" s="380"/>
      <c r="CG21" s="330"/>
    </row>
    <row r="22" spans="1:85" ht="15" customHeight="1">
      <c r="A22" s="865"/>
      <c r="B22" s="865"/>
      <c r="C22" s="865"/>
      <c r="D22" s="388"/>
      <c r="E22" s="389"/>
      <c r="G22" s="374"/>
      <c r="H22" s="374"/>
      <c r="I22" s="380"/>
      <c r="K22" s="375"/>
      <c r="L22" s="375"/>
      <c r="N22" s="375" t="str">
        <f>CONCATENATE($BN$120," Nível de Interferência - vala acima de ",FIXED($BU$143,2)," m")</f>
        <v>Baixo Nível de Interferência - vala acima de 2,50 m</v>
      </c>
      <c r="P22" s="375"/>
      <c r="Q22" s="375"/>
      <c r="T22" s="387">
        <f>SUMIFS($T$10:$T$13,$H$9:$H$12,$BN$120,$N$10:$N$13,"&gt;2,5")</f>
        <v>0</v>
      </c>
      <c r="U22" s="387">
        <f>SUMIFS($U$10:$U$13,$H$9:$H$12,$BN$120,$N$10:$N$13,"&gt;2,5")</f>
        <v>0</v>
      </c>
      <c r="V22" s="387">
        <f>SUMIFS($V$10:$V$13,$H$9:$H$12,$BN$120,$N$10:$N$13,"&gt;2,5")</f>
        <v>0</v>
      </c>
      <c r="W22" s="387">
        <f>SUMIFS($W$10:$W$13,$H$9:$H$12,$BN$120,$N$10:$N$13,"&gt;2,5")</f>
        <v>0</v>
      </c>
      <c r="X22" s="387">
        <f>SUMIFS($X$10:$X$13,$H$9:$H$12,$BN$120,$N$10:$N$13,"&gt;2,5")</f>
        <v>0</v>
      </c>
      <c r="Y22" s="387">
        <f>SUMIFS($Y$10:$Y$13,$H$9:$H$12,$BN$120,$N$10:$N$13,"&gt;2,5")</f>
        <v>0</v>
      </c>
      <c r="AC22" s="379"/>
      <c r="AJ22" s="390"/>
      <c r="AK22" s="375"/>
      <c r="AL22" s="375"/>
      <c r="AM22" s="375"/>
      <c r="AR22" s="370"/>
      <c r="AT22" s="390"/>
      <c r="BC22" s="380"/>
      <c r="CG22" s="330"/>
    </row>
    <row r="23" spans="1:85" ht="15" customHeight="1">
      <c r="F23" s="380"/>
      <c r="G23" s="380"/>
      <c r="M23" s="363"/>
      <c r="S23" s="380"/>
      <c r="T23" s="379"/>
      <c r="V23" s="382"/>
      <c r="AB23" s="379"/>
      <c r="AD23" s="379"/>
      <c r="AG23" s="363"/>
      <c r="AJ23" s="380"/>
      <c r="BC23" s="380"/>
      <c r="CG23" s="330"/>
    </row>
    <row r="24" spans="1:85" ht="15" customHeight="1">
      <c r="T24" s="379"/>
      <c r="U24" s="379"/>
      <c r="V24" s="382"/>
      <c r="AG24" s="363"/>
      <c r="BE24" s="380"/>
      <c r="BH24" s="380"/>
      <c r="BK24" s="380"/>
      <c r="BL24" s="391"/>
      <c r="CG24" s="330"/>
    </row>
    <row r="25" spans="1:85" ht="15" customHeight="1">
      <c r="E25" s="392"/>
      <c r="T25" s="393"/>
      <c r="U25" s="379"/>
      <c r="V25" s="382"/>
      <c r="BE25" s="380"/>
      <c r="BH25" s="380"/>
      <c r="BK25" s="380"/>
      <c r="BL25" s="391"/>
      <c r="CG25" s="330"/>
    </row>
    <row r="26" spans="1:85">
      <c r="E26" s="392"/>
      <c r="T26" s="382"/>
      <c r="U26" s="382"/>
      <c r="V26" s="382"/>
      <c r="BL26" s="391"/>
      <c r="BM26" s="330"/>
    </row>
    <row r="27" spans="1:85" ht="12" customHeight="1">
      <c r="D27" s="394"/>
      <c r="E27" s="392"/>
      <c r="BL27" s="391"/>
      <c r="BM27" s="330"/>
      <c r="BO27" s="395"/>
      <c r="BP27" s="395"/>
      <c r="BQ27" s="395"/>
      <c r="BR27" s="395"/>
      <c r="BS27" s="395"/>
      <c r="BT27" s="330"/>
      <c r="BV27" s="395"/>
      <c r="BW27" s="395"/>
      <c r="BX27" s="395"/>
      <c r="BY27" s="395"/>
      <c r="BZ27" s="395"/>
      <c r="CC27" s="395"/>
      <c r="CD27" s="395"/>
      <c r="CE27" s="395"/>
      <c r="CF27" s="395"/>
      <c r="CG27" s="395"/>
    </row>
    <row r="28" spans="1:85" ht="12.75" customHeight="1">
      <c r="E28" s="392"/>
      <c r="T28" s="382"/>
      <c r="BL28" s="391"/>
      <c r="BM28" s="330"/>
      <c r="BN28" s="862" t="s">
        <v>550</v>
      </c>
      <c r="BO28" s="862"/>
      <c r="BP28" s="862"/>
      <c r="BQ28" s="862"/>
      <c r="BR28" s="862"/>
      <c r="BS28" s="862"/>
      <c r="BT28" s="330"/>
      <c r="BU28" s="862" t="s">
        <v>550</v>
      </c>
      <c r="BV28" s="862"/>
      <c r="BW28" s="862"/>
      <c r="BX28" s="862"/>
      <c r="BY28" s="862"/>
      <c r="BZ28" s="862"/>
      <c r="CB28" s="862" t="s">
        <v>550</v>
      </c>
      <c r="CC28" s="862"/>
      <c r="CD28" s="862"/>
      <c r="CE28" s="862"/>
      <c r="CF28" s="862"/>
      <c r="CG28" s="862"/>
    </row>
    <row r="29" spans="1:85" ht="12" customHeight="1">
      <c r="E29" s="392"/>
      <c r="V29" s="379"/>
      <c r="BL29" s="391"/>
      <c r="BM29" s="330"/>
      <c r="BN29" s="862"/>
      <c r="BO29" s="862"/>
      <c r="BP29" s="862"/>
      <c r="BQ29" s="862"/>
      <c r="BR29" s="862"/>
      <c r="BS29" s="862"/>
      <c r="BT29" s="330"/>
      <c r="BU29" s="862"/>
      <c r="BV29" s="862"/>
      <c r="BW29" s="862"/>
      <c r="BX29" s="862"/>
      <c r="BY29" s="862"/>
      <c r="BZ29" s="862"/>
      <c r="CB29" s="862"/>
      <c r="CC29" s="862"/>
      <c r="CD29" s="862"/>
      <c r="CE29" s="862"/>
      <c r="CF29" s="862"/>
      <c r="CG29" s="862"/>
    </row>
    <row r="30" spans="1:85" ht="12" customHeight="1">
      <c r="E30" s="392"/>
      <c r="V30" s="379"/>
      <c r="BL30" s="391"/>
      <c r="BM30" s="330"/>
      <c r="BN30" s="863" t="s">
        <v>551</v>
      </c>
      <c r="BO30" s="863"/>
      <c r="BP30" s="863"/>
      <c r="BQ30" s="863"/>
      <c r="BR30" s="863"/>
      <c r="BS30" s="863"/>
      <c r="BT30" s="330"/>
      <c r="BU30" s="863" t="s">
        <v>552</v>
      </c>
      <c r="BV30" s="863"/>
      <c r="BW30" s="863"/>
      <c r="BX30" s="863"/>
      <c r="BY30" s="863"/>
      <c r="BZ30" s="863"/>
      <c r="CB30" s="863" t="s">
        <v>553</v>
      </c>
      <c r="CC30" s="863"/>
      <c r="CD30" s="863"/>
      <c r="CE30" s="863"/>
      <c r="CF30" s="863"/>
      <c r="CG30" s="863"/>
    </row>
    <row r="31" spans="1:85">
      <c r="V31" s="379"/>
      <c r="BL31" s="391"/>
      <c r="BM31" s="330"/>
      <c r="BN31" s="864" t="s">
        <v>554</v>
      </c>
      <c r="BO31" s="864"/>
      <c r="BP31" s="864"/>
      <c r="BQ31" s="864"/>
      <c r="BR31" s="864"/>
      <c r="BS31" s="864"/>
      <c r="BT31" s="330"/>
      <c r="BU31" s="864" t="s">
        <v>554</v>
      </c>
      <c r="BV31" s="864"/>
      <c r="BW31" s="864"/>
      <c r="BX31" s="864"/>
      <c r="BY31" s="864"/>
      <c r="BZ31" s="864"/>
      <c r="CB31" s="864" t="s">
        <v>554</v>
      </c>
      <c r="CC31" s="864"/>
      <c r="CD31" s="864"/>
      <c r="CE31" s="864"/>
      <c r="CF31" s="864"/>
      <c r="CG31" s="864"/>
    </row>
    <row r="32" spans="1:85" ht="12" customHeight="1">
      <c r="U32" s="379"/>
      <c r="V32" s="382"/>
      <c r="BL32" s="391"/>
      <c r="BM32" s="330"/>
      <c r="BN32" s="862" t="s">
        <v>555</v>
      </c>
      <c r="BO32" s="862" t="s">
        <v>556</v>
      </c>
      <c r="BP32" s="862" t="s">
        <v>557</v>
      </c>
      <c r="BQ32" s="862" t="s">
        <v>558</v>
      </c>
      <c r="BR32" s="862" t="s">
        <v>559</v>
      </c>
      <c r="BS32" s="862" t="s">
        <v>560</v>
      </c>
      <c r="BT32" s="330"/>
      <c r="BU32" s="862" t="s">
        <v>555</v>
      </c>
      <c r="BV32" s="862" t="s">
        <v>556</v>
      </c>
      <c r="BW32" s="862" t="s">
        <v>557</v>
      </c>
      <c r="BX32" s="862" t="s">
        <v>558</v>
      </c>
      <c r="BY32" s="862" t="s">
        <v>559</v>
      </c>
      <c r="BZ32" s="862" t="s">
        <v>560</v>
      </c>
      <c r="CB32" s="862" t="s">
        <v>555</v>
      </c>
      <c r="CC32" s="862" t="s">
        <v>556</v>
      </c>
      <c r="CD32" s="862" t="s">
        <v>557</v>
      </c>
      <c r="CE32" s="862" t="s">
        <v>558</v>
      </c>
      <c r="CF32" s="862" t="s">
        <v>559</v>
      </c>
      <c r="CG32" s="862" t="s">
        <v>560</v>
      </c>
    </row>
    <row r="33" spans="21:85">
      <c r="U33" s="379"/>
      <c r="BL33" s="391"/>
      <c r="BM33" s="330"/>
      <c r="BN33" s="862"/>
      <c r="BO33" s="862"/>
      <c r="BP33" s="862"/>
      <c r="BQ33" s="862"/>
      <c r="BR33" s="862"/>
      <c r="BS33" s="862"/>
      <c r="BU33" s="862"/>
      <c r="BV33" s="862"/>
      <c r="BW33" s="862"/>
      <c r="BX33" s="862"/>
      <c r="BY33" s="862"/>
      <c r="BZ33" s="862"/>
      <c r="CB33" s="862"/>
      <c r="CC33" s="862"/>
      <c r="CD33" s="862"/>
      <c r="CE33" s="862"/>
      <c r="CF33" s="862"/>
      <c r="CG33" s="862"/>
    </row>
    <row r="34" spans="21:85">
      <c r="U34" s="382"/>
      <c r="BL34" s="391"/>
      <c r="BM34" s="330"/>
      <c r="BN34" s="862"/>
      <c r="BO34" s="862"/>
      <c r="BP34" s="862"/>
      <c r="BQ34" s="862"/>
      <c r="BR34" s="862"/>
      <c r="BS34" s="862"/>
      <c r="BU34" s="862"/>
      <c r="BV34" s="862"/>
      <c r="BW34" s="862"/>
      <c r="BX34" s="862"/>
      <c r="BY34" s="862"/>
      <c r="BZ34" s="862"/>
      <c r="CB34" s="862"/>
      <c r="CC34" s="862"/>
      <c r="CD34" s="862"/>
      <c r="CE34" s="862"/>
      <c r="CF34" s="862"/>
      <c r="CG34" s="862"/>
    </row>
    <row r="35" spans="21:85">
      <c r="BL35" s="391"/>
      <c r="BM35" s="330"/>
      <c r="BZ35" s="330"/>
    </row>
    <row r="36" spans="21:85">
      <c r="BL36" s="391"/>
      <c r="BM36" s="330"/>
      <c r="BN36" s="396">
        <v>50</v>
      </c>
      <c r="BO36" s="396" t="s">
        <v>561</v>
      </c>
      <c r="BP36" s="397">
        <v>0.65</v>
      </c>
      <c r="BQ36" s="397">
        <v>0.7</v>
      </c>
      <c r="BR36" s="397">
        <v>0.8</v>
      </c>
      <c r="BS36" s="397">
        <v>1.3</v>
      </c>
      <c r="BT36" s="330"/>
      <c r="BU36" s="396">
        <v>50</v>
      </c>
      <c r="BV36" s="396" t="s">
        <v>561</v>
      </c>
      <c r="BW36" s="397">
        <v>0.65</v>
      </c>
      <c r="BX36" s="397">
        <v>0.7</v>
      </c>
      <c r="BY36" s="397">
        <v>0.8</v>
      </c>
      <c r="BZ36" s="397">
        <v>1.3</v>
      </c>
      <c r="CB36" s="396">
        <v>100</v>
      </c>
      <c r="CC36" s="396" t="s">
        <v>561</v>
      </c>
      <c r="CD36" s="397">
        <v>0.65</v>
      </c>
      <c r="CE36" s="397">
        <v>0.65</v>
      </c>
      <c r="CF36" s="397">
        <v>0.75</v>
      </c>
      <c r="CG36" s="397" t="s">
        <v>562</v>
      </c>
    </row>
    <row r="37" spans="21:85">
      <c r="BL37" s="391"/>
      <c r="BM37" s="330"/>
      <c r="BN37" s="396">
        <v>75</v>
      </c>
      <c r="BO37" s="396" t="s">
        <v>561</v>
      </c>
      <c r="BP37" s="397">
        <v>0.65</v>
      </c>
      <c r="BQ37" s="397">
        <v>0.7</v>
      </c>
      <c r="BR37" s="397">
        <v>0.8</v>
      </c>
      <c r="BS37" s="397">
        <v>1.3</v>
      </c>
      <c r="BT37" s="330"/>
      <c r="BU37" s="396">
        <v>75</v>
      </c>
      <c r="BV37" s="396" t="s">
        <v>561</v>
      </c>
      <c r="BW37" s="397">
        <v>0.65</v>
      </c>
      <c r="BX37" s="397">
        <v>0.7</v>
      </c>
      <c r="BY37" s="397">
        <v>0.8</v>
      </c>
      <c r="BZ37" s="397">
        <v>1.3</v>
      </c>
      <c r="CB37" s="396">
        <v>150</v>
      </c>
      <c r="CC37" s="396" t="s">
        <v>561</v>
      </c>
      <c r="CD37" s="397">
        <v>0.65</v>
      </c>
      <c r="CE37" s="397">
        <v>0.65</v>
      </c>
      <c r="CF37" s="397">
        <v>0.75</v>
      </c>
      <c r="CG37" s="397" t="s">
        <v>562</v>
      </c>
    </row>
    <row r="38" spans="21:85">
      <c r="BL38" s="391"/>
      <c r="BM38" s="330"/>
      <c r="BN38" s="396">
        <v>100</v>
      </c>
      <c r="BO38" s="396" t="s">
        <v>561</v>
      </c>
      <c r="BP38" s="397">
        <v>0.65</v>
      </c>
      <c r="BQ38" s="397">
        <v>0.7</v>
      </c>
      <c r="BR38" s="397">
        <v>0.8</v>
      </c>
      <c r="BS38" s="397">
        <v>1.3</v>
      </c>
      <c r="BT38" s="330"/>
      <c r="BU38" s="396">
        <v>100</v>
      </c>
      <c r="BV38" s="396" t="s">
        <v>561</v>
      </c>
      <c r="BW38" s="397">
        <v>0.65</v>
      </c>
      <c r="BX38" s="397">
        <v>0.7</v>
      </c>
      <c r="BY38" s="397">
        <v>0.8</v>
      </c>
      <c r="BZ38" s="397">
        <v>1.3</v>
      </c>
      <c r="CB38" s="396">
        <v>200</v>
      </c>
      <c r="CC38" s="396" t="s">
        <v>561</v>
      </c>
      <c r="CD38" s="397">
        <v>0.7</v>
      </c>
      <c r="CE38" s="397">
        <v>0.7</v>
      </c>
      <c r="CF38" s="397">
        <v>0.8</v>
      </c>
      <c r="CG38" s="397" t="s">
        <v>562</v>
      </c>
    </row>
    <row r="39" spans="21:85">
      <c r="BL39" s="391"/>
      <c r="BM39" s="330"/>
      <c r="BN39" s="396">
        <v>150</v>
      </c>
      <c r="BO39" s="396" t="s">
        <v>561</v>
      </c>
      <c r="BP39" s="397">
        <v>0.65</v>
      </c>
      <c r="BQ39" s="397">
        <v>0.7</v>
      </c>
      <c r="BR39" s="397">
        <v>0.8</v>
      </c>
      <c r="BS39" s="397">
        <v>1.3</v>
      </c>
      <c r="BT39" s="330"/>
      <c r="BU39" s="396">
        <v>150</v>
      </c>
      <c r="BV39" s="396" t="s">
        <v>561</v>
      </c>
      <c r="BW39" s="397">
        <v>0.65</v>
      </c>
      <c r="BX39" s="397">
        <v>0.7</v>
      </c>
      <c r="BY39" s="397">
        <v>0.8</v>
      </c>
      <c r="BZ39" s="397">
        <v>1.3</v>
      </c>
      <c r="CB39" s="396">
        <v>250</v>
      </c>
      <c r="CC39" s="396" t="s">
        <v>561</v>
      </c>
      <c r="CD39" s="397">
        <v>0.8</v>
      </c>
      <c r="CE39" s="397">
        <v>0.8</v>
      </c>
      <c r="CF39" s="397">
        <v>0.9</v>
      </c>
      <c r="CG39" s="397" t="s">
        <v>562</v>
      </c>
    </row>
    <row r="40" spans="21:85" ht="12" customHeight="1">
      <c r="BL40" s="391"/>
      <c r="BM40" s="330"/>
      <c r="BN40" s="396">
        <v>200</v>
      </c>
      <c r="BO40" s="396" t="s">
        <v>561</v>
      </c>
      <c r="BP40" s="397">
        <v>0.7</v>
      </c>
      <c r="BQ40" s="397">
        <v>0.75</v>
      </c>
      <c r="BR40" s="397">
        <v>0.85</v>
      </c>
      <c r="BS40" s="397">
        <v>1.35</v>
      </c>
      <c r="BT40" s="330"/>
      <c r="BU40" s="396">
        <v>200</v>
      </c>
      <c r="BV40" s="396" t="s">
        <v>561</v>
      </c>
      <c r="BW40" s="397">
        <v>0.7</v>
      </c>
      <c r="BX40" s="397">
        <v>0.75</v>
      </c>
      <c r="BY40" s="397">
        <v>0.85</v>
      </c>
      <c r="BZ40" s="397">
        <v>1.35</v>
      </c>
      <c r="CB40" s="396">
        <v>300</v>
      </c>
      <c r="CC40" s="396" t="s">
        <v>561</v>
      </c>
      <c r="CD40" s="397">
        <v>0.8</v>
      </c>
      <c r="CE40" s="397">
        <v>0.8</v>
      </c>
      <c r="CF40" s="397">
        <v>0.9</v>
      </c>
      <c r="CG40" s="397" t="s">
        <v>562</v>
      </c>
    </row>
    <row r="41" spans="21:85">
      <c r="BL41" s="391"/>
      <c r="BM41" s="330"/>
      <c r="BN41" s="396">
        <v>250</v>
      </c>
      <c r="BO41" s="396" t="s">
        <v>561</v>
      </c>
      <c r="BP41" s="397">
        <v>0.75</v>
      </c>
      <c r="BQ41" s="397">
        <v>0.8</v>
      </c>
      <c r="BR41" s="397">
        <v>0.9</v>
      </c>
      <c r="BS41" s="397">
        <v>1.4</v>
      </c>
      <c r="BT41" s="330"/>
      <c r="BU41" s="396">
        <v>250</v>
      </c>
      <c r="BV41" s="396" t="s">
        <v>561</v>
      </c>
      <c r="BW41" s="397">
        <v>0.75</v>
      </c>
      <c r="BX41" s="397">
        <v>0.8</v>
      </c>
      <c r="BY41" s="397">
        <v>0.9</v>
      </c>
      <c r="BZ41" s="397">
        <v>1.4</v>
      </c>
      <c r="CB41" s="396">
        <v>350</v>
      </c>
      <c r="CC41" s="396" t="s">
        <v>561</v>
      </c>
      <c r="CD41" s="397">
        <v>0.9</v>
      </c>
      <c r="CE41" s="397">
        <v>1.1000000000000001</v>
      </c>
      <c r="CF41" s="397">
        <v>1.2</v>
      </c>
      <c r="CG41" s="397" t="s">
        <v>562</v>
      </c>
    </row>
    <row r="42" spans="21:85">
      <c r="BL42" s="391"/>
      <c r="BM42" s="330"/>
      <c r="BN42" s="396">
        <v>300</v>
      </c>
      <c r="BO42" s="396" t="s">
        <v>561</v>
      </c>
      <c r="BP42" s="397">
        <v>0.8</v>
      </c>
      <c r="BQ42" s="397">
        <v>0.85</v>
      </c>
      <c r="BR42" s="397">
        <v>0.95</v>
      </c>
      <c r="BS42" s="397">
        <v>1.45</v>
      </c>
      <c r="BT42" s="330"/>
      <c r="BU42" s="396">
        <v>300</v>
      </c>
      <c r="BV42" s="396" t="s">
        <v>561</v>
      </c>
      <c r="BW42" s="397">
        <v>0.8</v>
      </c>
      <c r="BX42" s="397">
        <v>0.85</v>
      </c>
      <c r="BY42" s="397">
        <v>0.95</v>
      </c>
      <c r="BZ42" s="397">
        <v>1.45</v>
      </c>
      <c r="CB42" s="396">
        <v>400</v>
      </c>
      <c r="CC42" s="396" t="s">
        <v>561</v>
      </c>
      <c r="CD42" s="397">
        <v>0.9</v>
      </c>
      <c r="CE42" s="397">
        <v>1.1000000000000001</v>
      </c>
      <c r="CF42" s="397">
        <v>1.2</v>
      </c>
      <c r="CG42" s="397" t="s">
        <v>562</v>
      </c>
    </row>
    <row r="43" spans="21:85">
      <c r="BL43" s="391"/>
      <c r="BM43" s="330"/>
      <c r="BN43" s="396">
        <v>350</v>
      </c>
      <c r="BO43" s="396" t="s">
        <v>561</v>
      </c>
      <c r="BP43" s="397">
        <v>0.8</v>
      </c>
      <c r="BQ43" s="397">
        <v>0.85</v>
      </c>
      <c r="BR43" s="397">
        <v>0.95</v>
      </c>
      <c r="BS43" s="397">
        <v>1.45</v>
      </c>
      <c r="BT43" s="330"/>
      <c r="BU43" s="396">
        <v>350</v>
      </c>
      <c r="BV43" s="396" t="s">
        <v>561</v>
      </c>
      <c r="BW43" s="397">
        <v>0.8</v>
      </c>
      <c r="BX43" s="397">
        <v>0.85</v>
      </c>
      <c r="BY43" s="397">
        <v>0.95</v>
      </c>
      <c r="BZ43" s="397">
        <v>1.45</v>
      </c>
      <c r="CB43" s="396">
        <v>450</v>
      </c>
      <c r="CC43" s="396" t="s">
        <v>561</v>
      </c>
      <c r="CD43" s="397">
        <v>1</v>
      </c>
      <c r="CE43" s="397">
        <v>1.1499999999999999</v>
      </c>
      <c r="CF43" s="397">
        <v>1.25</v>
      </c>
      <c r="CG43" s="397" t="s">
        <v>562</v>
      </c>
    </row>
    <row r="44" spans="21:85">
      <c r="BL44" s="391"/>
      <c r="BM44" s="330"/>
      <c r="BN44" s="396">
        <v>400</v>
      </c>
      <c r="BO44" s="396" t="s">
        <v>561</v>
      </c>
      <c r="BP44" s="397">
        <v>0.9</v>
      </c>
      <c r="BQ44" s="397">
        <v>1</v>
      </c>
      <c r="BR44" s="397">
        <v>1.1000000000000001</v>
      </c>
      <c r="BS44" s="397">
        <v>1.6</v>
      </c>
      <c r="BT44" s="330"/>
      <c r="BU44" s="396">
        <v>400</v>
      </c>
      <c r="BV44" s="396" t="s">
        <v>561</v>
      </c>
      <c r="BW44" s="397">
        <v>0.9</v>
      </c>
      <c r="BX44" s="397">
        <v>1</v>
      </c>
      <c r="BY44" s="397">
        <v>1.1000000000000001</v>
      </c>
      <c r="BZ44" s="397">
        <v>1.6</v>
      </c>
      <c r="CB44" s="396">
        <v>500</v>
      </c>
      <c r="CC44" s="396" t="s">
        <v>561</v>
      </c>
      <c r="CD44" s="397">
        <v>1.1000000000000001</v>
      </c>
      <c r="CE44" s="397">
        <v>1.3</v>
      </c>
      <c r="CF44" s="397">
        <v>1.4</v>
      </c>
      <c r="CG44" s="397" t="s">
        <v>562</v>
      </c>
    </row>
    <row r="45" spans="21:85">
      <c r="BL45" s="391"/>
      <c r="BM45" s="330"/>
      <c r="BN45" s="396">
        <v>450</v>
      </c>
      <c r="BO45" s="396" t="s">
        <v>561</v>
      </c>
      <c r="BP45" s="397">
        <v>0.9</v>
      </c>
      <c r="BQ45" s="397">
        <v>1</v>
      </c>
      <c r="BR45" s="397">
        <v>1.1000000000000001</v>
      </c>
      <c r="BS45" s="397">
        <v>1.6</v>
      </c>
      <c r="BT45" s="330"/>
      <c r="BU45" s="396">
        <v>450</v>
      </c>
      <c r="BV45" s="396" t="s">
        <v>561</v>
      </c>
      <c r="BW45" s="397">
        <v>0.9</v>
      </c>
      <c r="BX45" s="397">
        <v>1</v>
      </c>
      <c r="BY45" s="397">
        <v>1.1000000000000001</v>
      </c>
      <c r="BZ45" s="397">
        <v>1.6</v>
      </c>
      <c r="CB45" s="396">
        <v>600</v>
      </c>
      <c r="CC45" s="396" t="s">
        <v>561</v>
      </c>
      <c r="CD45" s="397">
        <v>1.2</v>
      </c>
      <c r="CE45" s="397">
        <v>1.4</v>
      </c>
      <c r="CF45" s="397">
        <v>1.5</v>
      </c>
      <c r="CG45" s="397" t="s">
        <v>562</v>
      </c>
    </row>
    <row r="46" spans="21:85">
      <c r="BL46" s="391"/>
      <c r="BM46" s="330"/>
      <c r="BN46" s="396">
        <v>500</v>
      </c>
      <c r="BO46" s="396" t="s">
        <v>561</v>
      </c>
      <c r="BP46" s="397">
        <v>1</v>
      </c>
      <c r="BQ46" s="397">
        <v>1.1499999999999999</v>
      </c>
      <c r="BR46" s="397">
        <v>1.25</v>
      </c>
      <c r="BS46" s="397">
        <v>1.75</v>
      </c>
      <c r="BT46" s="330"/>
      <c r="BU46" s="396">
        <v>500</v>
      </c>
      <c r="BV46" s="396" t="s">
        <v>561</v>
      </c>
      <c r="BW46" s="397">
        <v>1</v>
      </c>
      <c r="BX46" s="397">
        <v>1.1499999999999999</v>
      </c>
      <c r="BY46" s="397">
        <v>1.25</v>
      </c>
      <c r="BZ46" s="397">
        <v>1.75</v>
      </c>
      <c r="CB46" s="396">
        <v>700</v>
      </c>
      <c r="CC46" s="396" t="s">
        <v>561</v>
      </c>
      <c r="CD46" s="397">
        <v>1.3</v>
      </c>
      <c r="CE46" s="397">
        <v>1.5</v>
      </c>
      <c r="CF46" s="397">
        <v>1.6</v>
      </c>
      <c r="CG46" s="397" t="s">
        <v>562</v>
      </c>
    </row>
    <row r="47" spans="21:85">
      <c r="BL47" s="391"/>
      <c r="BM47" s="330"/>
      <c r="BN47" s="396">
        <v>600</v>
      </c>
      <c r="BO47" s="396" t="s">
        <v>561</v>
      </c>
      <c r="BP47" s="397">
        <v>1.1499999999999999</v>
      </c>
      <c r="BQ47" s="397">
        <v>1.25</v>
      </c>
      <c r="BR47" s="397">
        <v>1.35</v>
      </c>
      <c r="BS47" s="397">
        <v>1.85</v>
      </c>
      <c r="BT47" s="330"/>
      <c r="BU47" s="396">
        <v>600</v>
      </c>
      <c r="BV47" s="396" t="s">
        <v>561</v>
      </c>
      <c r="BW47" s="397">
        <v>1.1499999999999999</v>
      </c>
      <c r="BX47" s="397">
        <v>1.25</v>
      </c>
      <c r="BY47" s="397">
        <v>1.35</v>
      </c>
      <c r="BZ47" s="397">
        <v>1.85</v>
      </c>
      <c r="CB47" s="396">
        <v>800</v>
      </c>
      <c r="CC47" s="396" t="s">
        <v>561</v>
      </c>
      <c r="CD47" s="397">
        <v>1.4</v>
      </c>
      <c r="CE47" s="397">
        <v>1.6</v>
      </c>
      <c r="CF47" s="397">
        <v>1.7</v>
      </c>
      <c r="CG47" s="397" t="s">
        <v>562</v>
      </c>
    </row>
    <row r="48" spans="21:85">
      <c r="BL48" s="391"/>
      <c r="BM48" s="330"/>
      <c r="BN48" s="396">
        <v>700</v>
      </c>
      <c r="BO48" s="396" t="s">
        <v>561</v>
      </c>
      <c r="BP48" s="397">
        <v>1.3</v>
      </c>
      <c r="BQ48" s="397">
        <v>1.5</v>
      </c>
      <c r="BR48" s="397">
        <v>1.6</v>
      </c>
      <c r="BS48" s="397">
        <v>2.0499999999999998</v>
      </c>
      <c r="BT48" s="330"/>
      <c r="BU48" s="396">
        <v>700</v>
      </c>
      <c r="BV48" s="396" t="s">
        <v>561</v>
      </c>
      <c r="BW48" s="397">
        <v>1.3</v>
      </c>
      <c r="BX48" s="397">
        <v>1.5</v>
      </c>
      <c r="BY48" s="397">
        <v>1.6</v>
      </c>
      <c r="BZ48" s="397">
        <v>2.0499999999999998</v>
      </c>
      <c r="CB48" s="396">
        <v>900</v>
      </c>
      <c r="CC48" s="396" t="s">
        <v>561</v>
      </c>
      <c r="CD48" s="397">
        <v>1.5</v>
      </c>
      <c r="CE48" s="397">
        <v>1.7</v>
      </c>
      <c r="CF48" s="397">
        <v>1.8</v>
      </c>
      <c r="CG48" s="397" t="s">
        <v>562</v>
      </c>
    </row>
    <row r="49" spans="64:85">
      <c r="BL49" s="391"/>
      <c r="BM49" s="330"/>
      <c r="BN49" s="396">
        <v>800</v>
      </c>
      <c r="BO49" s="396" t="s">
        <v>561</v>
      </c>
      <c r="BP49" s="397">
        <v>1.4</v>
      </c>
      <c r="BQ49" s="397">
        <v>1.6</v>
      </c>
      <c r="BR49" s="397">
        <v>1.7</v>
      </c>
      <c r="BS49" s="397">
        <v>2.15</v>
      </c>
      <c r="BT49" s="330"/>
      <c r="BU49" s="396">
        <v>800</v>
      </c>
      <c r="BV49" s="396" t="s">
        <v>561</v>
      </c>
      <c r="BW49" s="397">
        <v>1.4</v>
      </c>
      <c r="BX49" s="397">
        <v>1.6</v>
      </c>
      <c r="BY49" s="397">
        <v>1.7</v>
      </c>
      <c r="BZ49" s="397">
        <v>2.15</v>
      </c>
      <c r="CB49" s="396">
        <v>1000</v>
      </c>
      <c r="CC49" s="396" t="s">
        <v>561</v>
      </c>
      <c r="CD49" s="397">
        <v>1.6</v>
      </c>
      <c r="CE49" s="397">
        <v>1.8</v>
      </c>
      <c r="CF49" s="397">
        <v>1.9</v>
      </c>
      <c r="CG49" s="397" t="s">
        <v>562</v>
      </c>
    </row>
    <row r="50" spans="64:85">
      <c r="BL50" s="391"/>
      <c r="BM50" s="330"/>
      <c r="BT50" s="330"/>
      <c r="BU50" s="357"/>
      <c r="BV50" s="357"/>
      <c r="BW50" s="357"/>
      <c r="BX50" s="361"/>
      <c r="BY50" s="361"/>
      <c r="BZ50" s="361"/>
      <c r="CC50" s="330"/>
    </row>
    <row r="51" spans="64:85">
      <c r="BL51" s="391"/>
      <c r="BM51" s="330"/>
      <c r="BN51" s="396">
        <v>50</v>
      </c>
      <c r="BO51" s="396" t="s">
        <v>563</v>
      </c>
      <c r="BP51" s="397">
        <v>0.75</v>
      </c>
      <c r="BQ51" s="397">
        <v>0.85</v>
      </c>
      <c r="BR51" s="397">
        <v>0.95</v>
      </c>
      <c r="BS51" s="397">
        <v>1.3</v>
      </c>
      <c r="BT51" s="330"/>
      <c r="BU51" s="396">
        <v>50</v>
      </c>
      <c r="BV51" s="396" t="s">
        <v>563</v>
      </c>
      <c r="BW51" s="397">
        <v>0.75</v>
      </c>
      <c r="BX51" s="397">
        <v>0.85</v>
      </c>
      <c r="BY51" s="397">
        <v>0.95</v>
      </c>
      <c r="BZ51" s="397">
        <v>1.3</v>
      </c>
      <c r="CB51" s="396">
        <v>100</v>
      </c>
      <c r="CC51" s="396" t="s">
        <v>564</v>
      </c>
      <c r="CD51" s="397">
        <v>0.75</v>
      </c>
      <c r="CE51" s="397">
        <v>0.85</v>
      </c>
      <c r="CF51" s="397">
        <v>1.05</v>
      </c>
      <c r="CG51" s="397" t="s">
        <v>562</v>
      </c>
    </row>
    <row r="52" spans="64:85">
      <c r="BL52" s="391"/>
      <c r="BM52" s="330"/>
      <c r="BN52" s="396">
        <v>75</v>
      </c>
      <c r="BO52" s="396" t="s">
        <v>563</v>
      </c>
      <c r="BP52" s="397">
        <v>0.75</v>
      </c>
      <c r="BQ52" s="397">
        <v>0.85</v>
      </c>
      <c r="BR52" s="397">
        <v>0.95</v>
      </c>
      <c r="BS52" s="397">
        <v>1.3</v>
      </c>
      <c r="BT52" s="330"/>
      <c r="BU52" s="396">
        <v>75</v>
      </c>
      <c r="BV52" s="396" t="s">
        <v>563</v>
      </c>
      <c r="BW52" s="397">
        <v>0.75</v>
      </c>
      <c r="BX52" s="397">
        <v>0.85</v>
      </c>
      <c r="BY52" s="397">
        <v>0.95</v>
      </c>
      <c r="BZ52" s="397">
        <v>1.3</v>
      </c>
      <c r="CB52" s="396">
        <v>150</v>
      </c>
      <c r="CC52" s="396" t="s">
        <v>564</v>
      </c>
      <c r="CD52" s="397">
        <v>0.75</v>
      </c>
      <c r="CE52" s="397">
        <v>0.85</v>
      </c>
      <c r="CF52" s="397">
        <v>1.05</v>
      </c>
      <c r="CG52" s="397" t="s">
        <v>562</v>
      </c>
    </row>
    <row r="53" spans="64:85">
      <c r="BL53" s="391"/>
      <c r="BM53" s="330"/>
      <c r="BN53" s="396">
        <v>100</v>
      </c>
      <c r="BO53" s="396" t="s">
        <v>563</v>
      </c>
      <c r="BP53" s="397">
        <v>0.75</v>
      </c>
      <c r="BQ53" s="397">
        <v>0.85</v>
      </c>
      <c r="BR53" s="397">
        <v>0.95</v>
      </c>
      <c r="BS53" s="397">
        <v>1.3</v>
      </c>
      <c r="BT53" s="330"/>
      <c r="BU53" s="396">
        <v>100</v>
      </c>
      <c r="BV53" s="396" t="s">
        <v>563</v>
      </c>
      <c r="BW53" s="397">
        <v>0.75</v>
      </c>
      <c r="BX53" s="397">
        <v>0.85</v>
      </c>
      <c r="BY53" s="397">
        <v>0.95</v>
      </c>
      <c r="BZ53" s="397">
        <v>1.3</v>
      </c>
      <c r="CB53" s="396">
        <v>200</v>
      </c>
      <c r="CC53" s="396" t="s">
        <v>564</v>
      </c>
      <c r="CD53" s="397">
        <v>0.8</v>
      </c>
      <c r="CE53" s="397">
        <v>0.9</v>
      </c>
      <c r="CF53" s="397">
        <v>1.1000000000000001</v>
      </c>
      <c r="CG53" s="397">
        <v>1.75</v>
      </c>
    </row>
    <row r="54" spans="64:85">
      <c r="BL54" s="391"/>
      <c r="BM54" s="330"/>
      <c r="BN54" s="396">
        <v>150</v>
      </c>
      <c r="BO54" s="396" t="s">
        <v>563</v>
      </c>
      <c r="BP54" s="397">
        <v>0.75</v>
      </c>
      <c r="BQ54" s="397">
        <v>0.85</v>
      </c>
      <c r="BR54" s="397">
        <v>0.95</v>
      </c>
      <c r="BS54" s="397">
        <v>1.3</v>
      </c>
      <c r="BT54" s="330"/>
      <c r="BU54" s="396">
        <v>150</v>
      </c>
      <c r="BV54" s="396" t="s">
        <v>563</v>
      </c>
      <c r="BW54" s="397">
        <v>0.75</v>
      </c>
      <c r="BX54" s="397">
        <v>0.85</v>
      </c>
      <c r="BY54" s="397">
        <v>0.95</v>
      </c>
      <c r="BZ54" s="397">
        <v>1.3</v>
      </c>
      <c r="CB54" s="396">
        <v>250</v>
      </c>
      <c r="CC54" s="396" t="s">
        <v>564</v>
      </c>
      <c r="CD54" s="397">
        <v>0.9</v>
      </c>
      <c r="CE54" s="397">
        <v>1</v>
      </c>
      <c r="CF54" s="397">
        <v>1.2</v>
      </c>
      <c r="CG54" s="397">
        <v>1.85</v>
      </c>
    </row>
    <row r="55" spans="64:85">
      <c r="BL55" s="391"/>
      <c r="BM55" s="330"/>
      <c r="BN55" s="396">
        <v>200</v>
      </c>
      <c r="BO55" s="396" t="s">
        <v>563</v>
      </c>
      <c r="BP55" s="397">
        <v>0.8</v>
      </c>
      <c r="BQ55" s="397">
        <v>0.9</v>
      </c>
      <c r="BR55" s="397">
        <v>1</v>
      </c>
      <c r="BS55" s="397">
        <v>1.35</v>
      </c>
      <c r="BT55" s="330"/>
      <c r="BU55" s="396">
        <v>200</v>
      </c>
      <c r="BV55" s="396" t="s">
        <v>563</v>
      </c>
      <c r="BW55" s="397">
        <v>0.8</v>
      </c>
      <c r="BX55" s="397">
        <v>0.9</v>
      </c>
      <c r="BY55" s="397">
        <v>1</v>
      </c>
      <c r="BZ55" s="397">
        <v>1.35</v>
      </c>
      <c r="CB55" s="396">
        <v>300</v>
      </c>
      <c r="CC55" s="396" t="s">
        <v>564</v>
      </c>
      <c r="CD55" s="397">
        <v>0.9</v>
      </c>
      <c r="CE55" s="397">
        <v>1</v>
      </c>
      <c r="CF55" s="397">
        <v>1.2</v>
      </c>
      <c r="CG55" s="397">
        <v>1.85</v>
      </c>
    </row>
    <row r="56" spans="64:85">
      <c r="BL56" s="391"/>
      <c r="BM56" s="330"/>
      <c r="BN56" s="396">
        <v>250</v>
      </c>
      <c r="BO56" s="396" t="s">
        <v>563</v>
      </c>
      <c r="BP56" s="397">
        <v>0.85</v>
      </c>
      <c r="BQ56" s="397">
        <v>0.95</v>
      </c>
      <c r="BR56" s="397">
        <v>1.1499999999999999</v>
      </c>
      <c r="BS56" s="397">
        <v>1.4</v>
      </c>
      <c r="BT56" s="330"/>
      <c r="BU56" s="396">
        <v>250</v>
      </c>
      <c r="BV56" s="396" t="s">
        <v>563</v>
      </c>
      <c r="BW56" s="397">
        <v>0.85</v>
      </c>
      <c r="BX56" s="397">
        <v>0.95</v>
      </c>
      <c r="BY56" s="397">
        <v>1.1499999999999999</v>
      </c>
      <c r="BZ56" s="397">
        <v>1.4</v>
      </c>
      <c r="CB56" s="396">
        <v>350</v>
      </c>
      <c r="CC56" s="396" t="s">
        <v>564</v>
      </c>
      <c r="CD56" s="397">
        <v>1</v>
      </c>
      <c r="CE56" s="397">
        <v>1.3</v>
      </c>
      <c r="CF56" s="397">
        <v>1.5</v>
      </c>
      <c r="CG56" s="397">
        <v>2.15</v>
      </c>
    </row>
    <row r="57" spans="64:85">
      <c r="BL57" s="391"/>
      <c r="BN57" s="396">
        <v>300</v>
      </c>
      <c r="BO57" s="396" t="s">
        <v>563</v>
      </c>
      <c r="BP57" s="397">
        <v>0.9</v>
      </c>
      <c r="BQ57" s="397">
        <v>1.1000000000000001</v>
      </c>
      <c r="BR57" s="397">
        <v>1.2</v>
      </c>
      <c r="BS57" s="397">
        <v>1.45</v>
      </c>
      <c r="BT57" s="330"/>
      <c r="BU57" s="396">
        <v>300</v>
      </c>
      <c r="BV57" s="396" t="s">
        <v>563</v>
      </c>
      <c r="BW57" s="397">
        <v>0.9</v>
      </c>
      <c r="BX57" s="397">
        <v>1.1000000000000001</v>
      </c>
      <c r="BY57" s="397">
        <v>1.2</v>
      </c>
      <c r="BZ57" s="397">
        <v>1.45</v>
      </c>
      <c r="CB57" s="396">
        <v>400</v>
      </c>
      <c r="CC57" s="396" t="s">
        <v>564</v>
      </c>
      <c r="CD57" s="397">
        <v>1</v>
      </c>
      <c r="CE57" s="397">
        <v>1.3</v>
      </c>
      <c r="CF57" s="397">
        <v>1.5</v>
      </c>
      <c r="CG57" s="397">
        <v>2.15</v>
      </c>
    </row>
    <row r="58" spans="64:85">
      <c r="BL58" s="391"/>
      <c r="BN58" s="396">
        <v>350</v>
      </c>
      <c r="BO58" s="396" t="s">
        <v>563</v>
      </c>
      <c r="BP58" s="397">
        <v>0.9</v>
      </c>
      <c r="BQ58" s="397">
        <v>1.1000000000000001</v>
      </c>
      <c r="BR58" s="397">
        <v>1.2</v>
      </c>
      <c r="BS58" s="397">
        <v>1.45</v>
      </c>
      <c r="BT58" s="330"/>
      <c r="BU58" s="396">
        <v>350</v>
      </c>
      <c r="BV58" s="396" t="s">
        <v>563</v>
      </c>
      <c r="BW58" s="397">
        <v>0.9</v>
      </c>
      <c r="BX58" s="397">
        <v>1.1000000000000001</v>
      </c>
      <c r="BY58" s="397">
        <v>1.2</v>
      </c>
      <c r="BZ58" s="397">
        <v>1.45</v>
      </c>
      <c r="CB58" s="396">
        <v>450</v>
      </c>
      <c r="CC58" s="396" t="s">
        <v>564</v>
      </c>
      <c r="CD58" s="397">
        <v>1.1000000000000001</v>
      </c>
      <c r="CE58" s="397">
        <v>1.35</v>
      </c>
      <c r="CF58" s="397">
        <v>1.55</v>
      </c>
      <c r="CG58" s="397">
        <v>2.25</v>
      </c>
    </row>
    <row r="59" spans="64:85" ht="12" customHeight="1">
      <c r="BL59" s="391"/>
      <c r="BN59" s="396">
        <v>400</v>
      </c>
      <c r="BO59" s="396" t="s">
        <v>563</v>
      </c>
      <c r="BP59" s="397">
        <v>1</v>
      </c>
      <c r="BQ59" s="397">
        <v>1.2</v>
      </c>
      <c r="BR59" s="397">
        <v>1.3</v>
      </c>
      <c r="BS59" s="397">
        <v>1.6</v>
      </c>
      <c r="BT59" s="330"/>
      <c r="BU59" s="396">
        <v>400</v>
      </c>
      <c r="BV59" s="396" t="s">
        <v>563</v>
      </c>
      <c r="BW59" s="397">
        <v>1</v>
      </c>
      <c r="BX59" s="397">
        <v>1.2</v>
      </c>
      <c r="BY59" s="397">
        <v>1.3</v>
      </c>
      <c r="BZ59" s="397">
        <v>1.6</v>
      </c>
      <c r="CB59" s="396">
        <v>500</v>
      </c>
      <c r="CC59" s="396" t="s">
        <v>564</v>
      </c>
      <c r="CD59" s="397">
        <v>1.2</v>
      </c>
      <c r="CE59" s="397">
        <v>1.5</v>
      </c>
      <c r="CF59" s="397">
        <v>1.7</v>
      </c>
      <c r="CG59" s="397">
        <v>2.35</v>
      </c>
    </row>
    <row r="60" spans="64:85">
      <c r="BL60" s="391"/>
      <c r="BN60" s="396">
        <v>450</v>
      </c>
      <c r="BO60" s="396" t="s">
        <v>563</v>
      </c>
      <c r="BP60" s="397">
        <v>1</v>
      </c>
      <c r="BQ60" s="397">
        <v>1.2</v>
      </c>
      <c r="BR60" s="397">
        <v>1.3</v>
      </c>
      <c r="BS60" s="397">
        <v>1.6</v>
      </c>
      <c r="BT60" s="330"/>
      <c r="BU60" s="396">
        <v>450</v>
      </c>
      <c r="BV60" s="396" t="s">
        <v>563</v>
      </c>
      <c r="BW60" s="397">
        <v>1</v>
      </c>
      <c r="BX60" s="397">
        <v>1.2</v>
      </c>
      <c r="BY60" s="397">
        <v>1.3</v>
      </c>
      <c r="BZ60" s="397">
        <v>1.6</v>
      </c>
      <c r="CB60" s="396">
        <v>600</v>
      </c>
      <c r="CC60" s="396" t="s">
        <v>564</v>
      </c>
      <c r="CD60" s="397">
        <v>1.3</v>
      </c>
      <c r="CE60" s="397">
        <v>1.6</v>
      </c>
      <c r="CF60" s="397">
        <v>1.8</v>
      </c>
      <c r="CG60" s="397">
        <v>2.4500000000000002</v>
      </c>
    </row>
    <row r="61" spans="64:85">
      <c r="BL61" s="391"/>
      <c r="BN61" s="396">
        <v>500</v>
      </c>
      <c r="BO61" s="396" t="s">
        <v>563</v>
      </c>
      <c r="BP61" s="397">
        <v>1.2</v>
      </c>
      <c r="BQ61" s="397">
        <v>1.3</v>
      </c>
      <c r="BR61" s="397">
        <v>1.45</v>
      </c>
      <c r="BS61" s="397">
        <v>1.75</v>
      </c>
      <c r="BT61" s="330"/>
      <c r="BU61" s="396">
        <v>500</v>
      </c>
      <c r="BV61" s="396" t="s">
        <v>563</v>
      </c>
      <c r="BW61" s="397">
        <v>1.2</v>
      </c>
      <c r="BX61" s="397">
        <v>1.3</v>
      </c>
      <c r="BY61" s="397">
        <v>1.45</v>
      </c>
      <c r="BZ61" s="397">
        <v>1.75</v>
      </c>
      <c r="CA61" s="357"/>
      <c r="CB61" s="396">
        <v>700</v>
      </c>
      <c r="CC61" s="396" t="s">
        <v>564</v>
      </c>
      <c r="CD61" s="397">
        <v>1.4</v>
      </c>
      <c r="CE61" s="397">
        <v>1.7</v>
      </c>
      <c r="CF61" s="397">
        <v>1.9</v>
      </c>
      <c r="CG61" s="397">
        <v>2.5499999999999998</v>
      </c>
    </row>
    <row r="62" spans="64:85">
      <c r="BL62" s="391"/>
      <c r="BN62" s="396">
        <v>600</v>
      </c>
      <c r="BO62" s="396" t="s">
        <v>563</v>
      </c>
      <c r="BP62" s="397">
        <v>1.3</v>
      </c>
      <c r="BQ62" s="397">
        <v>1.45</v>
      </c>
      <c r="BR62" s="397">
        <v>1.65</v>
      </c>
      <c r="BS62" s="397">
        <v>1.85</v>
      </c>
      <c r="BT62" s="330"/>
      <c r="BU62" s="396">
        <v>600</v>
      </c>
      <c r="BV62" s="396" t="s">
        <v>563</v>
      </c>
      <c r="BW62" s="397">
        <v>1.3</v>
      </c>
      <c r="BX62" s="397">
        <v>1.45</v>
      </c>
      <c r="BY62" s="397">
        <v>1.65</v>
      </c>
      <c r="BZ62" s="397">
        <v>1.85</v>
      </c>
      <c r="CA62" s="357"/>
      <c r="CB62" s="396">
        <v>800</v>
      </c>
      <c r="CC62" s="396" t="s">
        <v>564</v>
      </c>
      <c r="CD62" s="397">
        <v>1.5</v>
      </c>
      <c r="CE62" s="397">
        <v>1.8</v>
      </c>
      <c r="CF62" s="397">
        <v>2</v>
      </c>
      <c r="CG62" s="397">
        <v>2.65</v>
      </c>
    </row>
    <row r="63" spans="64:85">
      <c r="BL63" s="391"/>
      <c r="BN63" s="396">
        <v>700</v>
      </c>
      <c r="BO63" s="396" t="s">
        <v>563</v>
      </c>
      <c r="BP63" s="397">
        <v>1.4</v>
      </c>
      <c r="BQ63" s="397">
        <v>1.7</v>
      </c>
      <c r="BR63" s="397">
        <v>1.9</v>
      </c>
      <c r="BS63" s="397">
        <v>2.0499999999999998</v>
      </c>
      <c r="BT63" s="330"/>
      <c r="BU63" s="396">
        <v>700</v>
      </c>
      <c r="BV63" s="396" t="s">
        <v>563</v>
      </c>
      <c r="BW63" s="397">
        <v>1.4</v>
      </c>
      <c r="BX63" s="397">
        <v>1.7</v>
      </c>
      <c r="BY63" s="397">
        <v>1.9</v>
      </c>
      <c r="BZ63" s="397">
        <v>2.0499999999999998</v>
      </c>
      <c r="CA63" s="357"/>
      <c r="CB63" s="396">
        <v>900</v>
      </c>
      <c r="CC63" s="396" t="s">
        <v>564</v>
      </c>
      <c r="CD63" s="397">
        <v>1.6</v>
      </c>
      <c r="CE63" s="397">
        <v>1.9</v>
      </c>
      <c r="CF63" s="397">
        <v>2.1</v>
      </c>
      <c r="CG63" s="397">
        <v>2.75</v>
      </c>
    </row>
    <row r="64" spans="64:85">
      <c r="BL64" s="391"/>
      <c r="BN64" s="396">
        <v>800</v>
      </c>
      <c r="BO64" s="396" t="s">
        <v>563</v>
      </c>
      <c r="BP64" s="397">
        <v>1.5</v>
      </c>
      <c r="BQ64" s="397">
        <v>1.8</v>
      </c>
      <c r="BR64" s="397">
        <v>2</v>
      </c>
      <c r="BS64" s="397">
        <v>2.15</v>
      </c>
      <c r="BT64" s="330"/>
      <c r="BU64" s="396">
        <v>800</v>
      </c>
      <c r="BV64" s="396" t="s">
        <v>563</v>
      </c>
      <c r="BW64" s="397">
        <v>1.5</v>
      </c>
      <c r="BX64" s="397">
        <v>1.8</v>
      </c>
      <c r="BY64" s="397">
        <v>2</v>
      </c>
      <c r="BZ64" s="397">
        <v>2.15</v>
      </c>
      <c r="CA64" s="330"/>
      <c r="CB64" s="396">
        <v>1000</v>
      </c>
      <c r="CC64" s="396" t="s">
        <v>564</v>
      </c>
      <c r="CD64" s="397">
        <v>1.7</v>
      </c>
      <c r="CE64" s="397">
        <v>2</v>
      </c>
      <c r="CF64" s="397">
        <v>2.1</v>
      </c>
      <c r="CG64" s="397">
        <v>2.85</v>
      </c>
    </row>
    <row r="65" spans="5:85" ht="12" customHeight="1">
      <c r="BL65" s="391"/>
      <c r="BN65" s="396">
        <v>900</v>
      </c>
      <c r="BO65" s="396" t="s">
        <v>563</v>
      </c>
      <c r="BP65" s="397">
        <v>1.6</v>
      </c>
      <c r="BQ65" s="397">
        <v>1.9</v>
      </c>
      <c r="BR65" s="397">
        <v>2.0499999999999998</v>
      </c>
      <c r="BS65" s="397">
        <v>2.25</v>
      </c>
      <c r="BT65" s="330"/>
      <c r="BU65" s="396">
        <v>900</v>
      </c>
      <c r="BV65" s="396" t="s">
        <v>563</v>
      </c>
      <c r="BW65" s="397">
        <v>1.6</v>
      </c>
      <c r="BX65" s="397">
        <v>1.9</v>
      </c>
      <c r="BY65" s="397">
        <v>2.0499999999999998</v>
      </c>
      <c r="BZ65" s="397">
        <v>2.25</v>
      </c>
      <c r="CA65" s="395"/>
      <c r="CB65" s="330"/>
      <c r="CC65" s="330"/>
      <c r="CD65" s="357"/>
      <c r="CE65" s="357"/>
      <c r="CF65" s="361"/>
      <c r="CG65" s="361"/>
    </row>
    <row r="66" spans="5:85" ht="12" customHeight="1">
      <c r="BL66" s="391"/>
      <c r="BN66" s="396">
        <v>1000</v>
      </c>
      <c r="BO66" s="396" t="s">
        <v>563</v>
      </c>
      <c r="BP66" s="397">
        <v>1.7</v>
      </c>
      <c r="BQ66" s="397">
        <v>2</v>
      </c>
      <c r="BR66" s="397">
        <v>2.1</v>
      </c>
      <c r="BS66" s="397">
        <v>2.35</v>
      </c>
      <c r="BT66" s="330"/>
      <c r="BU66" s="396">
        <v>1000</v>
      </c>
      <c r="BV66" s="396" t="s">
        <v>563</v>
      </c>
      <c r="BW66" s="397">
        <v>2</v>
      </c>
      <c r="BX66" s="397">
        <v>2.1</v>
      </c>
      <c r="BY66" s="397">
        <v>2.2000000000000002</v>
      </c>
      <c r="BZ66" s="397">
        <v>2.4</v>
      </c>
      <c r="CA66" s="395"/>
      <c r="CB66" s="396">
        <v>100</v>
      </c>
      <c r="CC66" s="396" t="s">
        <v>565</v>
      </c>
      <c r="CD66" s="397">
        <v>0.85</v>
      </c>
      <c r="CE66" s="397">
        <v>1.05</v>
      </c>
      <c r="CF66" s="397">
        <v>1.35</v>
      </c>
      <c r="CG66" s="397" t="s">
        <v>562</v>
      </c>
    </row>
    <row r="67" spans="5:85" ht="12" customHeight="1">
      <c r="BL67" s="391"/>
      <c r="BN67" s="396">
        <v>1200</v>
      </c>
      <c r="BO67" s="396" t="s">
        <v>563</v>
      </c>
      <c r="BP67" s="397" t="s">
        <v>562</v>
      </c>
      <c r="BQ67" s="397" t="s">
        <v>562</v>
      </c>
      <c r="BR67" s="397" t="s">
        <v>562</v>
      </c>
      <c r="BS67" s="397">
        <v>2.4</v>
      </c>
      <c r="BT67" s="330"/>
      <c r="BU67" s="396">
        <v>1200</v>
      </c>
      <c r="BV67" s="396" t="s">
        <v>563</v>
      </c>
      <c r="BW67" s="397" t="s">
        <v>562</v>
      </c>
      <c r="BX67" s="397" t="s">
        <v>562</v>
      </c>
      <c r="BY67" s="397" t="s">
        <v>562</v>
      </c>
      <c r="BZ67" s="397">
        <v>2.6</v>
      </c>
      <c r="CA67" s="395"/>
      <c r="CB67" s="396">
        <v>150</v>
      </c>
      <c r="CC67" s="396" t="s">
        <v>565</v>
      </c>
      <c r="CD67" s="397">
        <v>0.85</v>
      </c>
      <c r="CE67" s="397">
        <v>1.05</v>
      </c>
      <c r="CF67" s="397">
        <v>1.35</v>
      </c>
      <c r="CG67" s="397" t="s">
        <v>562</v>
      </c>
    </row>
    <row r="68" spans="5:85" ht="12" customHeight="1">
      <c r="BL68" s="391"/>
      <c r="BT68" s="330"/>
      <c r="BU68" s="396">
        <v>1500</v>
      </c>
      <c r="BV68" s="396" t="s">
        <v>563</v>
      </c>
      <c r="BW68" s="397" t="s">
        <v>562</v>
      </c>
      <c r="BX68" s="397" t="s">
        <v>562</v>
      </c>
      <c r="BY68" s="397" t="s">
        <v>562</v>
      </c>
      <c r="BZ68" s="397">
        <v>2.85</v>
      </c>
      <c r="CA68" s="395"/>
      <c r="CB68" s="396">
        <v>200</v>
      </c>
      <c r="CC68" s="396" t="s">
        <v>565</v>
      </c>
      <c r="CD68" s="397">
        <v>0.9</v>
      </c>
      <c r="CE68" s="397">
        <v>1.1000000000000001</v>
      </c>
      <c r="CF68" s="397">
        <v>1.4</v>
      </c>
      <c r="CG68" s="397">
        <v>1.9</v>
      </c>
    </row>
    <row r="69" spans="5:85" ht="12" customHeight="1">
      <c r="BL69" s="391"/>
      <c r="BT69" s="330"/>
      <c r="BU69" s="396">
        <v>1800</v>
      </c>
      <c r="BV69" s="396" t="s">
        <v>563</v>
      </c>
      <c r="BW69" s="397" t="s">
        <v>562</v>
      </c>
      <c r="BX69" s="397" t="s">
        <v>562</v>
      </c>
      <c r="BY69" s="397" t="s">
        <v>562</v>
      </c>
      <c r="BZ69" s="397">
        <v>3.15</v>
      </c>
      <c r="CA69" s="395"/>
      <c r="CB69" s="396">
        <v>250</v>
      </c>
      <c r="CC69" s="396" t="s">
        <v>565</v>
      </c>
      <c r="CD69" s="397">
        <v>1</v>
      </c>
      <c r="CE69" s="397">
        <v>1.2</v>
      </c>
      <c r="CF69" s="397">
        <v>1.5</v>
      </c>
      <c r="CG69" s="397">
        <v>2</v>
      </c>
    </row>
    <row r="70" spans="5:85" ht="12" customHeight="1">
      <c r="BL70" s="391"/>
      <c r="BT70" s="330"/>
      <c r="BU70" s="396">
        <v>2100</v>
      </c>
      <c r="BV70" s="396" t="s">
        <v>563</v>
      </c>
      <c r="BW70" s="397" t="s">
        <v>562</v>
      </c>
      <c r="BX70" s="397" t="s">
        <v>562</v>
      </c>
      <c r="BY70" s="397" t="s">
        <v>562</v>
      </c>
      <c r="BZ70" s="397">
        <v>3.45</v>
      </c>
      <c r="CA70" s="395"/>
      <c r="CB70" s="396">
        <v>300</v>
      </c>
      <c r="CC70" s="396" t="s">
        <v>565</v>
      </c>
      <c r="CD70" s="397">
        <v>1</v>
      </c>
      <c r="CE70" s="397">
        <v>1.2</v>
      </c>
      <c r="CF70" s="397">
        <v>1.5</v>
      </c>
      <c r="CG70" s="397">
        <v>2</v>
      </c>
    </row>
    <row r="71" spans="5:85" ht="12" customHeight="1">
      <c r="BL71" s="391"/>
      <c r="BT71" s="330"/>
      <c r="BU71" s="396">
        <v>2500</v>
      </c>
      <c r="BV71" s="396" t="s">
        <v>563</v>
      </c>
      <c r="BW71" s="397" t="s">
        <v>562</v>
      </c>
      <c r="BX71" s="397" t="s">
        <v>562</v>
      </c>
      <c r="BY71" s="397" t="s">
        <v>562</v>
      </c>
      <c r="BZ71" s="397">
        <v>3.9</v>
      </c>
      <c r="CA71" s="395"/>
      <c r="CB71" s="396">
        <v>350</v>
      </c>
      <c r="CC71" s="396" t="s">
        <v>565</v>
      </c>
      <c r="CD71" s="397">
        <v>1.1000000000000001</v>
      </c>
      <c r="CE71" s="397">
        <v>1.5</v>
      </c>
      <c r="CF71" s="397">
        <v>1.8</v>
      </c>
      <c r="CG71" s="397">
        <v>2.2999999999999998</v>
      </c>
    </row>
    <row r="72" spans="5:85" ht="12" customHeight="1">
      <c r="BL72" s="391"/>
      <c r="BT72" s="330"/>
      <c r="CA72" s="395"/>
      <c r="CB72" s="396">
        <v>400</v>
      </c>
      <c r="CC72" s="396" t="s">
        <v>565</v>
      </c>
      <c r="CD72" s="397">
        <v>1.1000000000000001</v>
      </c>
      <c r="CE72" s="397">
        <v>1.5</v>
      </c>
      <c r="CF72" s="397">
        <v>1.8</v>
      </c>
      <c r="CG72" s="397">
        <v>2.2999999999999998</v>
      </c>
    </row>
    <row r="73" spans="5:85" ht="12" customHeight="1">
      <c r="BL73" s="391"/>
      <c r="BT73" s="330"/>
      <c r="CA73" s="395"/>
      <c r="CB73" s="396">
        <v>450</v>
      </c>
      <c r="CC73" s="396" t="s">
        <v>565</v>
      </c>
      <c r="CD73" s="397">
        <v>1.2</v>
      </c>
      <c r="CE73" s="397">
        <v>1.55</v>
      </c>
      <c r="CF73" s="397">
        <v>1.85</v>
      </c>
      <c r="CG73" s="397">
        <v>2.4</v>
      </c>
    </row>
    <row r="74" spans="5:85" ht="12" customHeight="1">
      <c r="BL74" s="391"/>
      <c r="BT74" s="330"/>
      <c r="CA74" s="395"/>
      <c r="CB74" s="396">
        <v>500</v>
      </c>
      <c r="CC74" s="396" t="s">
        <v>565</v>
      </c>
      <c r="CD74" s="397">
        <v>1.3</v>
      </c>
      <c r="CE74" s="397">
        <v>1.7</v>
      </c>
      <c r="CF74" s="397">
        <v>2</v>
      </c>
      <c r="CG74" s="397">
        <v>2.5</v>
      </c>
    </row>
    <row r="75" spans="5:85" ht="12" customHeight="1">
      <c r="BL75" s="391"/>
      <c r="BT75" s="330"/>
      <c r="CA75" s="395"/>
      <c r="CB75" s="396">
        <v>600</v>
      </c>
      <c r="CC75" s="396" t="s">
        <v>565</v>
      </c>
      <c r="CD75" s="397">
        <v>1.4</v>
      </c>
      <c r="CE75" s="397">
        <v>1.8</v>
      </c>
      <c r="CF75" s="397">
        <v>2.1</v>
      </c>
      <c r="CG75" s="397">
        <v>2.6</v>
      </c>
    </row>
    <row r="76" spans="5:85" ht="12" customHeight="1">
      <c r="BL76" s="391"/>
      <c r="BT76" s="330"/>
      <c r="CA76" s="395"/>
      <c r="CB76" s="396">
        <v>700</v>
      </c>
      <c r="CC76" s="396" t="s">
        <v>565</v>
      </c>
      <c r="CD76" s="397">
        <v>1.5</v>
      </c>
      <c r="CE76" s="397">
        <v>1.9</v>
      </c>
      <c r="CF76" s="397">
        <v>2.2000000000000002</v>
      </c>
      <c r="CG76" s="397">
        <v>2.7</v>
      </c>
    </row>
    <row r="77" spans="5:85" ht="12" customHeight="1">
      <c r="E77" s="319"/>
      <c r="BL77" s="391"/>
      <c r="BT77" s="330"/>
      <c r="CA77" s="395"/>
      <c r="CB77" s="396">
        <v>800</v>
      </c>
      <c r="CC77" s="396" t="s">
        <v>565</v>
      </c>
      <c r="CD77" s="397">
        <v>1.6</v>
      </c>
      <c r="CE77" s="397">
        <v>2</v>
      </c>
      <c r="CF77" s="397">
        <v>2.2999999999999998</v>
      </c>
      <c r="CG77" s="397">
        <v>2.8</v>
      </c>
    </row>
    <row r="78" spans="5:85" ht="12" customHeight="1">
      <c r="E78" s="319"/>
      <c r="BL78" s="391"/>
      <c r="BT78" s="330"/>
      <c r="CA78" s="395"/>
      <c r="CB78" s="396">
        <v>900</v>
      </c>
      <c r="CC78" s="396" t="s">
        <v>565</v>
      </c>
      <c r="CD78" s="397">
        <v>1.7</v>
      </c>
      <c r="CE78" s="397">
        <v>2.1</v>
      </c>
      <c r="CF78" s="397">
        <v>2.4</v>
      </c>
      <c r="CG78" s="397">
        <v>2.9</v>
      </c>
    </row>
    <row r="79" spans="5:85" ht="12" customHeight="1">
      <c r="E79" s="319"/>
      <c r="BL79" s="391"/>
      <c r="BT79" s="330"/>
      <c r="CA79" s="395"/>
      <c r="CB79" s="396">
        <v>1000</v>
      </c>
      <c r="CC79" s="396" t="s">
        <v>565</v>
      </c>
      <c r="CD79" s="397">
        <v>1.8</v>
      </c>
      <c r="CE79" s="397">
        <v>2.2000000000000002</v>
      </c>
      <c r="CF79" s="397">
        <v>2.5</v>
      </c>
      <c r="CG79" s="397">
        <v>3</v>
      </c>
    </row>
    <row r="80" spans="5:85" ht="12" customHeight="1">
      <c r="E80" s="319"/>
      <c r="BL80" s="391"/>
      <c r="BT80" s="330"/>
      <c r="CA80" s="395"/>
      <c r="CB80" s="330"/>
      <c r="CC80" s="330"/>
      <c r="CD80" s="357"/>
      <c r="CE80" s="357"/>
      <c r="CF80" s="361"/>
      <c r="CG80" s="361"/>
    </row>
    <row r="81" spans="5:88" ht="12" customHeight="1">
      <c r="E81" s="319"/>
      <c r="BL81" s="391"/>
      <c r="BT81" s="330"/>
      <c r="CA81" s="395"/>
      <c r="CB81" s="396">
        <v>100</v>
      </c>
      <c r="CC81" s="396" t="s">
        <v>566</v>
      </c>
      <c r="CD81" s="397">
        <v>0.95</v>
      </c>
      <c r="CE81" s="397">
        <v>1.25</v>
      </c>
      <c r="CF81" s="397">
        <v>1.65</v>
      </c>
      <c r="CG81" s="397" t="s">
        <v>562</v>
      </c>
    </row>
    <row r="82" spans="5:88" ht="12" customHeight="1">
      <c r="E82" s="319"/>
      <c r="BL82" s="391"/>
      <c r="BT82" s="330"/>
      <c r="CA82" s="395"/>
      <c r="CB82" s="396">
        <v>150</v>
      </c>
      <c r="CC82" s="396" t="s">
        <v>566</v>
      </c>
      <c r="CD82" s="397">
        <v>0.95</v>
      </c>
      <c r="CE82" s="397">
        <v>1.25</v>
      </c>
      <c r="CF82" s="397">
        <v>1.65</v>
      </c>
      <c r="CG82" s="397" t="s">
        <v>562</v>
      </c>
    </row>
    <row r="83" spans="5:88" ht="12" customHeight="1">
      <c r="E83" s="319"/>
      <c r="BL83" s="391"/>
      <c r="BT83" s="330"/>
      <c r="BU83" s="395"/>
      <c r="BV83" s="395"/>
      <c r="BW83" s="395"/>
      <c r="BX83" s="395"/>
      <c r="BY83" s="395"/>
      <c r="BZ83" s="330"/>
      <c r="CA83" s="395"/>
      <c r="CB83" s="396">
        <v>200</v>
      </c>
      <c r="CC83" s="396" t="s">
        <v>566</v>
      </c>
      <c r="CD83" s="397">
        <v>1</v>
      </c>
      <c r="CE83" s="397">
        <v>1.3</v>
      </c>
      <c r="CF83" s="397">
        <v>1.7</v>
      </c>
      <c r="CG83" s="397">
        <v>2.0499999999999998</v>
      </c>
    </row>
    <row r="84" spans="5:88" ht="12" customHeight="1">
      <c r="E84" s="319"/>
      <c r="BL84" s="391"/>
      <c r="BN84" s="398"/>
      <c r="BP84" s="320"/>
      <c r="BQ84" s="357"/>
      <c r="BR84" s="357"/>
      <c r="BS84" s="357"/>
      <c r="BT84" s="330"/>
      <c r="BU84" s="395"/>
      <c r="BV84" s="395"/>
      <c r="BW84" s="395"/>
      <c r="BX84" s="395"/>
      <c r="BY84" s="395"/>
      <c r="BZ84" s="330"/>
      <c r="CA84" s="395"/>
      <c r="CB84" s="396">
        <v>250</v>
      </c>
      <c r="CC84" s="396" t="s">
        <v>566</v>
      </c>
      <c r="CD84" s="397">
        <v>1.1000000000000001</v>
      </c>
      <c r="CE84" s="397">
        <v>1.4</v>
      </c>
      <c r="CF84" s="397">
        <v>1.8</v>
      </c>
      <c r="CG84" s="397">
        <v>2.15</v>
      </c>
    </row>
    <row r="85" spans="5:88" ht="12" customHeight="1">
      <c r="E85" s="319"/>
      <c r="BL85" s="391"/>
      <c r="BN85" s="398"/>
      <c r="BP85" s="320"/>
      <c r="BQ85" s="357"/>
      <c r="BR85" s="357"/>
      <c r="BS85" s="357"/>
      <c r="BT85" s="330"/>
      <c r="BU85" s="395"/>
      <c r="BV85" s="395"/>
      <c r="BW85" s="395"/>
      <c r="BX85" s="395"/>
      <c r="BY85" s="395"/>
      <c r="BZ85" s="330"/>
      <c r="CA85" s="395"/>
      <c r="CB85" s="396">
        <v>300</v>
      </c>
      <c r="CC85" s="396" t="s">
        <v>566</v>
      </c>
      <c r="CD85" s="397">
        <v>1.1000000000000001</v>
      </c>
      <c r="CE85" s="397">
        <v>1.4</v>
      </c>
      <c r="CF85" s="397">
        <v>1.8</v>
      </c>
      <c r="CG85" s="397">
        <v>2.15</v>
      </c>
    </row>
    <row r="86" spans="5:88" ht="12" customHeight="1">
      <c r="E86" s="319"/>
      <c r="BL86" s="391"/>
      <c r="BN86" s="398"/>
      <c r="BP86" s="320"/>
      <c r="BQ86" s="357"/>
      <c r="BR86" s="357"/>
      <c r="BS86" s="357"/>
      <c r="BT86" s="330"/>
      <c r="BU86" s="395"/>
      <c r="BV86" s="395"/>
      <c r="BW86" s="395"/>
      <c r="BX86" s="395"/>
      <c r="BY86" s="395"/>
      <c r="BZ86" s="330"/>
      <c r="CA86" s="395"/>
      <c r="CB86" s="396">
        <v>350</v>
      </c>
      <c r="CC86" s="396" t="s">
        <v>566</v>
      </c>
      <c r="CD86" s="397">
        <v>1.2</v>
      </c>
      <c r="CE86" s="397">
        <v>1.7</v>
      </c>
      <c r="CF86" s="397">
        <v>2.1</v>
      </c>
      <c r="CG86" s="397">
        <v>2.4500000000000002</v>
      </c>
    </row>
    <row r="87" spans="5:88" ht="12" customHeight="1">
      <c r="E87" s="319"/>
      <c r="BL87" s="391"/>
      <c r="BW87" s="395"/>
      <c r="BX87" s="395"/>
      <c r="BY87" s="395"/>
      <c r="BZ87" s="330"/>
      <c r="CA87" s="395"/>
      <c r="CB87" s="396">
        <v>400</v>
      </c>
      <c r="CC87" s="396" t="s">
        <v>566</v>
      </c>
      <c r="CD87" s="397">
        <v>1.2</v>
      </c>
      <c r="CE87" s="397">
        <v>1.7</v>
      </c>
      <c r="CF87" s="397">
        <v>2.1</v>
      </c>
      <c r="CG87" s="397">
        <v>2.4500000000000002</v>
      </c>
    </row>
    <row r="88" spans="5:88" ht="12" customHeight="1">
      <c r="E88" s="319"/>
      <c r="BL88" s="391"/>
      <c r="BW88" s="395"/>
      <c r="BX88" s="395"/>
      <c r="BY88" s="395"/>
      <c r="BZ88" s="330"/>
      <c r="CA88" s="395"/>
      <c r="CB88" s="396">
        <v>450</v>
      </c>
      <c r="CC88" s="396" t="s">
        <v>566</v>
      </c>
      <c r="CD88" s="397">
        <v>1.3</v>
      </c>
      <c r="CE88" s="397">
        <v>1.75</v>
      </c>
      <c r="CF88" s="397">
        <v>2.15</v>
      </c>
      <c r="CG88" s="397">
        <v>2.5499999999999998</v>
      </c>
    </row>
    <row r="89" spans="5:88" ht="12" customHeight="1">
      <c r="E89" s="319"/>
      <c r="BL89" s="391"/>
      <c r="BW89" s="395"/>
      <c r="BX89" s="395"/>
      <c r="BY89" s="395"/>
      <c r="BZ89" s="330"/>
      <c r="CA89" s="395"/>
      <c r="CB89" s="396">
        <v>500</v>
      </c>
      <c r="CC89" s="396" t="s">
        <v>566</v>
      </c>
      <c r="CD89" s="397">
        <v>1.4</v>
      </c>
      <c r="CE89" s="397">
        <v>1.9</v>
      </c>
      <c r="CF89" s="397">
        <v>2.2999999999999998</v>
      </c>
      <c r="CG89" s="397">
        <v>2.65</v>
      </c>
    </row>
    <row r="90" spans="5:88" ht="12" customHeight="1">
      <c r="E90" s="319"/>
      <c r="BL90" s="391"/>
      <c r="BN90" s="330"/>
      <c r="BP90" s="357"/>
      <c r="BQ90" s="357"/>
      <c r="BR90" s="357"/>
      <c r="BS90" s="357"/>
      <c r="BT90" s="330"/>
      <c r="BU90" s="395"/>
      <c r="BV90" s="395"/>
      <c r="BW90" s="395"/>
      <c r="BX90" s="395"/>
      <c r="BY90" s="395"/>
      <c r="BZ90" s="330"/>
      <c r="CA90" s="395"/>
      <c r="CB90" s="396">
        <v>600</v>
      </c>
      <c r="CC90" s="396" t="s">
        <v>566</v>
      </c>
      <c r="CD90" s="397">
        <v>1.5</v>
      </c>
      <c r="CE90" s="397">
        <v>2</v>
      </c>
      <c r="CF90" s="397">
        <v>2.4</v>
      </c>
      <c r="CG90" s="397">
        <v>2.75</v>
      </c>
    </row>
    <row r="91" spans="5:88" ht="12" customHeight="1">
      <c r="E91" s="319"/>
      <c r="BL91" s="391"/>
      <c r="BN91" s="330"/>
      <c r="BO91" s="357"/>
      <c r="BP91" s="357"/>
      <c r="BQ91" s="357"/>
      <c r="BR91" s="357"/>
      <c r="BS91" s="357"/>
      <c r="BT91" s="330"/>
      <c r="BU91" s="395"/>
      <c r="BV91" s="395"/>
      <c r="BW91" s="395"/>
      <c r="BX91" s="395"/>
      <c r="BY91" s="395"/>
      <c r="BZ91" s="330"/>
      <c r="CA91" s="395"/>
      <c r="CB91" s="396">
        <v>700</v>
      </c>
      <c r="CC91" s="396" t="s">
        <v>566</v>
      </c>
      <c r="CD91" s="397">
        <v>1.6</v>
      </c>
      <c r="CE91" s="397">
        <v>2.1</v>
      </c>
      <c r="CF91" s="397">
        <v>2.5</v>
      </c>
      <c r="CG91" s="397">
        <v>2.85</v>
      </c>
    </row>
    <row r="92" spans="5:88" ht="12" customHeight="1">
      <c r="E92" s="319"/>
      <c r="BL92" s="391"/>
      <c r="BN92" s="330"/>
      <c r="BO92" s="357"/>
      <c r="BP92" s="357"/>
      <c r="BQ92" s="357"/>
      <c r="BR92" s="357"/>
      <c r="BS92" s="357"/>
      <c r="BT92" s="330"/>
      <c r="BU92" s="395"/>
      <c r="BV92" s="395"/>
      <c r="BW92" s="395"/>
      <c r="BX92" s="395"/>
      <c r="BY92" s="395"/>
      <c r="BZ92" s="330"/>
      <c r="CA92" s="395"/>
      <c r="CB92" s="396">
        <v>800</v>
      </c>
      <c r="CC92" s="396" t="s">
        <v>566</v>
      </c>
      <c r="CD92" s="397">
        <v>1.7</v>
      </c>
      <c r="CE92" s="397">
        <v>2.2000000000000002</v>
      </c>
      <c r="CF92" s="397">
        <v>2.6</v>
      </c>
      <c r="CG92" s="397">
        <v>2.9</v>
      </c>
    </row>
    <row r="93" spans="5:88" ht="12" customHeight="1">
      <c r="E93" s="319"/>
      <c r="BL93" s="391"/>
      <c r="BN93" s="330"/>
      <c r="BO93" s="357"/>
      <c r="BP93" s="357"/>
      <c r="BQ93" s="357"/>
      <c r="BR93" s="357"/>
      <c r="BS93" s="357"/>
      <c r="BT93" s="330"/>
      <c r="BU93" s="395"/>
      <c r="BV93" s="395"/>
      <c r="BW93" s="395"/>
      <c r="BX93" s="395"/>
      <c r="BY93" s="395"/>
      <c r="BZ93" s="330"/>
      <c r="CA93" s="395"/>
      <c r="CB93" s="396">
        <v>900</v>
      </c>
      <c r="CC93" s="396" t="s">
        <v>566</v>
      </c>
      <c r="CD93" s="397">
        <v>1.8</v>
      </c>
      <c r="CE93" s="397">
        <v>2.2999999999999998</v>
      </c>
      <c r="CF93" s="397">
        <v>2.7</v>
      </c>
      <c r="CG93" s="397">
        <v>3.05</v>
      </c>
    </row>
    <row r="94" spans="5:88" ht="12" customHeight="1">
      <c r="E94" s="319"/>
      <c r="BL94" s="391"/>
      <c r="BN94" s="330"/>
      <c r="BO94" s="357"/>
      <c r="BP94" s="357"/>
      <c r="BQ94" s="357"/>
      <c r="BR94" s="357"/>
      <c r="BS94" s="357"/>
      <c r="BT94" s="330"/>
      <c r="BU94" s="395"/>
      <c r="BV94" s="395"/>
      <c r="BW94" s="395"/>
      <c r="BX94" s="395"/>
      <c r="BY94" s="395"/>
      <c r="BZ94" s="330"/>
      <c r="CA94" s="395"/>
      <c r="CB94" s="396">
        <v>1000</v>
      </c>
      <c r="CC94" s="396" t="s">
        <v>566</v>
      </c>
      <c r="CD94" s="397">
        <v>1.9</v>
      </c>
      <c r="CE94" s="397">
        <v>2.4</v>
      </c>
      <c r="CF94" s="397">
        <v>2.8</v>
      </c>
      <c r="CG94" s="397">
        <v>3.15</v>
      </c>
    </row>
    <row r="95" spans="5:88" ht="12" customHeight="1">
      <c r="E95" s="319"/>
      <c r="BL95" s="391"/>
      <c r="BN95" s="330"/>
      <c r="BO95" s="357"/>
      <c r="BP95" s="357"/>
      <c r="BQ95" s="357"/>
      <c r="BR95" s="357"/>
      <c r="BS95" s="357"/>
      <c r="BT95" s="330"/>
      <c r="BU95" s="395"/>
      <c r="BV95" s="395"/>
      <c r="BW95" s="395"/>
      <c r="BX95" s="395"/>
      <c r="BY95" s="395"/>
      <c r="BZ95" s="330"/>
      <c r="CA95" s="395"/>
      <c r="CB95" s="395"/>
      <c r="CC95" s="395"/>
      <c r="CD95" s="395"/>
      <c r="CE95" s="395"/>
      <c r="CF95" s="395"/>
    </row>
    <row r="96" spans="5:88" ht="12" customHeight="1">
      <c r="E96" s="319"/>
      <c r="BL96" s="391"/>
      <c r="BN96" s="330"/>
      <c r="BO96" s="357"/>
      <c r="BP96" s="357"/>
      <c r="BQ96" s="357"/>
      <c r="BR96" s="357"/>
      <c r="BS96" s="357"/>
      <c r="BT96" s="330"/>
      <c r="BU96" s="395"/>
      <c r="BV96" s="395"/>
      <c r="BW96" s="395"/>
      <c r="BX96" s="395"/>
      <c r="BY96" s="395"/>
      <c r="BZ96" s="330"/>
      <c r="CA96" s="395"/>
      <c r="CB96" s="399">
        <v>100</v>
      </c>
      <c r="CC96" s="399" t="s">
        <v>567</v>
      </c>
      <c r="CD96" s="400">
        <f t="shared" ref="CD96:CG109" si="4">CEILING(1.1*CD81*CD81/CD66,0.05)</f>
        <v>1.2000000000000002</v>
      </c>
      <c r="CE96" s="400">
        <f t="shared" si="4"/>
        <v>1.6500000000000001</v>
      </c>
      <c r="CF96" s="400">
        <f t="shared" si="4"/>
        <v>2.25</v>
      </c>
      <c r="CG96" s="400">
        <f>CEILING(1.1*CG83*CG83/CG68,0.05)</f>
        <v>2.4500000000000002</v>
      </c>
      <c r="CH96" s="401" t="s">
        <v>568</v>
      </c>
      <c r="CI96" s="401"/>
      <c r="CJ96" s="401"/>
    </row>
    <row r="97" spans="5:121" ht="12" customHeight="1">
      <c r="E97" s="319"/>
      <c r="BL97" s="391"/>
      <c r="BN97" s="330"/>
      <c r="BO97" s="357"/>
      <c r="BP97" s="357"/>
      <c r="BQ97" s="357"/>
      <c r="BR97" s="357"/>
      <c r="BS97" s="357"/>
      <c r="BT97" s="330"/>
      <c r="BU97" s="395"/>
      <c r="BV97" s="395"/>
      <c r="BW97" s="395"/>
      <c r="BX97" s="395"/>
      <c r="BY97" s="395"/>
      <c r="BZ97" s="330"/>
      <c r="CA97" s="395"/>
      <c r="CB97" s="399">
        <v>150</v>
      </c>
      <c r="CC97" s="399" t="s">
        <v>567</v>
      </c>
      <c r="CD97" s="400">
        <f t="shared" si="4"/>
        <v>1.2000000000000002</v>
      </c>
      <c r="CE97" s="400">
        <f t="shared" si="4"/>
        <v>1.6500000000000001</v>
      </c>
      <c r="CF97" s="400">
        <f t="shared" si="4"/>
        <v>2.25</v>
      </c>
      <c r="CG97" s="400">
        <f>CEILING(1.1*CG83*CG83/CG68,0.05)</f>
        <v>2.4500000000000002</v>
      </c>
    </row>
    <row r="98" spans="5:121" ht="12" customHeight="1">
      <c r="E98" s="319"/>
      <c r="BL98" s="391"/>
      <c r="BN98" s="330"/>
      <c r="BO98" s="357"/>
      <c r="BP98" s="357"/>
      <c r="BQ98" s="357"/>
      <c r="BR98" s="357"/>
      <c r="BS98" s="357"/>
      <c r="BT98" s="330"/>
      <c r="BU98" s="395"/>
      <c r="BV98" s="395"/>
      <c r="BW98" s="395"/>
      <c r="BX98" s="395"/>
      <c r="BY98" s="395"/>
      <c r="BZ98" s="330"/>
      <c r="CA98" s="395"/>
      <c r="CB98" s="399">
        <v>200</v>
      </c>
      <c r="CC98" s="399" t="s">
        <v>567</v>
      </c>
      <c r="CD98" s="400">
        <f t="shared" si="4"/>
        <v>1.25</v>
      </c>
      <c r="CE98" s="400">
        <f t="shared" si="4"/>
        <v>1.7000000000000002</v>
      </c>
      <c r="CF98" s="400">
        <f t="shared" si="4"/>
        <v>2.3000000000000003</v>
      </c>
      <c r="CG98" s="400">
        <f>CEILING(1.1*CG83*CG83/CG68,0.05)</f>
        <v>2.4500000000000002</v>
      </c>
    </row>
    <row r="99" spans="5:121" ht="12" customHeight="1">
      <c r="E99" s="319"/>
      <c r="BL99" s="391"/>
      <c r="BN99" s="330"/>
      <c r="BO99" s="357"/>
      <c r="BP99" s="357"/>
      <c r="BQ99" s="357"/>
      <c r="BR99" s="357"/>
      <c r="BS99" s="357"/>
      <c r="BT99" s="330"/>
      <c r="BU99" s="395"/>
      <c r="BV99" s="395"/>
      <c r="BW99" s="395"/>
      <c r="BX99" s="395"/>
      <c r="BY99" s="395"/>
      <c r="BZ99" s="330"/>
      <c r="CA99" s="395"/>
      <c r="CB99" s="399">
        <v>250</v>
      </c>
      <c r="CC99" s="399" t="s">
        <v>567</v>
      </c>
      <c r="CD99" s="400">
        <f t="shared" si="4"/>
        <v>1.35</v>
      </c>
      <c r="CE99" s="400">
        <f t="shared" si="4"/>
        <v>1.8</v>
      </c>
      <c r="CF99" s="400">
        <f t="shared" si="4"/>
        <v>2.4000000000000004</v>
      </c>
      <c r="CG99" s="400">
        <f t="shared" si="4"/>
        <v>2.5500000000000003</v>
      </c>
    </row>
    <row r="100" spans="5:121" ht="12" customHeight="1">
      <c r="E100" s="319"/>
      <c r="BL100" s="391"/>
      <c r="BN100" s="330"/>
      <c r="BO100" s="357"/>
      <c r="BP100" s="357"/>
      <c r="BQ100" s="357"/>
      <c r="BR100" s="357"/>
      <c r="BS100" s="357"/>
      <c r="BT100" s="330"/>
      <c r="BU100" s="395"/>
      <c r="BV100" s="395"/>
      <c r="BW100" s="395"/>
      <c r="BX100" s="395"/>
      <c r="BY100" s="395"/>
      <c r="BZ100" s="330"/>
      <c r="CA100" s="395"/>
      <c r="CB100" s="399">
        <v>300</v>
      </c>
      <c r="CC100" s="399" t="s">
        <v>567</v>
      </c>
      <c r="CD100" s="400">
        <f t="shared" si="4"/>
        <v>1.35</v>
      </c>
      <c r="CE100" s="400">
        <f t="shared" si="4"/>
        <v>1.8</v>
      </c>
      <c r="CF100" s="400">
        <f t="shared" si="4"/>
        <v>2.4000000000000004</v>
      </c>
      <c r="CG100" s="400">
        <f t="shared" si="4"/>
        <v>2.5500000000000003</v>
      </c>
    </row>
    <row r="101" spans="5:121" ht="12" customHeight="1">
      <c r="E101" s="319"/>
      <c r="BL101" s="391"/>
      <c r="BN101" s="330"/>
      <c r="BO101" s="357"/>
      <c r="BP101" s="357"/>
      <c r="BQ101" s="357"/>
      <c r="BR101" s="357"/>
      <c r="BS101" s="357"/>
      <c r="BT101" s="330"/>
      <c r="BU101" s="395"/>
      <c r="BV101" s="395"/>
      <c r="BW101" s="395"/>
      <c r="BX101" s="395"/>
      <c r="BY101" s="395"/>
      <c r="BZ101" s="330"/>
      <c r="CA101" s="395"/>
      <c r="CB101" s="399">
        <v>350</v>
      </c>
      <c r="CC101" s="399" t="s">
        <v>567</v>
      </c>
      <c r="CD101" s="400">
        <f t="shared" si="4"/>
        <v>1.4500000000000002</v>
      </c>
      <c r="CE101" s="400">
        <f t="shared" si="4"/>
        <v>2.15</v>
      </c>
      <c r="CF101" s="400">
        <f t="shared" si="4"/>
        <v>2.7</v>
      </c>
      <c r="CG101" s="400">
        <f t="shared" si="4"/>
        <v>2.9000000000000004</v>
      </c>
    </row>
    <row r="102" spans="5:121" ht="12" customHeight="1">
      <c r="E102" s="319"/>
      <c r="BN102" s="330"/>
      <c r="BO102" s="357"/>
      <c r="BP102" s="357"/>
      <c r="BQ102" s="357"/>
      <c r="BR102" s="357"/>
      <c r="BS102" s="357"/>
      <c r="BT102" s="330"/>
      <c r="BU102" s="395"/>
      <c r="BV102" s="395"/>
      <c r="BW102" s="395"/>
      <c r="BX102" s="395"/>
      <c r="BY102" s="395"/>
      <c r="BZ102" s="330"/>
      <c r="CA102" s="395"/>
      <c r="CB102" s="399">
        <v>400</v>
      </c>
      <c r="CC102" s="399" t="s">
        <v>567</v>
      </c>
      <c r="CD102" s="400">
        <f t="shared" si="4"/>
        <v>1.4500000000000002</v>
      </c>
      <c r="CE102" s="400">
        <f t="shared" si="4"/>
        <v>2.15</v>
      </c>
      <c r="CF102" s="400">
        <f t="shared" si="4"/>
        <v>2.7</v>
      </c>
      <c r="CG102" s="400">
        <f t="shared" si="4"/>
        <v>2.9000000000000004</v>
      </c>
    </row>
    <row r="103" spans="5:121" ht="12" customHeight="1">
      <c r="E103" s="319"/>
      <c r="BN103" s="330"/>
      <c r="BO103" s="357"/>
      <c r="BP103" s="357"/>
      <c r="BQ103" s="357"/>
      <c r="BR103" s="357"/>
      <c r="BS103" s="357"/>
      <c r="BT103" s="330"/>
      <c r="BU103" s="395"/>
      <c r="BV103" s="395"/>
      <c r="BW103" s="395"/>
      <c r="BX103" s="395"/>
      <c r="BY103" s="395"/>
      <c r="BZ103" s="330"/>
      <c r="CA103" s="395"/>
      <c r="CB103" s="399">
        <v>450</v>
      </c>
      <c r="CC103" s="399" t="s">
        <v>567</v>
      </c>
      <c r="CD103" s="400">
        <f t="shared" si="4"/>
        <v>1.55</v>
      </c>
      <c r="CE103" s="400">
        <f t="shared" si="4"/>
        <v>2.2000000000000002</v>
      </c>
      <c r="CF103" s="400">
        <f t="shared" si="4"/>
        <v>2.75</v>
      </c>
      <c r="CG103" s="400">
        <f t="shared" si="4"/>
        <v>3</v>
      </c>
    </row>
    <row r="104" spans="5:121" ht="12" customHeight="1">
      <c r="E104" s="319"/>
      <c r="BN104" s="330"/>
      <c r="BO104" s="357"/>
      <c r="BP104" s="357"/>
      <c r="BQ104" s="357"/>
      <c r="BR104" s="357"/>
      <c r="BS104" s="357"/>
      <c r="BT104" s="330"/>
      <c r="BU104" s="395"/>
      <c r="BV104" s="395"/>
      <c r="BW104" s="395"/>
      <c r="BX104" s="395"/>
      <c r="BY104" s="395"/>
      <c r="BZ104" s="330"/>
      <c r="CA104" s="395"/>
      <c r="CB104" s="399">
        <v>500</v>
      </c>
      <c r="CC104" s="399" t="s">
        <v>567</v>
      </c>
      <c r="CD104" s="400">
        <f t="shared" si="4"/>
        <v>1.7000000000000002</v>
      </c>
      <c r="CE104" s="400">
        <f t="shared" si="4"/>
        <v>2.35</v>
      </c>
      <c r="CF104" s="400">
        <f t="shared" si="4"/>
        <v>2.95</v>
      </c>
      <c r="CG104" s="400">
        <f t="shared" si="4"/>
        <v>3.1</v>
      </c>
    </row>
    <row r="105" spans="5:121" ht="12" customHeight="1">
      <c r="E105" s="319"/>
      <c r="BN105" s="330"/>
      <c r="BO105" s="357"/>
      <c r="BP105" s="357"/>
      <c r="BQ105" s="357"/>
      <c r="BR105" s="357"/>
      <c r="BS105" s="357"/>
      <c r="BT105" s="330"/>
      <c r="BU105" s="395"/>
      <c r="BV105" s="395"/>
      <c r="BW105" s="395"/>
      <c r="BX105" s="395"/>
      <c r="BY105" s="395"/>
      <c r="BZ105" s="330"/>
      <c r="CA105" s="395"/>
      <c r="CB105" s="399">
        <v>600</v>
      </c>
      <c r="CC105" s="399" t="s">
        <v>567</v>
      </c>
      <c r="CD105" s="400">
        <f t="shared" si="4"/>
        <v>1.8</v>
      </c>
      <c r="CE105" s="400">
        <f t="shared" si="4"/>
        <v>2.4500000000000002</v>
      </c>
      <c r="CF105" s="400">
        <f t="shared" si="4"/>
        <v>3.0500000000000003</v>
      </c>
      <c r="CG105" s="400">
        <f t="shared" si="4"/>
        <v>3.2</v>
      </c>
    </row>
    <row r="106" spans="5:121" ht="12" customHeight="1">
      <c r="E106" s="319"/>
      <c r="BN106" s="330"/>
      <c r="BO106" s="357"/>
      <c r="BP106" s="357"/>
      <c r="BQ106" s="357"/>
      <c r="BR106" s="357"/>
      <c r="BS106" s="357"/>
      <c r="BT106" s="330"/>
      <c r="BU106" s="395"/>
      <c r="BV106" s="395"/>
      <c r="BW106" s="395"/>
      <c r="BX106" s="395"/>
      <c r="BY106" s="395"/>
      <c r="BZ106" s="330"/>
      <c r="CA106" s="395"/>
      <c r="CB106" s="399">
        <v>700</v>
      </c>
      <c r="CC106" s="399" t="s">
        <v>567</v>
      </c>
      <c r="CD106" s="400">
        <f t="shared" si="4"/>
        <v>1.9000000000000001</v>
      </c>
      <c r="CE106" s="400">
        <f t="shared" si="4"/>
        <v>2.6</v>
      </c>
      <c r="CF106" s="400">
        <f t="shared" si="4"/>
        <v>3.1500000000000004</v>
      </c>
      <c r="CG106" s="400">
        <f t="shared" si="4"/>
        <v>3.35</v>
      </c>
    </row>
    <row r="107" spans="5:121" ht="12" customHeight="1">
      <c r="E107" s="319"/>
      <c r="BN107" s="330"/>
      <c r="BO107" s="357"/>
      <c r="BP107" s="357"/>
      <c r="BQ107" s="357"/>
      <c r="BR107" s="357"/>
      <c r="BS107" s="357"/>
      <c r="BT107" s="330"/>
      <c r="BU107" s="395"/>
      <c r="BV107" s="395"/>
      <c r="BW107" s="395"/>
      <c r="BX107" s="395"/>
      <c r="BY107" s="395"/>
      <c r="BZ107" s="330"/>
      <c r="CA107" s="395"/>
      <c r="CB107" s="399">
        <v>800</v>
      </c>
      <c r="CC107" s="399" t="s">
        <v>567</v>
      </c>
      <c r="CD107" s="400">
        <f t="shared" si="4"/>
        <v>2</v>
      </c>
      <c r="CE107" s="400">
        <f t="shared" si="4"/>
        <v>2.7</v>
      </c>
      <c r="CF107" s="400">
        <f t="shared" si="4"/>
        <v>3.25</v>
      </c>
      <c r="CG107" s="400">
        <f t="shared" si="4"/>
        <v>3.35</v>
      </c>
    </row>
    <row r="108" spans="5:121" ht="12" customHeight="1">
      <c r="E108" s="319"/>
      <c r="BN108" s="330"/>
      <c r="BO108" s="357"/>
      <c r="BP108" s="357"/>
      <c r="BQ108" s="357"/>
      <c r="BR108" s="357"/>
      <c r="BS108" s="357"/>
      <c r="BT108" s="330"/>
      <c r="BU108" s="395"/>
      <c r="BV108" s="395"/>
      <c r="BW108" s="395"/>
      <c r="BX108" s="395"/>
      <c r="BY108" s="395"/>
      <c r="BZ108" s="330"/>
      <c r="CA108" s="395"/>
      <c r="CB108" s="399">
        <v>900</v>
      </c>
      <c r="CC108" s="399" t="s">
        <v>567</v>
      </c>
      <c r="CD108" s="400">
        <f t="shared" si="4"/>
        <v>2.1</v>
      </c>
      <c r="CE108" s="400">
        <f t="shared" si="4"/>
        <v>2.8000000000000003</v>
      </c>
      <c r="CF108" s="400">
        <f t="shared" si="4"/>
        <v>3.35</v>
      </c>
      <c r="CG108" s="400">
        <f t="shared" si="4"/>
        <v>3.5500000000000003</v>
      </c>
    </row>
    <row r="109" spans="5:121" ht="12" customHeight="1">
      <c r="E109" s="319"/>
      <c r="BN109" s="330"/>
      <c r="BO109" s="357"/>
      <c r="BP109" s="357"/>
      <c r="BQ109" s="357"/>
      <c r="BR109" s="357"/>
      <c r="BS109" s="357"/>
      <c r="BT109" s="330"/>
      <c r="BU109" s="395"/>
      <c r="BV109" s="395"/>
      <c r="BW109" s="395"/>
      <c r="BX109" s="395"/>
      <c r="BY109" s="395"/>
      <c r="BZ109" s="330"/>
      <c r="CA109" s="395"/>
      <c r="CB109" s="399">
        <v>1000</v>
      </c>
      <c r="CC109" s="399" t="s">
        <v>567</v>
      </c>
      <c r="CD109" s="400">
        <f t="shared" si="4"/>
        <v>2.25</v>
      </c>
      <c r="CE109" s="400">
        <f t="shared" si="4"/>
        <v>2.9000000000000004</v>
      </c>
      <c r="CF109" s="400">
        <f t="shared" si="4"/>
        <v>3.45</v>
      </c>
      <c r="CG109" s="400">
        <f t="shared" si="4"/>
        <v>3.6500000000000004</v>
      </c>
    </row>
    <row r="110" spans="5:121" ht="12" customHeight="1">
      <c r="BN110" s="330"/>
      <c r="BO110" s="357"/>
      <c r="BP110" s="357"/>
      <c r="BQ110" s="357"/>
      <c r="BR110" s="357"/>
      <c r="BS110" s="357"/>
      <c r="BT110" s="330"/>
      <c r="BU110" s="395"/>
      <c r="BV110" s="395"/>
      <c r="BW110" s="395"/>
      <c r="BX110" s="395"/>
      <c r="BY110" s="395"/>
      <c r="BZ110" s="330"/>
      <c r="CA110" s="395"/>
      <c r="CB110" s="395"/>
      <c r="CC110" s="395"/>
      <c r="CD110" s="395"/>
      <c r="CE110" s="395"/>
      <c r="CF110" s="395"/>
    </row>
    <row r="111" spans="5:121">
      <c r="BW111" s="855" t="s">
        <v>569</v>
      </c>
      <c r="BX111" s="856"/>
      <c r="BY111" s="856"/>
      <c r="BZ111" s="857"/>
      <c r="CA111" s="402" t="s">
        <v>570</v>
      </c>
      <c r="CB111" s="858" t="s">
        <v>570</v>
      </c>
      <c r="CC111" s="859"/>
      <c r="CD111" s="859"/>
      <c r="CE111" s="859"/>
      <c r="CF111" s="859"/>
      <c r="CG111" s="860"/>
      <c r="CH111" s="847" t="s">
        <v>570</v>
      </c>
      <c r="CI111" s="847"/>
      <c r="CJ111" s="847"/>
      <c r="CK111" s="847"/>
      <c r="CL111" s="402" t="s">
        <v>571</v>
      </c>
      <c r="CP111" s="847" t="s">
        <v>572</v>
      </c>
      <c r="CQ111" s="847"/>
      <c r="CR111" s="847"/>
      <c r="CS111" s="847"/>
      <c r="CT111" s="847"/>
      <c r="CU111" s="847" t="s">
        <v>573</v>
      </c>
      <c r="CV111" s="847"/>
      <c r="CW111" s="847"/>
      <c r="CX111" s="847"/>
      <c r="CY111" s="847"/>
      <c r="CZ111" s="847" t="s">
        <v>574</v>
      </c>
      <c r="DA111" s="847"/>
      <c r="DB111" s="847"/>
      <c r="DC111" s="847"/>
      <c r="DD111" s="847"/>
      <c r="DE111" s="847" t="s">
        <v>574</v>
      </c>
      <c r="DF111" s="847"/>
      <c r="DG111" s="847"/>
      <c r="DH111" s="847"/>
      <c r="DI111" s="847"/>
      <c r="DJ111" s="847" t="s">
        <v>575</v>
      </c>
      <c r="DK111" s="847"/>
      <c r="DL111" s="847"/>
      <c r="DM111" s="847"/>
    </row>
    <row r="112" spans="5:121">
      <c r="BN112" s="403" t="s">
        <v>576</v>
      </c>
      <c r="BO112" s="404"/>
      <c r="BP112" s="404"/>
      <c r="BQ112" s="405" t="s">
        <v>577</v>
      </c>
      <c r="BR112" s="404"/>
      <c r="BS112" s="404"/>
      <c r="BT112" s="404"/>
      <c r="BU112" s="404"/>
      <c r="BV112" s="406"/>
      <c r="BW112" s="848" t="s">
        <v>578</v>
      </c>
      <c r="BX112" s="849"/>
      <c r="BY112" s="849"/>
      <c r="BZ112" s="849"/>
      <c r="CA112" s="849"/>
      <c r="CB112" s="849"/>
      <c r="CC112" s="849"/>
      <c r="CD112" s="849"/>
      <c r="CE112" s="849"/>
      <c r="CF112" s="849"/>
      <c r="CG112" s="849"/>
      <c r="CH112" s="849"/>
      <c r="CI112" s="849"/>
      <c r="CJ112" s="849"/>
      <c r="CK112" s="849"/>
      <c r="CL112" s="849"/>
      <c r="CM112" s="849"/>
      <c r="CN112" s="849"/>
      <c r="CO112" s="849"/>
      <c r="CP112" s="849"/>
      <c r="CQ112" s="849"/>
      <c r="CR112" s="849"/>
      <c r="CS112" s="849"/>
      <c r="CT112" s="849"/>
      <c r="CU112" s="849"/>
      <c r="CV112" s="849"/>
      <c r="CW112" s="849"/>
      <c r="CX112" s="849"/>
      <c r="CY112" s="849"/>
      <c r="CZ112" s="849"/>
      <c r="DA112" s="849"/>
      <c r="DB112" s="849"/>
      <c r="DC112" s="849"/>
      <c r="DD112" s="849"/>
      <c r="DE112" s="849"/>
      <c r="DF112" s="849"/>
      <c r="DG112" s="849"/>
      <c r="DH112" s="849"/>
      <c r="DI112" s="849"/>
      <c r="DJ112" s="849"/>
      <c r="DK112" s="849"/>
      <c r="DL112" s="849"/>
      <c r="DM112" s="849"/>
      <c r="DN112" s="849"/>
      <c r="DO112" s="849"/>
      <c r="DP112" s="849"/>
      <c r="DQ112" s="850"/>
    </row>
    <row r="113" spans="56:121" ht="12.75" customHeight="1">
      <c r="BN113" s="407"/>
      <c r="BO113" s="330"/>
      <c r="BP113" s="330"/>
      <c r="BQ113" s="408"/>
      <c r="BR113" s="330"/>
      <c r="BS113" s="330"/>
      <c r="BT113" s="330"/>
      <c r="BU113" s="330"/>
      <c r="BV113" s="409"/>
      <c r="BW113" s="851" t="s">
        <v>579</v>
      </c>
      <c r="BX113" s="851"/>
      <c r="BY113" s="410" t="s">
        <v>580</v>
      </c>
      <c r="BZ113" s="410" t="s">
        <v>581</v>
      </c>
      <c r="CA113" s="411" t="s">
        <v>582</v>
      </c>
      <c r="CB113" s="852" t="s">
        <v>583</v>
      </c>
      <c r="CC113" s="852"/>
      <c r="CD113" s="852"/>
      <c r="CE113" s="853" t="s">
        <v>584</v>
      </c>
      <c r="CF113" s="842" t="s">
        <v>585</v>
      </c>
      <c r="CG113" s="842" t="s">
        <v>586</v>
      </c>
      <c r="CH113" s="844" t="s">
        <v>587</v>
      </c>
      <c r="CI113" s="846"/>
      <c r="CJ113" s="846"/>
      <c r="CK113" s="842" t="s">
        <v>588</v>
      </c>
      <c r="CL113" s="842" t="s">
        <v>589</v>
      </c>
      <c r="CM113" s="412" t="s">
        <v>590</v>
      </c>
      <c r="CN113" s="413" t="s">
        <v>591</v>
      </c>
      <c r="CO113" s="414">
        <v>0.25</v>
      </c>
      <c r="CP113" s="844" t="s">
        <v>592</v>
      </c>
      <c r="CQ113" s="845"/>
      <c r="CR113" s="415" t="s">
        <v>593</v>
      </c>
      <c r="CS113" s="415" t="s">
        <v>594</v>
      </c>
      <c r="CT113" s="415" t="s">
        <v>595</v>
      </c>
      <c r="CU113" s="844" t="s">
        <v>596</v>
      </c>
      <c r="CV113" s="846"/>
      <c r="CW113" s="846"/>
      <c r="CX113" s="846"/>
      <c r="CY113" s="845"/>
      <c r="CZ113" s="844" t="s">
        <v>597</v>
      </c>
      <c r="DA113" s="846"/>
      <c r="DB113" s="846"/>
      <c r="DC113" s="846"/>
      <c r="DD113" s="845"/>
      <c r="DE113" s="844" t="s">
        <v>598</v>
      </c>
      <c r="DF113" s="846"/>
      <c r="DG113" s="846"/>
      <c r="DH113" s="846"/>
      <c r="DI113" s="845"/>
      <c r="DJ113" s="852" t="s">
        <v>599</v>
      </c>
      <c r="DK113" s="852"/>
      <c r="DL113" s="852"/>
      <c r="DM113" s="852"/>
      <c r="DN113" s="861"/>
      <c r="DO113" s="861"/>
      <c r="DP113" s="861"/>
      <c r="DQ113" s="861"/>
    </row>
    <row r="114" spans="56:121">
      <c r="BN114" s="416" t="s">
        <v>531</v>
      </c>
      <c r="BO114" s="417"/>
      <c r="BP114" s="417"/>
      <c r="BQ114" s="416" t="s">
        <v>600</v>
      </c>
      <c r="BR114" s="417"/>
      <c r="BS114" s="418"/>
      <c r="BT114" s="417"/>
      <c r="BU114" s="418">
        <v>0.1</v>
      </c>
      <c r="BV114" s="419" t="s">
        <v>4</v>
      </c>
      <c r="BW114" s="396" t="s">
        <v>601</v>
      </c>
      <c r="BX114" s="396" t="s">
        <v>602</v>
      </c>
      <c r="BY114" s="420" t="s">
        <v>603</v>
      </c>
      <c r="BZ114" s="420" t="s">
        <v>603</v>
      </c>
      <c r="CA114" s="421" t="s">
        <v>603</v>
      </c>
      <c r="CB114" s="415" t="s">
        <v>601</v>
      </c>
      <c r="CC114" s="415" t="s">
        <v>604</v>
      </c>
      <c r="CD114" s="415" t="s">
        <v>602</v>
      </c>
      <c r="CE114" s="854"/>
      <c r="CF114" s="843"/>
      <c r="CG114" s="843"/>
      <c r="CH114" s="415" t="s">
        <v>601</v>
      </c>
      <c r="CI114" s="415" t="s">
        <v>604</v>
      </c>
      <c r="CJ114" s="415" t="s">
        <v>602</v>
      </c>
      <c r="CK114" s="843"/>
      <c r="CL114" s="843"/>
      <c r="CM114" s="412" t="s">
        <v>601</v>
      </c>
      <c r="CN114" s="412" t="s">
        <v>602</v>
      </c>
      <c r="CO114" s="412" t="s">
        <v>605</v>
      </c>
      <c r="CP114" s="422" t="s">
        <v>601</v>
      </c>
      <c r="CQ114" s="415" t="s">
        <v>602</v>
      </c>
      <c r="CR114" s="415" t="s">
        <v>605</v>
      </c>
      <c r="CS114" s="415" t="s">
        <v>605</v>
      </c>
      <c r="CT114" s="415" t="s">
        <v>605</v>
      </c>
      <c r="CU114" s="415" t="s">
        <v>601</v>
      </c>
      <c r="CV114" s="415" t="s">
        <v>604</v>
      </c>
      <c r="CW114" s="415" t="s">
        <v>606</v>
      </c>
      <c r="CX114" s="415" t="s">
        <v>607</v>
      </c>
      <c r="CY114" s="415" t="s">
        <v>605</v>
      </c>
      <c r="CZ114" s="415" t="s">
        <v>601</v>
      </c>
      <c r="DA114" s="415" t="s">
        <v>604</v>
      </c>
      <c r="DB114" s="415" t="s">
        <v>606</v>
      </c>
      <c r="DC114" s="415" t="s">
        <v>608</v>
      </c>
      <c r="DD114" s="415" t="s">
        <v>605</v>
      </c>
      <c r="DE114" s="415" t="s">
        <v>601</v>
      </c>
      <c r="DF114" s="415" t="s">
        <v>604</v>
      </c>
      <c r="DG114" s="415" t="s">
        <v>606</v>
      </c>
      <c r="DH114" s="415" t="s">
        <v>608</v>
      </c>
      <c r="DI114" s="415" t="s">
        <v>605</v>
      </c>
      <c r="DJ114" s="415" t="s">
        <v>601</v>
      </c>
      <c r="DK114" s="415" t="s">
        <v>609</v>
      </c>
      <c r="DL114" s="415" t="s">
        <v>602</v>
      </c>
      <c r="DM114" s="415" t="s">
        <v>603</v>
      </c>
      <c r="DN114" s="412"/>
      <c r="DO114" s="412"/>
      <c r="DP114" s="412"/>
      <c r="DQ114" s="412"/>
    </row>
    <row r="115" spans="56:121">
      <c r="BN115" s="416" t="s">
        <v>610</v>
      </c>
      <c r="BO115" s="417"/>
      <c r="BP115" s="417"/>
      <c r="BQ115" s="423" t="s">
        <v>611</v>
      </c>
      <c r="BR115" s="424"/>
      <c r="BS115" s="425"/>
      <c r="BT115" s="424"/>
      <c r="BU115" s="425">
        <v>0.1</v>
      </c>
      <c r="BV115" s="426" t="s">
        <v>4</v>
      </c>
      <c r="BW115" s="427">
        <v>80</v>
      </c>
      <c r="BX115" s="427">
        <v>98</v>
      </c>
      <c r="BY115" s="428"/>
      <c r="BZ115" s="428">
        <v>14.5</v>
      </c>
      <c r="CA115" s="429"/>
      <c r="CB115" s="430">
        <v>50</v>
      </c>
      <c r="CC115" s="430">
        <v>60</v>
      </c>
      <c r="CD115" s="430">
        <v>60</v>
      </c>
      <c r="CE115" s="431">
        <f>4.525/6</f>
        <v>0.75416666666666676</v>
      </c>
      <c r="CF115" s="431">
        <f>5.46/6</f>
        <v>0.91</v>
      </c>
      <c r="CG115" s="431">
        <f>6.93/6</f>
        <v>1.155</v>
      </c>
      <c r="CH115" s="430">
        <v>100</v>
      </c>
      <c r="CI115" s="431">
        <f>CJ115-2*2.5</f>
        <v>105</v>
      </c>
      <c r="CJ115" s="430">
        <v>110</v>
      </c>
      <c r="CK115" s="432">
        <f>8.049/6</f>
        <v>1.3414999999999999</v>
      </c>
      <c r="CL115" s="432"/>
      <c r="CM115" s="433">
        <v>50</v>
      </c>
      <c r="CN115" s="361">
        <f>CM115/25*25.4</f>
        <v>50.8</v>
      </c>
      <c r="CO115" s="434">
        <f>(PI()*(CN115/2000)^2-PI()*((CN115-2*($CO$113*25.4))/2000)^2)*7700</f>
        <v>6.8278832808387824</v>
      </c>
      <c r="CP115" s="435">
        <v>300</v>
      </c>
      <c r="CQ115" s="436">
        <f>(324.5+323.4)/2</f>
        <v>323.95</v>
      </c>
      <c r="CR115" s="437">
        <v>10.3</v>
      </c>
      <c r="CS115" s="437">
        <v>10.3</v>
      </c>
      <c r="CT115" s="438">
        <v>9.3000000000000007</v>
      </c>
      <c r="CU115" s="439">
        <v>250</v>
      </c>
      <c r="CV115" s="440">
        <v>250</v>
      </c>
      <c r="CW115" s="441">
        <v>296</v>
      </c>
      <c r="CX115" s="441">
        <v>1.5</v>
      </c>
      <c r="CY115" s="442"/>
      <c r="CZ115" s="435">
        <v>450</v>
      </c>
      <c r="DA115" s="443">
        <v>460</v>
      </c>
      <c r="DB115" s="437">
        <f>(DA115+2*1.9+DC115)/2</f>
        <v>504.4</v>
      </c>
      <c r="DC115" s="444">
        <v>545</v>
      </c>
      <c r="DD115" s="445">
        <f>63.4/6</f>
        <v>10.566666666666666</v>
      </c>
      <c r="DE115" s="430">
        <v>100</v>
      </c>
      <c r="DF115" s="430">
        <v>103</v>
      </c>
      <c r="DG115" s="430">
        <f>(DF115+2*0.5+DH115)/2</f>
        <v>112</v>
      </c>
      <c r="DH115" s="415">
        <v>120</v>
      </c>
      <c r="DI115" s="431">
        <f>4/6</f>
        <v>0.66666666666666663</v>
      </c>
      <c r="DJ115" s="415">
        <v>300</v>
      </c>
      <c r="DK115" s="415">
        <v>52.4</v>
      </c>
      <c r="DL115" s="415">
        <f>ROUNDUP(DJ115+2*DK115,1)</f>
        <v>404.8</v>
      </c>
      <c r="DM115" s="431">
        <v>160</v>
      </c>
      <c r="DN115" s="446"/>
      <c r="DO115" s="447"/>
      <c r="DP115" s="447"/>
      <c r="DQ115" s="442"/>
    </row>
    <row r="116" spans="56:121">
      <c r="BN116" s="416" t="s">
        <v>612</v>
      </c>
      <c r="BO116" s="417"/>
      <c r="BP116" s="417"/>
      <c r="BQ116" s="448" t="s">
        <v>613</v>
      </c>
      <c r="BR116" s="449"/>
      <c r="BS116" s="450"/>
      <c r="BT116" s="449"/>
      <c r="BU116" s="450">
        <v>0.1</v>
      </c>
      <c r="BV116" s="451" t="s">
        <v>4</v>
      </c>
      <c r="BW116" s="427">
        <v>100</v>
      </c>
      <c r="BX116" s="427">
        <v>118</v>
      </c>
      <c r="BY116" s="428"/>
      <c r="BZ116" s="428">
        <v>18.100000000000001</v>
      </c>
      <c r="CA116" s="431">
        <f>15.119/6</f>
        <v>2.5198333333333331</v>
      </c>
      <c r="CB116" s="430">
        <v>60</v>
      </c>
      <c r="CC116" s="430">
        <v>75</v>
      </c>
      <c r="CD116" s="430">
        <v>75</v>
      </c>
      <c r="CE116" s="431">
        <f>7.118/6</f>
        <v>1.1863333333333335</v>
      </c>
      <c r="CF116" s="431">
        <f>8.638/6</f>
        <v>1.4396666666666667</v>
      </c>
      <c r="CG116" s="431">
        <f>10.568/6</f>
        <v>1.7613333333333332</v>
      </c>
      <c r="CH116" s="430">
        <v>150</v>
      </c>
      <c r="CI116" s="431">
        <f>CJ116-2*3.6</f>
        <v>152.80000000000001</v>
      </c>
      <c r="CJ116" s="430">
        <v>160</v>
      </c>
      <c r="CK116" s="432">
        <f>16.71/6</f>
        <v>2.7850000000000001</v>
      </c>
      <c r="CL116" s="432">
        <f>11.17782/6</f>
        <v>1.86297</v>
      </c>
      <c r="CM116" s="452">
        <v>100</v>
      </c>
      <c r="CN116" s="361">
        <f t="shared" ref="CN116:CN151" si="5">CM116/25*25.4</f>
        <v>101.6</v>
      </c>
      <c r="CO116" s="434">
        <f>(PI()*(CN116/2000)^2-PI()*((CN116-2*($CO$113*25.4))/2000)^2)*7700</f>
        <v>14.631178458940248</v>
      </c>
      <c r="CP116" s="433">
        <v>350</v>
      </c>
      <c r="CQ116" s="453">
        <f>(376.4+375.4)/2</f>
        <v>375.9</v>
      </c>
      <c r="CR116" s="454">
        <v>13.8</v>
      </c>
      <c r="CS116" s="454">
        <v>14.3</v>
      </c>
      <c r="CT116" s="455">
        <v>12.3</v>
      </c>
      <c r="CU116" s="452">
        <v>300</v>
      </c>
      <c r="CV116" s="456">
        <v>300</v>
      </c>
      <c r="CW116" s="361">
        <v>371</v>
      </c>
      <c r="CX116" s="361">
        <v>1.7</v>
      </c>
      <c r="CY116" s="434"/>
      <c r="CZ116" s="433">
        <v>600</v>
      </c>
      <c r="DA116" s="457">
        <v>614</v>
      </c>
      <c r="DB116" s="454">
        <f>(DA116+2*2.2+DC116)/2</f>
        <v>667.7</v>
      </c>
      <c r="DC116" s="458">
        <v>717</v>
      </c>
      <c r="DD116" s="459">
        <f>109.1/6</f>
        <v>18.183333333333334</v>
      </c>
      <c r="DE116" s="430">
        <v>150</v>
      </c>
      <c r="DF116" s="430">
        <v>153</v>
      </c>
      <c r="DG116" s="430">
        <f>(DF116+2*0.5+DH116)/2</f>
        <v>165</v>
      </c>
      <c r="DH116" s="415">
        <v>176</v>
      </c>
      <c r="DI116" s="431">
        <f>8/6</f>
        <v>1.3333333333333333</v>
      </c>
      <c r="DJ116" s="415">
        <v>400</v>
      </c>
      <c r="DK116" s="415">
        <v>59.4</v>
      </c>
      <c r="DL116" s="415">
        <f t="shared" ref="DL116:DL122" si="6">ROUNDUP(DJ116+2*DK116,1)</f>
        <v>518.79999999999995</v>
      </c>
      <c r="DM116" s="431">
        <v>228</v>
      </c>
      <c r="DN116" s="460"/>
      <c r="DO116" s="357"/>
      <c r="DP116" s="357"/>
      <c r="DQ116" s="434"/>
    </row>
    <row r="117" spans="56:121">
      <c r="BN117" s="407"/>
      <c r="BO117" s="330"/>
      <c r="BP117" s="330"/>
      <c r="BQ117" s="448" t="s">
        <v>614</v>
      </c>
      <c r="BR117" s="449"/>
      <c r="BS117" s="450"/>
      <c r="BT117" s="449"/>
      <c r="BU117" s="450">
        <v>0.1</v>
      </c>
      <c r="BV117" s="451" t="s">
        <v>4</v>
      </c>
      <c r="BW117" s="427">
        <v>150</v>
      </c>
      <c r="BX117" s="427">
        <v>170</v>
      </c>
      <c r="BY117" s="428">
        <v>23.3</v>
      </c>
      <c r="BZ117" s="428">
        <v>27.3</v>
      </c>
      <c r="CA117" s="431">
        <f>30.67/6</f>
        <v>5.1116666666666672</v>
      </c>
      <c r="CB117" s="430">
        <v>75</v>
      </c>
      <c r="CC117" s="430">
        <v>85</v>
      </c>
      <c r="CD117" s="430">
        <v>85</v>
      </c>
      <c r="CE117" s="431">
        <f>9.193/6</f>
        <v>1.5321666666666667</v>
      </c>
      <c r="CF117" s="431">
        <f>10.948/6</f>
        <v>1.8246666666666667</v>
      </c>
      <c r="CG117" s="431">
        <f>13.704/6</f>
        <v>2.2840000000000003</v>
      </c>
      <c r="CH117" s="430">
        <v>200</v>
      </c>
      <c r="CI117" s="431">
        <f>CJ117-2*4.5</f>
        <v>191</v>
      </c>
      <c r="CJ117" s="430">
        <v>200</v>
      </c>
      <c r="CK117" s="432">
        <f>26.698/6</f>
        <v>4.4496666666666664</v>
      </c>
      <c r="CL117" s="432">
        <f>15.98697/6</f>
        <v>2.6644950000000001</v>
      </c>
      <c r="CM117" s="452">
        <v>150</v>
      </c>
      <c r="CN117" s="361">
        <f t="shared" si="5"/>
        <v>152.39999999999998</v>
      </c>
      <c r="CO117" s="434">
        <f t="shared" ref="CO117:CO151" si="7">(PI()*(CN117/2000)^2-PI()*((CN117-2*($CO$113*25.4))/2000)^2)*7700</f>
        <v>22.434473637041712</v>
      </c>
      <c r="CP117" s="433">
        <v>400</v>
      </c>
      <c r="CQ117" s="453">
        <f>(427.3+426.3)/2</f>
        <v>426.8</v>
      </c>
      <c r="CR117" s="454">
        <v>17.600000000000001</v>
      </c>
      <c r="CS117" s="454">
        <v>18.5</v>
      </c>
      <c r="CT117" s="455">
        <v>15.8</v>
      </c>
      <c r="CU117" s="452">
        <v>400</v>
      </c>
      <c r="CV117" s="456">
        <v>400</v>
      </c>
      <c r="CW117" s="361">
        <v>465</v>
      </c>
      <c r="CX117" s="361">
        <v>2.2999999999999998</v>
      </c>
      <c r="CY117" s="434"/>
      <c r="CZ117" s="433">
        <v>750</v>
      </c>
      <c r="DA117" s="457">
        <v>774</v>
      </c>
      <c r="DB117" s="454">
        <f>(DA117+2*2.4+DC117)/2</f>
        <v>839.4</v>
      </c>
      <c r="DC117" s="458">
        <v>900</v>
      </c>
      <c r="DD117" s="459">
        <f>150/6</f>
        <v>25</v>
      </c>
      <c r="DE117" s="430">
        <v>200</v>
      </c>
      <c r="DF117" s="430">
        <v>200</v>
      </c>
      <c r="DG117" s="430">
        <f>(DF117+2*0.6+DH117)/2</f>
        <v>216.6</v>
      </c>
      <c r="DH117" s="415">
        <v>232</v>
      </c>
      <c r="DI117" s="431">
        <f>14/6</f>
        <v>2.3333333333333335</v>
      </c>
      <c r="DJ117" s="415">
        <v>500</v>
      </c>
      <c r="DK117" s="415">
        <v>68.900000000000006</v>
      </c>
      <c r="DL117" s="415">
        <f t="shared" si="6"/>
        <v>637.79999999999995</v>
      </c>
      <c r="DM117" s="431">
        <v>344</v>
      </c>
      <c r="DN117" s="460"/>
      <c r="DO117" s="357"/>
      <c r="DP117" s="357"/>
      <c r="DQ117" s="434"/>
    </row>
    <row r="118" spans="56:121">
      <c r="BN118" s="407"/>
      <c r="BO118" s="330"/>
      <c r="BP118" s="330"/>
      <c r="BQ118" s="407"/>
      <c r="BR118" s="330"/>
      <c r="BS118" s="348"/>
      <c r="BT118" s="330"/>
      <c r="BU118" s="348"/>
      <c r="BV118" s="409"/>
      <c r="BW118" s="427">
        <v>200</v>
      </c>
      <c r="BX118" s="427">
        <v>222</v>
      </c>
      <c r="BY118" s="428">
        <v>31.9</v>
      </c>
      <c r="BZ118" s="428">
        <v>36.700000000000003</v>
      </c>
      <c r="CA118" s="431">
        <f>52.752/6</f>
        <v>8.7919999999999998</v>
      </c>
      <c r="CB118" s="430">
        <v>100</v>
      </c>
      <c r="CC118" s="430">
        <v>110</v>
      </c>
      <c r="CD118" s="430">
        <v>110</v>
      </c>
      <c r="CE118" s="431">
        <f>15.433/6</f>
        <v>2.5721666666666665</v>
      </c>
      <c r="CF118" s="431">
        <f>18.463/6</f>
        <v>3.0771666666666668</v>
      </c>
      <c r="CG118" s="431">
        <f>23.035/6</f>
        <v>3.8391666666666668</v>
      </c>
      <c r="CH118" s="430">
        <v>250</v>
      </c>
      <c r="CI118" s="431">
        <f>CJ118-2*6.1</f>
        <v>237.8</v>
      </c>
      <c r="CJ118" s="430">
        <v>250</v>
      </c>
      <c r="CK118" s="432">
        <f>44.777/6</f>
        <v>7.4628333333333332</v>
      </c>
      <c r="CL118" s="432">
        <f>23.608665/6</f>
        <v>3.9347774999999996</v>
      </c>
      <c r="CM118" s="452">
        <v>200</v>
      </c>
      <c r="CN118" s="361">
        <f t="shared" si="5"/>
        <v>203.2</v>
      </c>
      <c r="CO118" s="434">
        <f t="shared" si="7"/>
        <v>30.237768815143131</v>
      </c>
      <c r="CP118" s="433">
        <v>450</v>
      </c>
      <c r="CQ118" s="453">
        <f>(478.2+477.2)/2</f>
        <v>477.7</v>
      </c>
      <c r="CR118" s="454">
        <v>22</v>
      </c>
      <c r="CS118" s="454">
        <v>24</v>
      </c>
      <c r="CT118" s="455">
        <v>19.600000000000001</v>
      </c>
      <c r="CU118" s="452">
        <v>500</v>
      </c>
      <c r="CV118" s="456">
        <v>500</v>
      </c>
      <c r="CW118" s="361">
        <v>586</v>
      </c>
      <c r="CX118" s="361">
        <v>3</v>
      </c>
      <c r="CY118" s="434"/>
      <c r="CZ118" s="461">
        <v>800</v>
      </c>
      <c r="DA118" s="462">
        <v>800</v>
      </c>
      <c r="DB118" s="463">
        <v>903</v>
      </c>
      <c r="DC118" s="464">
        <v>900</v>
      </c>
      <c r="DD118" s="465">
        <v>30.5</v>
      </c>
      <c r="DE118" s="430">
        <v>250</v>
      </c>
      <c r="DF118" s="430">
        <v>249</v>
      </c>
      <c r="DG118" s="430">
        <f>(DF118+2*0.6+DH118)/2</f>
        <v>270.10000000000002</v>
      </c>
      <c r="DH118" s="415">
        <v>290</v>
      </c>
      <c r="DI118" s="431">
        <f>21/6</f>
        <v>3.5</v>
      </c>
      <c r="DJ118" s="415">
        <v>600</v>
      </c>
      <c r="DK118" s="415">
        <v>74.3</v>
      </c>
      <c r="DL118" s="415">
        <f t="shared" si="6"/>
        <v>748.6</v>
      </c>
      <c r="DM118" s="431">
        <v>440</v>
      </c>
      <c r="DN118" s="460"/>
      <c r="DO118" s="357"/>
      <c r="DP118" s="357"/>
      <c r="DQ118" s="434"/>
    </row>
    <row r="119" spans="56:121">
      <c r="BN119" s="416" t="s">
        <v>532</v>
      </c>
      <c r="BO119" s="417"/>
      <c r="BP119" s="417"/>
      <c r="BQ119" s="448" t="s">
        <v>615</v>
      </c>
      <c r="BR119" s="449"/>
      <c r="BS119" s="450"/>
      <c r="BT119" s="449"/>
      <c r="BU119" s="450">
        <v>0.15</v>
      </c>
      <c r="BV119" s="451" t="s">
        <v>4</v>
      </c>
      <c r="BW119" s="427">
        <v>250</v>
      </c>
      <c r="BX119" s="427">
        <v>274</v>
      </c>
      <c r="BY119" s="428">
        <v>40.299999999999997</v>
      </c>
      <c r="BZ119" s="428">
        <v>48</v>
      </c>
      <c r="CA119" s="431">
        <f>79.112/6</f>
        <v>13.185333333333332</v>
      </c>
      <c r="CB119" s="466"/>
      <c r="CC119" s="466"/>
      <c r="CD119" s="466"/>
      <c r="CE119" s="466"/>
      <c r="CF119" s="466"/>
      <c r="CG119" s="466"/>
      <c r="CH119" s="430">
        <v>300</v>
      </c>
      <c r="CI119" s="431">
        <f>CJ119-2*7.7</f>
        <v>299.60000000000002</v>
      </c>
      <c r="CJ119" s="430">
        <v>315</v>
      </c>
      <c r="CK119" s="432">
        <f>71.483/6</f>
        <v>11.913833333333335</v>
      </c>
      <c r="CL119" s="432">
        <f>35.363151/6</f>
        <v>5.8938585000000003</v>
      </c>
      <c r="CM119" s="452">
        <v>250</v>
      </c>
      <c r="CN119" s="361">
        <f t="shared" si="5"/>
        <v>254</v>
      </c>
      <c r="CO119" s="434">
        <f>(PI()*(CN119/2000)^2-PI()*((CN119-2*($CO$113*25.4))/2000)^2)*7700</f>
        <v>38.041063993244627</v>
      </c>
      <c r="CP119" s="433">
        <v>500</v>
      </c>
      <c r="CQ119" s="453">
        <f>(530.1+529.1)/2</f>
        <v>529.6</v>
      </c>
      <c r="CR119" s="454">
        <v>27</v>
      </c>
      <c r="CS119" s="454">
        <v>30</v>
      </c>
      <c r="CT119" s="455">
        <v>24</v>
      </c>
      <c r="CU119" s="452">
        <v>600</v>
      </c>
      <c r="CV119" s="456">
        <v>600</v>
      </c>
      <c r="CW119" s="361">
        <v>704</v>
      </c>
      <c r="CX119" s="361">
        <v>3.5</v>
      </c>
      <c r="CY119" s="434"/>
      <c r="CZ119" s="433">
        <v>900</v>
      </c>
      <c r="DA119" s="457">
        <v>914</v>
      </c>
      <c r="DB119" s="454">
        <f>(DA119+2*2.7+DC119)/2</f>
        <v>981.7</v>
      </c>
      <c r="DC119" s="458">
        <v>1044</v>
      </c>
      <c r="DD119" s="459">
        <f>183/6</f>
        <v>30.5</v>
      </c>
      <c r="DE119" s="430">
        <v>300</v>
      </c>
      <c r="DF119" s="430">
        <v>308</v>
      </c>
      <c r="DG119" s="430">
        <f>(DF119+2*0.9+DH119)/2</f>
        <v>338.4</v>
      </c>
      <c r="DH119" s="415">
        <v>367</v>
      </c>
      <c r="DI119" s="431">
        <f>29/6</f>
        <v>4.833333333333333</v>
      </c>
      <c r="DJ119" s="415">
        <v>700</v>
      </c>
      <c r="DK119" s="415">
        <v>74.900000000000006</v>
      </c>
      <c r="DL119" s="415">
        <f t="shared" si="6"/>
        <v>849.8</v>
      </c>
      <c r="DM119" s="431">
        <v>540</v>
      </c>
      <c r="DN119" s="467"/>
      <c r="DO119" s="468"/>
      <c r="DP119" s="468"/>
      <c r="DQ119" s="469"/>
    </row>
    <row r="120" spans="56:121">
      <c r="BN120" s="416" t="s">
        <v>616</v>
      </c>
      <c r="BO120" s="417"/>
      <c r="BP120" s="417"/>
      <c r="BQ120" s="448" t="s">
        <v>617</v>
      </c>
      <c r="BR120" s="449"/>
      <c r="BS120" s="450"/>
      <c r="BT120" s="449"/>
      <c r="BU120" s="450">
        <v>0.15</v>
      </c>
      <c r="BV120" s="451" t="s">
        <v>4</v>
      </c>
      <c r="BW120" s="427">
        <v>300</v>
      </c>
      <c r="BX120" s="427">
        <v>326</v>
      </c>
      <c r="BY120" s="428">
        <v>49.8</v>
      </c>
      <c r="BZ120" s="428">
        <v>60.4</v>
      </c>
      <c r="CA120" s="431">
        <f>112.389/6</f>
        <v>18.7315</v>
      </c>
      <c r="CB120" s="466"/>
      <c r="CC120" s="466"/>
      <c r="CD120" s="466"/>
      <c r="CE120" s="466"/>
      <c r="CF120" s="466"/>
      <c r="CG120" s="466"/>
      <c r="CH120" s="430">
        <v>350</v>
      </c>
      <c r="CI120" s="431">
        <f>CJ120-2*8.7</f>
        <v>337.6</v>
      </c>
      <c r="CJ120" s="430">
        <v>355</v>
      </c>
      <c r="CK120" s="432">
        <f>91.38/6</f>
        <v>15.229999999999999</v>
      </c>
      <c r="CL120" s="432">
        <f>44.0781/6</f>
        <v>7.3463500000000002</v>
      </c>
      <c r="CM120" s="452">
        <v>300</v>
      </c>
      <c r="CN120" s="361">
        <f t="shared" si="5"/>
        <v>304.79999999999995</v>
      </c>
      <c r="CO120" s="434">
        <f t="shared" si="7"/>
        <v>45.844359171346127</v>
      </c>
      <c r="CP120" s="433">
        <v>600</v>
      </c>
      <c r="CQ120" s="453">
        <f>(617+616)/2</f>
        <v>616.5</v>
      </c>
      <c r="CR120" s="454">
        <v>37</v>
      </c>
      <c r="CS120" s="454">
        <v>40</v>
      </c>
      <c r="CT120" s="455">
        <v>32</v>
      </c>
      <c r="CU120" s="452">
        <v>800</v>
      </c>
      <c r="CV120" s="456">
        <v>800</v>
      </c>
      <c r="CW120" s="361">
        <v>903</v>
      </c>
      <c r="CX120" s="361">
        <v>4.5</v>
      </c>
      <c r="CY120" s="434">
        <v>30.5</v>
      </c>
      <c r="CZ120" s="433">
        <v>1050</v>
      </c>
      <c r="DA120" s="457">
        <v>1050</v>
      </c>
      <c r="DB120" s="454">
        <f>(DA120+2*3.2+DC120)/2</f>
        <v>1134.2</v>
      </c>
      <c r="DC120" s="458">
        <v>1212</v>
      </c>
      <c r="DD120" s="459">
        <f>250/6</f>
        <v>41.666666666666664</v>
      </c>
      <c r="DE120" s="430">
        <v>375</v>
      </c>
      <c r="DF120" s="430">
        <v>382</v>
      </c>
      <c r="DG120" s="430">
        <f>(DF120+2*1+DH120)/2</f>
        <v>414.5</v>
      </c>
      <c r="DH120" s="415">
        <v>445</v>
      </c>
      <c r="DI120" s="431">
        <f>41/6</f>
        <v>6.833333333333333</v>
      </c>
      <c r="DJ120" s="415">
        <v>800</v>
      </c>
      <c r="DK120" s="415">
        <v>90.2</v>
      </c>
      <c r="DL120" s="415">
        <f t="shared" si="6"/>
        <v>980.4</v>
      </c>
      <c r="DM120" s="431">
        <v>700</v>
      </c>
    </row>
    <row r="121" spans="56:121">
      <c r="BN121" s="407"/>
      <c r="BO121" s="330"/>
      <c r="BP121" s="330"/>
      <c r="BQ121" s="423" t="s">
        <v>618</v>
      </c>
      <c r="BR121" s="424"/>
      <c r="BS121" s="425"/>
      <c r="BT121" s="424"/>
      <c r="BU121" s="470">
        <v>2</v>
      </c>
      <c r="BV121" s="426"/>
      <c r="BW121" s="427">
        <v>350</v>
      </c>
      <c r="BX121" s="427">
        <v>378</v>
      </c>
      <c r="BY121" s="428">
        <v>64.900000000000006</v>
      </c>
      <c r="BZ121" s="428">
        <v>79.7</v>
      </c>
      <c r="CA121" s="431">
        <f>155.675/6</f>
        <v>25.945833333333336</v>
      </c>
      <c r="CB121" s="466"/>
      <c r="CC121" s="466"/>
      <c r="CD121" s="466"/>
      <c r="CE121" s="466"/>
      <c r="CF121" s="466"/>
      <c r="CG121" s="466"/>
      <c r="CH121" s="430">
        <v>400</v>
      </c>
      <c r="CI121" s="431">
        <f>CJ121-2*9.8</f>
        <v>380.4</v>
      </c>
      <c r="CJ121" s="430">
        <v>400</v>
      </c>
      <c r="CK121" s="432">
        <f>112.634/6</f>
        <v>18.772333333333332</v>
      </c>
      <c r="CL121" s="432">
        <f>57.565485/6</f>
        <v>9.5942474999999998</v>
      </c>
      <c r="CM121" s="452">
        <v>350</v>
      </c>
      <c r="CN121" s="361">
        <f t="shared" si="5"/>
        <v>355.59999999999997</v>
      </c>
      <c r="CO121" s="434">
        <f t="shared" si="7"/>
        <v>53.64765434944762</v>
      </c>
      <c r="CP121" s="433">
        <v>700</v>
      </c>
      <c r="CQ121" s="453">
        <f>(719+718)/2</f>
        <v>718.5</v>
      </c>
      <c r="CR121" s="454">
        <v>49</v>
      </c>
      <c r="CS121" s="454">
        <v>54</v>
      </c>
      <c r="CT121" s="455">
        <v>43</v>
      </c>
      <c r="CU121" s="452">
        <v>1000</v>
      </c>
      <c r="CV121" s="456">
        <v>1000</v>
      </c>
      <c r="CW121" s="361">
        <v>1141</v>
      </c>
      <c r="CX121" s="361">
        <v>5</v>
      </c>
      <c r="CY121" s="434"/>
      <c r="CZ121" s="471">
        <v>1200</v>
      </c>
      <c r="DA121" s="472">
        <v>1204</v>
      </c>
      <c r="DB121" s="473">
        <f>(DA121+2*3.5+DC121)/2</f>
        <v>1289</v>
      </c>
      <c r="DC121" s="474">
        <v>1367</v>
      </c>
      <c r="DD121" s="475">
        <f>307.5/6</f>
        <v>51.25</v>
      </c>
      <c r="DE121" s="430">
        <v>450</v>
      </c>
      <c r="DF121" s="430">
        <v>460</v>
      </c>
      <c r="DG121" s="430">
        <f>(DF121+2*1.3+DH121)/2</f>
        <v>503.8</v>
      </c>
      <c r="DH121" s="415">
        <v>545</v>
      </c>
      <c r="DI121" s="431">
        <f>59/6</f>
        <v>9.8333333333333339</v>
      </c>
      <c r="DJ121" s="415">
        <v>900</v>
      </c>
      <c r="DK121" s="415">
        <v>99.1</v>
      </c>
      <c r="DL121" s="415">
        <f t="shared" si="6"/>
        <v>1098.2</v>
      </c>
      <c r="DM121" s="431">
        <v>860</v>
      </c>
    </row>
    <row r="122" spans="56:121">
      <c r="BN122" s="407"/>
      <c r="BO122" s="330"/>
      <c r="BP122" s="330"/>
      <c r="BQ122" s="423" t="s">
        <v>619</v>
      </c>
      <c r="BR122" s="424"/>
      <c r="BS122" s="425"/>
      <c r="BT122" s="424"/>
      <c r="BU122" s="425">
        <v>0.3</v>
      </c>
      <c r="BV122" s="426" t="s">
        <v>4</v>
      </c>
      <c r="BW122" s="427">
        <v>400</v>
      </c>
      <c r="BX122" s="427">
        <v>429</v>
      </c>
      <c r="BY122" s="428">
        <v>77.900000000000006</v>
      </c>
      <c r="BZ122" s="428">
        <v>94.7</v>
      </c>
      <c r="CA122" s="431">
        <f>194.226/6</f>
        <v>32.371000000000002</v>
      </c>
      <c r="CB122" s="466"/>
      <c r="CC122" s="466"/>
      <c r="CD122" s="466"/>
      <c r="CE122" s="466"/>
      <c r="CF122" s="466"/>
      <c r="CG122" s="466"/>
      <c r="CH122" s="476"/>
      <c r="CI122" s="476"/>
      <c r="CJ122" s="476"/>
      <c r="CK122" s="466"/>
      <c r="CL122" s="466"/>
      <c r="CM122" s="452">
        <v>400</v>
      </c>
      <c r="CN122" s="361">
        <f t="shared" si="5"/>
        <v>406.4</v>
      </c>
      <c r="CO122" s="434">
        <f t="shared" si="7"/>
        <v>61.450949527549014</v>
      </c>
      <c r="CP122" s="433">
        <v>800</v>
      </c>
      <c r="CQ122" s="453">
        <f>(821+820)/2</f>
        <v>820.5</v>
      </c>
      <c r="CR122" s="454">
        <v>64</v>
      </c>
      <c r="CS122" s="454">
        <v>69</v>
      </c>
      <c r="CT122" s="455">
        <v>56</v>
      </c>
      <c r="CU122" s="477">
        <v>1200</v>
      </c>
      <c r="CV122" s="478">
        <v>1200</v>
      </c>
      <c r="CW122" s="479">
        <v>1387</v>
      </c>
      <c r="CX122" s="479">
        <v>5</v>
      </c>
      <c r="CY122" s="469"/>
      <c r="CZ122" s="476"/>
      <c r="DA122" s="476"/>
      <c r="DB122" s="320"/>
      <c r="DE122" s="430">
        <v>600</v>
      </c>
      <c r="DF122" s="430">
        <v>614</v>
      </c>
      <c r="DG122" s="430">
        <f>(DF122+2*1.5+DH122)/2</f>
        <v>667</v>
      </c>
      <c r="DH122" s="415">
        <v>717</v>
      </c>
      <c r="DI122" s="431">
        <f>98/6</f>
        <v>16.333333333333332</v>
      </c>
      <c r="DJ122" s="415">
        <v>1000</v>
      </c>
      <c r="DK122" s="415">
        <v>106.4</v>
      </c>
      <c r="DL122" s="415">
        <f t="shared" si="6"/>
        <v>1212.8</v>
      </c>
      <c r="DM122" s="431">
        <v>1006.7</v>
      </c>
    </row>
    <row r="123" spans="56:121" ht="12.75" customHeight="1">
      <c r="BJ123" s="840" t="s">
        <v>620</v>
      </c>
      <c r="BK123" s="840"/>
      <c r="BL123" s="840"/>
      <c r="BM123" s="841"/>
      <c r="BN123" s="416" t="s">
        <v>530</v>
      </c>
      <c r="BO123" s="417"/>
      <c r="BP123" s="417"/>
      <c r="BQ123" s="423" t="s">
        <v>621</v>
      </c>
      <c r="BR123" s="424"/>
      <c r="BS123" s="425"/>
      <c r="BT123" s="424"/>
      <c r="BU123" s="425">
        <v>0.4</v>
      </c>
      <c r="BV123" s="426" t="s">
        <v>4</v>
      </c>
      <c r="BW123" s="427">
        <v>450</v>
      </c>
      <c r="BX123" s="427">
        <v>480</v>
      </c>
      <c r="BY123" s="428">
        <v>91.7</v>
      </c>
      <c r="BZ123" s="428">
        <v>111.8</v>
      </c>
      <c r="CA123" s="480"/>
      <c r="CB123" s="466"/>
      <c r="CC123" s="466"/>
      <c r="CD123" s="466"/>
      <c r="CE123" s="466"/>
      <c r="CF123" s="466"/>
      <c r="CG123" s="466"/>
      <c r="CH123" s="476"/>
      <c r="CI123" s="476"/>
      <c r="CJ123" s="476"/>
      <c r="CK123" s="466"/>
      <c r="CL123" s="466"/>
      <c r="CM123" s="452">
        <v>450</v>
      </c>
      <c r="CN123" s="361">
        <f t="shared" si="5"/>
        <v>457.2</v>
      </c>
      <c r="CO123" s="434">
        <f t="shared" si="7"/>
        <v>69.254244705650407</v>
      </c>
      <c r="CP123" s="433">
        <v>900</v>
      </c>
      <c r="CQ123" s="453">
        <f>(923+922)/2</f>
        <v>922.5</v>
      </c>
      <c r="CR123" s="454">
        <v>81</v>
      </c>
      <c r="CS123" s="454">
        <v>87</v>
      </c>
      <c r="CT123" s="455">
        <v>70</v>
      </c>
      <c r="CZ123" s="476"/>
      <c r="DA123" s="384"/>
      <c r="DB123" s="481"/>
      <c r="DE123" s="430">
        <v>750</v>
      </c>
      <c r="DF123" s="430">
        <v>774</v>
      </c>
      <c r="DG123" s="430">
        <f>(DF123+2*1.5+DH123)/2</f>
        <v>838.5</v>
      </c>
      <c r="DH123" s="415">
        <v>900</v>
      </c>
      <c r="DI123" s="431">
        <f>144/6</f>
        <v>24</v>
      </c>
      <c r="DJ123" s="415">
        <v>1200</v>
      </c>
      <c r="DK123" s="415">
        <v>122.9</v>
      </c>
      <c r="DL123" s="415">
        <f>ROUNDUP(DJ123+2*DK123,1)</f>
        <v>1445.8</v>
      </c>
      <c r="DM123" s="431">
        <v>1392</v>
      </c>
    </row>
    <row r="124" spans="56:121" ht="12">
      <c r="BJ124" s="824" t="s">
        <v>620</v>
      </c>
      <c r="BK124" s="824"/>
      <c r="BL124" s="824"/>
      <c r="BM124" s="825"/>
      <c r="BN124" s="423" t="s">
        <v>622</v>
      </c>
      <c r="BO124" s="424"/>
      <c r="BP124" s="424"/>
      <c r="BQ124" s="423" t="s">
        <v>623</v>
      </c>
      <c r="BR124" s="424"/>
      <c r="BS124" s="425"/>
      <c r="BT124" s="424"/>
      <c r="BU124" s="425">
        <v>0.3</v>
      </c>
      <c r="BV124" s="426" t="s">
        <v>4</v>
      </c>
      <c r="BW124" s="427">
        <v>500</v>
      </c>
      <c r="BX124" s="427">
        <v>532</v>
      </c>
      <c r="BY124" s="428">
        <v>106.1</v>
      </c>
      <c r="BZ124" s="428">
        <v>129.30000000000001</v>
      </c>
      <c r="CA124" s="431">
        <f>298.26/6</f>
        <v>49.71</v>
      </c>
      <c r="CB124" s="466"/>
      <c r="CC124" s="466"/>
      <c r="CD124" s="466"/>
      <c r="CE124" s="466"/>
      <c r="CF124" s="466"/>
      <c r="CG124" s="466"/>
      <c r="CH124" s="476"/>
      <c r="CI124" s="476"/>
      <c r="CJ124" s="476"/>
      <c r="CK124" s="476"/>
      <c r="CL124" s="476"/>
      <c r="CM124" s="452">
        <v>500</v>
      </c>
      <c r="CN124" s="361">
        <f t="shared" si="5"/>
        <v>508</v>
      </c>
      <c r="CO124" s="434">
        <f t="shared" si="7"/>
        <v>77.057539883752014</v>
      </c>
      <c r="CP124" s="433">
        <v>1000</v>
      </c>
      <c r="CQ124" s="453">
        <f>(1025+1024)/2</f>
        <v>1024.5</v>
      </c>
      <c r="CR124" s="454">
        <v>100</v>
      </c>
      <c r="CS124" s="454">
        <v>110</v>
      </c>
      <c r="CT124" s="455">
        <v>86</v>
      </c>
      <c r="CZ124" s="476"/>
      <c r="DA124" s="384"/>
      <c r="DE124" s="430">
        <v>900</v>
      </c>
      <c r="DF124" s="430">
        <v>912</v>
      </c>
      <c r="DG124" s="430">
        <f>(DF124+2*1.7+DH124)/2</f>
        <v>979.7</v>
      </c>
      <c r="DH124" s="415">
        <v>1044</v>
      </c>
      <c r="DI124" s="431">
        <f>169.8/6</f>
        <v>28.3</v>
      </c>
      <c r="DJ124" s="415">
        <v>1500</v>
      </c>
      <c r="DK124" s="415">
        <v>122</v>
      </c>
      <c r="DL124" s="415">
        <f>ROUNDUP(DJ124+2*DK124,1)</f>
        <v>1744</v>
      </c>
      <c r="DM124" s="431">
        <v>1760</v>
      </c>
    </row>
    <row r="125" spans="56:121" ht="12.75" customHeight="1">
      <c r="BD125" s="824" t="s">
        <v>624</v>
      </c>
      <c r="BE125" s="824"/>
      <c r="BF125" s="824" t="s">
        <v>625</v>
      </c>
      <c r="BG125" s="824"/>
      <c r="BH125" s="824"/>
      <c r="BI125" s="824"/>
      <c r="BJ125" s="824"/>
      <c r="BK125" s="824"/>
      <c r="BL125" s="824"/>
      <c r="BM125" s="825"/>
      <c r="BN125" s="423" t="s">
        <v>626</v>
      </c>
      <c r="BO125" s="424"/>
      <c r="BP125" s="424"/>
      <c r="BQ125" s="407"/>
      <c r="BR125" s="330"/>
      <c r="BS125" s="348"/>
      <c r="BT125" s="330"/>
      <c r="BU125" s="348"/>
      <c r="BV125" s="409"/>
      <c r="BW125" s="427">
        <v>600</v>
      </c>
      <c r="BX125" s="427">
        <v>635</v>
      </c>
      <c r="BY125" s="428">
        <v>137.9</v>
      </c>
      <c r="BZ125" s="428">
        <v>168.4</v>
      </c>
      <c r="CA125" s="480"/>
      <c r="CB125" s="466"/>
      <c r="CC125" s="466"/>
      <c r="CD125" s="466"/>
      <c r="CE125" s="466"/>
      <c r="CF125" s="466"/>
      <c r="CG125" s="466"/>
      <c r="CH125" s="476"/>
      <c r="CI125" s="476"/>
      <c r="CJ125" s="476"/>
      <c r="CK125" s="476"/>
      <c r="CL125" s="476"/>
      <c r="CM125" s="452">
        <v>550</v>
      </c>
      <c r="CN125" s="361">
        <f t="shared" si="5"/>
        <v>558.79999999999995</v>
      </c>
      <c r="CO125" s="434">
        <f t="shared" si="7"/>
        <v>84.860835061853621</v>
      </c>
      <c r="CP125" s="433">
        <v>1200</v>
      </c>
      <c r="CQ125" s="453">
        <f>(1229+1228)/2</f>
        <v>1228.5</v>
      </c>
      <c r="CR125" s="454">
        <v>145</v>
      </c>
      <c r="CS125" s="454">
        <v>155</v>
      </c>
      <c r="CT125" s="455">
        <v>125</v>
      </c>
      <c r="CZ125" s="476"/>
      <c r="DA125" s="384"/>
      <c r="DE125" s="430">
        <v>1050</v>
      </c>
      <c r="DF125" s="430">
        <v>1060</v>
      </c>
      <c r="DG125" s="430">
        <f>(DF125+2*1.8+DH125)/2</f>
        <v>1142.3</v>
      </c>
      <c r="DH125" s="415">
        <v>1221</v>
      </c>
      <c r="DI125" s="431">
        <f>224.1/6</f>
        <v>37.35</v>
      </c>
      <c r="DJ125" s="415">
        <v>2000</v>
      </c>
      <c r="DK125" s="415">
        <v>192.1</v>
      </c>
      <c r="DL125" s="415">
        <f>ROUNDUP(DJ125+2*DK125,1)</f>
        <v>2384.1999999999998</v>
      </c>
      <c r="DM125" s="431">
        <v>3580</v>
      </c>
    </row>
    <row r="126" spans="56:121" ht="12">
      <c r="BD126" s="824" t="s">
        <v>624</v>
      </c>
      <c r="BE126" s="824"/>
      <c r="BF126" s="824" t="s">
        <v>625</v>
      </c>
      <c r="BG126" s="824"/>
      <c r="BH126" s="824"/>
      <c r="BI126" s="824"/>
      <c r="BJ126" s="824"/>
      <c r="BK126" s="824"/>
      <c r="BL126" s="824"/>
      <c r="BM126" s="825"/>
      <c r="BN126" s="423" t="s">
        <v>627</v>
      </c>
      <c r="BO126" s="424"/>
      <c r="BP126" s="424"/>
      <c r="BQ126" s="407"/>
      <c r="BR126" s="330"/>
      <c r="BS126" s="348"/>
      <c r="BT126" s="330"/>
      <c r="BU126" s="348"/>
      <c r="BV126" s="409"/>
      <c r="BW126" s="427">
        <v>700</v>
      </c>
      <c r="BX126" s="427">
        <v>738</v>
      </c>
      <c r="BY126" s="428">
        <v>176.5</v>
      </c>
      <c r="BZ126" s="428">
        <v>215.1</v>
      </c>
      <c r="CA126" s="480"/>
      <c r="CB126" s="466"/>
      <c r="CC126" s="466"/>
      <c r="CD126" s="466"/>
      <c r="CE126" s="466"/>
      <c r="CF126" s="466"/>
      <c r="CG126" s="466"/>
      <c r="CH126" s="476"/>
      <c r="CI126" s="476"/>
      <c r="CJ126" s="476"/>
      <c r="CK126" s="476"/>
      <c r="CL126" s="476"/>
      <c r="CM126" s="452">
        <v>600</v>
      </c>
      <c r="CN126" s="361">
        <f t="shared" si="5"/>
        <v>609.59999999999991</v>
      </c>
      <c r="CO126" s="434">
        <f t="shared" si="7"/>
        <v>92.664130239955426</v>
      </c>
      <c r="CP126" s="433">
        <v>1400</v>
      </c>
      <c r="CQ126" s="453">
        <f>(1433+1432)/2</f>
        <v>1432.5</v>
      </c>
      <c r="CR126" s="454">
        <v>195</v>
      </c>
      <c r="CS126" s="454">
        <v>210</v>
      </c>
      <c r="CT126" s="455">
        <v>165</v>
      </c>
      <c r="CZ126" s="476"/>
      <c r="DA126" s="384"/>
      <c r="DE126" s="430">
        <v>1200</v>
      </c>
      <c r="DF126" s="430">
        <v>1204</v>
      </c>
      <c r="DG126" s="430">
        <f>(DF126+2*1.8+DH126)/2</f>
        <v>1287.3</v>
      </c>
      <c r="DH126" s="415">
        <v>1367</v>
      </c>
      <c r="DI126" s="431">
        <f>278/6</f>
        <v>46.333333333333336</v>
      </c>
    </row>
    <row r="127" spans="56:121" ht="12">
      <c r="BD127" s="824" t="s">
        <v>624</v>
      </c>
      <c r="BE127" s="824"/>
      <c r="BF127" s="824" t="s">
        <v>625</v>
      </c>
      <c r="BG127" s="824"/>
      <c r="BH127" s="824"/>
      <c r="BI127" s="824"/>
      <c r="BJ127" s="824"/>
      <c r="BK127" s="824"/>
      <c r="BL127" s="824"/>
      <c r="BM127" s="825"/>
      <c r="BN127" s="423" t="s">
        <v>628</v>
      </c>
      <c r="BO127" s="424"/>
      <c r="BP127" s="424"/>
      <c r="BQ127" s="407"/>
      <c r="BR127" s="330"/>
      <c r="BS127" s="348"/>
      <c r="BT127" s="330"/>
      <c r="BU127" s="348"/>
      <c r="BV127" s="409"/>
      <c r="BW127" s="427">
        <v>800</v>
      </c>
      <c r="BX127" s="427">
        <v>842</v>
      </c>
      <c r="BY127" s="428">
        <v>216.3</v>
      </c>
      <c r="BZ127" s="428">
        <v>264.10000000000002</v>
      </c>
      <c r="CA127" s="480"/>
      <c r="CB127" s="466"/>
      <c r="CC127" s="466"/>
      <c r="CD127" s="466"/>
      <c r="CE127" s="466"/>
      <c r="CF127" s="466"/>
      <c r="CG127" s="466"/>
      <c r="CH127" s="476"/>
      <c r="CI127" s="476"/>
      <c r="CJ127" s="476"/>
      <c r="CK127" s="476"/>
      <c r="CL127" s="476"/>
      <c r="CM127" s="452">
        <v>650</v>
      </c>
      <c r="CN127" s="361">
        <f t="shared" si="5"/>
        <v>660.4</v>
      </c>
      <c r="CO127" s="434">
        <f t="shared" si="7"/>
        <v>100.46742541805661</v>
      </c>
      <c r="CP127" s="433">
        <v>1600</v>
      </c>
      <c r="CQ127" s="453">
        <f>(1637+1636)/2</f>
        <v>1636.5</v>
      </c>
      <c r="CR127" s="454">
        <v>255</v>
      </c>
      <c r="CS127" s="454">
        <v>270</v>
      </c>
      <c r="CT127" s="455">
        <v>336.79</v>
      </c>
      <c r="CZ127" s="476"/>
      <c r="DA127" s="384"/>
    </row>
    <row r="128" spans="56:121" ht="12">
      <c r="BD128" s="824" t="s">
        <v>624</v>
      </c>
      <c r="BE128" s="824"/>
      <c r="BF128" s="824" t="s">
        <v>625</v>
      </c>
      <c r="BG128" s="824"/>
      <c r="BH128" s="824"/>
      <c r="BI128" s="824"/>
      <c r="BJ128" s="824"/>
      <c r="BK128" s="824"/>
      <c r="BL128" s="824"/>
      <c r="BM128" s="825"/>
      <c r="BN128" s="423" t="s">
        <v>629</v>
      </c>
      <c r="BO128" s="424"/>
      <c r="BP128" s="424"/>
      <c r="BQ128" s="407"/>
      <c r="BR128" s="330"/>
      <c r="BS128" s="348"/>
      <c r="BT128" s="330"/>
      <c r="BU128" s="348"/>
      <c r="BV128" s="409"/>
      <c r="BW128" s="427">
        <v>900</v>
      </c>
      <c r="BX128" s="427">
        <v>945</v>
      </c>
      <c r="BY128" s="428">
        <v>259.39999999999998</v>
      </c>
      <c r="BZ128" s="428">
        <v>317.2</v>
      </c>
      <c r="CA128" s="480"/>
      <c r="CB128" s="466"/>
      <c r="CC128" s="466"/>
      <c r="CD128" s="466"/>
      <c r="CE128" s="466"/>
      <c r="CF128" s="466"/>
      <c r="CG128" s="466"/>
      <c r="CH128" s="476"/>
      <c r="CI128" s="476"/>
      <c r="CJ128" s="476"/>
      <c r="CK128" s="476"/>
      <c r="CL128" s="476"/>
      <c r="CM128" s="452">
        <v>700</v>
      </c>
      <c r="CN128" s="361">
        <f t="shared" si="5"/>
        <v>711.19999999999993</v>
      </c>
      <c r="CO128" s="434">
        <f t="shared" si="7"/>
        <v>108.27072059615821</v>
      </c>
      <c r="CP128" s="433">
        <v>1800</v>
      </c>
      <c r="CQ128" s="453">
        <f>(1841+1840)/2</f>
        <v>1840.5</v>
      </c>
      <c r="CR128" s="454">
        <v>320</v>
      </c>
      <c r="CS128" s="454">
        <v>345</v>
      </c>
      <c r="CT128" s="455">
        <v>424.91</v>
      </c>
      <c r="CZ128" s="476"/>
      <c r="DA128" s="384"/>
    </row>
    <row r="129" spans="56:105" ht="12">
      <c r="BD129" s="824" t="s">
        <v>624</v>
      </c>
      <c r="BE129" s="824"/>
      <c r="BF129" s="824" t="s">
        <v>625</v>
      </c>
      <c r="BG129" s="824"/>
      <c r="BH129" s="824"/>
      <c r="BI129" s="824"/>
      <c r="BJ129" s="824"/>
      <c r="BK129" s="824"/>
      <c r="BL129" s="824"/>
      <c r="BM129" s="825"/>
      <c r="BN129" s="423" t="s">
        <v>630</v>
      </c>
      <c r="BO129" s="424"/>
      <c r="BP129" s="424"/>
      <c r="BQ129" s="407"/>
      <c r="BR129" s="330"/>
      <c r="BS129" s="348"/>
      <c r="BT129" s="330"/>
      <c r="BU129" s="348"/>
      <c r="BV129" s="409"/>
      <c r="BW129" s="427">
        <v>1000</v>
      </c>
      <c r="BX129" s="427">
        <v>1048</v>
      </c>
      <c r="BY129" s="428">
        <v>316.2</v>
      </c>
      <c r="BZ129" s="428">
        <v>375</v>
      </c>
      <c r="CA129" s="480"/>
      <c r="CB129" s="466"/>
      <c r="CC129" s="466"/>
      <c r="CD129" s="466"/>
      <c r="CE129" s="466"/>
      <c r="CF129" s="466"/>
      <c r="CG129" s="466"/>
      <c r="CH129" s="476"/>
      <c r="CI129" s="476"/>
      <c r="CJ129" s="476"/>
      <c r="CK129" s="476"/>
      <c r="CL129" s="476"/>
      <c r="CM129" s="452">
        <v>750</v>
      </c>
      <c r="CN129" s="361">
        <f t="shared" si="5"/>
        <v>762</v>
      </c>
      <c r="CO129" s="434">
        <f t="shared" si="7"/>
        <v>116.07401577426025</v>
      </c>
      <c r="CP129" s="433">
        <v>2000</v>
      </c>
      <c r="CQ129" s="453">
        <f>(2045+2044)/2</f>
        <v>2044.5</v>
      </c>
      <c r="CR129" s="454">
        <v>390</v>
      </c>
      <c r="CS129" s="454">
        <v>420</v>
      </c>
      <c r="CT129" s="455">
        <v>522.72</v>
      </c>
      <c r="CZ129" s="476"/>
      <c r="DA129" s="384"/>
    </row>
    <row r="130" spans="56:105" ht="12">
      <c r="BD130" s="824" t="s">
        <v>624</v>
      </c>
      <c r="BE130" s="824"/>
      <c r="BF130" s="824" t="s">
        <v>625</v>
      </c>
      <c r="BG130" s="824"/>
      <c r="BH130" s="824"/>
      <c r="BI130" s="824"/>
      <c r="BJ130" s="824"/>
      <c r="BK130" s="824"/>
      <c r="BL130" s="824"/>
      <c r="BM130" s="825"/>
      <c r="BN130" s="423" t="s">
        <v>631</v>
      </c>
      <c r="BO130" s="424"/>
      <c r="BP130" s="424"/>
      <c r="BQ130" s="407"/>
      <c r="BR130" s="330"/>
      <c r="BS130" s="348"/>
      <c r="BT130" s="330"/>
      <c r="BU130" s="348"/>
      <c r="BV130" s="409"/>
      <c r="BW130" s="427">
        <v>1200</v>
      </c>
      <c r="BX130" s="427">
        <v>1255</v>
      </c>
      <c r="BY130" s="428">
        <v>411.9</v>
      </c>
      <c r="BZ130" s="428">
        <v>505.3</v>
      </c>
      <c r="CA130" s="480"/>
      <c r="CB130" s="466"/>
      <c r="CC130" s="466"/>
      <c r="CD130" s="466"/>
      <c r="CE130" s="466"/>
      <c r="CF130" s="466"/>
      <c r="CG130" s="466"/>
      <c r="CH130" s="476"/>
      <c r="CI130" s="476"/>
      <c r="CJ130" s="476"/>
      <c r="CK130" s="476"/>
      <c r="CL130" s="476"/>
      <c r="CM130" s="452">
        <v>800</v>
      </c>
      <c r="CN130" s="361">
        <f t="shared" si="5"/>
        <v>812.8</v>
      </c>
      <c r="CO130" s="434">
        <f t="shared" si="7"/>
        <v>123.877310952361</v>
      </c>
      <c r="CP130" s="433">
        <v>2200</v>
      </c>
      <c r="CQ130" s="453">
        <f>(2249+2248)/2</f>
        <v>2248.5</v>
      </c>
      <c r="CR130" s="454">
        <v>470</v>
      </c>
      <c r="CS130" s="454">
        <v>510</v>
      </c>
      <c r="CT130" s="455">
        <v>632.04</v>
      </c>
      <c r="CZ130" s="476"/>
      <c r="DA130" s="384"/>
    </row>
    <row r="131" spans="56:105" ht="12">
      <c r="BD131" s="824" t="s">
        <v>624</v>
      </c>
      <c r="BE131" s="824"/>
      <c r="BF131" s="824" t="s">
        <v>625</v>
      </c>
      <c r="BG131" s="824"/>
      <c r="BH131" s="824"/>
      <c r="BI131" s="824"/>
      <c r="BJ131" s="824"/>
      <c r="BK131" s="824"/>
      <c r="BL131" s="824"/>
      <c r="BM131" s="825"/>
      <c r="BN131" s="423" t="s">
        <v>632</v>
      </c>
      <c r="BO131" s="424"/>
      <c r="BP131" s="424"/>
      <c r="BQ131" s="407"/>
      <c r="BR131" s="330"/>
      <c r="BS131" s="348"/>
      <c r="BT131" s="330"/>
      <c r="BU131" s="348"/>
      <c r="BV131" s="409"/>
      <c r="BW131" s="482"/>
      <c r="BX131" s="482"/>
      <c r="BY131" s="429"/>
      <c r="BZ131" s="429"/>
      <c r="CA131" s="480"/>
      <c r="CB131" s="466"/>
      <c r="CC131" s="466"/>
      <c r="CD131" s="466"/>
      <c r="CE131" s="466"/>
      <c r="CF131" s="466"/>
      <c r="CG131" s="466"/>
      <c r="CH131" s="476"/>
      <c r="CI131" s="476"/>
      <c r="CJ131" s="476"/>
      <c r="CK131" s="476"/>
      <c r="CL131" s="476"/>
      <c r="CM131" s="452">
        <v>850</v>
      </c>
      <c r="CN131" s="361">
        <f t="shared" si="5"/>
        <v>863.59999999999991</v>
      </c>
      <c r="CO131" s="434">
        <f t="shared" si="7"/>
        <v>131.68060613046302</v>
      </c>
      <c r="CP131" s="433">
        <v>2400</v>
      </c>
      <c r="CQ131" s="453">
        <f>(2453+2452)/2</f>
        <v>2452.5</v>
      </c>
      <c r="CR131" s="454">
        <v>560</v>
      </c>
      <c r="CS131" s="454">
        <v>610</v>
      </c>
      <c r="CT131" s="455">
        <v>749.92</v>
      </c>
      <c r="CZ131" s="476"/>
      <c r="DA131" s="384"/>
    </row>
    <row r="132" spans="56:105">
      <c r="BN132" s="483" t="s">
        <v>633</v>
      </c>
      <c r="BO132" s="484"/>
      <c r="BP132" s="484"/>
      <c r="BQ132" s="407"/>
      <c r="BR132" s="330"/>
      <c r="BS132" s="348"/>
      <c r="BT132" s="330"/>
      <c r="BU132" s="348"/>
      <c r="BV132" s="409"/>
      <c r="BW132" s="482"/>
      <c r="BX132" s="482"/>
      <c r="BY132" s="429"/>
      <c r="BZ132" s="429"/>
      <c r="CA132" s="480"/>
      <c r="CB132" s="466"/>
      <c r="CC132" s="466"/>
      <c r="CD132" s="466"/>
      <c r="CE132" s="466"/>
      <c r="CF132" s="466"/>
      <c r="CG132" s="466"/>
      <c r="CH132" s="476"/>
      <c r="CI132" s="476"/>
      <c r="CJ132" s="476"/>
      <c r="CK132" s="476"/>
      <c r="CL132" s="476"/>
      <c r="CM132" s="452">
        <v>900</v>
      </c>
      <c r="CN132" s="361">
        <f t="shared" si="5"/>
        <v>914.4</v>
      </c>
      <c r="CO132" s="434">
        <f t="shared" si="7"/>
        <v>139.48390130856421</v>
      </c>
      <c r="CP132" s="433">
        <v>2600</v>
      </c>
      <c r="CQ132" s="453">
        <f>(2657+2656)/2</f>
        <v>2656.5</v>
      </c>
      <c r="CR132" s="454">
        <v>660</v>
      </c>
      <c r="CS132" s="454">
        <v>710</v>
      </c>
      <c r="CT132" s="455">
        <v>880.87</v>
      </c>
      <c r="CZ132" s="476"/>
      <c r="DA132" s="384"/>
    </row>
    <row r="133" spans="56:105">
      <c r="BN133" s="483" t="s">
        <v>634</v>
      </c>
      <c r="BO133" s="484"/>
      <c r="BP133" s="484"/>
      <c r="BQ133" s="407"/>
      <c r="BR133" s="330"/>
      <c r="BS133" s="348"/>
      <c r="BT133" s="330"/>
      <c r="BU133" s="348"/>
      <c r="BV133" s="409"/>
      <c r="BW133" s="482"/>
      <c r="BX133" s="482"/>
      <c r="BY133" s="429"/>
      <c r="BZ133" s="429"/>
      <c r="CA133" s="429"/>
      <c r="CB133" s="384"/>
      <c r="CC133" s="384"/>
      <c r="CD133" s="384"/>
      <c r="CE133" s="384"/>
      <c r="CF133" s="384"/>
      <c r="CG133" s="384"/>
      <c r="CH133" s="476"/>
      <c r="CI133" s="476"/>
      <c r="CJ133" s="476"/>
      <c r="CK133" s="476"/>
      <c r="CL133" s="476"/>
      <c r="CM133" s="452">
        <v>950</v>
      </c>
      <c r="CN133" s="361">
        <f t="shared" si="5"/>
        <v>965.19999999999993</v>
      </c>
      <c r="CO133" s="434">
        <f t="shared" si="7"/>
        <v>147.28719648666623</v>
      </c>
      <c r="CP133" s="433">
        <v>2800</v>
      </c>
      <c r="CQ133" s="453">
        <f>(2861+2860)/2</f>
        <v>2860.5</v>
      </c>
      <c r="CR133" s="454">
        <v>760</v>
      </c>
      <c r="CS133" s="454">
        <v>820</v>
      </c>
      <c r="CT133" s="455">
        <v>1020.67</v>
      </c>
      <c r="CZ133" s="476"/>
      <c r="DA133" s="384"/>
    </row>
    <row r="134" spans="56:105">
      <c r="BN134" s="483" t="s">
        <v>635</v>
      </c>
      <c r="BO134" s="484"/>
      <c r="BP134" s="484"/>
      <c r="BQ134" s="407"/>
      <c r="BR134" s="330"/>
      <c r="BS134" s="348"/>
      <c r="BT134" s="330"/>
      <c r="BU134" s="348"/>
      <c r="BV134" s="409"/>
      <c r="BW134" s="482"/>
      <c r="BX134" s="482"/>
      <c r="BY134" s="429"/>
      <c r="BZ134" s="429"/>
      <c r="CA134" s="429"/>
      <c r="CB134" s="384"/>
      <c r="CC134" s="384"/>
      <c r="CD134" s="384"/>
      <c r="CE134" s="384"/>
      <c r="CF134" s="384"/>
      <c r="CG134" s="384"/>
      <c r="CH134" s="476"/>
      <c r="CI134" s="476"/>
      <c r="CJ134" s="476"/>
      <c r="CK134" s="476"/>
      <c r="CL134" s="476"/>
      <c r="CM134" s="452">
        <v>1000</v>
      </c>
      <c r="CN134" s="361">
        <f t="shared" si="5"/>
        <v>1016</v>
      </c>
      <c r="CO134" s="434">
        <f t="shared" si="7"/>
        <v>155.09049166476913</v>
      </c>
      <c r="CP134" s="471">
        <v>3000</v>
      </c>
      <c r="CQ134" s="485">
        <f>(3065+3064)/2</f>
        <v>3064.5</v>
      </c>
      <c r="CR134" s="473">
        <v>870</v>
      </c>
      <c r="CS134" s="473">
        <v>940</v>
      </c>
      <c r="CT134" s="486">
        <v>1169.9000000000001</v>
      </c>
      <c r="CZ134" s="476"/>
      <c r="DA134" s="384"/>
    </row>
    <row r="135" spans="56:105">
      <c r="BN135" s="483" t="s">
        <v>636</v>
      </c>
      <c r="BO135" s="484"/>
      <c r="BP135" s="484"/>
      <c r="BQ135" s="407"/>
      <c r="BR135" s="330"/>
      <c r="BS135" s="348"/>
      <c r="BT135" s="330"/>
      <c r="BU135" s="487"/>
      <c r="BV135" s="409"/>
      <c r="BW135" s="482"/>
      <c r="BX135" s="482"/>
      <c r="BY135" s="429"/>
      <c r="BZ135" s="429"/>
      <c r="CA135" s="429"/>
      <c r="CB135" s="384"/>
      <c r="CC135" s="384"/>
      <c r="CD135" s="384"/>
      <c r="CE135" s="384"/>
      <c r="CF135" s="384"/>
      <c r="CG135" s="384"/>
      <c r="CH135" s="384"/>
      <c r="CI135" s="384"/>
      <c r="CJ135" s="384"/>
      <c r="CK135" s="384"/>
      <c r="CL135" s="384"/>
      <c r="CM135" s="452">
        <v>1050</v>
      </c>
      <c r="CN135" s="361">
        <f t="shared" si="5"/>
        <v>1066.8</v>
      </c>
      <c r="CO135" s="434">
        <f t="shared" si="7"/>
        <v>162.8937868428703</v>
      </c>
      <c r="CZ135" s="476"/>
      <c r="DA135" s="384"/>
    </row>
    <row r="136" spans="56:105" ht="12">
      <c r="BJ136" s="824" t="s">
        <v>637</v>
      </c>
      <c r="BK136" s="824"/>
      <c r="BL136" s="824"/>
      <c r="BM136" s="825"/>
      <c r="BN136" s="423" t="s">
        <v>582</v>
      </c>
      <c r="BO136" s="424"/>
      <c r="BP136" s="424"/>
      <c r="BQ136" s="407"/>
      <c r="BR136" s="330"/>
      <c r="BS136" s="348"/>
      <c r="BT136" s="330"/>
      <c r="BU136" s="348"/>
      <c r="BV136" s="409"/>
      <c r="BW136" s="384"/>
      <c r="BX136" s="384"/>
      <c r="BY136" s="384"/>
      <c r="BZ136" s="384"/>
      <c r="CA136" s="384"/>
      <c r="CB136" s="384"/>
      <c r="CC136" s="384"/>
      <c r="CD136" s="384"/>
      <c r="CE136" s="384"/>
      <c r="CF136" s="384"/>
      <c r="CG136" s="384"/>
      <c r="CH136" s="384"/>
      <c r="CI136" s="384"/>
      <c r="CJ136" s="384"/>
      <c r="CK136" s="384"/>
      <c r="CL136" s="384"/>
      <c r="CM136" s="452">
        <v>1100</v>
      </c>
      <c r="CN136" s="361">
        <f t="shared" si="5"/>
        <v>1117.5999999999999</v>
      </c>
      <c r="CO136" s="434">
        <f t="shared" si="7"/>
        <v>170.69708202097061</v>
      </c>
      <c r="CZ136" s="476"/>
      <c r="DA136" s="384"/>
    </row>
    <row r="137" spans="56:105">
      <c r="BN137" s="483" t="s">
        <v>638</v>
      </c>
      <c r="BO137" s="484"/>
      <c r="BP137" s="484"/>
      <c r="BQ137" s="407"/>
      <c r="BR137" s="330"/>
      <c r="BS137" s="348"/>
      <c r="BT137" s="330"/>
      <c r="BU137" s="348"/>
      <c r="BV137" s="409"/>
      <c r="BW137" s="384"/>
      <c r="BX137" s="384"/>
      <c r="BY137" s="384"/>
      <c r="BZ137" s="384"/>
      <c r="CA137" s="384"/>
      <c r="CB137" s="384"/>
      <c r="CC137" s="384"/>
      <c r="CD137" s="384"/>
      <c r="CE137" s="384"/>
      <c r="CF137" s="384"/>
      <c r="CG137" s="384"/>
      <c r="CH137" s="384"/>
      <c r="CI137" s="384"/>
      <c r="CJ137" s="384"/>
      <c r="CK137" s="384"/>
      <c r="CL137" s="384"/>
      <c r="CM137" s="452">
        <v>1150</v>
      </c>
      <c r="CN137" s="361">
        <f t="shared" si="5"/>
        <v>1168.3999999999999</v>
      </c>
      <c r="CO137" s="434">
        <f t="shared" si="7"/>
        <v>178.50037719907266</v>
      </c>
      <c r="CZ137" s="476"/>
      <c r="DA137" s="384"/>
    </row>
    <row r="138" spans="56:105">
      <c r="BN138" s="483" t="s">
        <v>639</v>
      </c>
      <c r="BO138" s="484"/>
      <c r="BP138" s="484"/>
      <c r="BQ138" s="483" t="s">
        <v>640</v>
      </c>
      <c r="BR138" s="484"/>
      <c r="BS138" s="488"/>
      <c r="BT138" s="484"/>
      <c r="BU138" s="488">
        <v>0.5</v>
      </c>
      <c r="BV138" s="489" t="s">
        <v>641</v>
      </c>
      <c r="BW138" s="384"/>
      <c r="BX138" s="384"/>
      <c r="BY138" s="384"/>
      <c r="BZ138" s="384"/>
      <c r="CA138" s="384"/>
      <c r="CB138" s="384"/>
      <c r="CC138" s="384"/>
      <c r="CD138" s="384"/>
      <c r="CE138" s="384"/>
      <c r="CF138" s="384"/>
      <c r="CG138" s="384"/>
      <c r="CH138" s="384"/>
      <c r="CI138" s="384"/>
      <c r="CJ138" s="384"/>
      <c r="CK138" s="384"/>
      <c r="CL138" s="384"/>
      <c r="CM138" s="452">
        <v>1200</v>
      </c>
      <c r="CN138" s="361">
        <f t="shared" si="5"/>
        <v>1219.1999999999998</v>
      </c>
      <c r="CO138" s="434">
        <f t="shared" si="7"/>
        <v>186.30367237717468</v>
      </c>
      <c r="CZ138" s="476"/>
      <c r="DA138" s="384"/>
    </row>
    <row r="139" spans="56:105">
      <c r="BN139" s="483" t="s">
        <v>642</v>
      </c>
      <c r="BO139" s="484"/>
      <c r="BP139" s="484"/>
      <c r="BQ139" s="423" t="s">
        <v>643</v>
      </c>
      <c r="BR139" s="424"/>
      <c r="BS139" s="425"/>
      <c r="BT139" s="424"/>
      <c r="BU139" s="425">
        <v>3</v>
      </c>
      <c r="BV139" s="426" t="s">
        <v>4</v>
      </c>
      <c r="BW139" s="384"/>
      <c r="BX139" s="384"/>
      <c r="BY139" s="384"/>
      <c r="BZ139" s="384"/>
      <c r="CA139" s="384"/>
      <c r="CB139" s="384"/>
      <c r="CC139" s="384"/>
      <c r="CD139" s="384"/>
      <c r="CE139" s="384"/>
      <c r="CF139" s="384"/>
      <c r="CG139" s="384"/>
      <c r="CH139" s="384"/>
      <c r="CI139" s="384"/>
      <c r="CJ139" s="384"/>
      <c r="CK139" s="384"/>
      <c r="CL139" s="384"/>
      <c r="CM139" s="452">
        <v>1300</v>
      </c>
      <c r="CN139" s="361">
        <f t="shared" si="5"/>
        <v>1320.8</v>
      </c>
      <c r="CO139" s="434">
        <f t="shared" si="7"/>
        <v>201.91026273337704</v>
      </c>
      <c r="CZ139" s="476"/>
      <c r="DA139" s="384"/>
    </row>
    <row r="140" spans="56:105">
      <c r="BN140" s="483" t="s">
        <v>644</v>
      </c>
      <c r="BO140" s="484"/>
      <c r="BP140" s="484"/>
      <c r="BQ140" s="423" t="s">
        <v>645</v>
      </c>
      <c r="BR140" s="424"/>
      <c r="BS140" s="425"/>
      <c r="BT140" s="424"/>
      <c r="BU140" s="425">
        <v>6</v>
      </c>
      <c r="BV140" s="426" t="s">
        <v>4</v>
      </c>
      <c r="BW140" s="384"/>
      <c r="BX140" s="384"/>
      <c r="BY140" s="384"/>
      <c r="BZ140" s="384"/>
      <c r="CA140" s="384"/>
      <c r="CB140" s="384"/>
      <c r="CC140" s="384"/>
      <c r="CD140" s="384"/>
      <c r="CE140" s="384"/>
      <c r="CF140" s="384"/>
      <c r="CG140" s="384"/>
      <c r="CH140" s="384"/>
      <c r="CI140" s="384"/>
      <c r="CJ140" s="384"/>
      <c r="CK140" s="384"/>
      <c r="CL140" s="384"/>
      <c r="CM140" s="452">
        <v>1350</v>
      </c>
      <c r="CN140" s="361">
        <f t="shared" si="5"/>
        <v>1371.6</v>
      </c>
      <c r="CO140" s="434">
        <f t="shared" si="7"/>
        <v>209.71355791147909</v>
      </c>
      <c r="CP140" s="384"/>
      <c r="CZ140" s="476"/>
      <c r="DA140" s="384"/>
    </row>
    <row r="141" spans="56:105">
      <c r="BN141" s="483" t="s">
        <v>646</v>
      </c>
      <c r="BO141" s="484"/>
      <c r="BP141" s="484"/>
      <c r="BQ141" s="483" t="s">
        <v>647</v>
      </c>
      <c r="BR141" s="484"/>
      <c r="BS141" s="488"/>
      <c r="BT141" s="484"/>
      <c r="BU141" s="488">
        <v>0.8</v>
      </c>
      <c r="BV141" s="489" t="s">
        <v>4</v>
      </c>
      <c r="BW141" s="384"/>
      <c r="BX141" s="384"/>
      <c r="BY141" s="384"/>
      <c r="BZ141" s="384"/>
      <c r="CA141" s="384"/>
      <c r="CB141" s="384"/>
      <c r="CC141" s="384"/>
      <c r="CD141" s="384"/>
      <c r="CE141" s="384"/>
      <c r="CF141" s="384"/>
      <c r="CG141" s="384"/>
      <c r="CH141" s="384"/>
      <c r="CI141" s="384"/>
      <c r="CJ141" s="384"/>
      <c r="CK141" s="384"/>
      <c r="CL141" s="384"/>
      <c r="CM141" s="460">
        <v>1500</v>
      </c>
      <c r="CN141" s="361">
        <f t="shared" si="5"/>
        <v>1524</v>
      </c>
      <c r="CO141" s="434">
        <f t="shared" si="7"/>
        <v>233.12344344578688</v>
      </c>
      <c r="CP141" s="384"/>
    </row>
    <row r="142" spans="56:105">
      <c r="BN142" s="483" t="s">
        <v>648</v>
      </c>
      <c r="BO142" s="484"/>
      <c r="BP142" s="484"/>
      <c r="BQ142" s="483" t="s">
        <v>649</v>
      </c>
      <c r="BR142" s="484"/>
      <c r="BS142" s="488"/>
      <c r="BT142" s="484"/>
      <c r="BU142" s="488">
        <v>1.5</v>
      </c>
      <c r="BV142" s="489" t="s">
        <v>4</v>
      </c>
      <c r="BW142" s="384"/>
      <c r="BX142" s="384"/>
      <c r="BY142" s="384"/>
      <c r="BZ142" s="384"/>
      <c r="CA142" s="384"/>
      <c r="CB142" s="384"/>
      <c r="CC142" s="384"/>
      <c r="CD142" s="384"/>
      <c r="CE142" s="384"/>
      <c r="CF142" s="384"/>
      <c r="CG142" s="384"/>
      <c r="CH142" s="384"/>
      <c r="CI142" s="384"/>
      <c r="CJ142" s="384"/>
      <c r="CK142" s="384"/>
      <c r="CL142" s="384"/>
      <c r="CM142" s="460">
        <v>1800</v>
      </c>
      <c r="CN142" s="361">
        <f t="shared" si="5"/>
        <v>1828.8</v>
      </c>
      <c r="CO142" s="434">
        <f t="shared" si="7"/>
        <v>279.94321451439396</v>
      </c>
      <c r="CP142" s="384"/>
    </row>
    <row r="143" spans="56:105">
      <c r="BN143" s="483" t="s">
        <v>650</v>
      </c>
      <c r="BO143" s="484"/>
      <c r="BP143" s="484"/>
      <c r="BQ143" s="483" t="s">
        <v>651</v>
      </c>
      <c r="BR143" s="484"/>
      <c r="BS143" s="488"/>
      <c r="BT143" s="484"/>
      <c r="BU143" s="488">
        <v>2.5</v>
      </c>
      <c r="BV143" s="489" t="s">
        <v>4</v>
      </c>
      <c r="BW143" s="384"/>
      <c r="BX143" s="384"/>
      <c r="BY143" s="384"/>
      <c r="BZ143" s="384"/>
      <c r="CA143" s="384"/>
      <c r="CB143" s="384"/>
      <c r="CC143" s="384"/>
      <c r="CD143" s="384"/>
      <c r="CE143" s="384"/>
      <c r="CF143" s="384"/>
      <c r="CG143" s="384"/>
      <c r="CH143" s="384"/>
      <c r="CI143" s="384"/>
      <c r="CJ143" s="384"/>
      <c r="CK143" s="384"/>
      <c r="CL143" s="384"/>
      <c r="CM143" s="460">
        <v>1900</v>
      </c>
      <c r="CN143" s="361">
        <f t="shared" si="5"/>
        <v>1930.3999999999999</v>
      </c>
      <c r="CO143" s="434">
        <f t="shared" si="7"/>
        <v>295.549804870598</v>
      </c>
      <c r="CP143" s="384"/>
    </row>
    <row r="144" spans="56:105">
      <c r="BN144" s="483" t="s">
        <v>652</v>
      </c>
      <c r="BO144" s="484"/>
      <c r="BP144" s="484"/>
      <c r="BQ144" s="483" t="s">
        <v>653</v>
      </c>
      <c r="BR144" s="484"/>
      <c r="BS144" s="488"/>
      <c r="BT144" s="484"/>
      <c r="BU144" s="488">
        <f>MAX(BP36:BS49,BP51:BS72,BW36:BZ49,BW51:BZ71,CD36:CG49,CD51:CG64,CD66:CG79,CD81:CG94)</f>
        <v>3.9</v>
      </c>
      <c r="BV144" s="489" t="s">
        <v>4</v>
      </c>
      <c r="BW144" s="384"/>
      <c r="BX144" s="384"/>
      <c r="BY144" s="384"/>
      <c r="BZ144" s="384"/>
      <c r="CA144" s="384"/>
      <c r="CB144" s="384"/>
      <c r="CC144" s="384"/>
      <c r="CD144" s="384"/>
      <c r="CE144" s="384"/>
      <c r="CF144" s="384"/>
      <c r="CG144" s="384"/>
      <c r="CH144" s="384"/>
      <c r="CI144" s="384"/>
      <c r="CJ144" s="384"/>
      <c r="CK144" s="384"/>
      <c r="CL144" s="384"/>
      <c r="CM144" s="460">
        <v>2000</v>
      </c>
      <c r="CN144" s="361">
        <f t="shared" si="5"/>
        <v>2032</v>
      </c>
      <c r="CO144" s="434">
        <f t="shared" si="7"/>
        <v>311.15639522679868</v>
      </c>
      <c r="CP144" s="384"/>
    </row>
    <row r="145" spans="66:93">
      <c r="BN145" s="483" t="s">
        <v>590</v>
      </c>
      <c r="BO145" s="484"/>
      <c r="BP145" s="484"/>
      <c r="BQ145" s="407"/>
      <c r="BR145" s="330"/>
      <c r="BS145" s="348"/>
      <c r="BT145" s="330"/>
      <c r="BU145" s="348"/>
      <c r="BV145" s="409"/>
      <c r="BW145" s="384"/>
      <c r="BX145" s="384"/>
      <c r="BY145" s="384"/>
      <c r="BZ145" s="384"/>
      <c r="CA145" s="384"/>
      <c r="CH145" s="384"/>
      <c r="CI145" s="384"/>
      <c r="CJ145" s="384"/>
      <c r="CK145" s="384"/>
      <c r="CL145" s="384"/>
      <c r="CM145" s="460">
        <v>2100</v>
      </c>
      <c r="CN145" s="361">
        <f t="shared" si="5"/>
        <v>2133.6</v>
      </c>
      <c r="CO145" s="434">
        <f t="shared" si="7"/>
        <v>326.7629855829959</v>
      </c>
    </row>
    <row r="146" spans="66:93">
      <c r="BN146" s="407"/>
      <c r="BQ146" s="407"/>
      <c r="BR146" s="330"/>
      <c r="BS146" s="348"/>
      <c r="BT146" s="330"/>
      <c r="BU146" s="348"/>
      <c r="BV146" s="409"/>
      <c r="BW146" s="384"/>
      <c r="BX146" s="384"/>
      <c r="BY146" s="384"/>
      <c r="BZ146" s="384"/>
      <c r="CA146" s="384"/>
      <c r="CH146" s="384"/>
      <c r="CM146" s="460">
        <v>2200</v>
      </c>
      <c r="CN146" s="361">
        <f t="shared" si="5"/>
        <v>2235.1999999999998</v>
      </c>
      <c r="CO146" s="434">
        <f t="shared" si="7"/>
        <v>342.3695759391897</v>
      </c>
    </row>
    <row r="147" spans="66:93">
      <c r="BN147" s="407"/>
      <c r="BO147" s="330"/>
      <c r="BP147" s="330"/>
      <c r="BQ147" s="483" t="s">
        <v>654</v>
      </c>
      <c r="BR147" s="484"/>
      <c r="BS147" s="488"/>
      <c r="BT147" s="484"/>
      <c r="BU147" s="488">
        <v>1.5</v>
      </c>
      <c r="BV147" s="489" t="s">
        <v>4</v>
      </c>
      <c r="BW147" s="384"/>
      <c r="BX147" s="384"/>
      <c r="BY147" s="384"/>
      <c r="BZ147" s="384"/>
      <c r="CA147" s="384"/>
      <c r="CH147" s="384"/>
      <c r="CM147" s="460">
        <v>2300</v>
      </c>
      <c r="CN147" s="361">
        <f t="shared" si="5"/>
        <v>2336.7999999999997</v>
      </c>
      <c r="CO147" s="434">
        <f t="shared" si="7"/>
        <v>357.97616629539374</v>
      </c>
    </row>
    <row r="148" spans="66:93">
      <c r="BN148" s="407"/>
      <c r="BO148" s="330"/>
      <c r="BP148" s="330"/>
      <c r="BQ148" s="483" t="s">
        <v>655</v>
      </c>
      <c r="BR148" s="484"/>
      <c r="BS148" s="488"/>
      <c r="BT148" s="484"/>
      <c r="BU148" s="488">
        <v>1.5</v>
      </c>
      <c r="BV148" s="489" t="s">
        <v>4</v>
      </c>
      <c r="BW148" s="384"/>
      <c r="CM148" s="460">
        <v>2400</v>
      </c>
      <c r="CN148" s="361">
        <f t="shared" si="5"/>
        <v>2438.3999999999996</v>
      </c>
      <c r="CO148" s="434">
        <f t="shared" si="7"/>
        <v>373.58275665160124</v>
      </c>
    </row>
    <row r="149" spans="66:93">
      <c r="BN149" s="407"/>
      <c r="BQ149" s="407"/>
      <c r="BR149" s="330"/>
      <c r="BS149" s="348"/>
      <c r="BT149" s="330"/>
      <c r="BU149" s="348"/>
      <c r="BV149" s="409"/>
      <c r="CM149" s="460">
        <v>2500</v>
      </c>
      <c r="CN149" s="361">
        <f t="shared" si="5"/>
        <v>2540</v>
      </c>
      <c r="CO149" s="434">
        <f t="shared" si="7"/>
        <v>389.18934700779505</v>
      </c>
    </row>
    <row r="150" spans="66:93" ht="12" customHeight="1">
      <c r="BN150" s="407"/>
      <c r="BO150" s="330"/>
      <c r="BP150" s="330"/>
      <c r="BQ150" s="407"/>
      <c r="BR150" s="330"/>
      <c r="BS150" s="348"/>
      <c r="BT150" s="330"/>
      <c r="BU150" s="348"/>
      <c r="BV150" s="409"/>
      <c r="CM150" s="460">
        <v>2800</v>
      </c>
      <c r="CN150" s="361">
        <f t="shared" si="5"/>
        <v>2844.7999999999997</v>
      </c>
      <c r="CO150" s="434">
        <f t="shared" si="7"/>
        <v>436.00911807641063</v>
      </c>
    </row>
    <row r="151" spans="66:93" ht="12" customHeight="1">
      <c r="BN151" s="407"/>
      <c r="BQ151" s="407"/>
      <c r="BR151" s="330"/>
      <c r="BS151" s="348"/>
      <c r="BT151" s="330"/>
      <c r="BU151" s="348"/>
      <c r="BV151" s="409"/>
      <c r="CB151" s="490"/>
      <c r="CM151" s="467">
        <v>3500</v>
      </c>
      <c r="CN151" s="479">
        <f t="shared" si="5"/>
        <v>3556</v>
      </c>
      <c r="CO151" s="469">
        <f t="shared" si="7"/>
        <v>545.25525056983565</v>
      </c>
    </row>
    <row r="152" spans="66:93" ht="12" customHeight="1">
      <c r="BN152" s="407"/>
      <c r="BQ152" s="407"/>
      <c r="BR152" s="330"/>
      <c r="BS152" s="348"/>
      <c r="BT152" s="330"/>
      <c r="BU152" s="348"/>
      <c r="BV152" s="409"/>
      <c r="CB152" s="490"/>
    </row>
    <row r="153" spans="66:93" ht="12" customHeight="1">
      <c r="BN153" s="407"/>
      <c r="BQ153" s="407"/>
      <c r="BR153" s="330"/>
      <c r="BS153" s="348"/>
      <c r="BT153" s="330"/>
      <c r="BU153" s="348"/>
      <c r="BV153" s="409"/>
      <c r="BZ153" s="398"/>
    </row>
    <row r="154" spans="66:93" ht="12" customHeight="1">
      <c r="BN154" s="407"/>
      <c r="BQ154" s="407"/>
      <c r="BR154" s="330"/>
      <c r="BS154" s="348"/>
      <c r="BT154" s="330"/>
      <c r="BU154" s="348"/>
      <c r="BV154" s="409"/>
      <c r="BZ154" s="398"/>
      <c r="CA154" s="490"/>
    </row>
    <row r="155" spans="66:93" ht="12" customHeight="1">
      <c r="BN155" s="407"/>
      <c r="BO155" s="330"/>
      <c r="BP155" s="330"/>
      <c r="BQ155" s="407"/>
      <c r="BR155" s="330"/>
      <c r="BS155" s="348"/>
      <c r="BT155" s="330"/>
      <c r="BU155" s="348"/>
      <c r="BV155" s="409"/>
      <c r="BZ155" s="398"/>
      <c r="CA155" s="490"/>
    </row>
    <row r="156" spans="66:93" ht="12" customHeight="1">
      <c r="BN156" s="407"/>
      <c r="BO156" s="330"/>
      <c r="BP156" s="330"/>
      <c r="BQ156" s="407"/>
      <c r="BR156" s="330"/>
      <c r="BS156" s="348"/>
      <c r="BT156" s="330"/>
      <c r="BU156" s="348"/>
      <c r="BV156" s="409"/>
      <c r="BZ156" s="398"/>
    </row>
    <row r="157" spans="66:93" ht="12" customHeight="1">
      <c r="BN157" s="483" t="s">
        <v>446</v>
      </c>
      <c r="BO157" s="330"/>
      <c r="BP157" s="330"/>
      <c r="BQ157" s="483" t="s">
        <v>656</v>
      </c>
      <c r="BR157" s="484"/>
      <c r="BS157" s="488"/>
      <c r="BT157" s="484"/>
      <c r="BU157" s="488">
        <v>1.3</v>
      </c>
      <c r="BV157" s="489"/>
      <c r="BZ157" s="398"/>
    </row>
    <row r="158" spans="66:93" ht="12" customHeight="1">
      <c r="BN158" s="491" t="s">
        <v>657</v>
      </c>
      <c r="BO158" s="484"/>
      <c r="BP158" s="492" t="s">
        <v>658</v>
      </c>
      <c r="BQ158" s="407"/>
      <c r="BR158" s="330"/>
      <c r="BS158" s="348"/>
      <c r="BT158" s="330"/>
      <c r="BU158" s="348"/>
      <c r="BV158" s="409"/>
      <c r="BZ158" s="398"/>
    </row>
    <row r="159" spans="66:93" ht="12" customHeight="1">
      <c r="BN159" s="493">
        <v>0</v>
      </c>
      <c r="BO159" s="494" t="s">
        <v>562</v>
      </c>
      <c r="BP159" s="492">
        <v>3</v>
      </c>
      <c r="BQ159" s="483" t="s">
        <v>659</v>
      </c>
      <c r="BR159" s="484"/>
      <c r="BS159" s="488"/>
      <c r="BT159" s="484"/>
      <c r="BU159" s="488">
        <v>1</v>
      </c>
      <c r="BV159" s="489"/>
    </row>
    <row r="160" spans="66:93" ht="12" customHeight="1">
      <c r="BN160" s="493">
        <v>1.2</v>
      </c>
      <c r="BO160" s="494" t="s">
        <v>538</v>
      </c>
      <c r="BP160" s="492">
        <v>3</v>
      </c>
      <c r="BQ160" s="483" t="s">
        <v>660</v>
      </c>
      <c r="BR160" s="484"/>
      <c r="BS160" s="488"/>
      <c r="BT160" s="484"/>
      <c r="BU160" s="488">
        <v>1.3</v>
      </c>
      <c r="BV160" s="489"/>
    </row>
    <row r="161" spans="64:78">
      <c r="BL161" s="495" t="s">
        <v>661</v>
      </c>
      <c r="BM161" s="401"/>
      <c r="BN161" s="493">
        <v>1.5</v>
      </c>
      <c r="BO161" s="494" t="s">
        <v>539</v>
      </c>
      <c r="BP161" s="492">
        <v>4</v>
      </c>
      <c r="BQ161" s="483" t="s">
        <v>662</v>
      </c>
      <c r="BR161" s="484"/>
      <c r="BS161" s="488"/>
      <c r="BT161" s="484"/>
      <c r="BU161" s="488">
        <v>1.5</v>
      </c>
      <c r="BV161" s="489"/>
    </row>
    <row r="162" spans="64:78">
      <c r="BL162" s="495" t="s">
        <v>663</v>
      </c>
      <c r="BM162" s="401"/>
      <c r="BN162" s="493">
        <v>2</v>
      </c>
      <c r="BO162" s="494" t="s">
        <v>542</v>
      </c>
      <c r="BP162" s="492">
        <v>4</v>
      </c>
      <c r="BQ162" s="483" t="s">
        <v>664</v>
      </c>
      <c r="BR162" s="484"/>
      <c r="BS162" s="488"/>
      <c r="BT162" s="484"/>
      <c r="BU162" s="488">
        <v>15</v>
      </c>
      <c r="BV162" s="489" t="s">
        <v>346</v>
      </c>
      <c r="BZ162" s="398"/>
    </row>
    <row r="163" spans="64:78">
      <c r="BL163" s="495" t="s">
        <v>665</v>
      </c>
      <c r="BM163" s="401"/>
      <c r="BN163" s="493">
        <v>4</v>
      </c>
      <c r="BO163" s="494" t="s">
        <v>548</v>
      </c>
      <c r="BP163" s="492">
        <v>6</v>
      </c>
      <c r="BQ163" s="407"/>
      <c r="BR163" s="330"/>
      <c r="BS163" s="348"/>
      <c r="BT163" s="330"/>
      <c r="BU163" s="348"/>
      <c r="BV163" s="409"/>
      <c r="BZ163" s="398"/>
    </row>
    <row r="164" spans="64:78">
      <c r="BL164" s="495" t="s">
        <v>666</v>
      </c>
      <c r="BM164" s="401"/>
      <c r="BN164" s="493">
        <v>4.0000001000000003</v>
      </c>
      <c r="BO164" s="494" t="s">
        <v>548</v>
      </c>
      <c r="BP164" s="492">
        <v>6</v>
      </c>
      <c r="BQ164" s="483" t="s">
        <v>667</v>
      </c>
      <c r="BR164" s="484"/>
      <c r="BS164" s="488"/>
      <c r="BT164" s="484"/>
      <c r="BU164" s="488">
        <v>15</v>
      </c>
      <c r="BV164" s="489" t="s">
        <v>346</v>
      </c>
    </row>
    <row r="165" spans="64:78" ht="12" customHeight="1">
      <c r="BN165" s="407"/>
      <c r="BO165" s="330"/>
      <c r="BP165" s="330"/>
      <c r="BQ165" s="483" t="s">
        <v>668</v>
      </c>
      <c r="BR165" s="484"/>
      <c r="BS165" s="488"/>
      <c r="BT165" s="484"/>
      <c r="BU165" s="488">
        <v>15</v>
      </c>
      <c r="BV165" s="489" t="s">
        <v>346</v>
      </c>
      <c r="BZ165" s="398"/>
    </row>
    <row r="166" spans="64:78">
      <c r="BN166" s="407"/>
      <c r="BO166" s="330"/>
      <c r="BP166" s="330"/>
      <c r="BQ166" s="483" t="s">
        <v>669</v>
      </c>
      <c r="BR166" s="484"/>
      <c r="BS166" s="488"/>
      <c r="BT166" s="484"/>
      <c r="BU166" s="488">
        <v>15</v>
      </c>
      <c r="BV166" s="489" t="s">
        <v>346</v>
      </c>
      <c r="BZ166" s="398"/>
    </row>
    <row r="167" spans="64:78">
      <c r="BN167" s="407"/>
      <c r="BO167" s="330"/>
      <c r="BP167" s="330"/>
      <c r="BQ167" s="483" t="s">
        <v>670</v>
      </c>
      <c r="BR167" s="484"/>
      <c r="BS167" s="488"/>
      <c r="BT167" s="484"/>
      <c r="BU167" s="488">
        <v>30</v>
      </c>
      <c r="BV167" s="489" t="s">
        <v>346</v>
      </c>
      <c r="BZ167" s="398"/>
    </row>
    <row r="168" spans="64:78">
      <c r="BN168" s="460"/>
      <c r="BO168" s="357"/>
      <c r="BP168" s="357"/>
      <c r="BQ168" s="483" t="s">
        <v>671</v>
      </c>
      <c r="BR168" s="484"/>
      <c r="BS168" s="488"/>
      <c r="BT168" s="484"/>
      <c r="BU168" s="488">
        <v>100</v>
      </c>
      <c r="BV168" s="489" t="s">
        <v>4</v>
      </c>
      <c r="BZ168" s="398"/>
    </row>
    <row r="169" spans="64:78">
      <c r="BN169" s="496"/>
      <c r="BO169" s="497"/>
      <c r="BP169" s="357"/>
      <c r="BQ169" s="483" t="s">
        <v>672</v>
      </c>
      <c r="BR169" s="484"/>
      <c r="BS169" s="488"/>
      <c r="BT169" s="484"/>
      <c r="BU169" s="488">
        <v>2</v>
      </c>
      <c r="BV169" s="489" t="s">
        <v>4</v>
      </c>
      <c r="BZ169" s="398"/>
    </row>
    <row r="170" spans="64:78">
      <c r="BN170" s="496"/>
      <c r="BO170" s="497"/>
      <c r="BP170" s="357"/>
      <c r="BQ170" s="407"/>
      <c r="BR170" s="330"/>
      <c r="BS170" s="348"/>
      <c r="BT170" s="330"/>
      <c r="BU170" s="348"/>
      <c r="BV170" s="409"/>
      <c r="BZ170" s="398"/>
    </row>
    <row r="171" spans="64:78">
      <c r="BN171" s="496"/>
      <c r="BO171" s="497"/>
      <c r="BP171" s="357"/>
      <c r="BQ171" s="407"/>
      <c r="BR171" s="330"/>
      <c r="BS171" s="348"/>
      <c r="BT171" s="330"/>
      <c r="BU171" s="348"/>
      <c r="BV171" s="409"/>
      <c r="BZ171" s="398"/>
    </row>
    <row r="172" spans="64:78">
      <c r="BN172" s="496"/>
      <c r="BO172" s="497"/>
      <c r="BP172" s="357"/>
      <c r="BQ172" s="483" t="s">
        <v>673</v>
      </c>
      <c r="BR172" s="484"/>
      <c r="BS172" s="488"/>
      <c r="BT172" s="484"/>
      <c r="BU172" s="488">
        <v>6</v>
      </c>
      <c r="BV172" s="489" t="s">
        <v>4</v>
      </c>
      <c r="BZ172" s="398"/>
    </row>
    <row r="173" spans="64:78">
      <c r="BN173" s="407"/>
      <c r="BO173" s="330"/>
      <c r="BP173" s="330"/>
      <c r="BQ173" s="483" t="s">
        <v>674</v>
      </c>
      <c r="BR173" s="484"/>
      <c r="BS173" s="488"/>
      <c r="BT173" s="484"/>
      <c r="BU173" s="488">
        <v>2</v>
      </c>
      <c r="BV173" s="489" t="s">
        <v>4</v>
      </c>
      <c r="BZ173" s="398"/>
    </row>
    <row r="174" spans="64:78">
      <c r="BN174" s="483"/>
      <c r="BO174" s="492" t="s">
        <v>675</v>
      </c>
      <c r="BP174" s="492" t="s">
        <v>676</v>
      </c>
      <c r="BQ174" s="483" t="s">
        <v>677</v>
      </c>
      <c r="BR174" s="484"/>
      <c r="BS174" s="488"/>
      <c r="BT174" s="484"/>
      <c r="BU174" s="488">
        <v>50</v>
      </c>
      <c r="BV174" s="489" t="s">
        <v>4</v>
      </c>
      <c r="BZ174" s="398"/>
    </row>
    <row r="175" spans="64:78">
      <c r="BN175" s="483" t="s">
        <v>533</v>
      </c>
      <c r="BO175" s="498">
        <v>0</v>
      </c>
      <c r="BP175" s="498">
        <v>0.3</v>
      </c>
      <c r="BQ175" s="483" t="s">
        <v>678</v>
      </c>
      <c r="BR175" s="484"/>
      <c r="BS175" s="488"/>
      <c r="BT175" s="484"/>
      <c r="BU175" s="499">
        <v>3</v>
      </c>
      <c r="BV175" s="489" t="s">
        <v>679</v>
      </c>
      <c r="BZ175" s="398"/>
    </row>
    <row r="176" spans="64:78">
      <c r="BN176" s="483" t="s">
        <v>536</v>
      </c>
      <c r="BO176" s="498">
        <v>0.05</v>
      </c>
      <c r="BP176" s="498">
        <v>0.3</v>
      </c>
      <c r="BQ176" s="483" t="s">
        <v>680</v>
      </c>
      <c r="BR176" s="484"/>
      <c r="BS176" s="488"/>
      <c r="BT176" s="484"/>
      <c r="BU176" s="488">
        <v>1</v>
      </c>
      <c r="BV176" s="489" t="s">
        <v>4</v>
      </c>
      <c r="BZ176" s="398"/>
    </row>
    <row r="177" spans="66:86">
      <c r="BN177" s="483" t="s">
        <v>681</v>
      </c>
      <c r="BO177" s="498">
        <f>$AZ$7</f>
        <v>0.1</v>
      </c>
      <c r="BP177" s="498">
        <v>0.2</v>
      </c>
      <c r="BQ177" s="483" t="s">
        <v>682</v>
      </c>
      <c r="BR177" s="484"/>
      <c r="BS177" s="488"/>
      <c r="BT177" s="484"/>
      <c r="BU177" s="488">
        <v>0.3</v>
      </c>
      <c r="BV177" s="489" t="s">
        <v>4</v>
      </c>
      <c r="BZ177" s="398"/>
    </row>
    <row r="178" spans="66:86">
      <c r="BN178" s="407"/>
      <c r="BO178" s="361"/>
      <c r="BP178" s="361"/>
      <c r="BQ178" s="407"/>
      <c r="BR178" s="330"/>
      <c r="BS178" s="348"/>
      <c r="BT178" s="330"/>
      <c r="BU178" s="348"/>
      <c r="BV178" s="409"/>
      <c r="BZ178" s="398"/>
    </row>
    <row r="179" spans="66:86">
      <c r="BN179" s="407"/>
      <c r="BO179" s="361"/>
      <c r="BP179" s="361"/>
      <c r="BQ179" s="407"/>
      <c r="BR179" s="330"/>
      <c r="BS179" s="348"/>
      <c r="BT179" s="330"/>
      <c r="BU179" s="348"/>
      <c r="BV179" s="409"/>
      <c r="BZ179" s="398"/>
    </row>
    <row r="180" spans="66:86">
      <c r="BN180" s="407"/>
      <c r="BQ180" s="407"/>
      <c r="BR180" s="330"/>
      <c r="BS180" s="348"/>
      <c r="BT180" s="330"/>
      <c r="BU180" s="348"/>
      <c r="BV180" s="409"/>
    </row>
    <row r="181" spans="66:86">
      <c r="BN181" s="407"/>
      <c r="BO181" s="330"/>
      <c r="BP181" s="330"/>
      <c r="BQ181" s="407"/>
      <c r="BR181" s="330"/>
      <c r="BS181" s="348"/>
      <c r="BT181" s="330"/>
      <c r="BU181" s="348"/>
      <c r="BV181" s="409"/>
      <c r="CH181" s="500"/>
    </row>
    <row r="182" spans="66:86">
      <c r="BN182" s="407"/>
      <c r="BO182" s="330"/>
      <c r="BP182" s="330"/>
      <c r="BQ182" s="407"/>
      <c r="BR182" s="330"/>
      <c r="BS182" s="348"/>
      <c r="BT182" s="330"/>
      <c r="BU182" s="348"/>
      <c r="BV182" s="409"/>
      <c r="CH182" s="500"/>
    </row>
    <row r="183" spans="66:86">
      <c r="BN183" s="483" t="s">
        <v>535</v>
      </c>
      <c r="BO183" s="484"/>
      <c r="BP183" s="484"/>
      <c r="BQ183" s="407"/>
      <c r="BR183" s="330"/>
      <c r="BS183" s="348"/>
      <c r="BT183" s="330"/>
      <c r="BU183" s="348"/>
      <c r="BV183" s="409"/>
      <c r="CD183" s="501"/>
      <c r="CH183" s="500"/>
    </row>
    <row r="184" spans="66:86">
      <c r="BN184" s="483" t="s">
        <v>683</v>
      </c>
      <c r="BO184" s="484"/>
      <c r="BP184" s="484"/>
      <c r="BQ184" s="407"/>
      <c r="BR184" s="330"/>
      <c r="BS184" s="348"/>
      <c r="BT184" s="330"/>
      <c r="BU184" s="348"/>
      <c r="BV184" s="409"/>
      <c r="CH184" s="500"/>
    </row>
    <row r="185" spans="66:86">
      <c r="BN185" s="483" t="s">
        <v>684</v>
      </c>
      <c r="BO185" s="484"/>
      <c r="BP185" s="484"/>
      <c r="BQ185" s="407"/>
      <c r="BR185" s="330"/>
      <c r="BS185" s="348"/>
      <c r="BT185" s="330"/>
      <c r="BU185" s="348"/>
      <c r="BV185" s="409"/>
      <c r="BX185" s="372"/>
      <c r="BY185" s="384"/>
      <c r="CD185" s="501"/>
      <c r="CE185" s="372"/>
      <c r="CF185" s="384"/>
      <c r="CG185" s="501"/>
      <c r="CH185" s="500"/>
    </row>
    <row r="186" spans="66:86">
      <c r="BN186" s="407"/>
      <c r="BO186" s="330"/>
      <c r="BP186" s="330"/>
      <c r="BQ186" s="407"/>
      <c r="BR186" s="330"/>
      <c r="BS186" s="348"/>
      <c r="BT186" s="330"/>
      <c r="BU186" s="348"/>
      <c r="BV186" s="409"/>
      <c r="BX186" s="372"/>
      <c r="BY186" s="384"/>
      <c r="CE186" s="372"/>
      <c r="CF186" s="384"/>
    </row>
    <row r="187" spans="66:86">
      <c r="BN187" s="407"/>
      <c r="BO187" s="330"/>
      <c r="BP187" s="330"/>
      <c r="BQ187" s="407"/>
      <c r="BR187" s="330"/>
      <c r="BS187" s="348"/>
      <c r="BT187" s="330"/>
      <c r="BU187" s="348"/>
      <c r="BV187" s="409"/>
      <c r="CD187" s="372"/>
      <c r="CE187" s="500"/>
      <c r="CF187" s="500"/>
      <c r="CG187" s="502"/>
      <c r="CH187" s="363"/>
    </row>
    <row r="188" spans="66:86">
      <c r="BN188" s="483" t="s">
        <v>534</v>
      </c>
      <c r="BO188" s="484"/>
      <c r="BP188" s="484"/>
      <c r="BQ188" s="407"/>
      <c r="BR188" s="330"/>
      <c r="BS188" s="348"/>
      <c r="BT188" s="330"/>
      <c r="BU188" s="348"/>
      <c r="BV188" s="409"/>
      <c r="BY188" s="379"/>
      <c r="CD188" s="372"/>
      <c r="CE188" s="500"/>
      <c r="CF188" s="500"/>
      <c r="CG188" s="502"/>
      <c r="CH188" s="363"/>
    </row>
    <row r="189" spans="66:86">
      <c r="BN189" s="483" t="s">
        <v>685</v>
      </c>
      <c r="BO189" s="484"/>
      <c r="BP189" s="484"/>
      <c r="BQ189" s="407"/>
      <c r="BR189" s="330"/>
      <c r="BS189" s="348"/>
      <c r="BT189" s="330"/>
      <c r="BU189" s="348"/>
      <c r="BV189" s="409"/>
      <c r="CD189" s="372"/>
      <c r="CE189" s="500"/>
      <c r="CF189" s="500"/>
      <c r="CG189" s="502"/>
    </row>
    <row r="190" spans="66:86">
      <c r="BN190" s="407"/>
      <c r="BO190" s="330"/>
      <c r="BP190" s="330"/>
      <c r="BQ190" s="407"/>
      <c r="BR190" s="330"/>
      <c r="BS190" s="348"/>
      <c r="BT190" s="330"/>
      <c r="BU190" s="348"/>
      <c r="BV190" s="409"/>
      <c r="CE190" s="500"/>
      <c r="CF190" s="500"/>
      <c r="CG190" s="500"/>
      <c r="CH190" s="363"/>
    </row>
    <row r="191" spans="66:86">
      <c r="BN191" s="407"/>
      <c r="BO191" s="330"/>
      <c r="BP191" s="330"/>
      <c r="BQ191" s="407"/>
      <c r="BR191" s="330"/>
      <c r="BS191" s="348"/>
      <c r="BT191" s="330"/>
      <c r="BU191" s="348"/>
      <c r="BV191" s="409"/>
      <c r="CF191" s="500"/>
      <c r="CG191" s="500"/>
      <c r="CH191" s="500"/>
    </row>
    <row r="192" spans="66:86">
      <c r="BN192" s="407"/>
      <c r="BO192" s="330"/>
      <c r="BP192" s="330"/>
      <c r="BQ192" s="407"/>
      <c r="BR192" s="330"/>
      <c r="BS192" s="348"/>
      <c r="BT192" s="330"/>
      <c r="BU192" s="348"/>
      <c r="BV192" s="409"/>
    </row>
    <row r="193" spans="66:74">
      <c r="BN193" s="407"/>
      <c r="BO193" s="330"/>
      <c r="BP193" s="330"/>
      <c r="BQ193" s="407"/>
      <c r="BR193" s="330"/>
      <c r="BS193" s="348"/>
      <c r="BT193" s="330"/>
      <c r="BU193" s="348"/>
      <c r="BV193" s="409"/>
    </row>
    <row r="194" spans="66:74">
      <c r="BN194" s="407"/>
      <c r="BO194" s="330"/>
      <c r="BP194" s="330"/>
      <c r="BQ194" s="407"/>
      <c r="BR194" s="330"/>
      <c r="BS194" s="348"/>
      <c r="BT194" s="330"/>
      <c r="BU194" s="348"/>
      <c r="BV194" s="409"/>
    </row>
    <row r="195" spans="66:74">
      <c r="BN195" s="407"/>
      <c r="BO195" s="330"/>
      <c r="BP195" s="330"/>
      <c r="BQ195" s="407"/>
      <c r="BR195" s="330"/>
      <c r="BS195" s="348"/>
      <c r="BT195" s="330"/>
      <c r="BU195" s="348"/>
      <c r="BV195" s="409"/>
    </row>
    <row r="196" spans="66:74">
      <c r="BN196" s="407"/>
      <c r="BO196" s="330"/>
      <c r="BP196" s="361"/>
      <c r="BQ196" s="407"/>
      <c r="BR196" s="330"/>
      <c r="BS196" s="348"/>
      <c r="BT196" s="330"/>
      <c r="BU196" s="348"/>
      <c r="BV196" s="409"/>
    </row>
    <row r="197" spans="66:74">
      <c r="BN197" s="407"/>
      <c r="BO197" s="330"/>
      <c r="BP197" s="361"/>
      <c r="BQ197" s="460"/>
      <c r="BR197" s="330"/>
      <c r="BS197" s="330"/>
      <c r="BT197" s="348"/>
      <c r="BU197" s="330"/>
      <c r="BV197" s="409"/>
    </row>
    <row r="198" spans="66:74">
      <c r="BN198" s="407"/>
      <c r="BO198" s="330"/>
      <c r="BP198" s="361"/>
      <c r="BQ198" s="460"/>
      <c r="BR198" s="330"/>
      <c r="BS198" s="330"/>
      <c r="BT198" s="348"/>
      <c r="BU198" s="330"/>
      <c r="BV198" s="409"/>
    </row>
    <row r="199" spans="66:74">
      <c r="BN199" s="407"/>
      <c r="BO199" s="330"/>
      <c r="BP199" s="361"/>
      <c r="BQ199" s="460"/>
      <c r="BR199" s="330"/>
      <c r="BS199" s="330"/>
      <c r="BT199" s="348"/>
      <c r="BU199" s="330"/>
      <c r="BV199" s="409"/>
    </row>
    <row r="200" spans="66:74">
      <c r="BN200" s="407"/>
      <c r="BO200" s="330"/>
      <c r="BP200" s="361"/>
      <c r="BQ200" s="460"/>
      <c r="BR200" s="330"/>
      <c r="BS200" s="330"/>
      <c r="BT200" s="348"/>
      <c r="BU200" s="330"/>
      <c r="BV200" s="409"/>
    </row>
    <row r="201" spans="66:74">
      <c r="BN201" s="503"/>
      <c r="BO201" s="504"/>
      <c r="BP201" s="504"/>
      <c r="BQ201" s="467"/>
      <c r="BR201" s="504"/>
      <c r="BS201" s="504"/>
      <c r="BT201" s="505"/>
      <c r="BU201" s="504"/>
      <c r="BV201" s="506"/>
    </row>
    <row r="202" spans="66:74">
      <c r="BQ202" s="320"/>
      <c r="BT202" s="363"/>
    </row>
    <row r="203" spans="66:74">
      <c r="BQ203" s="320"/>
      <c r="BT203" s="363"/>
      <c r="BV203" s="330"/>
    </row>
    <row r="204" spans="66:74">
      <c r="BV204" s="507"/>
    </row>
    <row r="207" spans="66:74">
      <c r="BQ207" s="320"/>
      <c r="BU207" s="320"/>
    </row>
    <row r="208" spans="66:74">
      <c r="BO208" s="384"/>
      <c r="BQ208" s="320"/>
      <c r="BS208" s="384"/>
      <c r="BU208" s="320"/>
      <c r="BV208" s="330"/>
    </row>
    <row r="209" spans="66:74">
      <c r="BN209" s="320"/>
      <c r="BO209" s="384"/>
      <c r="BP209" s="320"/>
      <c r="BQ209" s="320"/>
      <c r="BR209" s="320"/>
      <c r="BS209" s="384"/>
      <c r="BT209" s="320"/>
      <c r="BU209" s="320"/>
      <c r="BV209" s="330"/>
    </row>
    <row r="210" spans="66:74">
      <c r="BN210" s="384"/>
      <c r="BO210" s="384"/>
      <c r="BP210" s="320"/>
      <c r="BQ210" s="320"/>
      <c r="BR210" s="384"/>
      <c r="BS210" s="384"/>
      <c r="BT210" s="320"/>
      <c r="BU210" s="320"/>
      <c r="BV210" s="330"/>
    </row>
    <row r="211" spans="66:74">
      <c r="BN211" s="384"/>
      <c r="BO211" s="384"/>
      <c r="BP211" s="320"/>
      <c r="BQ211" s="320"/>
      <c r="BR211" s="384"/>
      <c r="BS211" s="384"/>
      <c r="BT211" s="320"/>
      <c r="BU211" s="320"/>
      <c r="BV211" s="330"/>
    </row>
    <row r="212" spans="66:74">
      <c r="BN212" s="384"/>
      <c r="BO212" s="384"/>
      <c r="BP212" s="320"/>
      <c r="BQ212" s="320"/>
      <c r="BR212" s="384"/>
      <c r="BS212" s="384"/>
      <c r="BT212" s="320"/>
      <c r="BU212" s="320"/>
      <c r="BV212" s="330"/>
    </row>
    <row r="213" spans="66:74">
      <c r="BN213" s="384"/>
      <c r="BO213" s="384"/>
      <c r="BP213" s="320"/>
      <c r="BQ213" s="320"/>
      <c r="BR213" s="384"/>
      <c r="BS213" s="384"/>
      <c r="BT213" s="320"/>
      <c r="BU213" s="320"/>
      <c r="BV213" s="330"/>
    </row>
    <row r="214" spans="66:74">
      <c r="BN214" s="384"/>
      <c r="BO214" s="384"/>
      <c r="BP214" s="320"/>
      <c r="BQ214" s="320"/>
      <c r="BR214" s="384"/>
      <c r="BS214" s="384"/>
      <c r="BT214" s="320"/>
      <c r="BU214" s="320"/>
      <c r="BV214" s="330"/>
    </row>
    <row r="215" spans="66:74">
      <c r="BN215" s="384"/>
      <c r="BO215" s="384"/>
      <c r="BP215" s="320"/>
      <c r="BQ215" s="320"/>
      <c r="BR215" s="384"/>
      <c r="BS215" s="384"/>
      <c r="BT215" s="320"/>
      <c r="BU215" s="320"/>
      <c r="BV215" s="330"/>
    </row>
    <row r="216" spans="66:74">
      <c r="BN216" s="384"/>
      <c r="BO216" s="384"/>
      <c r="BP216" s="320"/>
      <c r="BQ216" s="320"/>
      <c r="BR216" s="384"/>
      <c r="BS216" s="384"/>
      <c r="BT216" s="320"/>
      <c r="BU216" s="320"/>
      <c r="BV216" s="330"/>
    </row>
    <row r="217" spans="66:74">
      <c r="BN217" s="384"/>
      <c r="BO217" s="384"/>
      <c r="BP217" s="320"/>
      <c r="BQ217" s="320"/>
      <c r="BR217" s="384"/>
      <c r="BS217" s="384"/>
      <c r="BT217" s="320"/>
      <c r="BU217" s="320"/>
      <c r="BV217" s="330"/>
    </row>
    <row r="218" spans="66:74">
      <c r="BN218" s="384"/>
      <c r="BO218" s="384"/>
      <c r="BP218" s="320"/>
      <c r="BQ218" s="320"/>
      <c r="BR218" s="384"/>
      <c r="BS218" s="384"/>
      <c r="BT218" s="320"/>
      <c r="BU218" s="320"/>
    </row>
    <row r="219" spans="66:74">
      <c r="BN219" s="384"/>
      <c r="BO219" s="384"/>
      <c r="BP219" s="320"/>
      <c r="BQ219" s="320"/>
      <c r="BR219" s="384"/>
      <c r="BS219" s="384"/>
      <c r="BT219" s="320"/>
      <c r="BU219" s="320"/>
    </row>
    <row r="220" spans="66:74">
      <c r="BN220" s="384"/>
      <c r="BO220" s="384"/>
      <c r="BP220" s="320"/>
      <c r="BQ220" s="320"/>
      <c r="BR220" s="384"/>
      <c r="BS220" s="384"/>
      <c r="BT220" s="320"/>
      <c r="BU220" s="320"/>
    </row>
    <row r="221" spans="66:74">
      <c r="BN221" s="384"/>
      <c r="BO221" s="384"/>
      <c r="BP221" s="320"/>
      <c r="BQ221" s="320"/>
      <c r="BR221" s="384"/>
      <c r="BS221" s="384"/>
      <c r="BT221" s="320"/>
      <c r="BU221" s="320"/>
    </row>
    <row r="222" spans="66:74">
      <c r="BN222" s="384"/>
      <c r="BO222" s="384"/>
      <c r="BP222" s="320"/>
      <c r="BQ222" s="320"/>
      <c r="BR222" s="384"/>
      <c r="BS222" s="384"/>
      <c r="BT222" s="320"/>
      <c r="BU222" s="320"/>
    </row>
    <row r="223" spans="66:74">
      <c r="BN223" s="384"/>
      <c r="BO223" s="384"/>
      <c r="BP223" s="320"/>
      <c r="BQ223" s="320"/>
      <c r="BR223" s="384"/>
      <c r="BS223" s="384"/>
      <c r="BT223" s="320"/>
      <c r="BU223" s="320"/>
    </row>
    <row r="224" spans="66:74">
      <c r="BN224" s="384"/>
      <c r="BO224" s="384"/>
      <c r="BP224" s="320"/>
      <c r="BQ224" s="320"/>
      <c r="BR224" s="384"/>
      <c r="BS224" s="384"/>
      <c r="BT224" s="320"/>
      <c r="BU224" s="320"/>
    </row>
    <row r="225" spans="66:73">
      <c r="BN225" s="384"/>
      <c r="BO225" s="384"/>
      <c r="BP225" s="320"/>
      <c r="BQ225" s="320"/>
      <c r="BR225" s="384"/>
      <c r="BS225" s="384"/>
      <c r="BT225" s="320"/>
      <c r="BU225" s="320"/>
    </row>
    <row r="226" spans="66:73">
      <c r="BN226" s="384"/>
      <c r="BO226" s="384"/>
      <c r="BP226" s="320"/>
      <c r="BQ226" s="320"/>
    </row>
    <row r="227" spans="66:73">
      <c r="BN227" s="384"/>
      <c r="BO227" s="384"/>
      <c r="BP227" s="320"/>
      <c r="BQ227" s="320"/>
    </row>
    <row r="228" spans="66:73">
      <c r="BN228" s="384"/>
      <c r="BO228" s="384"/>
      <c r="BP228" s="320"/>
      <c r="BQ228" s="320"/>
    </row>
    <row r="229" spans="66:73">
      <c r="BN229" s="384"/>
      <c r="BO229" s="384"/>
      <c r="BP229" s="320"/>
      <c r="BQ229" s="320"/>
    </row>
    <row r="230" spans="66:73">
      <c r="BN230" s="384"/>
      <c r="BO230" s="384"/>
      <c r="BP230" s="320"/>
      <c r="BQ230" s="320"/>
    </row>
    <row r="231" spans="66:73">
      <c r="BN231" s="384"/>
      <c r="BO231" s="384"/>
      <c r="BP231" s="320"/>
      <c r="BQ231" s="320"/>
    </row>
    <row r="232" spans="66:73">
      <c r="BN232" s="384"/>
      <c r="BO232" s="384"/>
      <c r="BP232" s="320"/>
      <c r="BQ232" s="320"/>
    </row>
    <row r="233" spans="66:73">
      <c r="BN233" s="384"/>
      <c r="BO233" s="384"/>
      <c r="BP233" s="320"/>
      <c r="BQ233" s="320"/>
    </row>
    <row r="234" spans="66:73">
      <c r="BN234" s="384"/>
      <c r="BO234" s="384"/>
      <c r="BP234" s="320"/>
      <c r="BQ234" s="320"/>
      <c r="BT234" s="363"/>
    </row>
    <row r="235" spans="66:73">
      <c r="BN235" s="384"/>
      <c r="BO235" s="384"/>
      <c r="BP235" s="320"/>
      <c r="BT235" s="363"/>
    </row>
    <row r="236" spans="66:73">
      <c r="BN236" s="384"/>
      <c r="BO236" s="384"/>
      <c r="BP236" s="320"/>
      <c r="BS236" s="363"/>
    </row>
    <row r="237" spans="66:73">
      <c r="BP237" s="320"/>
      <c r="BQ237" s="320"/>
    </row>
    <row r="238" spans="66:73">
      <c r="BQ238" s="320"/>
    </row>
    <row r="239" spans="66:73">
      <c r="BP239" s="320"/>
    </row>
    <row r="240" spans="66:73">
      <c r="BN240" s="384"/>
      <c r="BO240" s="384"/>
      <c r="BP240" s="320"/>
    </row>
    <row r="241" spans="66:69">
      <c r="BN241" s="384"/>
      <c r="BO241" s="384"/>
      <c r="BP241" s="320"/>
    </row>
    <row r="242" spans="66:69">
      <c r="BQ242" s="320"/>
    </row>
    <row r="243" spans="66:69">
      <c r="BO243" s="384"/>
      <c r="BQ243" s="320"/>
    </row>
    <row r="244" spans="66:69">
      <c r="BN244" s="320"/>
      <c r="BO244" s="384"/>
      <c r="BP244" s="320"/>
      <c r="BQ244" s="320"/>
    </row>
    <row r="245" spans="66:69">
      <c r="BN245" s="384"/>
      <c r="BO245" s="384"/>
      <c r="BP245" s="320"/>
      <c r="BQ245" s="320"/>
    </row>
    <row r="246" spans="66:69">
      <c r="BN246" s="384"/>
      <c r="BO246" s="384"/>
      <c r="BP246" s="320"/>
      <c r="BQ246" s="320"/>
    </row>
    <row r="247" spans="66:69">
      <c r="BN247" s="384"/>
      <c r="BO247" s="384"/>
      <c r="BP247" s="320"/>
      <c r="BQ247" s="320"/>
    </row>
    <row r="248" spans="66:69">
      <c r="BN248" s="384"/>
      <c r="BO248" s="384"/>
      <c r="BP248" s="320"/>
      <c r="BQ248" s="320"/>
    </row>
    <row r="249" spans="66:69">
      <c r="BN249" s="384"/>
      <c r="BO249" s="384"/>
      <c r="BP249" s="320"/>
      <c r="BQ249" s="320"/>
    </row>
    <row r="250" spans="66:69">
      <c r="BN250" s="384"/>
      <c r="BO250" s="384"/>
      <c r="BP250" s="320"/>
      <c r="BQ250" s="320"/>
    </row>
    <row r="251" spans="66:69">
      <c r="BN251" s="384"/>
      <c r="BO251" s="384"/>
      <c r="BP251" s="320"/>
      <c r="BQ251" s="320"/>
    </row>
    <row r="252" spans="66:69">
      <c r="BN252" s="384"/>
      <c r="BO252" s="384"/>
      <c r="BP252" s="320"/>
      <c r="BQ252" s="320"/>
    </row>
    <row r="253" spans="66:69">
      <c r="BN253" s="384"/>
      <c r="BO253" s="384"/>
      <c r="BP253" s="320"/>
      <c r="BQ253" s="320"/>
    </row>
    <row r="254" spans="66:69">
      <c r="BN254" s="384"/>
      <c r="BO254" s="384"/>
      <c r="BP254" s="320"/>
      <c r="BQ254" s="320"/>
    </row>
    <row r="255" spans="66:69">
      <c r="BN255" s="384"/>
      <c r="BO255" s="384"/>
      <c r="BP255" s="320"/>
      <c r="BQ255" s="320"/>
    </row>
    <row r="256" spans="66:69">
      <c r="BN256" s="384"/>
      <c r="BO256" s="384"/>
      <c r="BP256" s="320"/>
      <c r="BQ256" s="320"/>
    </row>
    <row r="257" spans="66:69">
      <c r="BN257" s="384"/>
      <c r="BO257" s="384"/>
      <c r="BP257" s="320"/>
      <c r="BQ257" s="320"/>
    </row>
    <row r="258" spans="66:69">
      <c r="BN258" s="384"/>
      <c r="BO258" s="384"/>
      <c r="BP258" s="320"/>
      <c r="BQ258" s="320"/>
    </row>
    <row r="259" spans="66:69">
      <c r="BN259" s="384"/>
      <c r="BO259" s="384"/>
      <c r="BP259" s="320"/>
      <c r="BQ259" s="320"/>
    </row>
    <row r="260" spans="66:69">
      <c r="BN260" s="384"/>
      <c r="BO260" s="384"/>
      <c r="BP260" s="320"/>
      <c r="BQ260" s="320"/>
    </row>
    <row r="261" spans="66:69">
      <c r="BN261" s="384"/>
      <c r="BO261" s="384"/>
      <c r="BP261" s="320"/>
      <c r="BQ261" s="320"/>
    </row>
    <row r="262" spans="66:69">
      <c r="BN262" s="384"/>
      <c r="BO262" s="384"/>
      <c r="BP262" s="320"/>
      <c r="BQ262" s="320"/>
    </row>
    <row r="263" spans="66:69">
      <c r="BN263" s="384"/>
      <c r="BO263" s="384"/>
      <c r="BP263" s="320"/>
      <c r="BQ263" s="320"/>
    </row>
    <row r="264" spans="66:69">
      <c r="BN264" s="384"/>
      <c r="BO264" s="384"/>
      <c r="BP264" s="320"/>
      <c r="BQ264" s="320"/>
    </row>
    <row r="265" spans="66:69">
      <c r="BN265" s="384"/>
      <c r="BO265" s="384"/>
      <c r="BP265" s="320"/>
      <c r="BQ265" s="320"/>
    </row>
    <row r="266" spans="66:69">
      <c r="BN266" s="384"/>
      <c r="BO266" s="384"/>
      <c r="BP266" s="320"/>
      <c r="BQ266" s="320"/>
    </row>
    <row r="267" spans="66:69">
      <c r="BN267" s="384"/>
      <c r="BO267" s="384"/>
      <c r="BP267" s="320"/>
      <c r="BQ267" s="320"/>
    </row>
    <row r="268" spans="66:69">
      <c r="BN268" s="384"/>
      <c r="BO268" s="384"/>
      <c r="BP268" s="320"/>
      <c r="BQ268" s="320"/>
    </row>
    <row r="269" spans="66:69">
      <c r="BN269" s="384"/>
      <c r="BO269" s="384"/>
      <c r="BP269" s="320"/>
      <c r="BQ269" s="320"/>
    </row>
    <row r="270" spans="66:69">
      <c r="BN270" s="384"/>
      <c r="BO270" s="384"/>
      <c r="BP270" s="320"/>
    </row>
    <row r="271" spans="66:69">
      <c r="BN271" s="384"/>
      <c r="BO271" s="384"/>
      <c r="BP271" s="320"/>
    </row>
    <row r="272" spans="66:69">
      <c r="BP272" s="320"/>
    </row>
  </sheetData>
  <dataConsolidate/>
  <mergeCells count="147">
    <mergeCell ref="A5:B8"/>
    <mergeCell ref="C5:D8"/>
    <mergeCell ref="E5:E7"/>
    <mergeCell ref="F5:F8"/>
    <mergeCell ref="G5:G8"/>
    <mergeCell ref="H5:H8"/>
    <mergeCell ref="I5:I7"/>
    <mergeCell ref="J5:J6"/>
    <mergeCell ref="Q5:Q7"/>
    <mergeCell ref="N5:N7"/>
    <mergeCell ref="O5:O7"/>
    <mergeCell ref="P5:P7"/>
    <mergeCell ref="E4:AE4"/>
    <mergeCell ref="AF4:BL4"/>
    <mergeCell ref="R5:R8"/>
    <mergeCell ref="S5:S8"/>
    <mergeCell ref="T5:Y5"/>
    <mergeCell ref="Z5:AE5"/>
    <mergeCell ref="AF5:AG5"/>
    <mergeCell ref="Y6:Y7"/>
    <mergeCell ref="Z6:Z7"/>
    <mergeCell ref="AZ5:AZ6"/>
    <mergeCell ref="BA5:BK5"/>
    <mergeCell ref="BL5:BL7"/>
    <mergeCell ref="AQ5:AR5"/>
    <mergeCell ref="AS5:AS7"/>
    <mergeCell ref="AH9:AH11"/>
    <mergeCell ref="A13:C13"/>
    <mergeCell ref="AM5:AO5"/>
    <mergeCell ref="AP5:AP7"/>
    <mergeCell ref="AI6:AI7"/>
    <mergeCell ref="AJ6:AJ7"/>
    <mergeCell ref="AM6:AM7"/>
    <mergeCell ref="AN6:AN7"/>
    <mergeCell ref="AE6:AE7"/>
    <mergeCell ref="AF6:AF8"/>
    <mergeCell ref="AG6:AG7"/>
    <mergeCell ref="AH6:AH8"/>
    <mergeCell ref="AA6:AA7"/>
    <mergeCell ref="AB6:AB7"/>
    <mergeCell ref="T6:T7"/>
    <mergeCell ref="U6:U7"/>
    <mergeCell ref="V6:V7"/>
    <mergeCell ref="W6:W7"/>
    <mergeCell ref="X6:X7"/>
    <mergeCell ref="AI5:AJ5"/>
    <mergeCell ref="AL5:AL7"/>
    <mergeCell ref="K5:K6"/>
    <mergeCell ref="L5:L6"/>
    <mergeCell ref="M5:M7"/>
    <mergeCell ref="A14:C14"/>
    <mergeCell ref="F14:J14"/>
    <mergeCell ref="A15:C15"/>
    <mergeCell ref="A16:C16"/>
    <mergeCell ref="BG6:BG7"/>
    <mergeCell ref="BJ6:BJ7"/>
    <mergeCell ref="J7:J8"/>
    <mergeCell ref="K7:K8"/>
    <mergeCell ref="L7:L8"/>
    <mergeCell ref="F9:F11"/>
    <mergeCell ref="G9:G11"/>
    <mergeCell ref="H9:H11"/>
    <mergeCell ref="R9:R11"/>
    <mergeCell ref="S9:S11"/>
    <mergeCell ref="AO6:AO7"/>
    <mergeCell ref="AQ6:AQ7"/>
    <mergeCell ref="AR6:AR7"/>
    <mergeCell ref="BA6:BA7"/>
    <mergeCell ref="BC6:BC7"/>
    <mergeCell ref="BE6:BE7"/>
    <mergeCell ref="AC6:AC7"/>
    <mergeCell ref="AD6:AD7"/>
    <mergeCell ref="AT5:AT6"/>
    <mergeCell ref="AU5:AY5"/>
    <mergeCell ref="BN28:BS29"/>
    <mergeCell ref="BU28:BZ29"/>
    <mergeCell ref="CB28:CG29"/>
    <mergeCell ref="BN30:BS30"/>
    <mergeCell ref="BU30:BZ30"/>
    <mergeCell ref="CB30:CG30"/>
    <mergeCell ref="A17:C17"/>
    <mergeCell ref="A18:C18"/>
    <mergeCell ref="A19:C19"/>
    <mergeCell ref="A20:C20"/>
    <mergeCell ref="A21:C21"/>
    <mergeCell ref="A22:C22"/>
    <mergeCell ref="BW111:BZ111"/>
    <mergeCell ref="CB111:CG111"/>
    <mergeCell ref="BV32:BV34"/>
    <mergeCell ref="BW32:BW34"/>
    <mergeCell ref="BX32:BX34"/>
    <mergeCell ref="BY32:BY34"/>
    <mergeCell ref="BZ32:BZ34"/>
    <mergeCell ref="CB32:CB34"/>
    <mergeCell ref="BN31:BS31"/>
    <mergeCell ref="BU31:BZ31"/>
    <mergeCell ref="CB31:CG31"/>
    <mergeCell ref="BN32:BN34"/>
    <mergeCell ref="BO32:BO34"/>
    <mergeCell ref="BP32:BP34"/>
    <mergeCell ref="BQ32:BQ34"/>
    <mergeCell ref="BR32:BR34"/>
    <mergeCell ref="BS32:BS34"/>
    <mergeCell ref="BU32:BU34"/>
    <mergeCell ref="CH111:CK111"/>
    <mergeCell ref="CP111:CT111"/>
    <mergeCell ref="CU111:CY111"/>
    <mergeCell ref="CZ111:DD111"/>
    <mergeCell ref="DE111:DI111"/>
    <mergeCell ref="DJ111:DM111"/>
    <mergeCell ref="CC32:CC34"/>
    <mergeCell ref="CD32:CD34"/>
    <mergeCell ref="CE32:CE34"/>
    <mergeCell ref="CF32:CF34"/>
    <mergeCell ref="CG32:CG34"/>
    <mergeCell ref="DE113:DI113"/>
    <mergeCell ref="DJ113:DM113"/>
    <mergeCell ref="DN113:DQ113"/>
    <mergeCell ref="BJ123:BM123"/>
    <mergeCell ref="BW112:DQ112"/>
    <mergeCell ref="BW113:BX113"/>
    <mergeCell ref="CB113:CD113"/>
    <mergeCell ref="CE113:CE114"/>
    <mergeCell ref="CF113:CF114"/>
    <mergeCell ref="CG113:CG114"/>
    <mergeCell ref="CH113:CJ113"/>
    <mergeCell ref="CK113:CK114"/>
    <mergeCell ref="CL113:CL114"/>
    <mergeCell ref="CP113:CQ113"/>
    <mergeCell ref="BJ124:BM124"/>
    <mergeCell ref="BD125:BE125"/>
    <mergeCell ref="BF125:BM125"/>
    <mergeCell ref="BD126:BE126"/>
    <mergeCell ref="BF126:BM126"/>
    <mergeCell ref="BD127:BE127"/>
    <mergeCell ref="BF127:BM127"/>
    <mergeCell ref="CU113:CY113"/>
    <mergeCell ref="CZ113:DD113"/>
    <mergeCell ref="BD131:BE131"/>
    <mergeCell ref="BF131:BM131"/>
    <mergeCell ref="BJ136:BM136"/>
    <mergeCell ref="BD128:BE128"/>
    <mergeCell ref="BF128:BM128"/>
    <mergeCell ref="BD129:BE129"/>
    <mergeCell ref="BF129:BM129"/>
    <mergeCell ref="BD130:BE130"/>
    <mergeCell ref="BF130:BM130"/>
  </mergeCells>
  <conditionalFormatting sqref="H12:I12 AS23 BC22:BD23 BG22:BH23 G20:J23 F23 J12:J13 K20:L22 K23:AO23 AQ23 F12:G13 AR22:AR23 N15:N22 AT22:AU23 AU21 AZ20:AZ21 AZ16:AZ18 AZ22:BA23 BJ22:BK23 G15:G19 I15:L19 AV21:AY23 BI21:BI23 BC14:BD17 BB14:BB23 BE14:BF23 R12:BK12 AU14:AU19 R14:AT14 BG14:BH17 BJ14:BK17 BI14:BI16 AX14:AY16 AV14:AW15 AZ14:BA15 G9:I9 A9:E9 A11:E12 A10:D10 G10:H10 G11:I11 L9:BL11 A15 P15:AJ21 P22:AO22 AP17:AP23 AO15:AO16 E16:E18 D13:E13 D15:E15 E22 K12:Q14 S13:BL13">
    <cfRule type="cellIs" dxfId="25" priority="25" operator="lessThan">
      <formula>0</formula>
    </cfRule>
  </conditionalFormatting>
  <conditionalFormatting sqref="AK10">
    <cfRule type="cellIs" dxfId="24" priority="24" operator="lessThan">
      <formula>0</formula>
    </cfRule>
  </conditionalFormatting>
  <conditionalFormatting sqref="AK10">
    <cfRule type="cellIs" dxfId="23" priority="23" operator="lessThan">
      <formula>0</formula>
    </cfRule>
  </conditionalFormatting>
  <conditionalFormatting sqref="AK10">
    <cfRule type="cellIs" dxfId="22" priority="22" operator="lessThan">
      <formula>0</formula>
    </cfRule>
  </conditionalFormatting>
  <conditionalFormatting sqref="AK10">
    <cfRule type="cellIs" dxfId="21" priority="21" operator="lessThan">
      <formula>0</formula>
    </cfRule>
  </conditionalFormatting>
  <conditionalFormatting sqref="E10">
    <cfRule type="cellIs" dxfId="20" priority="20" operator="lessThan">
      <formula>0</formula>
    </cfRule>
  </conditionalFormatting>
  <conditionalFormatting sqref="I10">
    <cfRule type="cellIs" dxfId="19" priority="19" operator="lessThan">
      <formula>0</formula>
    </cfRule>
  </conditionalFormatting>
  <conditionalFormatting sqref="J9:K11">
    <cfRule type="cellIs" dxfId="18" priority="18" operator="lessThan">
      <formula>0</formula>
    </cfRule>
  </conditionalFormatting>
  <conditionalFormatting sqref="AQ15:AQ16">
    <cfRule type="cellIs" dxfId="17" priority="14" operator="lessThan">
      <formula>0</formula>
    </cfRule>
  </conditionalFormatting>
  <conditionalFormatting sqref="AM16">
    <cfRule type="cellIs" dxfId="16" priority="12" operator="lessThan">
      <formula>0</formula>
    </cfRule>
  </conditionalFormatting>
  <conditionalFormatting sqref="AK15:AK16">
    <cfRule type="cellIs" dxfId="15" priority="17" operator="lessThan">
      <formula>0</formula>
    </cfRule>
  </conditionalFormatting>
  <conditionalFormatting sqref="AS16">
    <cfRule type="cellIs" dxfId="14" priority="15" operator="lessThan">
      <formula>0</formula>
    </cfRule>
  </conditionalFormatting>
  <conditionalFormatting sqref="AM15">
    <cfRule type="cellIs" dxfId="13" priority="13" operator="lessThan">
      <formula>0</formula>
    </cfRule>
  </conditionalFormatting>
  <conditionalFormatting sqref="A16 D16">
    <cfRule type="cellIs" dxfId="12" priority="11" operator="lessThan">
      <formula>0</formula>
    </cfRule>
  </conditionalFormatting>
  <conditionalFormatting sqref="A17 D17">
    <cfRule type="cellIs" dxfId="11" priority="10" operator="lessThan">
      <formula>0</formula>
    </cfRule>
  </conditionalFormatting>
  <conditionalFormatting sqref="A18 D18">
    <cfRule type="cellIs" dxfId="10" priority="9" operator="lessThan">
      <formula>0</formula>
    </cfRule>
  </conditionalFormatting>
  <conditionalFormatting sqref="A13">
    <cfRule type="cellIs" dxfId="9" priority="8" operator="lessThan">
      <formula>0</formula>
    </cfRule>
  </conditionalFormatting>
  <conditionalFormatting sqref="A14">
    <cfRule type="cellIs" dxfId="8" priority="7" operator="lessThan">
      <formula>0</formula>
    </cfRule>
  </conditionalFormatting>
  <conditionalFormatting sqref="A22 D22">
    <cfRule type="cellIs" dxfId="7" priority="6" operator="lessThan">
      <formula>0</formula>
    </cfRule>
  </conditionalFormatting>
  <conditionalFormatting sqref="A19">
    <cfRule type="cellIs" dxfId="6" priority="5" operator="lessThan">
      <formula>0</formula>
    </cfRule>
  </conditionalFormatting>
  <conditionalFormatting sqref="E20:E21">
    <cfRule type="cellIs" dxfId="5" priority="4" operator="lessThan">
      <formula>0</formula>
    </cfRule>
  </conditionalFormatting>
  <conditionalFormatting sqref="A20:A21 D20:D21">
    <cfRule type="cellIs" dxfId="4" priority="3" operator="lessThan">
      <formula>0</formula>
    </cfRule>
  </conditionalFormatting>
  <conditionalFormatting sqref="AV18:AV19">
    <cfRule type="cellIs" dxfId="3" priority="2" operator="lessThan">
      <formula>0</formula>
    </cfRule>
  </conditionalFormatting>
  <conditionalFormatting sqref="AS15">
    <cfRule type="cellIs" dxfId="2" priority="1" operator="lessThan">
      <formula>0</formula>
    </cfRule>
  </conditionalFormatting>
  <dataValidations count="6">
    <dataValidation type="list" showInputMessage="1" showErrorMessage="1" sqref="R9:R11">
      <formula1>$BN$175:$BN$179</formula1>
    </dataValidation>
    <dataValidation type="list" showErrorMessage="1" sqref="H9:H11">
      <formula1>$BN$119:$BN$120</formula1>
    </dataValidation>
    <dataValidation type="list" showInputMessage="1" showErrorMessage="1" sqref="S9:S11">
      <formula1>$BN$188:$BN$189</formula1>
    </dataValidation>
    <dataValidation type="list" showInputMessage="1" showErrorMessage="1" sqref="F9">
      <formula1>$BN$123:$BN$150</formula1>
    </dataValidation>
    <dataValidation type="list" showErrorMessage="1" sqref="G9">
      <formula1>$BN$114:$BN$116</formula1>
    </dataValidation>
    <dataValidation type="list" showInputMessage="1" showErrorMessage="1" sqref="AH9">
      <formula1>$BN$183:$BN$185</formula1>
    </dataValidation>
  </dataValidations>
  <printOptions horizontalCentered="1"/>
  <pageMargins left="0.59055118110236227" right="0.51181102362204722" top="0.98425196850393704" bottom="0.78740157480314965" header="0.39370078740157483" footer="0.39370078740157483"/>
  <pageSetup paperSize="9" scale="62" orientation="landscape" r:id="rId1"/>
  <headerFooter scaleWithDoc="0">
    <oddHeader>&amp;R&amp;G</oddHeader>
    <oddFooter>&amp;L&amp;"Arial,Negrito"&amp;10CTR 477F&amp;C&amp;"Arial,Negrito"&amp;10A.&amp;P</oddFooter>
  </headerFooter>
  <colBreaks count="1" manualBreakCount="1">
    <brk id="31" max="1048575" man="1"/>
  </colBreaks>
  <legacyDrawingHF r:id="rId2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theme="5" tint="0.59999389629810485"/>
  </sheetPr>
  <dimension ref="B2:M72"/>
  <sheetViews>
    <sheetView topLeftCell="A19" zoomScaleNormal="100" zoomScaleSheetLayoutView="110" zoomScalePageLayoutView="80" workbookViewId="0">
      <selection activeCell="P38" sqref="P38"/>
    </sheetView>
  </sheetViews>
  <sheetFormatPr defaultColWidth="9.140625" defaultRowHeight="12.75" customHeight="1"/>
  <cols>
    <col min="1" max="1" width="9.140625" style="20"/>
    <col min="2" max="2" width="62.85546875" style="20" customWidth="1"/>
    <col min="3" max="3" width="13.7109375" style="20" customWidth="1"/>
    <col min="4" max="4" width="11.28515625" style="20" customWidth="1"/>
    <col min="5" max="6" width="9.140625" style="20"/>
    <col min="7" max="7" width="10.28515625" style="20" bestFit="1" customWidth="1"/>
    <col min="8" max="16384" width="9.140625" style="20"/>
  </cols>
  <sheetData>
    <row r="2" spans="2:13" s="2" customFormat="1" ht="15.75" customHeight="1">
      <c r="B2" s="894" t="s">
        <v>7</v>
      </c>
      <c r="C2" s="894"/>
      <c r="D2" s="894"/>
      <c r="E2" s="551"/>
    </row>
    <row r="3" spans="2:13" s="2" customFormat="1" ht="15.75" customHeight="1">
      <c r="B3" s="895" t="s">
        <v>29</v>
      </c>
      <c r="C3" s="895"/>
      <c r="D3" s="895"/>
      <c r="E3" s="551"/>
    </row>
    <row r="4" spans="2:13" s="2" customFormat="1" ht="12.75" customHeight="1">
      <c r="B4" s="3"/>
      <c r="C4" s="4"/>
      <c r="D4" s="4"/>
      <c r="E4" s="551"/>
    </row>
    <row r="5" spans="2:13" s="2" customFormat="1" ht="12.75" customHeight="1">
      <c r="B5" s="3" t="s">
        <v>776</v>
      </c>
      <c r="C5" s="3">
        <v>4</v>
      </c>
      <c r="D5" s="3" t="s">
        <v>777</v>
      </c>
      <c r="E5" s="551"/>
    </row>
    <row r="6" spans="2:13" s="2" customFormat="1" ht="12.75" customHeight="1">
      <c r="B6" s="3"/>
      <c r="C6" s="4"/>
      <c r="D6" s="4"/>
      <c r="E6" s="551"/>
    </row>
    <row r="7" spans="2:13" s="2" customFormat="1" ht="12.75" customHeight="1">
      <c r="B7" s="10" t="s">
        <v>66</v>
      </c>
      <c r="C7" s="5"/>
      <c r="D7" s="11"/>
      <c r="E7" s="551"/>
      <c r="K7" s="143"/>
      <c r="L7" s="148"/>
      <c r="M7" s="143"/>
    </row>
    <row r="8" spans="2:13" s="2" customFormat="1" ht="12.75" customHeight="1">
      <c r="B8" s="10"/>
      <c r="C8" s="5"/>
      <c r="D8" s="11"/>
      <c r="E8" s="551"/>
      <c r="K8" s="143"/>
      <c r="L8" s="148"/>
      <c r="M8" s="143"/>
    </row>
    <row r="9" spans="2:13" ht="12.75" customHeight="1">
      <c r="B9" s="4" t="s">
        <v>83</v>
      </c>
      <c r="C9" s="3"/>
      <c r="D9" s="3"/>
      <c r="E9" s="19"/>
    </row>
    <row r="10" spans="2:13" ht="12.75" customHeight="1">
      <c r="B10" s="4"/>
      <c r="C10" s="4"/>
      <c r="D10" s="4"/>
      <c r="E10" s="19"/>
    </row>
    <row r="11" spans="2:13" ht="12.75" customHeight="1">
      <c r="B11" s="143" t="s">
        <v>63</v>
      </c>
      <c r="C11" s="156">
        <v>1</v>
      </c>
      <c r="D11" s="143" t="s">
        <v>8</v>
      </c>
      <c r="E11" s="19"/>
    </row>
    <row r="12" spans="2:13" ht="12.75" customHeight="1">
      <c r="B12" s="143" t="s">
        <v>84</v>
      </c>
      <c r="C12" s="156">
        <f>$C$5</f>
        <v>4</v>
      </c>
      <c r="D12" s="143" t="s">
        <v>85</v>
      </c>
      <c r="E12" s="19"/>
    </row>
    <row r="13" spans="2:13" ht="12.75" customHeight="1">
      <c r="B13" s="143" t="s">
        <v>9</v>
      </c>
      <c r="C13" s="156">
        <f>(C11*C12)</f>
        <v>4</v>
      </c>
      <c r="D13" s="143" t="s">
        <v>85</v>
      </c>
      <c r="E13" s="19"/>
    </row>
    <row r="14" spans="2:13" ht="12.75" customHeight="1">
      <c r="B14" s="143"/>
      <c r="C14" s="148"/>
      <c r="D14" s="143"/>
      <c r="E14" s="19"/>
    </row>
    <row r="15" spans="2:13" ht="12.75" customHeight="1">
      <c r="B15" s="584" t="s">
        <v>86</v>
      </c>
      <c r="C15" s="632">
        <f>(C13)</f>
        <v>4</v>
      </c>
      <c r="D15" s="586" t="str">
        <f>D13</f>
        <v>mês</v>
      </c>
      <c r="E15" s="587" t="s">
        <v>81</v>
      </c>
      <c r="F15" s="587" t="s">
        <v>5</v>
      </c>
      <c r="G15" s="633">
        <v>650</v>
      </c>
    </row>
    <row r="16" spans="2:13" ht="12.75" customHeight="1">
      <c r="B16" s="4"/>
      <c r="C16" s="6"/>
      <c r="D16" s="4"/>
      <c r="E16" s="19"/>
    </row>
    <row r="17" spans="2:13" ht="12.75" customHeight="1">
      <c r="B17" s="4"/>
      <c r="C17" s="6"/>
      <c r="D17" s="4"/>
      <c r="E17" s="19"/>
    </row>
    <row r="18" spans="2:13" ht="12.75" customHeight="1">
      <c r="B18" s="143" t="s">
        <v>87</v>
      </c>
      <c r="C18" s="144"/>
      <c r="D18" s="4"/>
      <c r="E18" s="19"/>
      <c r="K18" s="143"/>
      <c r="L18" s="148"/>
      <c r="M18" s="143"/>
    </row>
    <row r="19" spans="2:13" ht="12.75" customHeight="1">
      <c r="B19" s="22"/>
      <c r="C19" s="4"/>
      <c r="D19" s="4"/>
      <c r="E19" s="19"/>
      <c r="K19" s="143"/>
      <c r="L19" s="148"/>
      <c r="M19" s="143"/>
    </row>
    <row r="20" spans="2:13" s="23" customFormat="1" ht="12.75" customHeight="1">
      <c r="B20" s="143" t="s">
        <v>63</v>
      </c>
      <c r="C20" s="156">
        <v>1</v>
      </c>
      <c r="D20" s="143" t="s">
        <v>8</v>
      </c>
      <c r="K20" s="143"/>
      <c r="L20" s="148"/>
      <c r="M20" s="143"/>
    </row>
    <row r="21" spans="2:13" s="23" customFormat="1" ht="12.75" customHeight="1">
      <c r="B21" s="143" t="str">
        <f>B12</f>
        <v>Duração da obra</v>
      </c>
      <c r="C21" s="156">
        <f>$C$5</f>
        <v>4</v>
      </c>
      <c r="D21" s="143" t="str">
        <f>D12</f>
        <v>mês</v>
      </c>
      <c r="K21" s="143"/>
      <c r="L21" s="148"/>
      <c r="M21" s="143"/>
    </row>
    <row r="22" spans="2:13" s="17" customFormat="1" ht="12.75" customHeight="1">
      <c r="B22" s="143" t="s">
        <v>9</v>
      </c>
      <c r="C22" s="156">
        <f>(C20*C21)</f>
        <v>4</v>
      </c>
      <c r="D22" s="143" t="s">
        <v>85</v>
      </c>
      <c r="E22" s="16"/>
      <c r="K22" s="143"/>
      <c r="L22" s="148"/>
      <c r="M22" s="143"/>
    </row>
    <row r="23" spans="2:13" s="17" customFormat="1" ht="12.75" customHeight="1">
      <c r="B23" s="143"/>
      <c r="C23" s="148"/>
      <c r="D23" s="143"/>
      <c r="E23" s="16"/>
      <c r="K23" s="143"/>
      <c r="L23" s="148"/>
      <c r="M23" s="143"/>
    </row>
    <row r="24" spans="2:13" s="17" customFormat="1" ht="12.75" customHeight="1">
      <c r="B24" s="584" t="s">
        <v>88</v>
      </c>
      <c r="C24" s="632">
        <f>(C22)</f>
        <v>4</v>
      </c>
      <c r="D24" s="586" t="str">
        <f>D22</f>
        <v>mês</v>
      </c>
      <c r="E24" s="587" t="s">
        <v>82</v>
      </c>
      <c r="F24" s="587" t="s">
        <v>5</v>
      </c>
      <c r="G24" s="633">
        <v>550</v>
      </c>
      <c r="K24" s="143"/>
      <c r="L24" s="148"/>
      <c r="M24" s="143"/>
    </row>
    <row r="25" spans="2:13" s="23" customFormat="1" ht="12.75" customHeight="1">
      <c r="E25" s="151"/>
      <c r="K25" s="147"/>
      <c r="L25" s="152"/>
      <c r="M25" s="147"/>
    </row>
    <row r="26" spans="2:13" s="23" customFormat="1" ht="12.75" customHeight="1">
      <c r="B26" s="153"/>
      <c r="C26" s="153"/>
      <c r="D26" s="154"/>
      <c r="E26" s="151"/>
      <c r="K26" s="149"/>
      <c r="L26" s="150"/>
      <c r="M26" s="149"/>
    </row>
    <row r="27" spans="2:13" ht="12.75" customHeight="1">
      <c r="B27" s="143" t="s">
        <v>778</v>
      </c>
      <c r="C27" s="144"/>
      <c r="D27" s="4"/>
      <c r="E27" s="19"/>
    </row>
    <row r="28" spans="2:13" ht="12.75" customHeight="1">
      <c r="B28" s="22"/>
      <c r="C28" s="4"/>
      <c r="D28" s="4"/>
      <c r="E28" s="19"/>
    </row>
    <row r="29" spans="2:13" ht="12.75" customHeight="1">
      <c r="B29" s="143" t="s">
        <v>67</v>
      </c>
      <c r="C29" s="148">
        <v>3</v>
      </c>
      <c r="D29" s="143" t="s">
        <v>4</v>
      </c>
      <c r="E29" s="19"/>
    </row>
    <row r="30" spans="2:13" ht="12.75" customHeight="1">
      <c r="B30" s="143" t="s">
        <v>68</v>
      </c>
      <c r="C30" s="148">
        <v>3</v>
      </c>
      <c r="D30" s="143" t="s">
        <v>4</v>
      </c>
      <c r="E30" s="19"/>
    </row>
    <row r="31" spans="2:13" ht="12.75" customHeight="1">
      <c r="B31" s="143" t="s">
        <v>9</v>
      </c>
      <c r="C31" s="148">
        <f>(C29*C30)</f>
        <v>9</v>
      </c>
      <c r="D31" s="143" t="s">
        <v>1</v>
      </c>
      <c r="E31" s="19"/>
    </row>
    <row r="32" spans="2:13" ht="12.75" customHeight="1">
      <c r="B32" s="14"/>
      <c r="C32" s="146"/>
      <c r="D32" s="142"/>
      <c r="E32" s="19"/>
    </row>
    <row r="33" spans="2:13" ht="12.75" customHeight="1">
      <c r="B33" s="584" t="s">
        <v>69</v>
      </c>
      <c r="C33" s="585">
        <f>(C31)</f>
        <v>9</v>
      </c>
      <c r="D33" s="586" t="s">
        <v>1</v>
      </c>
      <c r="E33" s="587">
        <v>93210</v>
      </c>
      <c r="F33" s="587" t="s">
        <v>2</v>
      </c>
      <c r="G33" s="633">
        <v>546.9</v>
      </c>
      <c r="K33" s="149"/>
      <c r="L33" s="150"/>
      <c r="M33" s="149"/>
    </row>
    <row r="34" spans="2:13" ht="12.75" customHeight="1">
      <c r="B34" s="4"/>
      <c r="C34" s="4"/>
      <c r="D34" s="4"/>
      <c r="E34" s="19"/>
      <c r="K34" s="149"/>
      <c r="L34" s="150"/>
      <c r="M34" s="149"/>
    </row>
    <row r="35" spans="2:13" ht="12.75" customHeight="1">
      <c r="E35" s="151"/>
      <c r="K35" s="143"/>
      <c r="L35" s="148"/>
      <c r="M35" s="143"/>
    </row>
    <row r="36" spans="2:13" ht="12.75" customHeight="1">
      <c r="B36" s="143" t="s">
        <v>89</v>
      </c>
      <c r="C36" s="144"/>
      <c r="D36" s="4"/>
      <c r="E36" s="19"/>
      <c r="K36" s="143"/>
      <c r="L36" s="148"/>
      <c r="M36" s="143"/>
    </row>
    <row r="37" spans="2:13" ht="12.75" customHeight="1">
      <c r="B37" s="22"/>
      <c r="C37" s="4"/>
      <c r="D37" s="4"/>
      <c r="E37" s="19"/>
      <c r="K37" s="143"/>
      <c r="L37" s="148"/>
      <c r="M37" s="143"/>
    </row>
    <row r="38" spans="2:13" s="23" customFormat="1" ht="12.75" customHeight="1">
      <c r="B38" s="143" t="s">
        <v>67</v>
      </c>
      <c r="C38" s="148">
        <v>3</v>
      </c>
      <c r="D38" s="143" t="s">
        <v>4</v>
      </c>
      <c r="K38" s="143"/>
      <c r="L38" s="148"/>
      <c r="M38" s="143"/>
    </row>
    <row r="39" spans="2:13" s="23" customFormat="1" ht="12.75" customHeight="1">
      <c r="B39" s="143" t="s">
        <v>68</v>
      </c>
      <c r="C39" s="148">
        <v>3</v>
      </c>
      <c r="D39" s="143" t="s">
        <v>4</v>
      </c>
      <c r="K39" s="143"/>
      <c r="L39" s="148"/>
      <c r="M39" s="143"/>
    </row>
    <row r="40" spans="2:13" s="17" customFormat="1" ht="12.75" customHeight="1">
      <c r="B40" s="143" t="s">
        <v>9</v>
      </c>
      <c r="C40" s="148">
        <f>(C38*C39)</f>
        <v>9</v>
      </c>
      <c r="D40" s="143" t="s">
        <v>1</v>
      </c>
      <c r="E40" s="16"/>
      <c r="K40" s="143"/>
      <c r="L40" s="148"/>
      <c r="M40" s="143"/>
    </row>
    <row r="41" spans="2:13" s="17" customFormat="1" ht="12.75" customHeight="1">
      <c r="B41" s="4"/>
      <c r="C41" s="6"/>
      <c r="D41" s="4"/>
      <c r="E41" s="16"/>
      <c r="K41" s="143"/>
      <c r="L41" s="148"/>
      <c r="M41" s="143"/>
    </row>
    <row r="42" spans="2:13" s="17" customFormat="1" ht="12.75" customHeight="1">
      <c r="B42" s="584" t="s">
        <v>70</v>
      </c>
      <c r="C42" s="585">
        <f>(C40)</f>
        <v>9</v>
      </c>
      <c r="D42" s="586" t="s">
        <v>1</v>
      </c>
      <c r="E42" s="587">
        <v>93582</v>
      </c>
      <c r="F42" s="587" t="s">
        <v>2</v>
      </c>
      <c r="G42" s="633">
        <v>248.13</v>
      </c>
      <c r="K42" s="143"/>
      <c r="L42" s="148"/>
      <c r="M42" s="143"/>
    </row>
    <row r="43" spans="2:13" s="23" customFormat="1" ht="12.75" customHeight="1">
      <c r="E43" s="151"/>
      <c r="K43" s="147"/>
      <c r="L43" s="152"/>
      <c r="M43" s="147"/>
    </row>
    <row r="44" spans="2:13" s="23" customFormat="1" ht="12.75" customHeight="1">
      <c r="B44" s="153"/>
      <c r="C44" s="153"/>
      <c r="D44" s="154"/>
      <c r="E44" s="151"/>
      <c r="K44" s="149"/>
      <c r="L44" s="150"/>
      <c r="M44" s="149"/>
    </row>
    <row r="45" spans="2:13" ht="12.75" customHeight="1">
      <c r="B45" s="143" t="s">
        <v>71</v>
      </c>
      <c r="C45" s="144"/>
      <c r="D45" s="4"/>
      <c r="E45" s="19"/>
      <c r="K45" s="143"/>
      <c r="L45" s="148"/>
      <c r="M45" s="143"/>
    </row>
    <row r="46" spans="2:13" ht="12.75" customHeight="1">
      <c r="B46" s="22"/>
      <c r="C46" s="4"/>
      <c r="D46" s="4"/>
      <c r="E46" s="19"/>
      <c r="K46" s="143"/>
      <c r="L46" s="148"/>
      <c r="M46" s="143"/>
    </row>
    <row r="47" spans="2:13" s="23" customFormat="1" ht="12.75" customHeight="1">
      <c r="B47" s="143" t="s">
        <v>67</v>
      </c>
      <c r="C47" s="148">
        <v>3</v>
      </c>
      <c r="D47" s="143" t="s">
        <v>4</v>
      </c>
      <c r="K47" s="143"/>
      <c r="L47" s="148"/>
      <c r="M47" s="143"/>
    </row>
    <row r="48" spans="2:13" s="23" customFormat="1" ht="12.75" customHeight="1">
      <c r="B48" s="143" t="s">
        <v>68</v>
      </c>
      <c r="C48" s="148">
        <v>3</v>
      </c>
      <c r="D48" s="143" t="s">
        <v>4</v>
      </c>
      <c r="K48" s="143"/>
      <c r="L48" s="148"/>
      <c r="M48" s="143"/>
    </row>
    <row r="49" spans="2:13" s="17" customFormat="1" ht="12.75" customHeight="1">
      <c r="B49" s="143" t="s">
        <v>9</v>
      </c>
      <c r="C49" s="148">
        <f>(C47*C48)</f>
        <v>9</v>
      </c>
      <c r="D49" s="143" t="s">
        <v>1</v>
      </c>
      <c r="E49" s="16"/>
      <c r="K49" s="143"/>
      <c r="L49" s="148"/>
      <c r="M49" s="143"/>
    </row>
    <row r="50" spans="2:13" s="17" customFormat="1" ht="12.75" customHeight="1">
      <c r="B50" s="4"/>
      <c r="C50" s="6"/>
      <c r="D50" s="4"/>
      <c r="E50" s="16"/>
      <c r="K50" s="143"/>
      <c r="L50" s="148"/>
      <c r="M50" s="143"/>
    </row>
    <row r="51" spans="2:13" s="17" customFormat="1" ht="12.75" customHeight="1">
      <c r="B51" s="584" t="s">
        <v>72</v>
      </c>
      <c r="C51" s="585">
        <f>(C49)</f>
        <v>9</v>
      </c>
      <c r="D51" s="586" t="s">
        <v>1</v>
      </c>
      <c r="E51" s="587">
        <v>93583</v>
      </c>
      <c r="F51" s="587" t="s">
        <v>2</v>
      </c>
      <c r="G51" s="633">
        <v>397.82</v>
      </c>
      <c r="K51" s="143"/>
      <c r="L51" s="148"/>
      <c r="M51" s="143"/>
    </row>
    <row r="52" spans="2:13" s="23" customFormat="1" ht="12.75" customHeight="1">
      <c r="E52" s="151"/>
      <c r="K52" s="147"/>
      <c r="L52" s="152"/>
      <c r="M52" s="147"/>
    </row>
    <row r="53" spans="2:13" s="23" customFormat="1" ht="12.75" customHeight="1">
      <c r="B53" s="153"/>
      <c r="C53" s="153"/>
      <c r="D53" s="154"/>
      <c r="E53" s="151"/>
      <c r="K53" s="149"/>
      <c r="L53" s="150"/>
      <c r="M53" s="149"/>
    </row>
    <row r="54" spans="2:13" ht="12.75" customHeight="1">
      <c r="B54" s="143" t="s">
        <v>779</v>
      </c>
      <c r="C54" s="144"/>
      <c r="D54" s="4"/>
      <c r="E54" s="19"/>
      <c r="K54" s="143"/>
      <c r="L54" s="148"/>
      <c r="M54" s="143"/>
    </row>
    <row r="55" spans="2:13" ht="12.75" customHeight="1">
      <c r="B55" s="22"/>
      <c r="C55" s="4"/>
      <c r="D55" s="4"/>
      <c r="E55" s="19"/>
      <c r="K55" s="143"/>
      <c r="L55" s="148"/>
      <c r="M55" s="143"/>
    </row>
    <row r="56" spans="2:13" s="23" customFormat="1" ht="12.75" customHeight="1">
      <c r="B56" s="143" t="s">
        <v>67</v>
      </c>
      <c r="C56" s="148">
        <v>1.2</v>
      </c>
      <c r="D56" s="143" t="s">
        <v>4</v>
      </c>
      <c r="K56" s="143"/>
      <c r="L56" s="148"/>
      <c r="M56" s="143"/>
    </row>
    <row r="57" spans="2:13" s="23" customFormat="1" ht="12.75" customHeight="1">
      <c r="B57" s="143" t="s">
        <v>68</v>
      </c>
      <c r="C57" s="148">
        <v>1.2</v>
      </c>
      <c r="D57" s="143" t="s">
        <v>4</v>
      </c>
      <c r="G57" s="143"/>
      <c r="K57" s="143"/>
      <c r="L57" s="148"/>
      <c r="M57" s="143"/>
    </row>
    <row r="58" spans="2:13" s="17" customFormat="1" ht="12.75" customHeight="1">
      <c r="B58" s="143" t="s">
        <v>9</v>
      </c>
      <c r="C58" s="148">
        <f>(C56*C57)</f>
        <v>1.44</v>
      </c>
      <c r="D58" s="143" t="s">
        <v>1</v>
      </c>
      <c r="E58" s="16"/>
      <c r="K58" s="143"/>
      <c r="L58" s="148"/>
      <c r="M58" s="143"/>
    </row>
    <row r="59" spans="2:13" s="17" customFormat="1" ht="12.75" customHeight="1">
      <c r="B59" s="4"/>
      <c r="C59" s="6"/>
      <c r="D59" s="4"/>
      <c r="E59" s="16"/>
      <c r="K59" s="143"/>
      <c r="L59" s="148"/>
      <c r="M59" s="143"/>
    </row>
    <row r="60" spans="2:13" s="17" customFormat="1" ht="12.75" customHeight="1">
      <c r="B60" s="584" t="s">
        <v>73</v>
      </c>
      <c r="C60" s="585">
        <f>(C58)</f>
        <v>1.44</v>
      </c>
      <c r="D60" s="586" t="s">
        <v>1</v>
      </c>
      <c r="E60" s="587">
        <v>93585</v>
      </c>
      <c r="F60" s="587" t="s">
        <v>2</v>
      </c>
      <c r="G60" s="633">
        <v>1089.6600000000001</v>
      </c>
      <c r="K60" s="143"/>
      <c r="L60" s="148"/>
      <c r="M60" s="143"/>
    </row>
    <row r="61" spans="2:13" s="23" customFormat="1" ht="12.75" customHeight="1">
      <c r="E61" s="151"/>
      <c r="K61" s="147"/>
      <c r="L61" s="152"/>
      <c r="M61" s="147"/>
    </row>
    <row r="62" spans="2:13" s="23" customFormat="1" ht="12.75" customHeight="1">
      <c r="B62" s="153"/>
      <c r="C62" s="153"/>
      <c r="D62" s="154"/>
      <c r="E62" s="151"/>
      <c r="K62" s="149"/>
      <c r="L62" s="150"/>
      <c r="M62" s="149"/>
    </row>
    <row r="63" spans="2:13" s="23" customFormat="1" ht="12.75" customHeight="1">
      <c r="B63" s="155" t="s">
        <v>59</v>
      </c>
      <c r="C63" s="144"/>
      <c r="D63" s="4"/>
      <c r="K63" s="143"/>
      <c r="L63" s="156"/>
      <c r="M63" s="143"/>
    </row>
    <row r="64" spans="2:13" s="23" customFormat="1" ht="12.75" customHeight="1">
      <c r="B64" s="22"/>
      <c r="C64" s="4"/>
      <c r="D64" s="4"/>
      <c r="K64" s="143"/>
      <c r="L64" s="148"/>
      <c r="M64" s="143"/>
    </row>
    <row r="65" spans="2:13" s="17" customFormat="1" ht="12.75" customHeight="1">
      <c r="B65" s="143" t="s">
        <v>63</v>
      </c>
      <c r="C65" s="156">
        <v>1</v>
      </c>
      <c r="D65" s="143" t="s">
        <v>8</v>
      </c>
      <c r="E65" s="16"/>
      <c r="K65" s="143"/>
      <c r="L65" s="148"/>
      <c r="M65" s="143"/>
    </row>
    <row r="66" spans="2:13" s="17" customFormat="1" ht="12.75" customHeight="1">
      <c r="B66" s="143" t="s">
        <v>11</v>
      </c>
      <c r="C66" s="148">
        <v>8</v>
      </c>
      <c r="D66" s="143" t="s">
        <v>4</v>
      </c>
      <c r="E66" s="16"/>
      <c r="K66" s="143"/>
      <c r="L66" s="148"/>
      <c r="M66" s="143"/>
    </row>
    <row r="67" spans="2:13" s="17" customFormat="1" ht="12.75" customHeight="1">
      <c r="B67" s="143" t="s">
        <v>10</v>
      </c>
      <c r="C67" s="148">
        <v>3</v>
      </c>
      <c r="D67" s="143" t="s">
        <v>4</v>
      </c>
      <c r="E67" s="16"/>
      <c r="K67" s="143"/>
      <c r="L67" s="148"/>
      <c r="M67" s="143"/>
    </row>
    <row r="68" spans="2:13" s="17" customFormat="1" ht="12.75" customHeight="1">
      <c r="B68" s="143" t="s">
        <v>9</v>
      </c>
      <c r="C68" s="148">
        <f>(C66*C67*C65)</f>
        <v>24</v>
      </c>
      <c r="D68" s="143" t="s">
        <v>1</v>
      </c>
      <c r="E68" s="16"/>
      <c r="K68" s="143"/>
      <c r="L68" s="148"/>
      <c r="M68" s="143"/>
    </row>
    <row r="69" spans="2:13" s="17" customFormat="1" ht="12.75" customHeight="1">
      <c r="B69" s="14"/>
      <c r="C69" s="146"/>
      <c r="D69" s="142"/>
      <c r="E69" s="16"/>
      <c r="K69" s="147"/>
      <c r="L69" s="152"/>
      <c r="M69" s="147"/>
    </row>
    <row r="70" spans="2:13" s="23" customFormat="1" ht="12.75" customHeight="1">
      <c r="B70" s="584" t="s">
        <v>74</v>
      </c>
      <c r="C70" s="585">
        <f>(C68)</f>
        <v>24</v>
      </c>
      <c r="D70" s="586" t="s">
        <v>1</v>
      </c>
      <c r="E70" s="587">
        <v>70000002</v>
      </c>
      <c r="F70" s="587" t="s">
        <v>5</v>
      </c>
      <c r="G70" s="633">
        <v>300.12</v>
      </c>
      <c r="K70" s="149"/>
      <c r="L70" s="150"/>
      <c r="M70" s="149"/>
    </row>
    <row r="71" spans="2:13" s="23" customFormat="1" ht="12.75" customHeight="1">
      <c r="B71" s="153"/>
      <c r="C71" s="153"/>
      <c r="D71" s="154"/>
      <c r="E71" s="151"/>
      <c r="K71" s="143"/>
      <c r="L71" s="150"/>
      <c r="M71" s="149"/>
    </row>
    <row r="72" spans="2:13" ht="12.75" customHeight="1">
      <c r="B72" s="4"/>
      <c r="C72" s="4"/>
      <c r="D72" s="4"/>
      <c r="E72" s="19"/>
    </row>
  </sheetData>
  <mergeCells count="2">
    <mergeCell ref="B2:D2"/>
    <mergeCell ref="B3:D3"/>
  </mergeCells>
  <printOptions horizontalCentered="1"/>
  <pageMargins left="0.78740157480314965" right="0.59055118110236227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477F&amp;C&amp;"Arial,Negrito"&amp;10A.&amp;P</oddFooter>
  </headerFooter>
  <rowBreaks count="1" manualBreakCount="1">
    <brk id="53" max="16383" man="1"/>
  </rowBreaks>
  <legacyDrawingHF r:id="rId2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B3:L52"/>
  <sheetViews>
    <sheetView zoomScaleNormal="100" zoomScaleSheetLayoutView="120" workbookViewId="0">
      <selection activeCell="G29" sqref="G29:G30"/>
    </sheetView>
  </sheetViews>
  <sheetFormatPr defaultColWidth="9.140625" defaultRowHeight="12.75"/>
  <cols>
    <col min="1" max="1" width="36.85546875" style="204" customWidth="1"/>
    <col min="2" max="2" width="5" style="9" customWidth="1"/>
    <col min="3" max="3" width="41" style="9" customWidth="1"/>
    <col min="4" max="4" width="8" style="201" customWidth="1"/>
    <col min="5" max="5" width="5.7109375" style="201" customWidth="1"/>
    <col min="6" max="6" width="6.85546875" style="202" customWidth="1"/>
    <col min="7" max="7" width="11.5703125" style="201" customWidth="1"/>
    <col min="8" max="8" width="11.5703125" style="9" customWidth="1"/>
    <col min="9" max="9" width="10.5703125" style="203" bestFit="1" customWidth="1"/>
    <col min="10" max="16384" width="9.140625" style="204"/>
  </cols>
  <sheetData>
    <row r="3" spans="2:10" s="8" customFormat="1" ht="16.5" customHeight="1">
      <c r="B3" s="912" t="s">
        <v>123</v>
      </c>
      <c r="C3" s="912"/>
      <c r="D3" s="912"/>
      <c r="E3" s="912"/>
      <c r="F3" s="912"/>
      <c r="G3" s="912"/>
      <c r="H3" s="912"/>
    </row>
    <row r="4" spans="2:10" s="8" customFormat="1" ht="16.5" customHeight="1">
      <c r="B4" s="174"/>
      <c r="C4" s="174" t="s">
        <v>124</v>
      </c>
      <c r="D4" s="175" t="s">
        <v>125</v>
      </c>
      <c r="E4" s="176" t="s">
        <v>126</v>
      </c>
      <c r="F4" s="175">
        <v>2023</v>
      </c>
      <c r="G4" s="177" t="s">
        <v>913</v>
      </c>
      <c r="H4" s="178"/>
    </row>
    <row r="5" spans="2:10" s="8" customFormat="1" ht="16.5" customHeight="1">
      <c r="B5" s="174"/>
      <c r="C5" s="174"/>
      <c r="D5" s="175" t="s">
        <v>5</v>
      </c>
      <c r="E5" s="176"/>
      <c r="F5" s="175">
        <v>2023</v>
      </c>
      <c r="G5" s="177" t="s">
        <v>913</v>
      </c>
      <c r="H5" s="178"/>
    </row>
    <row r="6" spans="2:10" s="8" customFormat="1" ht="16.5" customHeight="1">
      <c r="B6" s="174"/>
      <c r="C6" s="177" t="s">
        <v>127</v>
      </c>
      <c r="D6" s="175"/>
      <c r="E6" s="176"/>
      <c r="F6" s="175"/>
      <c r="G6" s="177"/>
      <c r="H6" s="178"/>
    </row>
    <row r="7" spans="2:10" s="8" customFormat="1" ht="16.5" customHeight="1">
      <c r="B7" s="174"/>
      <c r="C7" s="177" t="s">
        <v>399</v>
      </c>
      <c r="D7" s="175"/>
      <c r="E7" s="176"/>
      <c r="F7" s="175"/>
      <c r="G7" s="177"/>
      <c r="H7" s="178"/>
    </row>
    <row r="8" spans="2:10" s="8" customFormat="1" ht="30" customHeight="1">
      <c r="C8" s="913" t="str">
        <f>'Q-CX-Entrada'!$B$3</f>
        <v>Caixa de entrada com paredes em alvenaria e laje de fundo em concreto armado</v>
      </c>
      <c r="D8" s="913"/>
      <c r="E8" s="913"/>
      <c r="F8" s="913"/>
      <c r="G8" s="913"/>
      <c r="H8" s="913"/>
    </row>
    <row r="9" spans="2:10" s="8" customFormat="1" ht="12.75" customHeight="1">
      <c r="B9" s="179"/>
      <c r="C9" s="179"/>
      <c r="D9" s="180"/>
      <c r="E9" s="180"/>
      <c r="F9" s="180"/>
      <c r="G9" s="179"/>
      <c r="H9" s="179"/>
    </row>
    <row r="10" spans="2:10" s="8" customFormat="1" ht="12.75" customHeight="1">
      <c r="B10" s="181" t="s">
        <v>128</v>
      </c>
      <c r="C10" s="181" t="s">
        <v>8</v>
      </c>
      <c r="D10" s="180"/>
      <c r="E10" s="180"/>
      <c r="F10" s="180"/>
      <c r="G10" s="179"/>
      <c r="H10" s="179"/>
    </row>
    <row r="11" spans="2:10" s="8" customFormat="1" ht="12.75" customHeight="1">
      <c r="B11" s="182"/>
      <c r="C11" s="182"/>
      <c r="D11" s="183"/>
      <c r="E11" s="183"/>
      <c r="F11" s="183"/>
      <c r="G11" s="182"/>
      <c r="H11" s="182"/>
    </row>
    <row r="12" spans="2:10" s="8" customFormat="1" ht="25.5" customHeight="1">
      <c r="B12" s="184" t="s">
        <v>25</v>
      </c>
      <c r="C12" s="184" t="s">
        <v>129</v>
      </c>
      <c r="D12" s="185" t="s">
        <v>26</v>
      </c>
      <c r="E12" s="184" t="s">
        <v>130</v>
      </c>
      <c r="F12" s="184" t="s">
        <v>131</v>
      </c>
      <c r="G12" s="185" t="s">
        <v>132</v>
      </c>
      <c r="H12" s="185" t="s">
        <v>133</v>
      </c>
      <c r="J12" s="9">
        <v>1.28</v>
      </c>
    </row>
    <row r="13" spans="2:10" s="8" customFormat="1">
      <c r="B13" s="634">
        <v>1</v>
      </c>
      <c r="C13" s="635" t="str">
        <f>'Q-CX-Entrada'!$B$24</f>
        <v>Locação de obras localizadas</v>
      </c>
      <c r="D13" s="636">
        <f>'Q-CX-Entrada'!$E$30</f>
        <v>70010008</v>
      </c>
      <c r="E13" s="636" t="str">
        <f>'Q-CX-Entrada'!$D$30</f>
        <v>eqxdia</v>
      </c>
      <c r="F13" s="637">
        <f>ROUND('Q-CX-Entrada'!$C$30,2)</f>
        <v>1</v>
      </c>
      <c r="G13" s="638">
        <f>1315.58/1.28</f>
        <v>1027.796875</v>
      </c>
      <c r="H13" s="639">
        <f>ROUND(G13*F13,2)</f>
        <v>1027.8</v>
      </c>
      <c r="I13" s="7"/>
    </row>
    <row r="14" spans="2:10" s="8" customFormat="1" ht="25.5">
      <c r="B14" s="634">
        <f>B13+1</f>
        <v>2</v>
      </c>
      <c r="C14" s="635" t="str">
        <f>'Q-CX-Entrada'!$B$35</f>
        <v>Escavação mecanizada de poços e cavas, em solo não rochoso, com profundidade até 2,00 m</v>
      </c>
      <c r="D14" s="636">
        <f>'Q-CX-Entrada'!$E$49</f>
        <v>70030008</v>
      </c>
      <c r="E14" s="636" t="str">
        <f>'Q-CX-Entrada'!$D$49</f>
        <v>m³</v>
      </c>
      <c r="F14" s="637">
        <f>ROUND('Q-CX-Entrada'!$C$49,2)</f>
        <v>60.17</v>
      </c>
      <c r="G14" s="638">
        <f>15.68/1.28</f>
        <v>12.25</v>
      </c>
      <c r="H14" s="639">
        <f t="shared" ref="H14:H30" si="0">ROUND(G14*F14,2)</f>
        <v>737.08</v>
      </c>
      <c r="I14" s="7"/>
    </row>
    <row r="15" spans="2:10" s="8" customFormat="1" ht="25.5">
      <c r="B15" s="634">
        <f t="shared" ref="B15:B30" si="1">B14+1</f>
        <v>3</v>
      </c>
      <c r="C15" s="635" t="str">
        <f>'Q-CX-Entrada'!$B$52</f>
        <v>Aterro de valas, poços e cavas compactado mecanicamente, sem controle do G.C.</v>
      </c>
      <c r="D15" s="636">
        <f>'Q-CX-Entrada'!$E$60</f>
        <v>70030025</v>
      </c>
      <c r="E15" s="636" t="str">
        <f>'Q-CX-Entrada'!$D$60</f>
        <v>m³</v>
      </c>
      <c r="F15" s="637">
        <f>ROUND('Q-CX-Entrada'!$C$60,2)</f>
        <v>32.51</v>
      </c>
      <c r="G15" s="638">
        <f>9.05/1.28</f>
        <v>7.0703125</v>
      </c>
      <c r="H15" s="639">
        <f t="shared" si="0"/>
        <v>229.86</v>
      </c>
      <c r="I15" s="7"/>
    </row>
    <row r="16" spans="2:10" s="8" customFormat="1" ht="25.5" customHeight="1">
      <c r="B16" s="634">
        <f t="shared" si="1"/>
        <v>4</v>
      </c>
      <c r="C16" s="635" t="str">
        <f>'Q-CX-Entrada'!$B$63</f>
        <v>Carga, manobra e descarga de solos e materiais granulares em caminhão basculante 10 m³</v>
      </c>
      <c r="D16" s="636">
        <f>'Q-CX-Entrada'!$E$70</f>
        <v>100978</v>
      </c>
      <c r="E16" s="636" t="str">
        <f>'Q-CX-Entrada'!$D$70</f>
        <v>m³</v>
      </c>
      <c r="F16" s="637">
        <f>ROUND('Q-CX-Entrada'!$C$70,2)</f>
        <v>35.96</v>
      </c>
      <c r="G16" s="638">
        <v>7.15</v>
      </c>
      <c r="H16" s="639">
        <f t="shared" si="0"/>
        <v>257.11</v>
      </c>
      <c r="I16" s="7"/>
    </row>
    <row r="17" spans="2:9" s="8" customFormat="1" ht="25.5">
      <c r="B17" s="634">
        <f t="shared" si="1"/>
        <v>5</v>
      </c>
      <c r="C17" s="635" t="str">
        <f>'Q-CX-Entrada'!$B$73</f>
        <v>Transporte com caminhão basculante de 10 m³, em via urbana pavimentada</v>
      </c>
      <c r="D17" s="636">
        <f>'Q-CX-Entrada'!$E$79</f>
        <v>95875</v>
      </c>
      <c r="E17" s="636" t="str">
        <f>'Q-CX-Entrada'!$D$79</f>
        <v>m³xkm</v>
      </c>
      <c r="F17" s="637">
        <f>ROUND('Q-CX-Entrada'!$C$79,2)</f>
        <v>539.4</v>
      </c>
      <c r="G17" s="638">
        <v>2.56</v>
      </c>
      <c r="H17" s="639">
        <f t="shared" si="0"/>
        <v>1380.86</v>
      </c>
      <c r="I17" s="7"/>
    </row>
    <row r="18" spans="2:9" s="8" customFormat="1" ht="25.5">
      <c r="B18" s="634">
        <f t="shared" si="1"/>
        <v>6</v>
      </c>
      <c r="C18" s="635" t="str">
        <f>'Q-CX-Entrada'!$B$84</f>
        <v>Lastro com material granular (pedra britada nº 2), aplicado em pisos ou lajes sobre solo</v>
      </c>
      <c r="D18" s="636">
        <f>'Q-CX-Entrada'!$E$92</f>
        <v>96622</v>
      </c>
      <c r="E18" s="636" t="str">
        <f>'Q-CX-Entrada'!$D$92</f>
        <v>m³</v>
      </c>
      <c r="F18" s="637">
        <f>ROUND('Q-CX-Entrada'!$C$92,2)</f>
        <v>0.93</v>
      </c>
      <c r="G18" s="638">
        <v>123.69</v>
      </c>
      <c r="H18" s="639">
        <f t="shared" si="0"/>
        <v>115.03</v>
      </c>
      <c r="I18" s="7"/>
    </row>
    <row r="19" spans="2:9" s="8" customFormat="1" ht="25.5">
      <c r="B19" s="634">
        <f t="shared" si="1"/>
        <v>7</v>
      </c>
      <c r="C19" s="635" t="str">
        <f>'Q-CX-Entrada'!$B$95</f>
        <v>Lastro de concreto magro, aplicado em pisos, lajes sobre solo ou radiers</v>
      </c>
      <c r="D19" s="636">
        <f>'Q-CX-Entrada'!$E$103</f>
        <v>96620</v>
      </c>
      <c r="E19" s="636" t="str">
        <f>'Q-CX-Entrada'!$D$103</f>
        <v>m³</v>
      </c>
      <c r="F19" s="637">
        <f>ROUND('Q-CX-Entrada'!$C$103,2)</f>
        <v>0.93</v>
      </c>
      <c r="G19" s="638">
        <v>546.48</v>
      </c>
      <c r="H19" s="639">
        <f t="shared" si="0"/>
        <v>508.23</v>
      </c>
      <c r="I19" s="7"/>
    </row>
    <row r="20" spans="2:9" s="8" customFormat="1">
      <c r="B20" s="634">
        <f t="shared" si="1"/>
        <v>8</v>
      </c>
      <c r="C20" s="635" t="str">
        <f>'Q-CX-Entrada'!$B$106</f>
        <v>Fôrma plana de madeira - estrutura</v>
      </c>
      <c r="D20" s="636">
        <f>'Q-CX-Entrada'!$E$114</f>
        <v>70070127</v>
      </c>
      <c r="E20" s="636" t="str">
        <f>'Q-CX-Entrada'!$D$114</f>
        <v>m²</v>
      </c>
      <c r="F20" s="637">
        <f>ROUND('Q-CX-Entrada'!$C$114,2)</f>
        <v>4.5</v>
      </c>
      <c r="G20" s="638">
        <f>162.39/1.28</f>
        <v>126.86718749999999</v>
      </c>
      <c r="H20" s="639">
        <f t="shared" si="0"/>
        <v>570.9</v>
      </c>
      <c r="I20" s="7"/>
    </row>
    <row r="21" spans="2:9" s="8" customFormat="1">
      <c r="B21" s="634">
        <f t="shared" si="1"/>
        <v>9</v>
      </c>
      <c r="C21" s="635" t="str">
        <f>'Q-CX-Entrada'!$B$117</f>
        <v>Armação em aço CA-50</v>
      </c>
      <c r="D21" s="636">
        <f>'Q-CX-Entrada'!$E$123</f>
        <v>70070135</v>
      </c>
      <c r="E21" s="636" t="str">
        <f>'Q-CX-Entrada'!$D$123</f>
        <v>kg</v>
      </c>
      <c r="F21" s="637">
        <f>ROUND('Q-CX-Entrada'!$C$123,2)</f>
        <v>464</v>
      </c>
      <c r="G21" s="638">
        <f>16.63/1.28</f>
        <v>12.992187499999998</v>
      </c>
      <c r="H21" s="639">
        <f t="shared" si="0"/>
        <v>6028.38</v>
      </c>
      <c r="I21" s="7"/>
    </row>
    <row r="22" spans="2:9" s="8" customFormat="1" ht="25.5" customHeight="1">
      <c r="B22" s="634">
        <f t="shared" si="1"/>
        <v>10</v>
      </c>
      <c r="C22" s="635" t="str">
        <f>'Q-CX-Entrada'!$B$126</f>
        <v>Concreto estrutural p/ estruturas em contato com água bruta, água tratada, solo e gases agressivos, FCK = 30,0 MPa</v>
      </c>
      <c r="D22" s="636">
        <f>'Q-CX-Entrada'!$E$134</f>
        <v>70070147</v>
      </c>
      <c r="E22" s="636" t="str">
        <f>'Q-CX-Entrada'!$D$134</f>
        <v>m³</v>
      </c>
      <c r="F22" s="637">
        <f>ROUND('Q-CX-Entrada'!$C$134,2)</f>
        <v>4.6399999999999997</v>
      </c>
      <c r="G22" s="638">
        <f>739.38/1.28</f>
        <v>577.640625</v>
      </c>
      <c r="H22" s="639">
        <f t="shared" si="0"/>
        <v>2680.25</v>
      </c>
      <c r="I22" s="7"/>
    </row>
    <row r="23" spans="2:9" s="8" customFormat="1">
      <c r="B23" s="634">
        <f t="shared" si="1"/>
        <v>11</v>
      </c>
      <c r="C23" s="635" t="str">
        <f>'Q-CX-Entrada'!$B$137</f>
        <v>Concreto não estrutural - mínimo 150 kg de cimento/m³</v>
      </c>
      <c r="D23" s="636">
        <f>'Q-CX-Entrada'!$E$145</f>
        <v>70070142</v>
      </c>
      <c r="E23" s="636" t="str">
        <f>'Q-CX-Entrada'!$D$145</f>
        <v>m³</v>
      </c>
      <c r="F23" s="637">
        <f>ROUND('Q-CX-Entrada'!$C$145,2)</f>
        <v>1.2</v>
      </c>
      <c r="G23" s="638">
        <f>636.95/1.28</f>
        <v>497.6171875</v>
      </c>
      <c r="H23" s="639">
        <f t="shared" si="0"/>
        <v>597.14</v>
      </c>
      <c r="I23" s="7"/>
    </row>
    <row r="24" spans="2:9" s="8" customFormat="1" ht="25.5">
      <c r="B24" s="634">
        <f t="shared" si="1"/>
        <v>12</v>
      </c>
      <c r="C24" s="635" t="str">
        <f>'Q-CX-Entrada'!$B$150</f>
        <v>Alvenaria de blocos estruturais de concreto 19 x 19 x 39 cm, com armação e grout</v>
      </c>
      <c r="D24" s="636">
        <f>'Q-CX-Entrada'!$E$161</f>
        <v>70110015</v>
      </c>
      <c r="E24" s="636" t="str">
        <f>'Q-CX-Entrada'!$D$161</f>
        <v>m²</v>
      </c>
      <c r="F24" s="637">
        <f>ROUND('Q-CX-Entrada'!$C$161,2)</f>
        <v>21.84</v>
      </c>
      <c r="G24" s="638">
        <f>284.97/1.28</f>
        <v>222.63281250000003</v>
      </c>
      <c r="H24" s="639">
        <f t="shared" si="0"/>
        <v>4862.3</v>
      </c>
      <c r="I24" s="7"/>
    </row>
    <row r="25" spans="2:9" s="8" customFormat="1" ht="25.5">
      <c r="B25" s="634">
        <f t="shared" si="1"/>
        <v>13</v>
      </c>
      <c r="C25" s="635" t="str">
        <f>'Q-CX-Entrada'!$B$166</f>
        <v>Junta argamassada entre tubo DN 400 mm e o poço de visita / caixa de concreto ou alvenaria</v>
      </c>
      <c r="D25" s="636">
        <f>'Q-CX-Entrada'!$E$171</f>
        <v>90730</v>
      </c>
      <c r="E25" s="640" t="str">
        <f>'Q-CX-Entrada'!$D$171</f>
        <v>unid</v>
      </c>
      <c r="F25" s="637">
        <f>ROUND('Q-CX-Entrada'!$C$171,2)</f>
        <v>2</v>
      </c>
      <c r="G25" s="638">
        <v>59.45</v>
      </c>
      <c r="H25" s="639">
        <f t="shared" si="0"/>
        <v>118.9</v>
      </c>
      <c r="I25" s="7"/>
    </row>
    <row r="26" spans="2:9" s="8" customFormat="1">
      <c r="B26" s="634">
        <f t="shared" si="1"/>
        <v>14</v>
      </c>
      <c r="C26" s="635" t="str">
        <f>'Q-CX-Entrada'!$B$176</f>
        <v>Chapisco</v>
      </c>
      <c r="D26" s="636">
        <f>'Q-CX-Entrada'!$E$184</f>
        <v>70120002</v>
      </c>
      <c r="E26" s="640" t="str">
        <f>'Q-CX-Entrada'!$D$184</f>
        <v>m²</v>
      </c>
      <c r="F26" s="637">
        <f>ROUND('Q-CX-Entrada'!$C$184,2)</f>
        <v>20.72</v>
      </c>
      <c r="G26" s="638">
        <f>11.12/1.28</f>
        <v>8.6875</v>
      </c>
      <c r="H26" s="639">
        <f t="shared" si="0"/>
        <v>180.01</v>
      </c>
      <c r="I26" s="7"/>
    </row>
    <row r="27" spans="2:9" s="8" customFormat="1">
      <c r="B27" s="634">
        <f t="shared" si="1"/>
        <v>15</v>
      </c>
      <c r="C27" s="635" t="str">
        <f>'Q-CX-Entrada'!$B$187</f>
        <v>Emboço</v>
      </c>
      <c r="D27" s="636">
        <f>'Q-CX-Entrada'!$E$195</f>
        <v>70120003</v>
      </c>
      <c r="E27" s="640" t="str">
        <f>'Q-CX-Entrada'!$D$195</f>
        <v>m²</v>
      </c>
      <c r="F27" s="637">
        <f>ROUND('Q-CX-Entrada'!$C$195,2)</f>
        <v>20.72</v>
      </c>
      <c r="G27" s="638">
        <f>56.73/1.28</f>
        <v>44.3203125</v>
      </c>
      <c r="H27" s="639">
        <f t="shared" si="0"/>
        <v>918.32</v>
      </c>
      <c r="I27" s="7"/>
    </row>
    <row r="28" spans="2:9" s="8" customFormat="1">
      <c r="B28" s="634">
        <f t="shared" si="1"/>
        <v>16</v>
      </c>
      <c r="C28" s="635" t="str">
        <f>'Q-CX-Entrada'!$B$198</f>
        <v>Reboco</v>
      </c>
      <c r="D28" s="636">
        <f>'Q-CX-Entrada'!$E$206</f>
        <v>70120004</v>
      </c>
      <c r="E28" s="640" t="str">
        <f>'Q-CX-Entrada'!$D$206</f>
        <v>m²</v>
      </c>
      <c r="F28" s="637">
        <f>ROUND('Q-CX-Entrada'!$C$206,2)</f>
        <v>20.72</v>
      </c>
      <c r="G28" s="638">
        <f>35.93/1.28</f>
        <v>28.0703125</v>
      </c>
      <c r="H28" s="639">
        <f t="shared" si="0"/>
        <v>581.62</v>
      </c>
      <c r="I28" s="7"/>
    </row>
    <row r="29" spans="2:9" s="8" customFormat="1" ht="25.5">
      <c r="B29" s="634">
        <f t="shared" si="1"/>
        <v>17</v>
      </c>
      <c r="C29" s="635" t="str">
        <f>'Q-CX-Entrada'!$B$211</f>
        <v>Pintura impermeabilizante, cinco demãos de poliuretano vegetal</v>
      </c>
      <c r="D29" s="636">
        <f>'Q-CX-Entrada'!$E$219</f>
        <v>70190171</v>
      </c>
      <c r="E29" s="640" t="str">
        <f>'Q-CX-Entrada'!$D$219</f>
        <v>m²</v>
      </c>
      <c r="F29" s="637">
        <f>ROUND('Q-CX-Entrada'!$C$219,2)</f>
        <v>32.72</v>
      </c>
      <c r="G29" s="638">
        <f>103.35/1.28</f>
        <v>80.7421875</v>
      </c>
      <c r="H29" s="639">
        <f t="shared" si="0"/>
        <v>2641.88</v>
      </c>
      <c r="I29" s="7"/>
    </row>
    <row r="30" spans="2:9" s="8" customFormat="1" ht="25.5">
      <c r="B30" s="634">
        <f t="shared" si="1"/>
        <v>18</v>
      </c>
      <c r="C30" s="635" t="str">
        <f>'Q-CX-Entrada'!$B$222</f>
        <v>Impermeabilização de superfície com emulsão asfáltica, 2 demãos</v>
      </c>
      <c r="D30" s="636">
        <f>'Q-CX-Entrada'!$E$239</f>
        <v>98557</v>
      </c>
      <c r="E30" s="640" t="str">
        <f>'Q-CX-Entrada'!$D$239</f>
        <v>m²</v>
      </c>
      <c r="F30" s="637">
        <f>ROUND('Q-CX-Entrada'!$C$239,2)</f>
        <v>27.46</v>
      </c>
      <c r="G30" s="638">
        <v>46.75</v>
      </c>
      <c r="H30" s="639">
        <f t="shared" si="0"/>
        <v>1283.76</v>
      </c>
      <c r="I30" s="7"/>
    </row>
    <row r="31" spans="2:9" s="8" customFormat="1" ht="12.75" customHeight="1">
      <c r="B31" s="191"/>
      <c r="C31" s="192"/>
      <c r="D31" s="191"/>
      <c r="E31" s="193"/>
      <c r="F31" s="194"/>
      <c r="G31" s="195"/>
      <c r="H31" s="196"/>
      <c r="I31" s="7"/>
    </row>
    <row r="32" spans="2:9" s="8" customFormat="1" ht="12.75" customHeight="1">
      <c r="B32" s="191"/>
      <c r="C32" s="192"/>
      <c r="D32" s="191"/>
      <c r="E32" s="193"/>
      <c r="F32" s="194"/>
      <c r="G32" s="195"/>
      <c r="H32" s="196"/>
      <c r="I32" s="7"/>
    </row>
    <row r="33" spans="2:12" s="8" customFormat="1" ht="12.75" customHeight="1">
      <c r="B33" s="192"/>
      <c r="C33" s="212"/>
      <c r="D33" s="198"/>
      <c r="E33" s="198"/>
      <c r="F33" s="193"/>
      <c r="G33" s="199" t="s">
        <v>134</v>
      </c>
      <c r="H33" s="200">
        <f>SUM(H13:H32)</f>
        <v>24719.429999999997</v>
      </c>
      <c r="I33" s="7"/>
    </row>
    <row r="34" spans="2:12" s="8" customFormat="1" ht="12.75" customHeight="1">
      <c r="B34" s="192"/>
      <c r="C34" s="212"/>
      <c r="D34" s="198"/>
      <c r="E34" s="198"/>
      <c r="F34" s="9"/>
      <c r="G34" s="9"/>
      <c r="H34" s="9"/>
      <c r="I34" s="7"/>
    </row>
    <row r="35" spans="2:12" ht="12.75" customHeight="1">
      <c r="F35" s="9"/>
      <c r="G35" s="9"/>
    </row>
    <row r="36" spans="2:12" s="203" customFormat="1">
      <c r="B36" s="229"/>
      <c r="C36" s="230"/>
      <c r="D36" s="231"/>
      <c r="E36" s="183"/>
      <c r="F36" s="9"/>
      <c r="G36" s="9"/>
      <c r="H36" s="9"/>
      <c r="J36" s="204"/>
      <c r="K36" s="204"/>
      <c r="L36" s="204"/>
    </row>
    <row r="37" spans="2:12" s="8" customFormat="1">
      <c r="B37" s="9"/>
      <c r="C37" s="9"/>
      <c r="D37" s="201"/>
      <c r="E37" s="201"/>
      <c r="F37" s="9"/>
      <c r="G37" s="9"/>
      <c r="H37" s="9"/>
      <c r="I37" s="204"/>
      <c r="J37" s="204"/>
      <c r="K37" s="204"/>
      <c r="L37" s="141"/>
    </row>
    <row r="38" spans="2:12">
      <c r="F38" s="9"/>
      <c r="G38" s="9"/>
    </row>
    <row r="47" spans="2:12" ht="15.75">
      <c r="C47" s="47"/>
      <c r="D47" s="47"/>
      <c r="E47" s="47"/>
      <c r="F47" s="47"/>
      <c r="G47" s="47"/>
      <c r="H47" s="47"/>
      <c r="I47" s="47"/>
      <c r="J47" s="47"/>
      <c r="K47" s="47"/>
      <c r="L47" s="47"/>
    </row>
    <row r="48" spans="2:12" s="47" customFormat="1" ht="15.75"/>
    <row r="49" s="47" customFormat="1" ht="15.75"/>
    <row r="50" s="47" customFormat="1" ht="15.75"/>
    <row r="51" s="47" customFormat="1" ht="15.75"/>
    <row r="52" s="47" customFormat="1" ht="15.75"/>
  </sheetData>
  <mergeCells count="2">
    <mergeCell ref="B3:H3"/>
    <mergeCell ref="C8:H8"/>
  </mergeCells>
  <printOptions horizontalCentered="1"/>
  <pageMargins left="0.78740157480314965" right="0.43307086614173229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477F&amp;C&amp;"Arial,Negrito"&amp;10B.&amp;P</oddFooter>
  </headerFooter>
  <legacyDrawingHF r:id="rId2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B3:L37"/>
  <sheetViews>
    <sheetView zoomScaleNormal="100" zoomScaleSheetLayoutView="120" workbookViewId="0">
      <selection activeCell="G29" sqref="G29:G30"/>
    </sheetView>
  </sheetViews>
  <sheetFormatPr defaultColWidth="9.140625" defaultRowHeight="12.75"/>
  <cols>
    <col min="1" max="1" width="36.85546875" style="204" customWidth="1"/>
    <col min="2" max="2" width="5" style="9" customWidth="1"/>
    <col min="3" max="3" width="41" style="9" customWidth="1"/>
    <col min="4" max="4" width="8" style="201" customWidth="1"/>
    <col min="5" max="5" width="5.7109375" style="201" customWidth="1"/>
    <col min="6" max="6" width="6.85546875" style="202" customWidth="1"/>
    <col min="7" max="7" width="11.5703125" style="201" customWidth="1"/>
    <col min="8" max="8" width="11.5703125" style="9" customWidth="1"/>
    <col min="9" max="9" width="10.5703125" style="203" bestFit="1" customWidth="1"/>
    <col min="10" max="16384" width="9.140625" style="204"/>
  </cols>
  <sheetData>
    <row r="3" spans="2:10" s="8" customFormat="1" ht="16.5" customHeight="1">
      <c r="B3" s="912" t="s">
        <v>123</v>
      </c>
      <c r="C3" s="912"/>
      <c r="D3" s="912"/>
      <c r="E3" s="912"/>
      <c r="F3" s="912"/>
      <c r="G3" s="912"/>
      <c r="H3" s="912"/>
    </row>
    <row r="4" spans="2:10" s="8" customFormat="1" ht="16.5" customHeight="1">
      <c r="B4" s="174"/>
      <c r="C4" s="174" t="s">
        <v>124</v>
      </c>
      <c r="D4" s="175" t="s">
        <v>125</v>
      </c>
      <c r="E4" s="176" t="s">
        <v>126</v>
      </c>
      <c r="F4" s="175">
        <v>2023</v>
      </c>
      <c r="G4" s="177" t="s">
        <v>913</v>
      </c>
      <c r="H4" s="178"/>
    </row>
    <row r="5" spans="2:10" s="8" customFormat="1" ht="16.5" customHeight="1">
      <c r="B5" s="174"/>
      <c r="C5" s="174"/>
      <c r="D5" s="175" t="s">
        <v>5</v>
      </c>
      <c r="E5" s="176"/>
      <c r="F5" s="175">
        <v>2023</v>
      </c>
      <c r="G5" s="177" t="s">
        <v>913</v>
      </c>
      <c r="H5" s="178"/>
    </row>
    <row r="6" spans="2:10" s="8" customFormat="1" ht="16.5" customHeight="1">
      <c r="B6" s="174"/>
      <c r="C6" s="177" t="s">
        <v>127</v>
      </c>
      <c r="D6" s="175"/>
      <c r="E6" s="176"/>
      <c r="F6" s="175"/>
      <c r="G6" s="177"/>
      <c r="H6" s="178"/>
    </row>
    <row r="7" spans="2:10" s="8" customFormat="1" ht="16.5" customHeight="1">
      <c r="B7" s="174"/>
      <c r="C7" s="177" t="s">
        <v>704</v>
      </c>
      <c r="D7" s="175"/>
      <c r="E7" s="176"/>
      <c r="F7" s="175"/>
      <c r="G7" s="177"/>
      <c r="H7" s="178"/>
    </row>
    <row r="8" spans="2:10" s="8" customFormat="1" ht="30" customHeight="1">
      <c r="C8" s="913" t="str">
        <f>'Q-Bloco Apoio'!$B$3</f>
        <v>Bloco de apoio 0,60m x 0,60m x 0,20m</v>
      </c>
      <c r="D8" s="913"/>
      <c r="E8" s="913"/>
      <c r="F8" s="913"/>
      <c r="G8" s="913"/>
      <c r="H8" s="913"/>
    </row>
    <row r="9" spans="2:10" s="8" customFormat="1" ht="12.75" customHeight="1">
      <c r="B9" s="179"/>
      <c r="C9" s="179"/>
      <c r="D9" s="180"/>
      <c r="E9" s="180"/>
      <c r="F9" s="180"/>
      <c r="G9" s="179"/>
      <c r="H9" s="179"/>
    </row>
    <row r="10" spans="2:10" s="8" customFormat="1" ht="12.75" customHeight="1">
      <c r="B10" s="181" t="s">
        <v>128</v>
      </c>
      <c r="C10" s="181" t="s">
        <v>8</v>
      </c>
      <c r="D10" s="180"/>
      <c r="E10" s="180"/>
      <c r="F10" s="180"/>
      <c r="G10" s="179"/>
      <c r="H10" s="179"/>
    </row>
    <row r="11" spans="2:10" s="8" customFormat="1" ht="12.75" customHeight="1">
      <c r="B11" s="182"/>
      <c r="C11" s="182"/>
      <c r="D11" s="183"/>
      <c r="E11" s="183"/>
      <c r="F11" s="183"/>
      <c r="G11" s="182"/>
      <c r="H11" s="182"/>
    </row>
    <row r="12" spans="2:10" s="8" customFormat="1" ht="25.5" customHeight="1">
      <c r="B12" s="184" t="s">
        <v>25</v>
      </c>
      <c r="C12" s="184" t="s">
        <v>129</v>
      </c>
      <c r="D12" s="185" t="s">
        <v>26</v>
      </c>
      <c r="E12" s="184" t="s">
        <v>130</v>
      </c>
      <c r="F12" s="184" t="s">
        <v>131</v>
      </c>
      <c r="G12" s="185" t="s">
        <v>132</v>
      </c>
      <c r="H12" s="185" t="s">
        <v>133</v>
      </c>
      <c r="J12" s="9">
        <v>1.28</v>
      </c>
    </row>
    <row r="13" spans="2:10" s="8" customFormat="1">
      <c r="B13" s="634">
        <v>1</v>
      </c>
      <c r="C13" s="635" t="str">
        <f>'Q-Bloco Apoio'!$B$14</f>
        <v>Fôrma plana de madeira - estrutura</v>
      </c>
      <c r="D13" s="636">
        <f>'Q-Bloco Apoio'!$E$21</f>
        <v>70070127</v>
      </c>
      <c r="E13" s="636" t="str">
        <f>'Q-Bloco Apoio'!$D$21</f>
        <v>m²</v>
      </c>
      <c r="F13" s="637">
        <f>ROUND('Q-Bloco Apoio'!$C$21,2)</f>
        <v>0.48</v>
      </c>
      <c r="G13" s="638">
        <f>162.39/1.28</f>
        <v>126.86718749999999</v>
      </c>
      <c r="H13" s="639">
        <f>ROUND(G13*F13,2)</f>
        <v>60.9</v>
      </c>
      <c r="I13" s="7"/>
    </row>
    <row r="14" spans="2:10" s="8" customFormat="1" ht="25.5" customHeight="1">
      <c r="B14" s="634">
        <f>B13+1</f>
        <v>2</v>
      </c>
      <c r="C14" s="635" t="str">
        <f>'Q-Bloco Apoio'!$B$24</f>
        <v>Concreto estrutural p/ estruturas em contato com água bruta, água tratada, solo e gases agressivos, FCK = 30,0 MPa</v>
      </c>
      <c r="D14" s="636">
        <f>'Q-Bloco Apoio'!$E$31</f>
        <v>70070147</v>
      </c>
      <c r="E14" s="636" t="str">
        <f>'Q-Bloco Apoio'!$D$31</f>
        <v>m³</v>
      </c>
      <c r="F14" s="637">
        <f>ROUND('Q-Bloco Apoio'!$C$31,2)</f>
        <v>7.0000000000000007E-2</v>
      </c>
      <c r="G14" s="638">
        <f>739.38/1.28</f>
        <v>577.640625</v>
      </c>
      <c r="H14" s="639">
        <f>ROUND(G14*F14,2)</f>
        <v>40.43</v>
      </c>
      <c r="I14" s="7"/>
    </row>
    <row r="15" spans="2:10" s="8" customFormat="1">
      <c r="B15" s="634">
        <f>B14+1</f>
        <v>3</v>
      </c>
      <c r="C15" s="635" t="str">
        <f>'Q-Bloco Apoio'!$B$36</f>
        <v>Pintura com verniz acrílico em concreto aparente</v>
      </c>
      <c r="D15" s="636">
        <f>'Q-Bloco Apoio'!$E$43</f>
        <v>70120057</v>
      </c>
      <c r="E15" s="640" t="str">
        <f>'Q-Bloco Apoio'!$D$43</f>
        <v>m²</v>
      </c>
      <c r="F15" s="637">
        <f>ROUND('Q-Bloco Apoio'!$C$43,2)</f>
        <v>0.48</v>
      </c>
      <c r="G15" s="638">
        <f>33.23/1.28</f>
        <v>25.960937499999996</v>
      </c>
      <c r="H15" s="639">
        <f>ROUND(G15*F15,2)</f>
        <v>12.46</v>
      </c>
      <c r="I15" s="7"/>
    </row>
    <row r="16" spans="2:10" s="8" customFormat="1" ht="12.75" customHeight="1">
      <c r="B16" s="191"/>
      <c r="C16" s="192"/>
      <c r="D16" s="191"/>
      <c r="E16" s="193"/>
      <c r="F16" s="194"/>
      <c r="G16" s="195"/>
      <c r="H16" s="196"/>
      <c r="I16" s="7"/>
    </row>
    <row r="17" spans="2:12" s="8" customFormat="1" ht="12.75" customHeight="1">
      <c r="B17" s="191"/>
      <c r="C17" s="192"/>
      <c r="D17" s="191"/>
      <c r="E17" s="193"/>
      <c r="F17" s="194"/>
      <c r="G17" s="195"/>
      <c r="H17" s="196"/>
      <c r="I17" s="7"/>
    </row>
    <row r="18" spans="2:12" s="8" customFormat="1" ht="12.75" customHeight="1">
      <c r="B18" s="192"/>
      <c r="C18" s="212"/>
      <c r="D18" s="198"/>
      <c r="E18" s="198"/>
      <c r="F18" s="193"/>
      <c r="G18" s="199" t="s">
        <v>134</v>
      </c>
      <c r="H18" s="200">
        <f>SUM(H13:H17)</f>
        <v>113.78999999999999</v>
      </c>
      <c r="I18" s="7"/>
    </row>
    <row r="19" spans="2:12" s="8" customFormat="1" ht="12.75" customHeight="1">
      <c r="B19" s="192"/>
      <c r="C19" s="212"/>
      <c r="D19" s="198"/>
      <c r="E19" s="198"/>
      <c r="F19" s="9"/>
      <c r="G19" s="9"/>
      <c r="H19" s="9"/>
      <c r="I19" s="7"/>
    </row>
    <row r="20" spans="2:12" ht="12.75" customHeight="1">
      <c r="F20" s="9"/>
      <c r="G20" s="9"/>
    </row>
    <row r="21" spans="2:12" s="203" customFormat="1">
      <c r="B21" s="229"/>
      <c r="C21" s="230"/>
      <c r="D21" s="231"/>
      <c r="E21" s="183"/>
      <c r="F21" s="9"/>
      <c r="G21" s="9"/>
      <c r="H21" s="9"/>
      <c r="J21" s="204"/>
      <c r="K21" s="204"/>
      <c r="L21" s="204"/>
    </row>
    <row r="22" spans="2:12" s="8" customFormat="1">
      <c r="B22" s="9"/>
      <c r="C22" s="9"/>
      <c r="D22" s="201"/>
      <c r="E22" s="201"/>
      <c r="F22" s="9"/>
      <c r="G22" s="9"/>
      <c r="H22" s="9"/>
      <c r="I22" s="204"/>
      <c r="J22" s="204"/>
      <c r="K22" s="204"/>
      <c r="L22" s="141"/>
    </row>
    <row r="23" spans="2:12">
      <c r="F23" s="9"/>
      <c r="G23" s="9"/>
    </row>
    <row r="32" spans="2:12" ht="15.75">
      <c r="C32" s="47"/>
      <c r="D32" s="47"/>
      <c r="E32" s="47"/>
      <c r="F32" s="47"/>
      <c r="G32" s="47"/>
      <c r="H32" s="47"/>
      <c r="I32" s="47"/>
      <c r="J32" s="47"/>
      <c r="K32" s="47"/>
      <c r="L32" s="47"/>
    </row>
    <row r="33" s="47" customFormat="1" ht="15.75"/>
    <row r="34" s="47" customFormat="1" ht="15.75"/>
    <row r="35" s="47" customFormat="1" ht="15.75"/>
    <row r="36" s="47" customFormat="1" ht="15.75"/>
    <row r="37" s="47" customFormat="1" ht="15.75"/>
  </sheetData>
  <mergeCells count="2">
    <mergeCell ref="B3:H3"/>
    <mergeCell ref="C8:H8"/>
  </mergeCells>
  <printOptions horizontalCentered="1"/>
  <pageMargins left="0.78740157480314965" right="0.43307086614173229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477F&amp;C&amp;"Arial,Negrito"&amp;10B.&amp;P</oddFooter>
  </headerFooter>
  <legacyDrawingHF r:id="rId2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B3:N52"/>
  <sheetViews>
    <sheetView zoomScaleNormal="100" zoomScaleSheetLayoutView="120" workbookViewId="0">
      <selection activeCell="G29" sqref="G29:G30"/>
    </sheetView>
  </sheetViews>
  <sheetFormatPr defaultColWidth="9.140625" defaultRowHeight="12.75"/>
  <cols>
    <col min="1" max="1" width="36.85546875" style="204" customWidth="1"/>
    <col min="2" max="2" width="5" style="9" customWidth="1"/>
    <col min="3" max="3" width="41" style="9" customWidth="1"/>
    <col min="4" max="4" width="8" style="201" customWidth="1"/>
    <col min="5" max="5" width="5.7109375" style="201" customWidth="1"/>
    <col min="6" max="6" width="6.85546875" style="202" customWidth="1"/>
    <col min="7" max="7" width="11.5703125" style="201" customWidth="1"/>
    <col min="8" max="8" width="11.5703125" style="9" customWidth="1"/>
    <col min="9" max="9" width="10.5703125" style="203" bestFit="1" customWidth="1"/>
    <col min="10" max="16384" width="9.140625" style="204"/>
  </cols>
  <sheetData>
    <row r="3" spans="2:14" s="8" customFormat="1" ht="16.5" customHeight="1">
      <c r="B3" s="912" t="s">
        <v>123</v>
      </c>
      <c r="C3" s="912"/>
      <c r="D3" s="912"/>
      <c r="E3" s="912"/>
      <c r="F3" s="912"/>
      <c r="G3" s="912"/>
      <c r="H3" s="912"/>
    </row>
    <row r="4" spans="2:14" s="8" customFormat="1" ht="16.5" customHeight="1">
      <c r="B4" s="174"/>
      <c r="C4" s="174" t="s">
        <v>124</v>
      </c>
      <c r="D4" s="175" t="s">
        <v>125</v>
      </c>
      <c r="E4" s="176" t="s">
        <v>126</v>
      </c>
      <c r="F4" s="175">
        <v>2023</v>
      </c>
      <c r="G4" s="177" t="s">
        <v>913</v>
      </c>
      <c r="H4" s="178"/>
    </row>
    <row r="5" spans="2:14" s="8" customFormat="1" ht="16.5" customHeight="1">
      <c r="B5" s="174"/>
      <c r="C5" s="174"/>
      <c r="D5" s="175" t="s">
        <v>5</v>
      </c>
      <c r="E5" s="176"/>
      <c r="F5" s="175">
        <v>2023</v>
      </c>
      <c r="G5" s="177" t="s">
        <v>913</v>
      </c>
      <c r="H5" s="178"/>
    </row>
    <row r="6" spans="2:14" s="8" customFormat="1" ht="16.5" customHeight="1">
      <c r="B6" s="174"/>
      <c r="C6" s="177" t="s">
        <v>127</v>
      </c>
      <c r="D6" s="175"/>
      <c r="E6" s="176"/>
      <c r="F6" s="175"/>
      <c r="G6" s="177"/>
      <c r="H6" s="178"/>
    </row>
    <row r="7" spans="2:14" s="8" customFormat="1" ht="16.5" customHeight="1">
      <c r="B7" s="174"/>
      <c r="C7" s="177" t="s">
        <v>427</v>
      </c>
      <c r="D7" s="175"/>
      <c r="E7" s="176"/>
      <c r="F7" s="175"/>
      <c r="G7" s="177"/>
      <c r="H7" s="178"/>
    </row>
    <row r="8" spans="2:14" s="8" customFormat="1" ht="30" customHeight="1">
      <c r="C8" s="913" t="s">
        <v>421</v>
      </c>
      <c r="D8" s="913"/>
      <c r="E8" s="913"/>
      <c r="F8" s="913"/>
      <c r="G8" s="913"/>
      <c r="H8" s="913"/>
    </row>
    <row r="9" spans="2:14" s="8" customFormat="1" ht="12.75" customHeight="1">
      <c r="B9" s="179"/>
      <c r="C9" s="179"/>
      <c r="D9" s="180"/>
      <c r="E9" s="180"/>
      <c r="F9" s="180"/>
      <c r="G9" s="179"/>
      <c r="H9" s="179"/>
    </row>
    <row r="10" spans="2:14" s="8" customFormat="1" ht="12.75" customHeight="1">
      <c r="B10" s="181" t="s">
        <v>128</v>
      </c>
      <c r="C10" s="181" t="s">
        <v>8</v>
      </c>
      <c r="D10" s="180"/>
      <c r="E10" s="180"/>
      <c r="F10" s="180"/>
      <c r="G10" s="179"/>
      <c r="H10" s="179"/>
    </row>
    <row r="11" spans="2:14" s="8" customFormat="1" ht="12.75" customHeight="1">
      <c r="B11" s="182"/>
      <c r="C11" s="182"/>
      <c r="D11" s="183"/>
      <c r="E11" s="183"/>
      <c r="F11" s="183"/>
      <c r="G11" s="182"/>
      <c r="H11" s="182"/>
    </row>
    <row r="12" spans="2:14" s="8" customFormat="1" ht="25.5" customHeight="1">
      <c r="B12" s="184" t="s">
        <v>25</v>
      </c>
      <c r="C12" s="184" t="s">
        <v>129</v>
      </c>
      <c r="D12" s="185" t="s">
        <v>26</v>
      </c>
      <c r="E12" s="184" t="s">
        <v>130</v>
      </c>
      <c r="F12" s="184" t="s">
        <v>131</v>
      </c>
      <c r="G12" s="185" t="s">
        <v>132</v>
      </c>
      <c r="H12" s="185" t="s">
        <v>133</v>
      </c>
    </row>
    <row r="13" spans="2:14" s="8" customFormat="1">
      <c r="B13" s="571">
        <v>1</v>
      </c>
      <c r="C13" s="635" t="s">
        <v>422</v>
      </c>
      <c r="D13" s="641">
        <v>4229</v>
      </c>
      <c r="E13" s="642" t="s">
        <v>61</v>
      </c>
      <c r="F13" s="642">
        <f>ROUND(1*0.4,2)</f>
        <v>0.4</v>
      </c>
      <c r="G13" s="643">
        <v>45.58</v>
      </c>
      <c r="H13" s="639">
        <f>ROUND(G13*F13,2)</f>
        <v>18.23</v>
      </c>
      <c r="I13" s="7"/>
      <c r="J13" s="141"/>
      <c r="K13" s="141"/>
    </row>
    <row r="14" spans="2:14" s="8" customFormat="1" ht="25.5">
      <c r="B14" s="571">
        <f>B13+1</f>
        <v>2</v>
      </c>
      <c r="C14" s="635" t="s">
        <v>423</v>
      </c>
      <c r="D14" s="644">
        <v>154</v>
      </c>
      <c r="E14" s="645" t="s">
        <v>424</v>
      </c>
      <c r="F14" s="646">
        <f>ROUND(($F$15*($D$24/1000))/1,2)</f>
        <v>0.85</v>
      </c>
      <c r="G14" s="643">
        <v>72.09</v>
      </c>
      <c r="H14" s="639">
        <f t="shared" ref="H14:H17" si="0">ROUND(G14*F14,2)</f>
        <v>61.28</v>
      </c>
      <c r="I14" s="7"/>
      <c r="J14" s="141"/>
      <c r="K14" s="141"/>
    </row>
    <row r="15" spans="2:14" s="8" customFormat="1" ht="25.5">
      <c r="B15" s="571">
        <f t="shared" ref="B15:B17" si="1">B14+1</f>
        <v>3</v>
      </c>
      <c r="C15" s="635" t="s">
        <v>425</v>
      </c>
      <c r="D15" s="644">
        <v>44507</v>
      </c>
      <c r="E15" s="645" t="s">
        <v>1</v>
      </c>
      <c r="F15" s="645">
        <f>ROUND(2*PI()*(0.6/2)*1,2)</f>
        <v>1.88</v>
      </c>
      <c r="G15" s="647">
        <v>26.94</v>
      </c>
      <c r="H15" s="639">
        <f t="shared" si="0"/>
        <v>50.65</v>
      </c>
      <c r="I15" s="7"/>
      <c r="J15" s="141"/>
      <c r="K15" s="141"/>
      <c r="L15" s="204"/>
    </row>
    <row r="16" spans="2:14" s="8" customFormat="1" ht="25.5">
      <c r="B16" s="571">
        <f t="shared" si="1"/>
        <v>4</v>
      </c>
      <c r="C16" s="635" t="s">
        <v>426</v>
      </c>
      <c r="D16" s="644">
        <v>3313</v>
      </c>
      <c r="E16" s="645" t="s">
        <v>61</v>
      </c>
      <c r="F16" s="645">
        <f>ROUND((PI()*1)*4*2*0.027,2)</f>
        <v>0.68</v>
      </c>
      <c r="G16" s="647">
        <v>31.29</v>
      </c>
      <c r="H16" s="639">
        <f t="shared" si="0"/>
        <v>21.28</v>
      </c>
      <c r="I16" s="7"/>
      <c r="J16" s="141"/>
      <c r="K16" s="9"/>
      <c r="L16" s="9"/>
      <c r="M16" s="9"/>
      <c r="N16" s="9"/>
    </row>
    <row r="17" spans="2:14" s="8" customFormat="1">
      <c r="B17" s="571">
        <f t="shared" si="1"/>
        <v>5</v>
      </c>
      <c r="C17" s="635" t="s">
        <v>307</v>
      </c>
      <c r="D17" s="644">
        <v>88277</v>
      </c>
      <c r="E17" s="645" t="s">
        <v>107</v>
      </c>
      <c r="F17" s="645">
        <f>ROUND(0.5*4,2)</f>
        <v>2</v>
      </c>
      <c r="G17" s="647">
        <v>29.41</v>
      </c>
      <c r="H17" s="639">
        <f t="shared" si="0"/>
        <v>58.82</v>
      </c>
      <c r="I17" s="7"/>
      <c r="J17" s="141"/>
      <c r="K17" s="9"/>
      <c r="L17" s="9"/>
      <c r="M17" s="9"/>
      <c r="N17" s="9"/>
    </row>
    <row r="18" spans="2:14" s="8" customFormat="1" ht="12.75" customHeight="1">
      <c r="B18" s="191"/>
      <c r="C18" s="192"/>
      <c r="D18" s="191"/>
      <c r="E18" s="193"/>
      <c r="F18" s="194"/>
      <c r="G18" s="195"/>
      <c r="H18" s="196"/>
      <c r="I18" s="7"/>
      <c r="K18" s="9"/>
      <c r="L18" s="9"/>
      <c r="M18" s="9"/>
      <c r="N18" s="9"/>
    </row>
    <row r="19" spans="2:14" s="8" customFormat="1" ht="12.75" customHeight="1">
      <c r="B19" s="191"/>
      <c r="C19" s="192"/>
      <c r="D19" s="191"/>
      <c r="E19" s="193"/>
      <c r="F19" s="194"/>
      <c r="G19" s="195"/>
      <c r="H19" s="196"/>
      <c r="I19" s="7"/>
      <c r="K19" s="9"/>
      <c r="L19" s="9"/>
      <c r="M19" s="9"/>
      <c r="N19" s="9"/>
    </row>
    <row r="20" spans="2:14" s="8" customFormat="1" ht="12.75" customHeight="1">
      <c r="B20" s="192"/>
      <c r="C20" s="212"/>
      <c r="D20" s="198"/>
      <c r="E20" s="198"/>
      <c r="F20" s="193"/>
      <c r="G20" s="199" t="s">
        <v>134</v>
      </c>
      <c r="H20" s="200">
        <f>SUM(H13:H19)</f>
        <v>210.26</v>
      </c>
      <c r="I20" s="7"/>
      <c r="K20" s="9"/>
      <c r="L20" s="9"/>
      <c r="M20" s="273"/>
      <c r="N20" s="273"/>
    </row>
    <row r="21" spans="2:14" s="8" customFormat="1" ht="12.75" customHeight="1">
      <c r="B21" s="198"/>
      <c r="C21" s="212"/>
      <c r="D21" s="198"/>
      <c r="E21" s="198"/>
      <c r="F21" s="198"/>
      <c r="G21" s="198"/>
      <c r="H21" s="198"/>
      <c r="I21" s="7"/>
    </row>
    <row r="22" spans="2:14" s="202" customFormat="1">
      <c r="B22" s="9"/>
      <c r="C22" s="914" t="s">
        <v>137</v>
      </c>
      <c r="D22" s="914"/>
      <c r="E22" s="914"/>
      <c r="G22" s="201"/>
      <c r="H22" s="9"/>
      <c r="I22" s="203"/>
      <c r="J22" s="204"/>
      <c r="K22" s="204"/>
      <c r="L22" s="204"/>
    </row>
    <row r="23" spans="2:14" s="202" customFormat="1">
      <c r="B23" s="9"/>
      <c r="C23" s="212"/>
      <c r="D23" s="296"/>
      <c r="E23" s="198"/>
      <c r="G23" s="201"/>
      <c r="H23" s="9"/>
      <c r="I23" s="203"/>
      <c r="J23" s="204"/>
      <c r="K23" s="204"/>
      <c r="L23" s="204"/>
    </row>
    <row r="24" spans="2:14" s="8" customFormat="1">
      <c r="B24" s="289"/>
      <c r="C24" s="297" t="s">
        <v>429</v>
      </c>
      <c r="D24" s="648">
        <v>450</v>
      </c>
      <c r="E24" s="207" t="s">
        <v>428</v>
      </c>
      <c r="F24" s="290"/>
      <c r="G24" s="291"/>
      <c r="H24" s="292"/>
      <c r="I24" s="7"/>
      <c r="J24" s="9"/>
      <c r="K24" s="9"/>
      <c r="L24" s="9"/>
      <c r="M24" s="9"/>
    </row>
    <row r="25" spans="2:14" s="8" customFormat="1">
      <c r="B25" s="289"/>
      <c r="C25" s="297"/>
      <c r="D25" s="298"/>
      <c r="E25" s="207"/>
      <c r="F25" s="290"/>
      <c r="G25" s="291"/>
      <c r="H25" s="292"/>
      <c r="I25" s="7"/>
      <c r="J25" s="9"/>
      <c r="K25" s="9"/>
      <c r="L25" s="9"/>
      <c r="M25" s="9"/>
    </row>
    <row r="26" spans="2:14" s="8" customFormat="1">
      <c r="B26" s="289"/>
      <c r="C26" s="297"/>
      <c r="D26" s="298"/>
      <c r="E26" s="207"/>
      <c r="F26" s="290"/>
      <c r="G26" s="291"/>
      <c r="H26" s="292"/>
      <c r="I26" s="7"/>
      <c r="J26" s="9"/>
      <c r="K26" s="9"/>
      <c r="L26" s="9"/>
      <c r="M26" s="9"/>
    </row>
    <row r="27" spans="2:14" s="8" customFormat="1" ht="12.75" customHeight="1">
      <c r="C27" s="210"/>
      <c r="D27" s="210"/>
      <c r="E27" s="210"/>
      <c r="F27" s="293"/>
      <c r="G27" s="294"/>
      <c r="H27" s="295"/>
      <c r="I27" s="7"/>
    </row>
    <row r="29" spans="2:14" s="8" customFormat="1" ht="16.5" customHeight="1">
      <c r="B29" s="174"/>
      <c r="C29" s="177"/>
      <c r="D29" s="175"/>
      <c r="E29" s="176"/>
      <c r="F29" s="175"/>
      <c r="G29" s="177"/>
      <c r="H29" s="178"/>
    </row>
    <row r="30" spans="2:14" s="8" customFormat="1" ht="12.75" customHeight="1">
      <c r="B30" s="179"/>
      <c r="C30" s="179"/>
      <c r="D30" s="180"/>
      <c r="E30" s="180"/>
      <c r="F30" s="180"/>
      <c r="G30" s="179"/>
      <c r="H30" s="179"/>
      <c r="I30" s="7"/>
      <c r="J30" s="141"/>
      <c r="L30" s="141"/>
    </row>
    <row r="31" spans="2:14" s="8" customFormat="1" ht="12.75" customHeight="1">
      <c r="B31" s="182"/>
      <c r="C31" s="182"/>
      <c r="D31" s="183"/>
      <c r="E31" s="183"/>
      <c r="F31" s="183"/>
      <c r="G31" s="182"/>
      <c r="H31" s="182"/>
      <c r="I31" s="7"/>
      <c r="L31" s="204"/>
    </row>
    <row r="32" spans="2:14" s="8" customFormat="1" ht="12.75" customHeight="1">
      <c r="B32" s="191"/>
      <c r="C32" s="192"/>
      <c r="D32" s="191"/>
      <c r="E32" s="193"/>
      <c r="F32" s="9"/>
      <c r="G32" s="9"/>
      <c r="H32" s="9"/>
      <c r="I32" s="7"/>
    </row>
    <row r="33" spans="2:12" s="8" customFormat="1" ht="12.75" customHeight="1">
      <c r="B33" s="191"/>
      <c r="C33" s="192"/>
      <c r="D33" s="191"/>
      <c r="E33" s="193"/>
      <c r="F33" s="9"/>
      <c r="G33" s="9"/>
      <c r="H33" s="9"/>
      <c r="I33" s="7"/>
    </row>
    <row r="34" spans="2:12" s="8" customFormat="1" ht="12.75" customHeight="1">
      <c r="B34" s="192"/>
      <c r="C34" s="212"/>
      <c r="D34" s="198"/>
      <c r="E34" s="198"/>
      <c r="F34" s="9"/>
      <c r="G34" s="9"/>
      <c r="H34" s="9"/>
      <c r="I34" s="7"/>
    </row>
    <row r="35" spans="2:12" ht="12.75" customHeight="1">
      <c r="F35" s="9"/>
      <c r="G35" s="9"/>
    </row>
    <row r="36" spans="2:12" s="203" customFormat="1">
      <c r="B36" s="229"/>
      <c r="C36" s="230"/>
      <c r="D36" s="231"/>
      <c r="E36" s="183"/>
      <c r="F36" s="9"/>
      <c r="G36" s="9"/>
      <c r="H36" s="9"/>
      <c r="J36" s="204"/>
      <c r="K36" s="204"/>
      <c r="L36" s="204"/>
    </row>
    <row r="37" spans="2:12" s="8" customFormat="1">
      <c r="B37" s="9"/>
      <c r="C37" s="9"/>
      <c r="D37" s="201"/>
      <c r="E37" s="201"/>
      <c r="F37" s="9"/>
      <c r="G37" s="9"/>
      <c r="H37" s="9"/>
      <c r="I37" s="204"/>
      <c r="J37" s="204"/>
      <c r="K37" s="204"/>
      <c r="L37" s="141"/>
    </row>
    <row r="38" spans="2:12">
      <c r="F38" s="9"/>
      <c r="G38" s="9"/>
    </row>
    <row r="47" spans="2:12" ht="15.75">
      <c r="C47" s="47"/>
      <c r="D47" s="47"/>
      <c r="E47" s="47"/>
      <c r="F47" s="47"/>
      <c r="G47" s="47"/>
      <c r="H47" s="47"/>
      <c r="I47" s="47"/>
      <c r="J47" s="47"/>
      <c r="K47" s="47"/>
      <c r="L47" s="47"/>
    </row>
    <row r="48" spans="2:12" s="47" customFormat="1" ht="15.75"/>
    <row r="49" s="47" customFormat="1" ht="15.75"/>
    <row r="50" s="47" customFormat="1" ht="15.75"/>
    <row r="51" s="47" customFormat="1" ht="15.75"/>
    <row r="52" s="47" customFormat="1" ht="15.75"/>
  </sheetData>
  <mergeCells count="3">
    <mergeCell ref="B3:H3"/>
    <mergeCell ref="C8:H8"/>
    <mergeCell ref="C22:E22"/>
  </mergeCells>
  <printOptions horizontalCentered="1"/>
  <pageMargins left="0.78740157480314965" right="0.43307086614173229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477F&amp;C&amp;"Arial,Negrito"&amp;10B.&amp;P</oddFooter>
  </headerFooter>
  <legacyDrawingHF r:id="rId2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B3:O43"/>
  <sheetViews>
    <sheetView zoomScaleNormal="100" zoomScaleSheetLayoutView="120" workbookViewId="0">
      <selection activeCell="G29" sqref="G29:G30"/>
    </sheetView>
  </sheetViews>
  <sheetFormatPr defaultColWidth="9.140625" defaultRowHeight="12.75"/>
  <cols>
    <col min="1" max="1" width="36.85546875" style="204" customWidth="1"/>
    <col min="2" max="2" width="5" style="9" customWidth="1"/>
    <col min="3" max="3" width="41" style="9" customWidth="1"/>
    <col min="4" max="4" width="8" style="201" customWidth="1"/>
    <col min="5" max="5" width="5.7109375" style="201" customWidth="1"/>
    <col min="6" max="6" width="6.85546875" style="202" customWidth="1"/>
    <col min="7" max="7" width="11.5703125" style="201" customWidth="1"/>
    <col min="8" max="8" width="11.5703125" style="9" customWidth="1"/>
    <col min="9" max="9" width="10.5703125" style="203" bestFit="1" customWidth="1"/>
    <col min="10" max="16384" width="9.140625" style="204"/>
  </cols>
  <sheetData>
    <row r="3" spans="2:11" s="8" customFormat="1" ht="16.5" customHeight="1">
      <c r="B3" s="912" t="s">
        <v>123</v>
      </c>
      <c r="C3" s="912"/>
      <c r="D3" s="912"/>
      <c r="E3" s="912"/>
      <c r="F3" s="912"/>
      <c r="G3" s="912"/>
      <c r="H3" s="912"/>
    </row>
    <row r="4" spans="2:11" s="8" customFormat="1" ht="16.5" customHeight="1">
      <c r="B4" s="174"/>
      <c r="C4" s="174" t="s">
        <v>124</v>
      </c>
      <c r="D4" s="175" t="s">
        <v>125</v>
      </c>
      <c r="E4" s="176" t="s">
        <v>126</v>
      </c>
      <c r="F4" s="175">
        <v>2023</v>
      </c>
      <c r="G4" s="177" t="s">
        <v>913</v>
      </c>
      <c r="H4" s="178"/>
    </row>
    <row r="5" spans="2:11" s="8" customFormat="1" ht="16.5" customHeight="1">
      <c r="B5" s="174"/>
      <c r="C5" s="174"/>
      <c r="D5" s="175" t="s">
        <v>5</v>
      </c>
      <c r="E5" s="176"/>
      <c r="F5" s="175">
        <v>2023</v>
      </c>
      <c r="G5" s="177" t="s">
        <v>913</v>
      </c>
      <c r="H5" s="178"/>
    </row>
    <row r="6" spans="2:11" s="8" customFormat="1" ht="16.5" customHeight="1">
      <c r="B6" s="174"/>
      <c r="C6" s="177" t="s">
        <v>127</v>
      </c>
      <c r="D6" s="175"/>
      <c r="E6" s="176"/>
      <c r="F6" s="175"/>
      <c r="G6" s="177"/>
      <c r="H6" s="178"/>
    </row>
    <row r="7" spans="2:11" s="8" customFormat="1" ht="16.5" customHeight="1">
      <c r="B7" s="174"/>
      <c r="C7" s="177" t="s">
        <v>143</v>
      </c>
      <c r="D7" s="175"/>
      <c r="E7" s="176"/>
      <c r="F7" s="175"/>
      <c r="G7" s="177"/>
      <c r="H7" s="178"/>
    </row>
    <row r="8" spans="2:11" s="8" customFormat="1" ht="30" customHeight="1">
      <c r="C8" s="913" t="s">
        <v>723</v>
      </c>
      <c r="D8" s="913"/>
      <c r="E8" s="913"/>
      <c r="F8" s="913"/>
      <c r="G8" s="913"/>
      <c r="H8" s="913"/>
    </row>
    <row r="9" spans="2:11" s="8" customFormat="1" ht="12.75" customHeight="1">
      <c r="B9" s="179"/>
      <c r="C9" s="179"/>
      <c r="D9" s="180"/>
      <c r="E9" s="180"/>
      <c r="F9" s="180"/>
      <c r="G9" s="179"/>
      <c r="H9" s="179"/>
    </row>
    <row r="10" spans="2:11" s="8" customFormat="1" ht="12.75" customHeight="1">
      <c r="B10" s="181" t="s">
        <v>128</v>
      </c>
      <c r="C10" s="181" t="s">
        <v>722</v>
      </c>
      <c r="D10" s="180"/>
      <c r="E10" s="180"/>
      <c r="F10" s="180"/>
      <c r="G10" s="179"/>
      <c r="H10" s="179"/>
    </row>
    <row r="11" spans="2:11" s="8" customFormat="1" ht="12.75" customHeight="1">
      <c r="B11" s="182"/>
      <c r="C11" s="182"/>
      <c r="D11" s="183"/>
      <c r="E11" s="183"/>
      <c r="F11" s="183"/>
      <c r="G11" s="182"/>
      <c r="H11" s="182"/>
    </row>
    <row r="12" spans="2:11" s="8" customFormat="1" ht="25.5" customHeight="1">
      <c r="B12" s="184" t="s">
        <v>25</v>
      </c>
      <c r="C12" s="184" t="s">
        <v>129</v>
      </c>
      <c r="D12" s="185" t="s">
        <v>26</v>
      </c>
      <c r="E12" s="184" t="s">
        <v>130</v>
      </c>
      <c r="F12" s="184" t="s">
        <v>131</v>
      </c>
      <c r="G12" s="185" t="s">
        <v>132</v>
      </c>
      <c r="H12" s="185" t="s">
        <v>133</v>
      </c>
    </row>
    <row r="13" spans="2:11" s="8" customFormat="1" ht="25.5">
      <c r="B13" s="186">
        <v>1</v>
      </c>
      <c r="C13" s="187" t="s">
        <v>144</v>
      </c>
      <c r="D13" s="649">
        <v>88277</v>
      </c>
      <c r="E13" s="650" t="s">
        <v>107</v>
      </c>
      <c r="F13" s="189">
        <f>ROUND(B22*D22*E22,2)</f>
        <v>40</v>
      </c>
      <c r="G13" s="190">
        <v>29.41</v>
      </c>
      <c r="H13" s="190">
        <f>ROUND(G13*F13,2)</f>
        <v>1176.4000000000001</v>
      </c>
      <c r="I13" s="7"/>
      <c r="J13" s="141"/>
      <c r="K13" s="141"/>
    </row>
    <row r="14" spans="2:11" s="8" customFormat="1">
      <c r="B14" s="186">
        <f>B13+1</f>
        <v>2</v>
      </c>
      <c r="C14" s="187" t="s">
        <v>728</v>
      </c>
      <c r="D14" s="188">
        <v>88266</v>
      </c>
      <c r="E14" s="650" t="s">
        <v>107</v>
      </c>
      <c r="F14" s="189">
        <f>ROUND(B23*D23*E23,2)</f>
        <v>40</v>
      </c>
      <c r="G14" s="190">
        <v>40.659999999999997</v>
      </c>
      <c r="H14" s="190">
        <f t="shared" ref="H14:H15" si="0">ROUND(G14*F14,2)</f>
        <v>1626.4</v>
      </c>
      <c r="I14" s="7"/>
      <c r="J14" s="141"/>
      <c r="K14" s="141"/>
    </row>
    <row r="15" spans="2:11" s="8" customFormat="1" ht="25.5">
      <c r="B15" s="186">
        <f>B14+1</f>
        <v>3</v>
      </c>
      <c r="C15" s="187" t="s">
        <v>729</v>
      </c>
      <c r="D15" s="188">
        <v>90779</v>
      </c>
      <c r="E15" s="650" t="s">
        <v>107</v>
      </c>
      <c r="F15" s="189">
        <f>ROUND(B24*D24*E24,2)</f>
        <v>20</v>
      </c>
      <c r="G15" s="190">
        <v>138.85</v>
      </c>
      <c r="H15" s="190">
        <f t="shared" si="0"/>
        <v>2777</v>
      </c>
      <c r="I15" s="7"/>
      <c r="J15" s="141"/>
      <c r="K15" s="141"/>
    </row>
    <row r="16" spans="2:11" s="8" customFormat="1" ht="12.75" customHeight="1">
      <c r="B16" s="191"/>
      <c r="C16" s="192"/>
      <c r="D16" s="191"/>
      <c r="E16" s="193"/>
      <c r="F16" s="194"/>
      <c r="G16" s="195"/>
      <c r="H16" s="196"/>
      <c r="I16" s="7"/>
    </row>
    <row r="17" spans="2:11" s="8" customFormat="1" ht="12.75" customHeight="1">
      <c r="B17" s="191"/>
      <c r="C17" s="192"/>
      <c r="D17" s="191"/>
      <c r="E17" s="193"/>
      <c r="F17" s="194"/>
      <c r="G17" s="195"/>
      <c r="H17" s="196"/>
      <c r="I17" s="7"/>
    </row>
    <row r="18" spans="2:11" s="8" customFormat="1" ht="12.75" customHeight="1">
      <c r="B18" s="192"/>
      <c r="C18" s="197"/>
      <c r="D18" s="198"/>
      <c r="E18" s="198"/>
      <c r="F18" s="193"/>
      <c r="G18" s="199" t="s">
        <v>134</v>
      </c>
      <c r="H18" s="200">
        <f>SUM(H13:H17)</f>
        <v>5579.8</v>
      </c>
      <c r="I18" s="7"/>
    </row>
    <row r="19" spans="2:11" s="8" customFormat="1" ht="12.75" customHeight="1">
      <c r="B19" s="198"/>
      <c r="C19" s="197"/>
      <c r="D19" s="198"/>
      <c r="E19" s="198"/>
      <c r="F19" s="198"/>
      <c r="G19" s="198"/>
      <c r="H19" s="198"/>
      <c r="I19" s="7"/>
    </row>
    <row r="20" spans="2:11" s="8" customFormat="1" ht="12.75" customHeight="1">
      <c r="B20" s="915" t="s">
        <v>139</v>
      </c>
      <c r="C20" s="915"/>
      <c r="D20" s="915"/>
      <c r="E20" s="183"/>
      <c r="F20" s="183"/>
      <c r="G20" s="208"/>
      <c r="H20" s="209"/>
      <c r="I20" s="7"/>
    </row>
    <row r="21" spans="2:11" s="8" customFormat="1" ht="12.75" customHeight="1">
      <c r="B21" s="651" t="s">
        <v>140</v>
      </c>
      <c r="C21" s="651" t="s">
        <v>141</v>
      </c>
      <c r="D21" s="651" t="s">
        <v>724</v>
      </c>
      <c r="E21" s="651" t="s">
        <v>725</v>
      </c>
      <c r="F21" s="183"/>
      <c r="G21" s="208"/>
      <c r="H21" s="209"/>
      <c r="I21" s="7"/>
      <c r="J21" s="141"/>
      <c r="K21" s="141"/>
    </row>
    <row r="22" spans="2:11" s="8" customFormat="1" ht="12.75" customHeight="1">
      <c r="B22" s="210">
        <v>1</v>
      </c>
      <c r="C22" s="210" t="s">
        <v>142</v>
      </c>
      <c r="D22" s="161">
        <v>8</v>
      </c>
      <c r="E22" s="161">
        <v>5</v>
      </c>
      <c r="F22" s="183"/>
      <c r="G22" s="208"/>
      <c r="H22" s="209"/>
      <c r="I22" s="7"/>
      <c r="J22" s="141"/>
      <c r="K22" s="141"/>
    </row>
    <row r="23" spans="2:11" s="8" customFormat="1" ht="12.75" customHeight="1">
      <c r="B23" s="210">
        <v>1</v>
      </c>
      <c r="C23" s="210" t="s">
        <v>726</v>
      </c>
      <c r="D23" s="161">
        <v>8</v>
      </c>
      <c r="E23" s="161">
        <v>5</v>
      </c>
      <c r="F23" s="183"/>
      <c r="G23" s="208"/>
      <c r="H23" s="209"/>
      <c r="I23" s="7"/>
      <c r="J23" s="141"/>
      <c r="K23" s="141"/>
    </row>
    <row r="24" spans="2:11" ht="12.75" customHeight="1">
      <c r="B24" s="210">
        <v>1</v>
      </c>
      <c r="C24" s="210" t="s">
        <v>727</v>
      </c>
      <c r="D24" s="161">
        <v>4</v>
      </c>
      <c r="E24" s="161">
        <v>5</v>
      </c>
    </row>
    <row r="25" spans="2:11" ht="12.75" customHeight="1"/>
    <row r="27" spans="2:11" s="8" customFormat="1" ht="16.5" customHeight="1">
      <c r="B27" s="174"/>
      <c r="C27" s="177"/>
      <c r="D27" s="175"/>
      <c r="E27" s="176"/>
      <c r="F27" s="175"/>
      <c r="G27" s="177"/>
      <c r="H27" s="178"/>
    </row>
    <row r="28" spans="2:11" s="8" customFormat="1" ht="16.5" customHeight="1">
      <c r="B28" s="174"/>
      <c r="C28" s="177"/>
      <c r="D28" s="175"/>
      <c r="E28" s="176"/>
      <c r="F28" s="175"/>
      <c r="G28" s="177"/>
      <c r="H28" s="178"/>
    </row>
    <row r="38" spans="3:15" ht="15.75"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</row>
    <row r="39" spans="3:15" s="47" customFormat="1" ht="15.75"/>
    <row r="40" spans="3:15" s="47" customFormat="1" ht="15.75"/>
    <row r="41" spans="3:15" s="47" customFormat="1" ht="15.75"/>
    <row r="42" spans="3:15" s="47" customFormat="1" ht="15.75"/>
    <row r="43" spans="3:15" s="47" customFormat="1" ht="15.75"/>
  </sheetData>
  <mergeCells count="3">
    <mergeCell ref="B3:H3"/>
    <mergeCell ref="C8:H8"/>
    <mergeCell ref="B20:D20"/>
  </mergeCells>
  <printOptions horizontalCentered="1"/>
  <pageMargins left="0.78740157480314965" right="0.43307086614173229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477F&amp;C&amp;"Arial,Negrito"&amp;10B.&amp;P</oddFooter>
  </headerFooter>
  <legacyDrawingHF r:id="rId2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B3:L54"/>
  <sheetViews>
    <sheetView topLeftCell="A4" zoomScaleNormal="100" zoomScaleSheetLayoutView="120" workbookViewId="0">
      <selection activeCell="G29" sqref="G29:G30"/>
    </sheetView>
  </sheetViews>
  <sheetFormatPr defaultColWidth="9.140625" defaultRowHeight="12.75"/>
  <cols>
    <col min="1" max="1" width="36.85546875" style="204" customWidth="1"/>
    <col min="2" max="2" width="5" style="9" customWidth="1"/>
    <col min="3" max="3" width="41" style="9" customWidth="1"/>
    <col min="4" max="4" width="8" style="201" customWidth="1"/>
    <col min="5" max="5" width="5.7109375" style="201" customWidth="1"/>
    <col min="6" max="6" width="6.85546875" style="202" customWidth="1"/>
    <col min="7" max="7" width="11.5703125" style="201" customWidth="1"/>
    <col min="8" max="8" width="11.5703125" style="9" customWidth="1"/>
    <col min="9" max="9" width="10.5703125" style="203" bestFit="1" customWidth="1"/>
    <col min="10" max="16384" width="9.140625" style="204"/>
  </cols>
  <sheetData>
    <row r="3" spans="2:10" s="8" customFormat="1" ht="16.5" customHeight="1">
      <c r="B3" s="912" t="s">
        <v>123</v>
      </c>
      <c r="C3" s="912"/>
      <c r="D3" s="912"/>
      <c r="E3" s="912"/>
      <c r="F3" s="912"/>
      <c r="G3" s="912"/>
      <c r="H3" s="912"/>
    </row>
    <row r="4" spans="2:10" s="8" customFormat="1" ht="16.5" customHeight="1">
      <c r="B4" s="174"/>
      <c r="C4" s="174" t="s">
        <v>124</v>
      </c>
      <c r="D4" s="175" t="s">
        <v>125</v>
      </c>
      <c r="E4" s="176" t="s">
        <v>126</v>
      </c>
      <c r="F4" s="175">
        <v>2023</v>
      </c>
      <c r="G4" s="177" t="s">
        <v>913</v>
      </c>
      <c r="H4" s="178"/>
    </row>
    <row r="5" spans="2:10" s="8" customFormat="1" ht="16.5" customHeight="1">
      <c r="B5" s="174"/>
      <c r="C5" s="174"/>
      <c r="D5" s="175" t="s">
        <v>5</v>
      </c>
      <c r="E5" s="176"/>
      <c r="F5" s="175">
        <v>2023</v>
      </c>
      <c r="G5" s="177" t="s">
        <v>913</v>
      </c>
      <c r="H5" s="178"/>
    </row>
    <row r="6" spans="2:10" s="8" customFormat="1" ht="16.5" customHeight="1">
      <c r="B6" s="174"/>
      <c r="C6" s="177" t="s">
        <v>127</v>
      </c>
      <c r="D6" s="175"/>
      <c r="E6" s="176"/>
      <c r="F6" s="175"/>
      <c r="G6" s="177"/>
      <c r="H6" s="178"/>
    </row>
    <row r="7" spans="2:10" s="8" customFormat="1" ht="16.5" customHeight="1">
      <c r="B7" s="174"/>
      <c r="C7" s="177" t="s">
        <v>398</v>
      </c>
      <c r="D7" s="175"/>
      <c r="E7" s="176"/>
      <c r="F7" s="175"/>
      <c r="G7" s="177"/>
      <c r="H7" s="178"/>
    </row>
    <row r="8" spans="2:10" s="8" customFormat="1" ht="30" customHeight="1">
      <c r="C8" s="913" t="str">
        <f>'Q-CX-Extravasor'!$B$3</f>
        <v>Caixa do extravasor com paredes em alvenaria e laje de fundo em concreto armado</v>
      </c>
      <c r="D8" s="913"/>
      <c r="E8" s="913"/>
      <c r="F8" s="913"/>
      <c r="G8" s="913"/>
      <c r="H8" s="913"/>
    </row>
    <row r="9" spans="2:10" s="8" customFormat="1" ht="12.75" customHeight="1">
      <c r="B9" s="179"/>
      <c r="C9" s="179"/>
      <c r="D9" s="180"/>
      <c r="E9" s="180"/>
      <c r="F9" s="180"/>
      <c r="G9" s="179"/>
      <c r="H9" s="179"/>
    </row>
    <row r="10" spans="2:10" s="8" customFormat="1" ht="12.75" customHeight="1">
      <c r="B10" s="181" t="s">
        <v>128</v>
      </c>
      <c r="C10" s="181" t="s">
        <v>8</v>
      </c>
      <c r="D10" s="180"/>
      <c r="E10" s="180"/>
      <c r="F10" s="180"/>
      <c r="G10" s="179"/>
      <c r="H10" s="179"/>
    </row>
    <row r="11" spans="2:10" s="8" customFormat="1" ht="12.75" customHeight="1">
      <c r="B11" s="182"/>
      <c r="C11" s="182"/>
      <c r="D11" s="183"/>
      <c r="E11" s="183"/>
      <c r="F11" s="183"/>
      <c r="G11" s="182"/>
      <c r="H11" s="182"/>
    </row>
    <row r="12" spans="2:10" s="8" customFormat="1" ht="25.5" customHeight="1">
      <c r="B12" s="184" t="s">
        <v>25</v>
      </c>
      <c r="C12" s="184" t="s">
        <v>129</v>
      </c>
      <c r="D12" s="185" t="s">
        <v>26</v>
      </c>
      <c r="E12" s="184" t="s">
        <v>130</v>
      </c>
      <c r="F12" s="184" t="s">
        <v>131</v>
      </c>
      <c r="G12" s="185" t="s">
        <v>132</v>
      </c>
      <c r="H12" s="185" t="s">
        <v>133</v>
      </c>
      <c r="J12" s="9">
        <v>1.28</v>
      </c>
    </row>
    <row r="13" spans="2:10" s="8" customFormat="1">
      <c r="B13" s="634">
        <v>1</v>
      </c>
      <c r="C13" s="635" t="str">
        <f>'Q-CX-Extravasor'!$B$24</f>
        <v>Locação de obras localizadas</v>
      </c>
      <c r="D13" s="636">
        <f>'Q-CX-Extravasor'!$E$30</f>
        <v>70010008</v>
      </c>
      <c r="E13" s="636" t="str">
        <f>'Q-CX-Extravasor'!$D$30</f>
        <v>eqxdia</v>
      </c>
      <c r="F13" s="637">
        <f>ROUND('Q-CX-Extravasor'!$C$30,2)</f>
        <v>1</v>
      </c>
      <c r="G13" s="638">
        <f>1315.58/1.28</f>
        <v>1027.796875</v>
      </c>
      <c r="H13" s="639">
        <f>ROUND(G13*F13,2)</f>
        <v>1027.8</v>
      </c>
      <c r="I13" s="7"/>
    </row>
    <row r="14" spans="2:10" s="8" customFormat="1" ht="25.5">
      <c r="B14" s="634">
        <f>B13+1</f>
        <v>2</v>
      </c>
      <c r="C14" s="635" t="str">
        <f>'Q-CX-Extravasor'!$B$35</f>
        <v>Escavação mecanizada de poços e cavas, em solo não rochoso, com profundidade até 3,00 m</v>
      </c>
      <c r="D14" s="636">
        <f>'Q-CX-Extravasor'!$E$49</f>
        <v>70030009</v>
      </c>
      <c r="E14" s="636" t="str">
        <f>'Q-CX-Extravasor'!$D$49</f>
        <v>m³</v>
      </c>
      <c r="F14" s="637">
        <f>ROUND('Q-CX-Extravasor'!$C$49,2)</f>
        <v>26.52</v>
      </c>
      <c r="G14" s="638">
        <f>17.38/1.28</f>
        <v>13.578124999999998</v>
      </c>
      <c r="H14" s="639">
        <f t="shared" ref="H14:H32" si="0">ROUND(G14*F14,2)</f>
        <v>360.09</v>
      </c>
      <c r="I14" s="7"/>
    </row>
    <row r="15" spans="2:10" s="8" customFormat="1" ht="25.5">
      <c r="B15" s="634">
        <f t="shared" ref="B15:B32" si="1">B14+1</f>
        <v>3</v>
      </c>
      <c r="C15" s="635" t="str">
        <f>'Q-CX-Extravasor'!$B$52</f>
        <v>Aterro de valas, poços e cavas compactado mecanicamente, sem controle do G.C.</v>
      </c>
      <c r="D15" s="636">
        <f>'Q-CX-Extravasor'!$E$60</f>
        <v>70030025</v>
      </c>
      <c r="E15" s="636" t="str">
        <f>'Q-CX-Extravasor'!$D$60</f>
        <v>m³</v>
      </c>
      <c r="F15" s="637">
        <f>ROUND('Q-CX-Extravasor'!$C$60,2)</f>
        <v>20.51</v>
      </c>
      <c r="G15" s="638">
        <f>9.05/1.28</f>
        <v>7.0703125</v>
      </c>
      <c r="H15" s="639">
        <f t="shared" si="0"/>
        <v>145.01</v>
      </c>
      <c r="I15" s="7"/>
    </row>
    <row r="16" spans="2:10" s="8" customFormat="1" ht="25.5" customHeight="1">
      <c r="B16" s="634">
        <f t="shared" si="1"/>
        <v>4</v>
      </c>
      <c r="C16" s="635" t="str">
        <f>'Q-CX-Extravasor'!$B$63</f>
        <v>Carga, manobra e descarga de solos e materiais granulares em caminhão basculante 10 m³</v>
      </c>
      <c r="D16" s="636">
        <f>'Q-CX-Extravasor'!$E$70</f>
        <v>100978</v>
      </c>
      <c r="E16" s="636" t="str">
        <f>'Q-CX-Extravasor'!$D$70</f>
        <v>m³</v>
      </c>
      <c r="F16" s="637">
        <f>ROUND('Q-CX-Extravasor'!$C$70,2)</f>
        <v>7.81</v>
      </c>
      <c r="G16" s="638">
        <v>7.15</v>
      </c>
      <c r="H16" s="639">
        <f t="shared" si="0"/>
        <v>55.84</v>
      </c>
      <c r="I16" s="7"/>
    </row>
    <row r="17" spans="2:9" s="8" customFormat="1" ht="25.5">
      <c r="B17" s="634">
        <f t="shared" si="1"/>
        <v>5</v>
      </c>
      <c r="C17" s="635" t="str">
        <f>'Q-CX-Extravasor'!$B$73</f>
        <v>Transporte com caminhão basculante de 10 m³, em via urbana pavimentada</v>
      </c>
      <c r="D17" s="636">
        <f>'Q-CX-Extravasor'!$E$79</f>
        <v>95875</v>
      </c>
      <c r="E17" s="636" t="str">
        <f>'Q-CX-Extravasor'!$D$79</f>
        <v>m³xkm</v>
      </c>
      <c r="F17" s="637">
        <f>ROUND('Q-CX-Extravasor'!$C$79,2)</f>
        <v>117.15</v>
      </c>
      <c r="G17" s="638">
        <v>2.56</v>
      </c>
      <c r="H17" s="639">
        <f t="shared" si="0"/>
        <v>299.89999999999998</v>
      </c>
      <c r="I17" s="7"/>
    </row>
    <row r="18" spans="2:9" s="8" customFormat="1" ht="25.5">
      <c r="B18" s="634">
        <f t="shared" si="1"/>
        <v>6</v>
      </c>
      <c r="C18" s="635" t="str">
        <f>'Q-CX-Extravasor'!$B$84</f>
        <v>Lastro com material granular (pedra britada nº 2), aplicado em pisos ou lajes sobre solo</v>
      </c>
      <c r="D18" s="636">
        <f>'Q-CX-Extravasor'!$E$92</f>
        <v>96622</v>
      </c>
      <c r="E18" s="636" t="str">
        <f>'Q-CX-Extravasor'!$D$92</f>
        <v>m³</v>
      </c>
      <c r="F18" s="637">
        <f>ROUND('Q-CX-Extravasor'!$C$92,2)</f>
        <v>0.2</v>
      </c>
      <c r="G18" s="638">
        <v>123.69</v>
      </c>
      <c r="H18" s="639">
        <f t="shared" si="0"/>
        <v>24.74</v>
      </c>
      <c r="I18" s="7"/>
    </row>
    <row r="19" spans="2:9" s="8" customFormat="1" ht="25.5">
      <c r="B19" s="634">
        <f t="shared" si="1"/>
        <v>7</v>
      </c>
      <c r="C19" s="635" t="str">
        <f>'Q-CX-Extravasor'!$B$95</f>
        <v>Lastro de concreto magro, aplicado em pisos, lajes sobre solo ou radiers</v>
      </c>
      <c r="D19" s="636">
        <f>'Q-CX-Extravasor'!$E$103</f>
        <v>96620</v>
      </c>
      <c r="E19" s="636" t="str">
        <f>'Q-CX-Extravasor'!$D$103</f>
        <v>m³</v>
      </c>
      <c r="F19" s="637">
        <f>ROUND('Q-CX-Extravasor'!$C$103,2)</f>
        <v>0.2</v>
      </c>
      <c r="G19" s="638">
        <v>546.48</v>
      </c>
      <c r="H19" s="639">
        <f t="shared" si="0"/>
        <v>109.3</v>
      </c>
      <c r="I19" s="7"/>
    </row>
    <row r="20" spans="2:9" s="8" customFormat="1">
      <c r="B20" s="634">
        <f t="shared" si="1"/>
        <v>8</v>
      </c>
      <c r="C20" s="635" t="str">
        <f>'Q-CX-Extravasor'!$B$106</f>
        <v>Fôrma plana de madeira - estrutura</v>
      </c>
      <c r="D20" s="636">
        <f>'Q-CX-Extravasor'!$E$114</f>
        <v>70070127</v>
      </c>
      <c r="E20" s="636" t="str">
        <f>'Q-CX-Extravasor'!$D$114</f>
        <v>m²</v>
      </c>
      <c r="F20" s="637">
        <f>ROUND('Q-CX-Extravasor'!$C$114,2)</f>
        <v>2</v>
      </c>
      <c r="G20" s="638">
        <f>162.39/1.28</f>
        <v>126.86718749999999</v>
      </c>
      <c r="H20" s="639">
        <f t="shared" si="0"/>
        <v>253.73</v>
      </c>
      <c r="I20" s="7"/>
    </row>
    <row r="21" spans="2:9" s="8" customFormat="1">
      <c r="B21" s="634">
        <f t="shared" si="1"/>
        <v>9</v>
      </c>
      <c r="C21" s="635" t="str">
        <f>'Q-CX-Extravasor'!$B$117</f>
        <v>Armação em aço CA-50</v>
      </c>
      <c r="D21" s="636">
        <f>'Q-CX-Extravasor'!$E$123</f>
        <v>70070135</v>
      </c>
      <c r="E21" s="636" t="str">
        <f>'Q-CX-Extravasor'!$D$123</f>
        <v>kg</v>
      </c>
      <c r="F21" s="637">
        <f>ROUND('Q-CX-Extravasor'!$C$123,2)</f>
        <v>100</v>
      </c>
      <c r="G21" s="638">
        <f>16.63/1.28</f>
        <v>12.992187499999998</v>
      </c>
      <c r="H21" s="639">
        <f t="shared" si="0"/>
        <v>1299.22</v>
      </c>
      <c r="I21" s="7"/>
    </row>
    <row r="22" spans="2:9" s="8" customFormat="1" ht="25.5" customHeight="1">
      <c r="B22" s="634">
        <f t="shared" si="1"/>
        <v>10</v>
      </c>
      <c r="C22" s="635" t="str">
        <f>'Q-CX-Extravasor'!$B$126</f>
        <v>Concreto estrutural p/ estruturas em contato com água bruta, água tratada, solo e gases agressivos, FCK = 30,0 MPa</v>
      </c>
      <c r="D22" s="636">
        <f>'Q-CX-Extravasor'!$E$134</f>
        <v>70070147</v>
      </c>
      <c r="E22" s="636" t="str">
        <f>'Q-CX-Extravasor'!$D$134</f>
        <v>m³</v>
      </c>
      <c r="F22" s="637">
        <f>ROUND('Q-CX-Extravasor'!$C$134,2)</f>
        <v>1</v>
      </c>
      <c r="G22" s="638">
        <f>739.38/1.28</f>
        <v>577.640625</v>
      </c>
      <c r="H22" s="639">
        <f t="shared" si="0"/>
        <v>577.64</v>
      </c>
      <c r="I22" s="7"/>
    </row>
    <row r="23" spans="2:9" s="8" customFormat="1">
      <c r="B23" s="634">
        <f t="shared" si="1"/>
        <v>11</v>
      </c>
      <c r="C23" s="635" t="str">
        <f>'Q-CX-Extravasor'!$B$137</f>
        <v>Concreto não estrutural - mínimo 150 kg de cimento/m³</v>
      </c>
      <c r="D23" s="636">
        <f>'Q-CX-Extravasor'!$E$145</f>
        <v>70070142</v>
      </c>
      <c r="E23" s="636" t="str">
        <f>'Q-CX-Extravasor'!$D$145</f>
        <v>m³</v>
      </c>
      <c r="F23" s="637">
        <f>ROUND('Q-CX-Extravasor'!$C$145,2)</f>
        <v>7.0000000000000007E-2</v>
      </c>
      <c r="G23" s="638">
        <f>636.95/1.28</f>
        <v>497.6171875</v>
      </c>
      <c r="H23" s="639">
        <f t="shared" si="0"/>
        <v>34.83</v>
      </c>
      <c r="I23" s="7"/>
    </row>
    <row r="24" spans="2:9" s="8" customFormat="1" ht="25.5">
      <c r="B24" s="634">
        <f t="shared" si="1"/>
        <v>12</v>
      </c>
      <c r="C24" s="635" t="str">
        <f>'Q-CX-Extravasor'!$B$150</f>
        <v>Alvenaria de blocos estruturais de concreto 19 x 19 x 39 cm, com armação e grout</v>
      </c>
      <c r="D24" s="636">
        <f>'Q-CX-Extravasor'!$E$161</f>
        <v>70110015</v>
      </c>
      <c r="E24" s="640" t="str">
        <f>'Q-CX-Extravasor'!$D$161</f>
        <v>m²</v>
      </c>
      <c r="F24" s="637">
        <f>ROUND('Q-CX-Extravasor'!$C$161,2)</f>
        <v>10.08</v>
      </c>
      <c r="G24" s="638">
        <f>284.97/1.28</f>
        <v>222.63281250000003</v>
      </c>
      <c r="H24" s="639">
        <f t="shared" si="0"/>
        <v>2244.14</v>
      </c>
      <c r="I24" s="7"/>
    </row>
    <row r="25" spans="2:9" s="8" customFormat="1" ht="25.5">
      <c r="B25" s="634">
        <f t="shared" si="1"/>
        <v>13</v>
      </c>
      <c r="C25" s="635" t="str">
        <f>'Q-CX-Extravasor'!$B$166</f>
        <v>Junta argamassada entre tubo DN 100 mm e o poço de visita / caixa de concreto ou alvenaria</v>
      </c>
      <c r="D25" s="636">
        <f>'Q-CX-Extravasor'!$E$171</f>
        <v>90724</v>
      </c>
      <c r="E25" s="640" t="str">
        <f>'Q-CX-Extravasor'!$D$171</f>
        <v>unid</v>
      </c>
      <c r="F25" s="637">
        <f>ROUND('Q-CX-Extravasor'!$C$171,2)</f>
        <v>1</v>
      </c>
      <c r="G25" s="638">
        <v>24.99</v>
      </c>
      <c r="H25" s="639">
        <f t="shared" si="0"/>
        <v>24.99</v>
      </c>
      <c r="I25" s="7"/>
    </row>
    <row r="26" spans="2:9" s="8" customFormat="1" ht="25.5">
      <c r="B26" s="634">
        <f t="shared" si="1"/>
        <v>14</v>
      </c>
      <c r="C26" s="635" t="str">
        <f>'Q-CX-Extravasor'!$B$174</f>
        <v>Junta argamassada entre tubo DN 150 mm e o poço de visita / caixa de concreto ou alvenaria</v>
      </c>
      <c r="D26" s="636">
        <f>'Q-CX-Extravasor'!$E$179</f>
        <v>90725</v>
      </c>
      <c r="E26" s="640" t="str">
        <f>'Q-CX-Extravasor'!$D$179</f>
        <v>unid</v>
      </c>
      <c r="F26" s="637">
        <f>ROUND('Q-CX-Extravasor'!$C$179,2)</f>
        <v>1</v>
      </c>
      <c r="G26" s="638">
        <v>30.72</v>
      </c>
      <c r="H26" s="639">
        <f t="shared" si="0"/>
        <v>30.72</v>
      </c>
      <c r="I26" s="7"/>
    </row>
    <row r="27" spans="2:9" s="8" customFormat="1" ht="25.5">
      <c r="B27" s="634">
        <f t="shared" si="1"/>
        <v>15</v>
      </c>
      <c r="C27" s="635" t="str">
        <f>'Q-CX-Extravasor'!$B$182</f>
        <v>Junta argamassada entre tubo DN 600 mm e o poço de visita / caixa de concreto ou alvenaria</v>
      </c>
      <c r="D27" s="636">
        <f>'Q-CX-Extravasor'!$E$187</f>
        <v>90732</v>
      </c>
      <c r="E27" s="640" t="str">
        <f>'Q-CX-Extravasor'!$D$187</f>
        <v>unid</v>
      </c>
      <c r="F27" s="637">
        <f>ROUND('Q-CX-Extravasor'!$C$187,2)</f>
        <v>1</v>
      </c>
      <c r="G27" s="638">
        <v>82.37</v>
      </c>
      <c r="H27" s="639">
        <f t="shared" si="0"/>
        <v>82.37</v>
      </c>
      <c r="I27" s="7"/>
    </row>
    <row r="28" spans="2:9" s="8" customFormat="1">
      <c r="B28" s="634">
        <f t="shared" si="1"/>
        <v>16</v>
      </c>
      <c r="C28" s="635" t="str">
        <f>'Q-CX-Extravasor'!$B$192</f>
        <v>Chapisco</v>
      </c>
      <c r="D28" s="636">
        <f>'Q-CX-Extravasor'!$E$200</f>
        <v>70120002</v>
      </c>
      <c r="E28" s="636" t="str">
        <f>'Q-CX-Extravasor'!$D$200</f>
        <v>m²</v>
      </c>
      <c r="F28" s="637">
        <f>ROUND('Q-CX-Extravasor'!$C$200,2)</f>
        <v>8.64</v>
      </c>
      <c r="G28" s="638">
        <f>11.12/1.28</f>
        <v>8.6875</v>
      </c>
      <c r="H28" s="639">
        <f t="shared" si="0"/>
        <v>75.06</v>
      </c>
      <c r="I28" s="7"/>
    </row>
    <row r="29" spans="2:9" s="8" customFormat="1">
      <c r="B29" s="634">
        <f t="shared" si="1"/>
        <v>17</v>
      </c>
      <c r="C29" s="635" t="str">
        <f>'Q-CX-Extravasor'!$B$203</f>
        <v>Emboço</v>
      </c>
      <c r="D29" s="636">
        <f>'Q-CX-Extravasor'!$E$211</f>
        <v>70120003</v>
      </c>
      <c r="E29" s="636" t="str">
        <f>'Q-CX-Extravasor'!$D$211</f>
        <v>m²</v>
      </c>
      <c r="F29" s="637">
        <f>ROUND('Q-CX-Extravasor'!$C$211,2)</f>
        <v>8.64</v>
      </c>
      <c r="G29" s="638">
        <f>56.73/1.28</f>
        <v>44.3203125</v>
      </c>
      <c r="H29" s="639">
        <f t="shared" si="0"/>
        <v>382.93</v>
      </c>
      <c r="I29" s="7"/>
    </row>
    <row r="30" spans="2:9" s="8" customFormat="1">
      <c r="B30" s="634">
        <f t="shared" si="1"/>
        <v>18</v>
      </c>
      <c r="C30" s="635" t="str">
        <f>'Q-CX-Extravasor'!$B$214</f>
        <v>Reboco</v>
      </c>
      <c r="D30" s="636">
        <f>'Q-CX-Extravasor'!$E$222</f>
        <v>70120004</v>
      </c>
      <c r="E30" s="636" t="str">
        <f>'Q-CX-Extravasor'!$D$222</f>
        <v>m²</v>
      </c>
      <c r="F30" s="637">
        <f>ROUND('Q-CX-Extravasor'!$C$222,2)</f>
        <v>8.64</v>
      </c>
      <c r="G30" s="638">
        <f>35.93/1.28</f>
        <v>28.0703125</v>
      </c>
      <c r="H30" s="639">
        <f t="shared" si="0"/>
        <v>242.53</v>
      </c>
      <c r="I30" s="7"/>
    </row>
    <row r="31" spans="2:9" s="8" customFormat="1" ht="25.5">
      <c r="B31" s="634">
        <f t="shared" si="1"/>
        <v>19</v>
      </c>
      <c r="C31" s="635" t="str">
        <f>'Q-CX-Extravasor'!$B$227</f>
        <v>Pintura impermeabilizante, cinco demãos de poliuretano vegetal</v>
      </c>
      <c r="D31" s="636">
        <f>'Q-CX-Extravasor'!$E$235</f>
        <v>70190171</v>
      </c>
      <c r="E31" s="636" t="str">
        <f>'Q-CX-Extravasor'!$D$235</f>
        <v>m²</v>
      </c>
      <c r="F31" s="637">
        <f>ROUND('Q-CX-Extravasor'!$C$235,2)</f>
        <v>10.08</v>
      </c>
      <c r="G31" s="638">
        <f>103.35/1.28</f>
        <v>80.7421875</v>
      </c>
      <c r="H31" s="639">
        <f t="shared" si="0"/>
        <v>813.88</v>
      </c>
      <c r="I31" s="7"/>
    </row>
    <row r="32" spans="2:9" s="8" customFormat="1" ht="25.5">
      <c r="B32" s="634">
        <f t="shared" si="1"/>
        <v>20</v>
      </c>
      <c r="C32" s="635" t="str">
        <f>'Q-CX-Extravasor'!$B$238</f>
        <v>Impermeabilização de superfície com emulsão asfáltica, 2 demãos</v>
      </c>
      <c r="D32" s="636">
        <f>'Q-CX-Extravasor'!$E$255</f>
        <v>98557</v>
      </c>
      <c r="E32" s="636" t="str">
        <f>'Q-CX-Extravasor'!$D$255</f>
        <v>m²</v>
      </c>
      <c r="F32" s="637">
        <f>ROUND('Q-CX-Extravasor'!$C$255,2)</f>
        <v>13.52</v>
      </c>
      <c r="G32" s="638">
        <v>46.75</v>
      </c>
      <c r="H32" s="639">
        <f t="shared" si="0"/>
        <v>632.05999999999995</v>
      </c>
      <c r="I32" s="7"/>
    </row>
    <row r="33" spans="2:12" s="8" customFormat="1" ht="12.75" customHeight="1">
      <c r="B33" s="191"/>
      <c r="C33" s="192"/>
      <c r="D33" s="191"/>
      <c r="E33" s="193"/>
      <c r="F33" s="194"/>
      <c r="G33" s="195"/>
      <c r="H33" s="196"/>
      <c r="I33" s="7"/>
    </row>
    <row r="34" spans="2:12" s="8" customFormat="1" ht="12.75" customHeight="1">
      <c r="B34" s="191"/>
      <c r="C34" s="192"/>
      <c r="D34" s="191"/>
      <c r="E34" s="193"/>
      <c r="F34" s="194"/>
      <c r="G34" s="195"/>
      <c r="H34" s="196"/>
      <c r="I34" s="7"/>
    </row>
    <row r="35" spans="2:12" s="8" customFormat="1" ht="12.75" customHeight="1">
      <c r="B35" s="192"/>
      <c r="C35" s="212"/>
      <c r="D35" s="198"/>
      <c r="E35" s="198"/>
      <c r="F35" s="193"/>
      <c r="G35" s="199" t="s">
        <v>134</v>
      </c>
      <c r="H35" s="200">
        <f>SUM(H13:H34)</f>
        <v>8716.7800000000007</v>
      </c>
      <c r="I35" s="7"/>
    </row>
    <row r="36" spans="2:12" s="8" customFormat="1" ht="12.75" customHeight="1">
      <c r="B36" s="192"/>
      <c r="C36" s="212"/>
      <c r="D36" s="198"/>
      <c r="E36" s="198"/>
      <c r="F36" s="9"/>
      <c r="G36" s="9"/>
      <c r="H36" s="9"/>
      <c r="I36" s="7"/>
    </row>
    <row r="37" spans="2:12" ht="12.75" customHeight="1">
      <c r="F37" s="9"/>
      <c r="G37" s="9"/>
    </row>
    <row r="38" spans="2:12" s="203" customFormat="1">
      <c r="B38" s="229"/>
      <c r="C38" s="230"/>
      <c r="D38" s="231"/>
      <c r="E38" s="183"/>
      <c r="F38" s="9"/>
      <c r="G38" s="9"/>
      <c r="H38" s="9"/>
      <c r="J38" s="204"/>
      <c r="K38" s="204"/>
      <c r="L38" s="204"/>
    </row>
    <row r="39" spans="2:12" s="8" customFormat="1">
      <c r="B39" s="9"/>
      <c r="C39" s="9"/>
      <c r="D39" s="201"/>
      <c r="E39" s="201"/>
      <c r="F39" s="9"/>
      <c r="G39" s="9"/>
      <c r="H39" s="9"/>
      <c r="I39" s="204"/>
      <c r="J39" s="204"/>
      <c r="K39" s="204"/>
      <c r="L39" s="141"/>
    </row>
    <row r="40" spans="2:12">
      <c r="F40" s="9"/>
      <c r="G40" s="9"/>
    </row>
    <row r="49" spans="3:12" ht="15.75">
      <c r="C49" s="47"/>
      <c r="D49" s="47"/>
      <c r="E49" s="47"/>
      <c r="F49" s="47"/>
      <c r="G49" s="47"/>
      <c r="H49" s="47"/>
      <c r="I49" s="47"/>
      <c r="J49" s="47"/>
      <c r="K49" s="47"/>
      <c r="L49" s="47"/>
    </row>
    <row r="50" spans="3:12" s="47" customFormat="1" ht="15.75"/>
    <row r="51" spans="3:12" s="47" customFormat="1" ht="15.75"/>
    <row r="52" spans="3:12" s="47" customFormat="1" ht="15.75"/>
    <row r="53" spans="3:12" s="47" customFormat="1" ht="15.75"/>
    <row r="54" spans="3:12" s="47" customFormat="1" ht="15.75"/>
  </sheetData>
  <mergeCells count="2">
    <mergeCell ref="B3:H3"/>
    <mergeCell ref="C8:H8"/>
  </mergeCells>
  <printOptions horizontalCentered="1"/>
  <pageMargins left="0.78740157480314965" right="0.43307086614173229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477F&amp;C&amp;"Arial,Negrito"&amp;10B.&amp;P</oddFooter>
  </headerFooter>
  <legacyDrawingHF r:id="rId2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B3:L58"/>
  <sheetViews>
    <sheetView zoomScaleNormal="100" zoomScaleSheetLayoutView="120" workbookViewId="0">
      <selection activeCell="G29" sqref="G29:G30"/>
    </sheetView>
  </sheetViews>
  <sheetFormatPr defaultColWidth="9.140625" defaultRowHeight="12.75"/>
  <cols>
    <col min="1" max="1" width="36.85546875" style="204" customWidth="1"/>
    <col min="2" max="2" width="5" style="9" customWidth="1"/>
    <col min="3" max="3" width="41" style="9" customWidth="1"/>
    <col min="4" max="4" width="8" style="201" customWidth="1"/>
    <col min="5" max="5" width="5.7109375" style="201" customWidth="1"/>
    <col min="6" max="6" width="6.85546875" style="202" customWidth="1"/>
    <col min="7" max="7" width="11.5703125" style="201" customWidth="1"/>
    <col min="8" max="8" width="11.5703125" style="9" customWidth="1"/>
    <col min="9" max="9" width="10.5703125" style="203" bestFit="1" customWidth="1"/>
    <col min="10" max="16384" width="9.140625" style="204"/>
  </cols>
  <sheetData>
    <row r="3" spans="2:12" s="8" customFormat="1" ht="16.5" customHeight="1">
      <c r="B3" s="912" t="s">
        <v>123</v>
      </c>
      <c r="C3" s="912"/>
      <c r="D3" s="912"/>
      <c r="E3" s="912"/>
      <c r="F3" s="912"/>
      <c r="G3" s="912"/>
      <c r="H3" s="912"/>
    </row>
    <row r="4" spans="2:12" s="8" customFormat="1" ht="16.5" customHeight="1">
      <c r="B4" s="174"/>
      <c r="C4" s="174" t="s">
        <v>124</v>
      </c>
      <c r="D4" s="175" t="s">
        <v>125</v>
      </c>
      <c r="E4" s="176" t="s">
        <v>126</v>
      </c>
      <c r="F4" s="175">
        <v>2023</v>
      </c>
      <c r="G4" s="177" t="s">
        <v>913</v>
      </c>
      <c r="H4" s="178"/>
    </row>
    <row r="5" spans="2:12" s="8" customFormat="1" ht="16.5" customHeight="1">
      <c r="B5" s="174"/>
      <c r="C5" s="174"/>
      <c r="D5" s="175" t="s">
        <v>5</v>
      </c>
      <c r="E5" s="176"/>
      <c r="F5" s="175">
        <v>2023</v>
      </c>
      <c r="G5" s="177" t="s">
        <v>913</v>
      </c>
      <c r="H5" s="178"/>
    </row>
    <row r="6" spans="2:12" s="8" customFormat="1" ht="16.5" customHeight="1">
      <c r="B6" s="174"/>
      <c r="C6" s="177" t="s">
        <v>127</v>
      </c>
      <c r="D6" s="175"/>
      <c r="E6" s="176"/>
      <c r="F6" s="175"/>
      <c r="G6" s="177"/>
      <c r="H6" s="178"/>
    </row>
    <row r="7" spans="2:12" s="8" customFormat="1" ht="16.5" customHeight="1">
      <c r="B7" s="174"/>
      <c r="C7" s="177" t="s">
        <v>292</v>
      </c>
      <c r="D7" s="175"/>
      <c r="E7" s="176"/>
      <c r="F7" s="175"/>
      <c r="G7" s="177"/>
      <c r="H7" s="178"/>
    </row>
    <row r="8" spans="2:12" s="8" customFormat="1" ht="30" customHeight="1">
      <c r="C8" s="913" t="s">
        <v>308</v>
      </c>
      <c r="D8" s="913"/>
      <c r="E8" s="913"/>
      <c r="F8" s="913"/>
      <c r="G8" s="913"/>
      <c r="H8" s="913"/>
    </row>
    <row r="9" spans="2:12" s="8" customFormat="1" ht="12.75" customHeight="1">
      <c r="B9" s="179"/>
      <c r="C9" s="179"/>
      <c r="D9" s="180"/>
      <c r="E9" s="180"/>
      <c r="F9" s="180"/>
      <c r="G9" s="179"/>
      <c r="H9" s="179"/>
    </row>
    <row r="10" spans="2:12" s="8" customFormat="1" ht="12.75" customHeight="1">
      <c r="B10" s="181" t="s">
        <v>128</v>
      </c>
      <c r="C10" s="181" t="s">
        <v>161</v>
      </c>
      <c r="D10" s="180"/>
      <c r="E10" s="180"/>
      <c r="F10" s="180"/>
      <c r="G10" s="179"/>
      <c r="H10" s="179"/>
    </row>
    <row r="11" spans="2:12" s="8" customFormat="1" ht="12.75" customHeight="1">
      <c r="B11" s="182"/>
      <c r="C11" s="182"/>
      <c r="D11" s="183"/>
      <c r="E11" s="183"/>
      <c r="F11" s="183"/>
      <c r="G11" s="182"/>
      <c r="H11" s="182"/>
    </row>
    <row r="12" spans="2:12" s="8" customFormat="1" ht="25.5" customHeight="1">
      <c r="B12" s="184" t="s">
        <v>25</v>
      </c>
      <c r="C12" s="184" t="s">
        <v>129</v>
      </c>
      <c r="D12" s="185" t="s">
        <v>26</v>
      </c>
      <c r="E12" s="184" t="s">
        <v>130</v>
      </c>
      <c r="F12" s="184" t="s">
        <v>131</v>
      </c>
      <c r="G12" s="185" t="s">
        <v>132</v>
      </c>
      <c r="H12" s="185" t="s">
        <v>133</v>
      </c>
    </row>
    <row r="13" spans="2:12" s="8" customFormat="1" ht="25.5">
      <c r="B13" s="571">
        <v>1</v>
      </c>
      <c r="C13" s="635" t="s">
        <v>296</v>
      </c>
      <c r="D13" s="573" t="s">
        <v>293</v>
      </c>
      <c r="E13" s="652" t="s">
        <v>1</v>
      </c>
      <c r="F13" s="652">
        <f>ROUND($D$32,2)</f>
        <v>0.16</v>
      </c>
      <c r="G13" s="576">
        <v>603.25</v>
      </c>
      <c r="H13" s="576">
        <f>ROUND(F13*G13,2)</f>
        <v>96.52</v>
      </c>
      <c r="I13" s="7"/>
      <c r="J13" s="141"/>
      <c r="K13" s="141"/>
    </row>
    <row r="14" spans="2:12" s="8" customFormat="1">
      <c r="B14" s="571">
        <f>B13+1</f>
        <v>2</v>
      </c>
      <c r="C14" s="653" t="str">
        <f>'Resumo Preços'!$D$64</f>
        <v>Manta de borracha neoprene, e=5mm</v>
      </c>
      <c r="D14" s="654" t="str">
        <f>'Resumo Preços'!$C$64</f>
        <v>DIV-02</v>
      </c>
      <c r="E14" s="652" t="str">
        <f>'Resumo Preços'!$E$64</f>
        <v>m²</v>
      </c>
      <c r="F14" s="652">
        <f>ROUND($D$32,2)</f>
        <v>0.16</v>
      </c>
      <c r="G14" s="576">
        <f>ROUND('Resumo Preços'!$L$64,2)</f>
        <v>192.79</v>
      </c>
      <c r="H14" s="576">
        <f t="shared" ref="H14:H21" si="0">ROUND(F14*G14,2)</f>
        <v>30.85</v>
      </c>
      <c r="I14" s="7"/>
      <c r="J14" s="141"/>
      <c r="K14" s="141"/>
    </row>
    <row r="15" spans="2:12" s="8" customFormat="1" ht="38.25">
      <c r="B15" s="571">
        <f t="shared" ref="B15:B21" si="1">B14+1</f>
        <v>3</v>
      </c>
      <c r="C15" s="635" t="s">
        <v>301</v>
      </c>
      <c r="D15" s="573">
        <v>4346</v>
      </c>
      <c r="E15" s="652" t="s">
        <v>8</v>
      </c>
      <c r="F15" s="652">
        <v>2</v>
      </c>
      <c r="G15" s="576">
        <v>10.96</v>
      </c>
      <c r="H15" s="576">
        <f t="shared" si="0"/>
        <v>21.92</v>
      </c>
      <c r="I15" s="7"/>
      <c r="J15" s="141"/>
      <c r="K15" s="141"/>
      <c r="L15" s="204"/>
    </row>
    <row r="16" spans="2:12" s="8" customFormat="1" ht="25.5">
      <c r="B16" s="571">
        <f t="shared" si="1"/>
        <v>4</v>
      </c>
      <c r="C16" s="635" t="s">
        <v>302</v>
      </c>
      <c r="D16" s="573">
        <v>11953</v>
      </c>
      <c r="E16" s="652" t="s">
        <v>8</v>
      </c>
      <c r="F16" s="652">
        <v>2</v>
      </c>
      <c r="G16" s="576">
        <v>3.52</v>
      </c>
      <c r="H16" s="576">
        <f t="shared" si="0"/>
        <v>7.04</v>
      </c>
      <c r="I16" s="7"/>
      <c r="J16" s="141"/>
      <c r="K16" s="141"/>
    </row>
    <row r="17" spans="2:12" s="8" customFormat="1">
      <c r="B17" s="571">
        <f t="shared" si="1"/>
        <v>5</v>
      </c>
      <c r="C17" s="635" t="s">
        <v>303</v>
      </c>
      <c r="D17" s="573">
        <v>4340</v>
      </c>
      <c r="E17" s="652" t="s">
        <v>8</v>
      </c>
      <c r="F17" s="652">
        <v>2</v>
      </c>
      <c r="G17" s="576">
        <v>1.28</v>
      </c>
      <c r="H17" s="576">
        <f t="shared" si="0"/>
        <v>2.56</v>
      </c>
      <c r="I17" s="7"/>
      <c r="J17" s="141"/>
      <c r="K17" s="141"/>
    </row>
    <row r="18" spans="2:12" s="8" customFormat="1" ht="38.25">
      <c r="B18" s="571">
        <f t="shared" si="1"/>
        <v>6</v>
      </c>
      <c r="C18" s="635" t="s">
        <v>304</v>
      </c>
      <c r="D18" s="573">
        <v>100722</v>
      </c>
      <c r="E18" s="652" t="s">
        <v>1</v>
      </c>
      <c r="F18" s="652">
        <f>ROUND($D$32,2)</f>
        <v>0.16</v>
      </c>
      <c r="G18" s="576">
        <v>27.17</v>
      </c>
      <c r="H18" s="576">
        <f t="shared" si="0"/>
        <v>4.3499999999999996</v>
      </c>
      <c r="I18" s="7"/>
      <c r="J18" s="141"/>
      <c r="K18" s="141"/>
    </row>
    <row r="19" spans="2:12" s="8" customFormat="1" ht="38.25">
      <c r="B19" s="571">
        <f t="shared" si="1"/>
        <v>7</v>
      </c>
      <c r="C19" s="635" t="s">
        <v>305</v>
      </c>
      <c r="D19" s="573">
        <v>100750</v>
      </c>
      <c r="E19" s="652" t="s">
        <v>1</v>
      </c>
      <c r="F19" s="652">
        <f>ROUND($D$32,2)</f>
        <v>0.16</v>
      </c>
      <c r="G19" s="576">
        <v>27.63</v>
      </c>
      <c r="H19" s="576">
        <f t="shared" si="0"/>
        <v>4.42</v>
      </c>
      <c r="I19" s="7"/>
      <c r="J19" s="141"/>
      <c r="K19" s="141"/>
      <c r="L19" s="204"/>
    </row>
    <row r="20" spans="2:12" s="8" customFormat="1">
      <c r="B20" s="571">
        <f t="shared" si="1"/>
        <v>8</v>
      </c>
      <c r="C20" s="635" t="s">
        <v>306</v>
      </c>
      <c r="D20" s="573">
        <v>88315</v>
      </c>
      <c r="E20" s="652" t="s">
        <v>107</v>
      </c>
      <c r="F20" s="652">
        <v>4</v>
      </c>
      <c r="G20" s="576">
        <v>28.77</v>
      </c>
      <c r="H20" s="576">
        <f t="shared" si="0"/>
        <v>115.08</v>
      </c>
      <c r="I20" s="7"/>
      <c r="J20" s="141"/>
      <c r="K20" s="141"/>
    </row>
    <row r="21" spans="2:12" s="8" customFormat="1">
      <c r="B21" s="571">
        <f t="shared" si="1"/>
        <v>9</v>
      </c>
      <c r="C21" s="635" t="s">
        <v>307</v>
      </c>
      <c r="D21" s="573">
        <v>88277</v>
      </c>
      <c r="E21" s="652" t="s">
        <v>107</v>
      </c>
      <c r="F21" s="652">
        <v>4</v>
      </c>
      <c r="G21" s="576">
        <v>29.41</v>
      </c>
      <c r="H21" s="576">
        <f t="shared" si="0"/>
        <v>117.64</v>
      </c>
      <c r="I21" s="7"/>
      <c r="J21" s="141"/>
      <c r="K21" s="141"/>
    </row>
    <row r="22" spans="2:12" s="8" customFormat="1" ht="12.75" customHeight="1">
      <c r="B22" s="191"/>
      <c r="C22" s="192"/>
      <c r="D22" s="191"/>
      <c r="E22" s="193"/>
      <c r="F22" s="194"/>
      <c r="G22" s="195"/>
      <c r="H22" s="196"/>
      <c r="I22" s="7"/>
    </row>
    <row r="23" spans="2:12" s="8" customFormat="1" ht="12.75" customHeight="1">
      <c r="B23" s="191"/>
      <c r="C23" s="192"/>
      <c r="D23" s="191"/>
      <c r="E23" s="193"/>
      <c r="F23" s="194"/>
      <c r="G23" s="195"/>
      <c r="H23" s="196"/>
      <c r="I23" s="7"/>
    </row>
    <row r="24" spans="2:12" s="8" customFormat="1" ht="12.75" customHeight="1">
      <c r="B24" s="192"/>
      <c r="C24" s="212"/>
      <c r="D24" s="198"/>
      <c r="E24" s="198"/>
      <c r="F24" s="193"/>
      <c r="G24" s="199" t="s">
        <v>134</v>
      </c>
      <c r="H24" s="200">
        <f>SUM(H13:H23)</f>
        <v>400.38</v>
      </c>
      <c r="I24" s="7"/>
    </row>
    <row r="25" spans="2:12" s="8" customFormat="1" ht="12.75" customHeight="1">
      <c r="B25" s="198"/>
      <c r="C25" s="212"/>
      <c r="D25" s="198"/>
      <c r="E25" s="198"/>
      <c r="F25" s="198"/>
      <c r="G25" s="198"/>
      <c r="H25" s="198"/>
      <c r="I25" s="7"/>
    </row>
    <row r="26" spans="2:12" s="202" customFormat="1">
      <c r="B26" s="9"/>
      <c r="C26" s="914" t="s">
        <v>137</v>
      </c>
      <c r="D26" s="914"/>
      <c r="E26" s="914"/>
      <c r="G26" s="201"/>
      <c r="H26" s="9"/>
      <c r="I26" s="203"/>
      <c r="J26" s="204"/>
      <c r="K26" s="204"/>
      <c r="L26" s="204"/>
    </row>
    <row r="27" spans="2:12" s="202" customFormat="1">
      <c r="B27" s="9"/>
      <c r="C27" s="212"/>
      <c r="D27" s="198"/>
      <c r="E27" s="198"/>
      <c r="G27" s="201"/>
      <c r="H27" s="9"/>
      <c r="I27" s="203"/>
      <c r="J27" s="204"/>
      <c r="K27" s="204"/>
      <c r="L27" s="204"/>
    </row>
    <row r="28" spans="2:12" s="202" customFormat="1">
      <c r="B28" s="9"/>
      <c r="C28" s="655" t="s">
        <v>294</v>
      </c>
      <c r="D28" s="206"/>
      <c r="E28" s="207"/>
      <c r="G28" s="201"/>
      <c r="H28" s="9"/>
      <c r="I28" s="203"/>
      <c r="J28" s="204"/>
      <c r="K28" s="204"/>
      <c r="L28" s="204"/>
    </row>
    <row r="29" spans="2:12" s="202" customFormat="1">
      <c r="B29" s="9"/>
      <c r="C29" s="297" t="s">
        <v>297</v>
      </c>
      <c r="D29" s="206">
        <f>((2356)/1000)</f>
        <v>2.3559999999999999</v>
      </c>
      <c r="E29" s="207" t="s">
        <v>4</v>
      </c>
      <c r="G29" s="201"/>
      <c r="H29" s="9"/>
      <c r="I29" s="203"/>
      <c r="J29" s="204"/>
      <c r="K29" s="204"/>
      <c r="L29" s="204"/>
    </row>
    <row r="30" spans="2:12" s="202" customFormat="1">
      <c r="B30" s="9"/>
      <c r="C30" s="297" t="s">
        <v>298</v>
      </c>
      <c r="D30" s="206">
        <f>((826)/1000)</f>
        <v>0.82599999999999996</v>
      </c>
      <c r="E30" s="207" t="s">
        <v>4</v>
      </c>
      <c r="G30" s="201"/>
      <c r="H30" s="9"/>
      <c r="I30" s="203"/>
      <c r="J30" s="204"/>
      <c r="K30" s="204"/>
      <c r="L30" s="204"/>
    </row>
    <row r="31" spans="2:12" s="202" customFormat="1">
      <c r="B31" s="9"/>
      <c r="C31" s="297" t="s">
        <v>10</v>
      </c>
      <c r="D31" s="648">
        <f>((25.4*2)/1000)</f>
        <v>5.0799999999999998E-2</v>
      </c>
      <c r="E31" s="207" t="s">
        <v>4</v>
      </c>
      <c r="G31" s="201"/>
      <c r="H31" s="9"/>
      <c r="I31" s="203"/>
      <c r="J31" s="204"/>
      <c r="K31" s="204"/>
      <c r="L31" s="204"/>
    </row>
    <row r="32" spans="2:12" s="202" customFormat="1">
      <c r="B32" s="9"/>
      <c r="C32" s="656" t="s">
        <v>295</v>
      </c>
      <c r="D32" s="657">
        <f>(D31*(D29+D30))</f>
        <v>0.1616456</v>
      </c>
      <c r="E32" s="658" t="s">
        <v>1</v>
      </c>
      <c r="G32" s="201"/>
      <c r="H32" s="9"/>
      <c r="I32" s="203"/>
      <c r="J32" s="204"/>
      <c r="K32" s="204"/>
      <c r="L32" s="204"/>
    </row>
    <row r="33" spans="2:12" ht="12.75" customHeight="1"/>
    <row r="35" spans="2:12" s="8" customFormat="1" ht="16.5" customHeight="1">
      <c r="B35" s="174"/>
      <c r="C35" s="177"/>
      <c r="D35" s="175"/>
      <c r="E35" s="176"/>
      <c r="F35" s="175"/>
      <c r="G35" s="177"/>
      <c r="H35" s="178"/>
    </row>
    <row r="36" spans="2:12" s="8" customFormat="1" ht="12.75" customHeight="1">
      <c r="B36" s="179"/>
      <c r="C36" s="179"/>
      <c r="D36" s="180"/>
      <c r="E36" s="180"/>
      <c r="F36" s="180"/>
      <c r="G36" s="179"/>
      <c r="H36" s="179"/>
      <c r="I36" s="7"/>
      <c r="J36" s="141"/>
      <c r="L36" s="141"/>
    </row>
    <row r="37" spans="2:12" s="8" customFormat="1" ht="12.75" customHeight="1">
      <c r="B37" s="182"/>
      <c r="C37" s="182"/>
      <c r="D37" s="183"/>
      <c r="E37" s="183"/>
      <c r="F37" s="183"/>
      <c r="G37" s="182"/>
      <c r="H37" s="182"/>
      <c r="I37" s="7"/>
      <c r="L37" s="204"/>
    </row>
    <row r="38" spans="2:12" s="8" customFormat="1" ht="12.75" customHeight="1">
      <c r="B38" s="191"/>
      <c r="C38" s="192"/>
      <c r="D38" s="191"/>
      <c r="E38" s="193"/>
      <c r="F38" s="9"/>
      <c r="G38" s="9"/>
      <c r="H38" s="9"/>
      <c r="I38" s="7"/>
    </row>
    <row r="39" spans="2:12" s="8" customFormat="1" ht="12.75" customHeight="1">
      <c r="B39" s="191"/>
      <c r="C39" s="192"/>
      <c r="D39" s="191"/>
      <c r="E39" s="193"/>
      <c r="F39" s="9"/>
      <c r="G39" s="9"/>
      <c r="H39" s="9"/>
      <c r="I39" s="7"/>
    </row>
    <row r="40" spans="2:12" s="8" customFormat="1" ht="12.75" customHeight="1">
      <c r="B40" s="192"/>
      <c r="C40" s="212"/>
      <c r="D40" s="198"/>
      <c r="E40" s="198"/>
      <c r="F40" s="9"/>
      <c r="G40" s="9"/>
      <c r="H40" s="9"/>
      <c r="I40" s="7"/>
    </row>
    <row r="41" spans="2:12" ht="12.75" customHeight="1">
      <c r="F41" s="9"/>
      <c r="G41" s="9"/>
    </row>
    <row r="42" spans="2:12" s="203" customFormat="1">
      <c r="B42" s="229"/>
      <c r="C42" s="230"/>
      <c r="D42" s="231"/>
      <c r="E42" s="183"/>
      <c r="F42" s="9"/>
      <c r="G42" s="9"/>
      <c r="H42" s="9"/>
      <c r="J42" s="204"/>
      <c r="K42" s="204"/>
      <c r="L42" s="204"/>
    </row>
    <row r="43" spans="2:12" s="8" customFormat="1">
      <c r="B43" s="9"/>
      <c r="C43" s="9"/>
      <c r="D43" s="201"/>
      <c r="E43" s="201"/>
      <c r="F43" s="9"/>
      <c r="G43" s="9"/>
      <c r="H43" s="9"/>
      <c r="I43" s="204"/>
      <c r="J43" s="204"/>
      <c r="K43" s="204"/>
      <c r="L43" s="141"/>
    </row>
    <row r="44" spans="2:12">
      <c r="F44" s="9"/>
      <c r="G44" s="9"/>
    </row>
    <row r="53" spans="3:12" ht="15.75">
      <c r="C53" s="47"/>
      <c r="D53" s="47"/>
      <c r="E53" s="47"/>
      <c r="F53" s="47"/>
      <c r="G53" s="47"/>
      <c r="H53" s="47"/>
      <c r="I53" s="47"/>
      <c r="J53" s="47"/>
      <c r="K53" s="47"/>
      <c r="L53" s="47"/>
    </row>
    <row r="54" spans="3:12" s="47" customFormat="1" ht="15.75"/>
    <row r="55" spans="3:12" s="47" customFormat="1" ht="15.75"/>
    <row r="56" spans="3:12" s="47" customFormat="1" ht="15.75"/>
    <row r="57" spans="3:12" s="47" customFormat="1" ht="15.75"/>
    <row r="58" spans="3:12" s="47" customFormat="1" ht="15.75"/>
  </sheetData>
  <mergeCells count="3">
    <mergeCell ref="B3:H3"/>
    <mergeCell ref="C8:H8"/>
    <mergeCell ref="C26:E26"/>
  </mergeCells>
  <printOptions horizontalCentered="1"/>
  <pageMargins left="0.78740157480314965" right="0.43307086614173229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477F&amp;C&amp;"Arial,Negrito"&amp;10B.&amp;P</oddFooter>
  </headerFooter>
  <legacyDrawingHF r:id="rId2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B3:L58"/>
  <sheetViews>
    <sheetView zoomScaleNormal="100" zoomScaleSheetLayoutView="120" workbookViewId="0">
      <selection activeCell="G29" sqref="G29:G30"/>
    </sheetView>
  </sheetViews>
  <sheetFormatPr defaultColWidth="9.140625" defaultRowHeight="12.75"/>
  <cols>
    <col min="1" max="1" width="36.85546875" style="204" customWidth="1"/>
    <col min="2" max="2" width="5" style="9" customWidth="1"/>
    <col min="3" max="3" width="41" style="9" customWidth="1"/>
    <col min="4" max="4" width="8" style="201" customWidth="1"/>
    <col min="5" max="5" width="5.7109375" style="201" customWidth="1"/>
    <col min="6" max="6" width="6.85546875" style="202" customWidth="1"/>
    <col min="7" max="7" width="11.5703125" style="201" customWidth="1"/>
    <col min="8" max="8" width="11.5703125" style="9" customWidth="1"/>
    <col min="9" max="9" width="10.5703125" style="203" bestFit="1" customWidth="1"/>
    <col min="10" max="16384" width="9.140625" style="204"/>
  </cols>
  <sheetData>
    <row r="3" spans="2:12" s="8" customFormat="1" ht="16.5" customHeight="1">
      <c r="B3" s="912" t="s">
        <v>123</v>
      </c>
      <c r="C3" s="912"/>
      <c r="D3" s="912"/>
      <c r="E3" s="912"/>
      <c r="F3" s="912"/>
      <c r="G3" s="912"/>
      <c r="H3" s="912"/>
    </row>
    <row r="4" spans="2:12" s="8" customFormat="1" ht="16.5" customHeight="1">
      <c r="B4" s="174"/>
      <c r="C4" s="174" t="s">
        <v>124</v>
      </c>
      <c r="D4" s="175" t="s">
        <v>125</v>
      </c>
      <c r="E4" s="176" t="s">
        <v>126</v>
      </c>
      <c r="F4" s="175">
        <v>2023</v>
      </c>
      <c r="G4" s="177" t="s">
        <v>913</v>
      </c>
      <c r="H4" s="178"/>
    </row>
    <row r="5" spans="2:12" s="8" customFormat="1" ht="16.5" customHeight="1">
      <c r="B5" s="174"/>
      <c r="C5" s="174"/>
      <c r="D5" s="175" t="s">
        <v>5</v>
      </c>
      <c r="E5" s="176"/>
      <c r="F5" s="175">
        <v>2023</v>
      </c>
      <c r="G5" s="177" t="s">
        <v>913</v>
      </c>
      <c r="H5" s="178"/>
    </row>
    <row r="6" spans="2:12" s="8" customFormat="1" ht="16.5" customHeight="1">
      <c r="B6" s="174"/>
      <c r="C6" s="177" t="s">
        <v>127</v>
      </c>
      <c r="D6" s="175"/>
      <c r="E6" s="176"/>
      <c r="F6" s="175"/>
      <c r="G6" s="177"/>
      <c r="H6" s="178"/>
    </row>
    <row r="7" spans="2:12" s="8" customFormat="1" ht="16.5" customHeight="1">
      <c r="B7" s="174"/>
      <c r="C7" s="177" t="s">
        <v>309</v>
      </c>
      <c r="D7" s="175"/>
      <c r="E7" s="176"/>
      <c r="F7" s="175"/>
      <c r="G7" s="177"/>
      <c r="H7" s="178"/>
    </row>
    <row r="8" spans="2:12" s="8" customFormat="1" ht="30" customHeight="1">
      <c r="C8" s="913" t="s">
        <v>310</v>
      </c>
      <c r="D8" s="913"/>
      <c r="E8" s="913"/>
      <c r="F8" s="913"/>
      <c r="G8" s="913"/>
      <c r="H8" s="913"/>
    </row>
    <row r="9" spans="2:12" s="8" customFormat="1" ht="12.75" customHeight="1">
      <c r="B9" s="179"/>
      <c r="C9" s="179"/>
      <c r="D9" s="180"/>
      <c r="E9" s="180"/>
      <c r="F9" s="180"/>
      <c r="G9" s="179"/>
      <c r="H9" s="179"/>
    </row>
    <row r="10" spans="2:12" s="8" customFormat="1" ht="12.75" customHeight="1">
      <c r="B10" s="181" t="s">
        <v>128</v>
      </c>
      <c r="C10" s="181" t="s">
        <v>161</v>
      </c>
      <c r="D10" s="180"/>
      <c r="E10" s="180"/>
      <c r="F10" s="180"/>
      <c r="G10" s="179"/>
      <c r="H10" s="179"/>
    </row>
    <row r="11" spans="2:12" s="8" customFormat="1" ht="12.75" customHeight="1">
      <c r="B11" s="182"/>
      <c r="C11" s="182"/>
      <c r="D11" s="183"/>
      <c r="E11" s="183"/>
      <c r="F11" s="183"/>
      <c r="G11" s="182"/>
      <c r="H11" s="182"/>
    </row>
    <row r="12" spans="2:12" s="8" customFormat="1" ht="25.5" customHeight="1">
      <c r="B12" s="184" t="s">
        <v>25</v>
      </c>
      <c r="C12" s="184" t="s">
        <v>129</v>
      </c>
      <c r="D12" s="185" t="s">
        <v>26</v>
      </c>
      <c r="E12" s="184" t="s">
        <v>130</v>
      </c>
      <c r="F12" s="184" t="s">
        <v>131</v>
      </c>
      <c r="G12" s="185" t="s">
        <v>132</v>
      </c>
      <c r="H12" s="185" t="s">
        <v>133</v>
      </c>
    </row>
    <row r="13" spans="2:12" s="8" customFormat="1" ht="25.5">
      <c r="B13" s="571">
        <v>1</v>
      </c>
      <c r="C13" s="635" t="s">
        <v>296</v>
      </c>
      <c r="D13" s="573" t="s">
        <v>293</v>
      </c>
      <c r="E13" s="652" t="s">
        <v>1</v>
      </c>
      <c r="F13" s="652">
        <f>ROUND($D$32,2)</f>
        <v>0.19</v>
      </c>
      <c r="G13" s="576">
        <v>603.25</v>
      </c>
      <c r="H13" s="576">
        <f>ROUND(F13*G13,2)</f>
        <v>114.62</v>
      </c>
      <c r="I13" s="7"/>
      <c r="J13" s="141"/>
      <c r="K13" s="141"/>
    </row>
    <row r="14" spans="2:12" s="8" customFormat="1">
      <c r="B14" s="571">
        <f>B13+1</f>
        <v>2</v>
      </c>
      <c r="C14" s="653" t="str">
        <f>'Resumo Preços'!$D$64</f>
        <v>Manta de borracha neoprene, e=5mm</v>
      </c>
      <c r="D14" s="654" t="str">
        <f>'Resumo Preços'!$C$64</f>
        <v>DIV-02</v>
      </c>
      <c r="E14" s="652" t="str">
        <f>'Resumo Preços'!$E$64</f>
        <v>m²</v>
      </c>
      <c r="F14" s="652">
        <f>ROUND($D$32,2)</f>
        <v>0.19</v>
      </c>
      <c r="G14" s="576">
        <f>ROUND('Resumo Preços'!$L$64,2)</f>
        <v>192.79</v>
      </c>
      <c r="H14" s="576">
        <f t="shared" ref="H14:H21" si="0">ROUND(F14*G14,2)</f>
        <v>36.630000000000003</v>
      </c>
      <c r="I14" s="7"/>
      <c r="J14" s="141"/>
      <c r="K14" s="141"/>
    </row>
    <row r="15" spans="2:12" s="8" customFormat="1" ht="38.25">
      <c r="B15" s="571">
        <f t="shared" ref="B15:B21" si="1">B14+1</f>
        <v>3</v>
      </c>
      <c r="C15" s="635" t="s">
        <v>301</v>
      </c>
      <c r="D15" s="573">
        <v>4346</v>
      </c>
      <c r="E15" s="652" t="s">
        <v>8</v>
      </c>
      <c r="F15" s="652">
        <v>2</v>
      </c>
      <c r="G15" s="576">
        <v>10.96</v>
      </c>
      <c r="H15" s="576">
        <f t="shared" si="0"/>
        <v>21.92</v>
      </c>
      <c r="I15" s="7"/>
      <c r="J15" s="141"/>
      <c r="K15" s="141"/>
      <c r="L15" s="204"/>
    </row>
    <row r="16" spans="2:12" s="8" customFormat="1" ht="25.5">
      <c r="B16" s="571">
        <f t="shared" si="1"/>
        <v>4</v>
      </c>
      <c r="C16" s="635" t="s">
        <v>302</v>
      </c>
      <c r="D16" s="573">
        <v>11953</v>
      </c>
      <c r="E16" s="652" t="s">
        <v>8</v>
      </c>
      <c r="F16" s="652">
        <v>2</v>
      </c>
      <c r="G16" s="576">
        <v>3.52</v>
      </c>
      <c r="H16" s="576">
        <f t="shared" si="0"/>
        <v>7.04</v>
      </c>
      <c r="I16" s="7"/>
      <c r="J16" s="141"/>
      <c r="K16" s="141"/>
    </row>
    <row r="17" spans="2:12" s="8" customFormat="1">
      <c r="B17" s="571">
        <f t="shared" si="1"/>
        <v>5</v>
      </c>
      <c r="C17" s="635" t="s">
        <v>303</v>
      </c>
      <c r="D17" s="573">
        <v>4340</v>
      </c>
      <c r="E17" s="652" t="s">
        <v>8</v>
      </c>
      <c r="F17" s="652">
        <v>2</v>
      </c>
      <c r="G17" s="576">
        <v>1.28</v>
      </c>
      <c r="H17" s="576">
        <f t="shared" si="0"/>
        <v>2.56</v>
      </c>
      <c r="I17" s="7"/>
      <c r="J17" s="141"/>
      <c r="K17" s="141"/>
    </row>
    <row r="18" spans="2:12" s="8" customFormat="1" ht="38.25">
      <c r="B18" s="571">
        <f t="shared" si="1"/>
        <v>6</v>
      </c>
      <c r="C18" s="635" t="s">
        <v>304</v>
      </c>
      <c r="D18" s="573">
        <v>100722</v>
      </c>
      <c r="E18" s="652" t="s">
        <v>1</v>
      </c>
      <c r="F18" s="652">
        <f>ROUND($D$32,2)</f>
        <v>0.19</v>
      </c>
      <c r="G18" s="576">
        <v>27.17</v>
      </c>
      <c r="H18" s="576">
        <f t="shared" si="0"/>
        <v>5.16</v>
      </c>
      <c r="I18" s="7"/>
      <c r="J18" s="141"/>
      <c r="K18" s="141"/>
    </row>
    <row r="19" spans="2:12" s="8" customFormat="1" ht="38.25">
      <c r="B19" s="571">
        <f t="shared" si="1"/>
        <v>7</v>
      </c>
      <c r="C19" s="635" t="s">
        <v>305</v>
      </c>
      <c r="D19" s="573">
        <v>100750</v>
      </c>
      <c r="E19" s="652" t="s">
        <v>1</v>
      </c>
      <c r="F19" s="652">
        <f>ROUND($D$32,2)</f>
        <v>0.19</v>
      </c>
      <c r="G19" s="576">
        <v>27.63</v>
      </c>
      <c r="H19" s="576">
        <f t="shared" si="0"/>
        <v>5.25</v>
      </c>
      <c r="I19" s="7"/>
      <c r="J19" s="141"/>
      <c r="K19" s="141"/>
      <c r="L19" s="204"/>
    </row>
    <row r="20" spans="2:12" s="8" customFormat="1">
      <c r="B20" s="571">
        <f t="shared" si="1"/>
        <v>8</v>
      </c>
      <c r="C20" s="635" t="s">
        <v>306</v>
      </c>
      <c r="D20" s="573">
        <v>88315</v>
      </c>
      <c r="E20" s="652" t="s">
        <v>107</v>
      </c>
      <c r="F20" s="652">
        <v>4</v>
      </c>
      <c r="G20" s="576">
        <v>28.77</v>
      </c>
      <c r="H20" s="576">
        <f t="shared" si="0"/>
        <v>115.08</v>
      </c>
      <c r="I20" s="7"/>
      <c r="J20" s="141"/>
      <c r="K20" s="141"/>
    </row>
    <row r="21" spans="2:12" s="8" customFormat="1">
      <c r="B21" s="571">
        <f t="shared" si="1"/>
        <v>9</v>
      </c>
      <c r="C21" s="635" t="s">
        <v>307</v>
      </c>
      <c r="D21" s="573">
        <v>88277</v>
      </c>
      <c r="E21" s="652" t="s">
        <v>107</v>
      </c>
      <c r="F21" s="652">
        <v>4</v>
      </c>
      <c r="G21" s="576">
        <v>29.41</v>
      </c>
      <c r="H21" s="576">
        <f t="shared" si="0"/>
        <v>117.64</v>
      </c>
      <c r="I21" s="7"/>
      <c r="J21" s="141"/>
      <c r="K21" s="141"/>
    </row>
    <row r="22" spans="2:12" s="8" customFormat="1" ht="12.75" customHeight="1">
      <c r="B22" s="191"/>
      <c r="C22" s="192"/>
      <c r="D22" s="191"/>
      <c r="E22" s="193"/>
      <c r="F22" s="194"/>
      <c r="G22" s="195"/>
      <c r="H22" s="196"/>
      <c r="I22" s="7"/>
    </row>
    <row r="23" spans="2:12" s="8" customFormat="1" ht="12.75" customHeight="1">
      <c r="B23" s="191"/>
      <c r="C23" s="192"/>
      <c r="D23" s="191"/>
      <c r="E23" s="193"/>
      <c r="F23" s="194"/>
      <c r="G23" s="195"/>
      <c r="H23" s="196"/>
      <c r="I23" s="7"/>
    </row>
    <row r="24" spans="2:12" s="8" customFormat="1" ht="12.75" customHeight="1">
      <c r="B24" s="192"/>
      <c r="C24" s="212"/>
      <c r="D24" s="198"/>
      <c r="E24" s="198"/>
      <c r="F24" s="193"/>
      <c r="G24" s="199" t="s">
        <v>134</v>
      </c>
      <c r="H24" s="200">
        <f>SUM(H13:H23)</f>
        <v>425.9</v>
      </c>
      <c r="I24" s="7"/>
    </row>
    <row r="25" spans="2:12" s="8" customFormat="1" ht="12.75" customHeight="1">
      <c r="B25" s="198"/>
      <c r="C25" s="212"/>
      <c r="D25" s="198"/>
      <c r="E25" s="198"/>
      <c r="F25" s="198"/>
      <c r="G25" s="198"/>
      <c r="H25" s="198"/>
      <c r="I25" s="7"/>
    </row>
    <row r="26" spans="2:12" s="202" customFormat="1">
      <c r="B26" s="9"/>
      <c r="C26" s="914" t="s">
        <v>137</v>
      </c>
      <c r="D26" s="914"/>
      <c r="E26" s="914"/>
      <c r="G26" s="201"/>
      <c r="H26" s="9"/>
      <c r="I26" s="203"/>
      <c r="J26" s="204"/>
      <c r="K26" s="204"/>
      <c r="L26" s="204"/>
    </row>
    <row r="27" spans="2:12" s="202" customFormat="1">
      <c r="B27" s="9"/>
      <c r="C27" s="212"/>
      <c r="D27" s="198"/>
      <c r="E27" s="198"/>
      <c r="G27" s="201"/>
      <c r="H27" s="9"/>
      <c r="I27" s="203"/>
      <c r="J27" s="204"/>
      <c r="K27" s="204"/>
      <c r="L27" s="204"/>
    </row>
    <row r="28" spans="2:12" s="202" customFormat="1">
      <c r="B28" s="9"/>
      <c r="C28" s="655" t="s">
        <v>294</v>
      </c>
      <c r="D28" s="206"/>
      <c r="E28" s="207"/>
      <c r="G28" s="201"/>
      <c r="H28" s="9"/>
      <c r="I28" s="203"/>
      <c r="J28" s="204"/>
      <c r="K28" s="204"/>
      <c r="L28" s="204"/>
    </row>
    <row r="29" spans="2:12" s="202" customFormat="1">
      <c r="B29" s="9"/>
      <c r="C29" s="297" t="s">
        <v>297</v>
      </c>
      <c r="D29" s="206">
        <f>((2693)/1000)</f>
        <v>2.6930000000000001</v>
      </c>
      <c r="E29" s="207" t="s">
        <v>4</v>
      </c>
      <c r="G29" s="201"/>
      <c r="H29" s="9"/>
      <c r="I29" s="203"/>
      <c r="J29" s="204"/>
      <c r="K29" s="204"/>
      <c r="L29" s="204"/>
    </row>
    <row r="30" spans="2:12" s="202" customFormat="1">
      <c r="B30" s="9"/>
      <c r="C30" s="297" t="s">
        <v>298</v>
      </c>
      <c r="D30" s="206">
        <f>((961)/1000)</f>
        <v>0.96099999999999997</v>
      </c>
      <c r="E30" s="207" t="s">
        <v>4</v>
      </c>
      <c r="G30" s="201"/>
      <c r="H30" s="9"/>
      <c r="I30" s="203"/>
      <c r="J30" s="204"/>
      <c r="K30" s="204"/>
      <c r="L30" s="204"/>
    </row>
    <row r="31" spans="2:12" s="202" customFormat="1">
      <c r="B31" s="9"/>
      <c r="C31" s="297" t="s">
        <v>10</v>
      </c>
      <c r="D31" s="648">
        <f>((25.4*2)/1000)</f>
        <v>5.0799999999999998E-2</v>
      </c>
      <c r="E31" s="207" t="s">
        <v>4</v>
      </c>
      <c r="G31" s="201"/>
      <c r="H31" s="9"/>
      <c r="I31" s="203"/>
      <c r="J31" s="204"/>
      <c r="K31" s="204"/>
      <c r="L31" s="204"/>
    </row>
    <row r="32" spans="2:12" s="202" customFormat="1">
      <c r="B32" s="9"/>
      <c r="C32" s="656" t="s">
        <v>295</v>
      </c>
      <c r="D32" s="657">
        <f>(D31*(D29+D30))</f>
        <v>0.18562319999999999</v>
      </c>
      <c r="E32" s="658" t="s">
        <v>1</v>
      </c>
      <c r="G32" s="201"/>
      <c r="H32" s="9"/>
      <c r="I32" s="203"/>
      <c r="J32" s="204"/>
      <c r="K32" s="204"/>
      <c r="L32" s="204"/>
    </row>
    <row r="33" spans="2:12" ht="12.75" customHeight="1"/>
    <row r="35" spans="2:12" s="8" customFormat="1" ht="16.5" customHeight="1">
      <c r="B35" s="174"/>
      <c r="C35" s="177"/>
      <c r="D35" s="175"/>
      <c r="E35" s="176"/>
      <c r="F35" s="175"/>
      <c r="G35" s="177"/>
      <c r="H35" s="178"/>
    </row>
    <row r="36" spans="2:12" s="8" customFormat="1" ht="12.75" customHeight="1">
      <c r="B36" s="179"/>
      <c r="C36" s="179"/>
      <c r="D36" s="180"/>
      <c r="E36" s="180"/>
      <c r="F36" s="180"/>
      <c r="G36" s="179"/>
      <c r="H36" s="179"/>
      <c r="I36" s="7"/>
      <c r="J36" s="141"/>
      <c r="L36" s="141"/>
    </row>
    <row r="37" spans="2:12" s="8" customFormat="1" ht="12.75" customHeight="1">
      <c r="B37" s="182"/>
      <c r="C37" s="182"/>
      <c r="D37" s="183"/>
      <c r="E37" s="183"/>
      <c r="F37" s="183"/>
      <c r="G37" s="182"/>
      <c r="H37" s="182"/>
      <c r="I37" s="7"/>
      <c r="L37" s="204"/>
    </row>
    <row r="38" spans="2:12" s="8" customFormat="1" ht="12.75" customHeight="1">
      <c r="B38" s="191"/>
      <c r="C38" s="192"/>
      <c r="D38" s="191"/>
      <c r="E38" s="193"/>
      <c r="F38" s="9"/>
      <c r="G38" s="9"/>
      <c r="H38" s="9"/>
      <c r="I38" s="7"/>
    </row>
    <row r="39" spans="2:12" s="8" customFormat="1" ht="12.75" customHeight="1">
      <c r="B39" s="191"/>
      <c r="C39" s="192"/>
      <c r="D39" s="191"/>
      <c r="E39" s="193"/>
      <c r="F39" s="9"/>
      <c r="G39" s="9"/>
      <c r="H39" s="9"/>
      <c r="I39" s="7"/>
    </row>
    <row r="40" spans="2:12" s="8" customFormat="1" ht="12.75" customHeight="1">
      <c r="B40" s="192"/>
      <c r="C40" s="212"/>
      <c r="D40" s="198"/>
      <c r="E40" s="198"/>
      <c r="F40" s="9"/>
      <c r="G40" s="9"/>
      <c r="H40" s="9"/>
      <c r="I40" s="7"/>
    </row>
    <row r="41" spans="2:12" ht="12.75" customHeight="1">
      <c r="F41" s="9"/>
      <c r="G41" s="9"/>
    </row>
    <row r="42" spans="2:12" s="203" customFormat="1">
      <c r="B42" s="229"/>
      <c r="C42" s="230"/>
      <c r="D42" s="231"/>
      <c r="E42" s="183"/>
      <c r="F42" s="9"/>
      <c r="G42" s="9"/>
      <c r="H42" s="9"/>
      <c r="J42" s="204"/>
      <c r="K42" s="204"/>
      <c r="L42" s="204"/>
    </row>
    <row r="43" spans="2:12" s="8" customFormat="1">
      <c r="B43" s="9"/>
      <c r="C43" s="9"/>
      <c r="D43" s="201"/>
      <c r="E43" s="201"/>
      <c r="F43" s="9"/>
      <c r="G43" s="9"/>
      <c r="H43" s="9"/>
      <c r="I43" s="204"/>
      <c r="J43" s="204"/>
      <c r="K43" s="204"/>
      <c r="L43" s="141"/>
    </row>
    <row r="44" spans="2:12">
      <c r="F44" s="9"/>
      <c r="G44" s="9"/>
    </row>
    <row r="53" spans="3:12" ht="15.75">
      <c r="C53" s="47"/>
      <c r="D53" s="47"/>
      <c r="E53" s="47"/>
      <c r="F53" s="47"/>
      <c r="G53" s="47"/>
      <c r="H53" s="47"/>
      <c r="I53" s="47"/>
      <c r="J53" s="47"/>
      <c r="K53" s="47"/>
      <c r="L53" s="47"/>
    </row>
    <row r="54" spans="3:12" s="47" customFormat="1" ht="15.75"/>
    <row r="55" spans="3:12" s="47" customFormat="1" ht="15.75"/>
    <row r="56" spans="3:12" s="47" customFormat="1" ht="15.75"/>
    <row r="57" spans="3:12" s="47" customFormat="1" ht="15.75"/>
    <row r="58" spans="3:12" s="47" customFormat="1" ht="15.75"/>
  </sheetData>
  <mergeCells count="3">
    <mergeCell ref="B3:H3"/>
    <mergeCell ref="C8:H8"/>
    <mergeCell ref="C26:E26"/>
  </mergeCells>
  <printOptions horizontalCentered="1"/>
  <pageMargins left="0.78740157480314965" right="0.43307086614173229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477F&amp;C&amp;"Arial,Negrito"&amp;10B.&amp;P</oddFooter>
  </headerFooter>
  <legacyDrawingHF r:id="rId2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theme="6" tint="0.59999389629810485"/>
  </sheetPr>
  <dimension ref="B3:M60"/>
  <sheetViews>
    <sheetView zoomScaleNormal="100" zoomScaleSheetLayoutView="120" workbookViewId="0">
      <selection activeCell="G29" sqref="G29:G30"/>
    </sheetView>
  </sheetViews>
  <sheetFormatPr defaultColWidth="9.140625" defaultRowHeight="12.75"/>
  <cols>
    <col min="1" max="1" width="36.85546875" style="204" customWidth="1"/>
    <col min="2" max="2" width="5" style="9" customWidth="1"/>
    <col min="3" max="3" width="41" style="9" customWidth="1"/>
    <col min="4" max="4" width="8" style="201" customWidth="1"/>
    <col min="5" max="5" width="5.7109375" style="201" customWidth="1"/>
    <col min="6" max="6" width="6.85546875" style="202" customWidth="1"/>
    <col min="7" max="7" width="11.5703125" style="201" customWidth="1"/>
    <col min="8" max="8" width="11.5703125" style="9" customWidth="1"/>
    <col min="9" max="9" width="10.5703125" style="203" bestFit="1" customWidth="1"/>
    <col min="10" max="16384" width="9.140625" style="204"/>
  </cols>
  <sheetData>
    <row r="3" spans="2:11" s="8" customFormat="1" ht="16.5" customHeight="1">
      <c r="B3" s="912" t="s">
        <v>123</v>
      </c>
      <c r="C3" s="912"/>
      <c r="D3" s="912"/>
      <c r="E3" s="912"/>
      <c r="F3" s="912"/>
      <c r="G3" s="912"/>
      <c r="H3" s="912"/>
    </row>
    <row r="4" spans="2:11" s="8" customFormat="1" ht="16.5" customHeight="1">
      <c r="B4" s="174"/>
      <c r="C4" s="174" t="s">
        <v>124</v>
      </c>
      <c r="D4" s="175" t="s">
        <v>125</v>
      </c>
      <c r="E4" s="176" t="s">
        <v>126</v>
      </c>
      <c r="F4" s="175">
        <v>2023</v>
      </c>
      <c r="G4" s="177" t="s">
        <v>913</v>
      </c>
      <c r="H4" s="178"/>
    </row>
    <row r="5" spans="2:11" s="8" customFormat="1" ht="16.5" customHeight="1">
      <c r="B5" s="174"/>
      <c r="C5" s="174"/>
      <c r="D5" s="175" t="s">
        <v>5</v>
      </c>
      <c r="E5" s="176"/>
      <c r="F5" s="175">
        <v>2023</v>
      </c>
      <c r="G5" s="177" t="s">
        <v>913</v>
      </c>
      <c r="H5" s="178"/>
    </row>
    <row r="6" spans="2:11" s="8" customFormat="1" ht="16.5" customHeight="1">
      <c r="B6" s="174"/>
      <c r="C6" s="177" t="s">
        <v>127</v>
      </c>
      <c r="D6" s="175"/>
      <c r="E6" s="176"/>
      <c r="F6" s="175"/>
      <c r="G6" s="177"/>
      <c r="H6" s="178"/>
    </row>
    <row r="7" spans="2:11" s="8" customFormat="1" ht="16.5" customHeight="1">
      <c r="B7" s="174"/>
      <c r="C7" s="177" t="s">
        <v>138</v>
      </c>
      <c r="D7" s="175"/>
      <c r="E7" s="176"/>
      <c r="F7" s="175"/>
      <c r="G7" s="177"/>
      <c r="H7" s="178"/>
    </row>
    <row r="8" spans="2:11" s="8" customFormat="1" ht="30" customHeight="1">
      <c r="C8" s="913" t="s">
        <v>780</v>
      </c>
      <c r="D8" s="913"/>
      <c r="E8" s="913"/>
      <c r="F8" s="913"/>
      <c r="G8" s="913"/>
      <c r="H8" s="913"/>
    </row>
    <row r="9" spans="2:11" s="8" customFormat="1" ht="12.75" customHeight="1">
      <c r="B9" s="179"/>
      <c r="C9" s="179"/>
      <c r="D9" s="180"/>
      <c r="E9" s="180"/>
      <c r="F9" s="180"/>
      <c r="G9" s="179"/>
      <c r="H9" s="179"/>
    </row>
    <row r="10" spans="2:11" s="8" customFormat="1" ht="12.75" customHeight="1">
      <c r="B10" s="181" t="s">
        <v>128</v>
      </c>
      <c r="C10" s="181" t="s">
        <v>85</v>
      </c>
      <c r="D10" s="180"/>
      <c r="E10" s="180"/>
      <c r="F10" s="180"/>
      <c r="G10" s="179"/>
      <c r="H10" s="179"/>
    </row>
    <row r="11" spans="2:11" s="8" customFormat="1" ht="12.75" customHeight="1">
      <c r="B11" s="182"/>
      <c r="C11" s="182"/>
      <c r="D11" s="183"/>
      <c r="E11" s="183"/>
      <c r="F11" s="183"/>
      <c r="G11" s="182"/>
      <c r="H11" s="182"/>
    </row>
    <row r="12" spans="2:11" s="8" customFormat="1" ht="25.5" customHeight="1">
      <c r="B12" s="569" t="s">
        <v>25</v>
      </c>
      <c r="C12" s="569" t="s">
        <v>129</v>
      </c>
      <c r="D12" s="570" t="s">
        <v>26</v>
      </c>
      <c r="E12" s="569" t="s">
        <v>130</v>
      </c>
      <c r="F12" s="569" t="s">
        <v>131</v>
      </c>
      <c r="G12" s="570" t="s">
        <v>132</v>
      </c>
      <c r="H12" s="570" t="s">
        <v>133</v>
      </c>
    </row>
    <row r="13" spans="2:11" s="8" customFormat="1" ht="25.5">
      <c r="B13" s="571">
        <v>1</v>
      </c>
      <c r="C13" s="572" t="str">
        <f>'OPER-01'!$C$26</f>
        <v>Picape leve cabine simples - carga útil 700kg - 85 a 95CV - Strada Working ou similar - à disposição</v>
      </c>
      <c r="D13" s="573" t="str">
        <f>$F$30</f>
        <v>EQ04595</v>
      </c>
      <c r="E13" s="574" t="str">
        <f>$E$30</f>
        <v>h</v>
      </c>
      <c r="F13" s="575">
        <f>ROUND($D$30,2)</f>
        <v>80</v>
      </c>
      <c r="G13" s="576">
        <v>9.91</v>
      </c>
      <c r="H13" s="576">
        <f>ROUND(G13*F13,2)</f>
        <v>792.8</v>
      </c>
      <c r="I13" s="7"/>
      <c r="J13" s="9">
        <v>1.28</v>
      </c>
    </row>
    <row r="14" spans="2:11" s="8" customFormat="1">
      <c r="B14" s="571">
        <f>B13+1</f>
        <v>2</v>
      </c>
      <c r="C14" s="572" t="str">
        <f>'OPER-01'!$C$33</f>
        <v xml:space="preserve">Tarifa "A" de fornecimento de água </v>
      </c>
      <c r="D14" s="573">
        <f>$F$37</f>
        <v>44480</v>
      </c>
      <c r="E14" s="574" t="str">
        <f>$E$37</f>
        <v>m³</v>
      </c>
      <c r="F14" s="575">
        <f>ROUND($D$37,2)</f>
        <v>12.32</v>
      </c>
      <c r="G14" s="576">
        <v>14.38</v>
      </c>
      <c r="H14" s="576">
        <f t="shared" ref="H14:H17" si="0">ROUND(G14*F14,2)</f>
        <v>177.16</v>
      </c>
      <c r="I14" s="7"/>
      <c r="J14" s="141"/>
      <c r="K14" s="141"/>
    </row>
    <row r="15" spans="2:11" s="8" customFormat="1" ht="25.5">
      <c r="B15" s="571">
        <f t="shared" ref="B15:B17" si="1">B14+1</f>
        <v>3</v>
      </c>
      <c r="C15" s="572" t="str">
        <f>'OPER-01'!$C$40</f>
        <v>Energia elétrica comercial, incluindo ICMS, PIS/PASEP e COFINS</v>
      </c>
      <c r="D15" s="573">
        <f>$F$44</f>
        <v>14250</v>
      </c>
      <c r="E15" s="574" t="str">
        <f>$E$44</f>
        <v>kWh</v>
      </c>
      <c r="F15" s="574">
        <f>ROUND($D$44,2)</f>
        <v>677.6</v>
      </c>
      <c r="G15" s="576">
        <v>0.76</v>
      </c>
      <c r="H15" s="576">
        <f t="shared" si="0"/>
        <v>514.98</v>
      </c>
      <c r="I15" s="7"/>
      <c r="J15" s="141"/>
      <c r="K15" s="141"/>
    </row>
    <row r="16" spans="2:11" s="8" customFormat="1">
      <c r="B16" s="571">
        <f t="shared" si="1"/>
        <v>4</v>
      </c>
      <c r="C16" s="572" t="str">
        <f>'OPER-01'!$C$47</f>
        <v>Aparelho Smartphone com Android e GPS</v>
      </c>
      <c r="D16" s="573" t="str">
        <f>$F$51</f>
        <v>EQ07281</v>
      </c>
      <c r="E16" s="574" t="str">
        <f>$E$51</f>
        <v>h</v>
      </c>
      <c r="F16" s="574">
        <f>ROUND($D$51,2)</f>
        <v>360</v>
      </c>
      <c r="G16" s="576">
        <v>0.59</v>
      </c>
      <c r="H16" s="576">
        <f t="shared" si="0"/>
        <v>212.4</v>
      </c>
      <c r="I16" s="7"/>
      <c r="J16" s="141"/>
      <c r="K16" s="141"/>
    </row>
    <row r="17" spans="2:13" s="8" customFormat="1">
      <c r="B17" s="571">
        <f t="shared" si="1"/>
        <v>5</v>
      </c>
      <c r="C17" s="572" t="str">
        <f>'OPER-01'!$C$54</f>
        <v>Vigia noturno com encargos complementares</v>
      </c>
      <c r="D17" s="573">
        <f>$F$58</f>
        <v>88326</v>
      </c>
      <c r="E17" s="574" t="str">
        <f>$E$58</f>
        <v>h</v>
      </c>
      <c r="F17" s="574">
        <f>ROUND($D$58,2)</f>
        <v>240</v>
      </c>
      <c r="G17" s="576">
        <v>33.270000000000003</v>
      </c>
      <c r="H17" s="576">
        <f t="shared" si="0"/>
        <v>7984.8</v>
      </c>
      <c r="I17" s="7"/>
      <c r="J17" s="141"/>
      <c r="K17" s="141"/>
    </row>
    <row r="18" spans="2:13" s="8" customFormat="1" ht="12.75" customHeight="1">
      <c r="B18" s="191"/>
      <c r="C18" s="192"/>
      <c r="D18" s="191"/>
      <c r="E18" s="193"/>
      <c r="F18" s="194"/>
      <c r="G18" s="195"/>
      <c r="H18" s="196"/>
      <c r="I18" s="7"/>
    </row>
    <row r="19" spans="2:13" s="8" customFormat="1" ht="12.75" customHeight="1">
      <c r="B19" s="191"/>
      <c r="C19" s="192"/>
      <c r="D19" s="191"/>
      <c r="E19" s="193"/>
      <c r="F19" s="194"/>
      <c r="G19" s="195"/>
      <c r="H19" s="196"/>
      <c r="I19" s="7"/>
    </row>
    <row r="20" spans="2:13" s="8" customFormat="1" ht="12.75" customHeight="1">
      <c r="B20" s="192"/>
      <c r="C20" s="212"/>
      <c r="D20" s="198"/>
      <c r="E20" s="198"/>
      <c r="F20" s="193"/>
      <c r="G20" s="577" t="s">
        <v>134</v>
      </c>
      <c r="H20" s="578">
        <f>SUM(H13:H19)</f>
        <v>9682.14</v>
      </c>
      <c r="I20" s="7"/>
    </row>
    <row r="21" spans="2:13" s="8" customFormat="1" ht="12.75" customHeight="1">
      <c r="B21" s="192"/>
      <c r="C21" s="212"/>
      <c r="D21" s="198"/>
      <c r="E21" s="198"/>
      <c r="F21" s="193"/>
      <c r="G21" s="208"/>
      <c r="H21" s="579"/>
      <c r="I21" s="7"/>
    </row>
    <row r="22" spans="2:13" s="8" customFormat="1" ht="12.75" customHeight="1">
      <c r="B22" s="192"/>
      <c r="C22" s="914" t="s">
        <v>137</v>
      </c>
      <c r="D22" s="914"/>
      <c r="E22" s="914"/>
      <c r="F22" s="914"/>
      <c r="G22" s="914"/>
      <c r="H22" s="198"/>
      <c r="I22" s="7"/>
    </row>
    <row r="23" spans="2:13" s="8" customFormat="1" ht="12.75" customHeight="1">
      <c r="B23" s="198"/>
      <c r="C23" s="212"/>
      <c r="D23" s="198"/>
      <c r="E23" s="198"/>
      <c r="F23" s="198"/>
      <c r="G23" s="198"/>
      <c r="H23" s="198"/>
      <c r="I23" s="7"/>
    </row>
    <row r="24" spans="2:13" s="2" customFormat="1" ht="12.75" customHeight="1">
      <c r="C24" s="10" t="s">
        <v>112</v>
      </c>
      <c r="D24" s="169">
        <v>1</v>
      </c>
      <c r="E24" s="11" t="s">
        <v>113</v>
      </c>
      <c r="F24" s="551"/>
      <c r="K24" s="143"/>
      <c r="L24" s="148"/>
      <c r="M24" s="143"/>
    </row>
    <row r="25" spans="2:13" s="2" customFormat="1" ht="12.75" customHeight="1">
      <c r="C25" s="10"/>
      <c r="D25" s="5"/>
      <c r="E25" s="11"/>
      <c r="F25" s="551"/>
      <c r="K25" s="143"/>
      <c r="L25" s="148"/>
      <c r="M25" s="143"/>
    </row>
    <row r="26" spans="2:13" s="45" customFormat="1" ht="12.75" customHeight="1">
      <c r="C26" s="164" t="s">
        <v>115</v>
      </c>
      <c r="D26" s="580"/>
      <c r="E26" s="581"/>
      <c r="F26" s="582"/>
      <c r="G26" s="583"/>
    </row>
    <row r="27" spans="2:13" s="45" customFormat="1" ht="12.75" customHeight="1">
      <c r="C27" s="14" t="s">
        <v>90</v>
      </c>
      <c r="D27" s="158">
        <v>1</v>
      </c>
      <c r="E27" s="13" t="s">
        <v>8</v>
      </c>
      <c r="F27" s="159"/>
      <c r="G27" s="43"/>
    </row>
    <row r="28" spans="2:13" s="45" customFormat="1" ht="12.75" customHeight="1">
      <c r="C28" s="14" t="s">
        <v>91</v>
      </c>
      <c r="D28" s="158">
        <v>4</v>
      </c>
      <c r="E28" s="13" t="s">
        <v>92</v>
      </c>
      <c r="F28" s="42"/>
      <c r="G28" s="43"/>
    </row>
    <row r="29" spans="2:13" s="45" customFormat="1" ht="12.75" customHeight="1">
      <c r="C29" s="14" t="s">
        <v>93</v>
      </c>
      <c r="D29" s="158">
        <v>20</v>
      </c>
      <c r="E29" s="13" t="s">
        <v>94</v>
      </c>
      <c r="F29" s="42"/>
      <c r="G29" s="43"/>
    </row>
    <row r="30" spans="2:13" s="45" customFormat="1" ht="12.75" customHeight="1">
      <c r="C30" s="584" t="s">
        <v>134</v>
      </c>
      <c r="D30" s="585">
        <f>ROUND(D27*D29*D28*D24,2)</f>
        <v>80</v>
      </c>
      <c r="E30" s="586" t="s">
        <v>107</v>
      </c>
      <c r="F30" s="587" t="s">
        <v>114</v>
      </c>
      <c r="G30" s="587" t="s">
        <v>5</v>
      </c>
      <c r="H30" s="588"/>
    </row>
    <row r="31" spans="2:13" s="45" customFormat="1" ht="12.75" customHeight="1">
      <c r="C31" s="14"/>
      <c r="D31" s="12"/>
      <c r="E31" s="13"/>
      <c r="F31" s="42"/>
      <c r="G31" s="43"/>
    </row>
    <row r="32" spans="2:13" s="45" customFormat="1" ht="12.75" customHeight="1">
      <c r="C32" s="14"/>
      <c r="D32" s="12"/>
      <c r="E32" s="13"/>
      <c r="F32" s="42"/>
      <c r="G32" s="43"/>
    </row>
    <row r="33" spans="3:11" s="45" customFormat="1" ht="12.75" customHeight="1">
      <c r="C33" s="164" t="s">
        <v>95</v>
      </c>
      <c r="D33" s="580"/>
      <c r="E33" s="581"/>
      <c r="F33" s="582"/>
      <c r="G33" s="583"/>
    </row>
    <row r="34" spans="3:11" s="45" customFormat="1" ht="12.75" customHeight="1">
      <c r="C34" s="14" t="s">
        <v>96</v>
      </c>
      <c r="D34" s="14">
        <v>8</v>
      </c>
      <c r="E34" s="14" t="s">
        <v>97</v>
      </c>
      <c r="F34" s="42"/>
      <c r="G34" s="43"/>
    </row>
    <row r="35" spans="3:11" s="45" customFormat="1" ht="12.75" customHeight="1">
      <c r="C35" s="14" t="s">
        <v>98</v>
      </c>
      <c r="D35" s="158">
        <v>22</v>
      </c>
      <c r="E35" s="13" t="s">
        <v>94</v>
      </c>
      <c r="F35" s="42"/>
      <c r="G35" s="43"/>
    </row>
    <row r="36" spans="3:11" s="45" customFormat="1" ht="12.75" customHeight="1">
      <c r="C36" s="144" t="s">
        <v>99</v>
      </c>
      <c r="D36" s="145">
        <v>7.0000000000000007E-2</v>
      </c>
      <c r="E36" s="160" t="s">
        <v>100</v>
      </c>
      <c r="F36" s="42"/>
      <c r="G36" s="43"/>
    </row>
    <row r="37" spans="3:11" s="45" customFormat="1" ht="12.75" customHeight="1">
      <c r="C37" s="584" t="s">
        <v>134</v>
      </c>
      <c r="D37" s="585">
        <f>ROUND((D34*D36)*D35*D24,2)</f>
        <v>12.32</v>
      </c>
      <c r="E37" s="586" t="s">
        <v>6</v>
      </c>
      <c r="F37" s="587">
        <v>44480</v>
      </c>
      <c r="G37" s="587" t="s">
        <v>2</v>
      </c>
      <c r="H37" s="588"/>
    </row>
    <row r="38" spans="3:11" s="45" customFormat="1" ht="12.75" customHeight="1">
      <c r="C38" s="14"/>
      <c r="D38" s="12"/>
      <c r="E38" s="13"/>
      <c r="F38" s="42"/>
      <c r="G38" s="43"/>
    </row>
    <row r="39" spans="3:11" s="45" customFormat="1" ht="12.75" customHeight="1">
      <c r="C39" s="14"/>
      <c r="D39" s="12"/>
      <c r="E39" s="13"/>
      <c r="F39" s="42"/>
      <c r="G39" s="43"/>
    </row>
    <row r="40" spans="3:11" s="45" customFormat="1" ht="12.75" customHeight="1">
      <c r="C40" s="164" t="s">
        <v>101</v>
      </c>
      <c r="D40" s="580"/>
      <c r="E40" s="581"/>
      <c r="F40" s="582"/>
      <c r="G40" s="583"/>
      <c r="H40" s="44"/>
      <c r="I40" s="44"/>
    </row>
    <row r="41" spans="3:11" s="45" customFormat="1" ht="12.75" customHeight="1">
      <c r="C41" s="14" t="str">
        <f t="shared" ref="C41:E42" si="2">C34</f>
        <v>Número médio de funcionários</v>
      </c>
      <c r="D41" s="14">
        <f t="shared" si="2"/>
        <v>8</v>
      </c>
      <c r="E41" s="14" t="str">
        <f t="shared" si="2"/>
        <v>func</v>
      </c>
      <c r="F41" s="42"/>
      <c r="G41" s="43"/>
      <c r="H41" s="162"/>
      <c r="I41" s="13"/>
      <c r="J41" s="42"/>
      <c r="K41" s="163"/>
    </row>
    <row r="42" spans="3:11" s="45" customFormat="1" ht="12.75" customHeight="1">
      <c r="C42" s="14" t="str">
        <f t="shared" si="2"/>
        <v>Dias de consumo</v>
      </c>
      <c r="D42" s="14">
        <f t="shared" si="2"/>
        <v>22</v>
      </c>
      <c r="E42" s="14" t="str">
        <f t="shared" si="2"/>
        <v>dia/mês</v>
      </c>
      <c r="F42" s="42"/>
      <c r="G42" s="43"/>
      <c r="H42" s="162"/>
      <c r="I42" s="160"/>
      <c r="J42" s="42"/>
      <c r="K42" s="163"/>
    </row>
    <row r="43" spans="3:11" s="45" customFormat="1" ht="12.75" customHeight="1">
      <c r="C43" s="144" t="s">
        <v>102</v>
      </c>
      <c r="D43" s="145">
        <v>3.85</v>
      </c>
      <c r="E43" s="160" t="s">
        <v>103</v>
      </c>
      <c r="F43" s="42"/>
      <c r="G43" s="43"/>
      <c r="H43" s="164"/>
      <c r="I43" s="165"/>
      <c r="J43" s="42"/>
      <c r="K43" s="163"/>
    </row>
    <row r="44" spans="3:11" s="45" customFormat="1" ht="12.75" customHeight="1">
      <c r="C44" s="584" t="s">
        <v>134</v>
      </c>
      <c r="D44" s="589">
        <f>ROUND(D41*D43*D42*D24,2)</f>
        <v>677.6</v>
      </c>
      <c r="E44" s="586" t="s">
        <v>103</v>
      </c>
      <c r="F44" s="587">
        <v>14250</v>
      </c>
      <c r="G44" s="587" t="s">
        <v>2</v>
      </c>
      <c r="H44" s="588"/>
      <c r="I44" s="44"/>
    </row>
    <row r="45" spans="3:11" s="45" customFormat="1" ht="12.75" customHeight="1">
      <c r="C45" s="14"/>
      <c r="D45" s="12"/>
      <c r="E45" s="13"/>
      <c r="F45" s="42"/>
      <c r="G45" s="43"/>
      <c r="H45" s="44"/>
      <c r="I45" s="44"/>
    </row>
    <row r="46" spans="3:11" s="45" customFormat="1" ht="12.75" customHeight="1">
      <c r="C46" s="14"/>
      <c r="D46" s="12"/>
      <c r="E46" s="13"/>
      <c r="F46" s="42"/>
      <c r="G46" s="43"/>
      <c r="H46" s="44"/>
      <c r="I46" s="44"/>
    </row>
    <row r="47" spans="3:11" s="45" customFormat="1" ht="12.75" customHeight="1">
      <c r="C47" s="164" t="s">
        <v>109</v>
      </c>
      <c r="D47" s="580"/>
      <c r="E47" s="581"/>
      <c r="F47" s="582"/>
      <c r="G47" s="583"/>
    </row>
    <row r="48" spans="3:11" s="45" customFormat="1" ht="12.75" customHeight="1">
      <c r="C48" s="14" t="s">
        <v>110</v>
      </c>
      <c r="D48" s="158">
        <v>1</v>
      </c>
      <c r="E48" s="13" t="s">
        <v>8</v>
      </c>
      <c r="F48" s="159"/>
      <c r="G48" s="43"/>
    </row>
    <row r="49" spans="2:8" s="45" customFormat="1" ht="12.75" customHeight="1">
      <c r="C49" s="14" t="s">
        <v>91</v>
      </c>
      <c r="D49" s="158">
        <v>12</v>
      </c>
      <c r="E49" s="13" t="s">
        <v>92</v>
      </c>
      <c r="F49" s="42"/>
      <c r="G49" s="43"/>
    </row>
    <row r="50" spans="2:8" s="45" customFormat="1" ht="12.75" customHeight="1">
      <c r="C50" s="14" t="s">
        <v>111</v>
      </c>
      <c r="D50" s="158">
        <v>30</v>
      </c>
      <c r="E50" s="13" t="s">
        <v>94</v>
      </c>
      <c r="F50" s="42"/>
      <c r="G50" s="43"/>
    </row>
    <row r="51" spans="2:8" s="45" customFormat="1" ht="12.75" customHeight="1">
      <c r="C51" s="584" t="s">
        <v>134</v>
      </c>
      <c r="D51" s="589">
        <f>ROUND(D48*D50*D49*D24,2)</f>
        <v>360</v>
      </c>
      <c r="E51" s="586" t="s">
        <v>107</v>
      </c>
      <c r="F51" s="587" t="s">
        <v>108</v>
      </c>
      <c r="G51" s="587" t="s">
        <v>5</v>
      </c>
      <c r="H51" s="588"/>
    </row>
    <row r="52" spans="2:8" s="45" customFormat="1" ht="12.75" customHeight="1">
      <c r="C52" s="14"/>
      <c r="D52" s="12"/>
      <c r="E52" s="13"/>
      <c r="F52" s="42"/>
      <c r="G52" s="43"/>
    </row>
    <row r="53" spans="2:8" s="45" customFormat="1" ht="12.75" customHeight="1">
      <c r="C53" s="14"/>
      <c r="D53" s="12"/>
      <c r="E53" s="13"/>
      <c r="F53" s="42"/>
      <c r="G53" s="43"/>
    </row>
    <row r="54" spans="2:8" s="168" customFormat="1" ht="12.75" customHeight="1">
      <c r="C54" s="164" t="s">
        <v>104</v>
      </c>
      <c r="D54" s="580"/>
      <c r="E54" s="581"/>
      <c r="F54" s="590"/>
      <c r="G54" s="591"/>
      <c r="H54" s="167"/>
    </row>
    <row r="55" spans="2:8" s="168" customFormat="1" ht="12.75" customHeight="1">
      <c r="C55" s="143" t="s">
        <v>105</v>
      </c>
      <c r="D55" s="156">
        <v>1</v>
      </c>
      <c r="E55" s="143" t="s">
        <v>8</v>
      </c>
      <c r="F55" s="166"/>
      <c r="G55" s="18"/>
      <c r="H55" s="167"/>
    </row>
    <row r="56" spans="2:8" s="168" customFormat="1" ht="12.75" customHeight="1">
      <c r="C56" s="14" t="s">
        <v>91</v>
      </c>
      <c r="D56" s="158">
        <v>8</v>
      </c>
      <c r="E56" s="13" t="s">
        <v>92</v>
      </c>
      <c r="F56" s="166"/>
      <c r="G56" s="18"/>
      <c r="H56" s="167"/>
    </row>
    <row r="57" spans="2:8" s="168" customFormat="1" ht="12.75" customHeight="1">
      <c r="C57" s="14" t="s">
        <v>106</v>
      </c>
      <c r="D57" s="158">
        <v>30</v>
      </c>
      <c r="E57" s="13" t="s">
        <v>94</v>
      </c>
      <c r="F57" s="166"/>
      <c r="G57" s="18"/>
      <c r="H57" s="167"/>
    </row>
    <row r="58" spans="2:8" s="168" customFormat="1" ht="12.75" customHeight="1">
      <c r="C58" s="584" t="s">
        <v>134</v>
      </c>
      <c r="D58" s="589">
        <f>(D55*D56*D57*D24)</f>
        <v>240</v>
      </c>
      <c r="E58" s="586" t="s">
        <v>107</v>
      </c>
      <c r="F58" s="587">
        <v>88326</v>
      </c>
      <c r="G58" s="587" t="s">
        <v>2</v>
      </c>
      <c r="H58" s="588"/>
    </row>
    <row r="59" spans="2:8" s="168" customFormat="1" ht="12.75" customHeight="1">
      <c r="B59" s="143"/>
      <c r="C59" s="156"/>
      <c r="D59" s="143"/>
      <c r="E59" s="166"/>
      <c r="F59" s="18"/>
      <c r="G59" s="167"/>
    </row>
    <row r="60" spans="2:8" s="20" customFormat="1" ht="12.75" customHeight="1"/>
  </sheetData>
  <mergeCells count="3">
    <mergeCell ref="B3:H3"/>
    <mergeCell ref="C8:H8"/>
    <mergeCell ref="C22:G22"/>
  </mergeCells>
  <printOptions horizontalCentered="1"/>
  <pageMargins left="0.78740157480314965" right="0.43307086614173229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477F&amp;C&amp;"Arial,Negrito"&amp;10B.&amp;P</oddFooter>
  </headerFooter>
  <rowBreaks count="1" manualBreakCount="1">
    <brk id="21" max="16383" man="1"/>
  </rowBreaks>
  <legacyDrawingHF r:id="rId2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B3:O53"/>
  <sheetViews>
    <sheetView zoomScaleNormal="100" zoomScaleSheetLayoutView="120" workbookViewId="0">
      <selection activeCell="G29" sqref="G29:G30"/>
    </sheetView>
  </sheetViews>
  <sheetFormatPr defaultColWidth="9.140625" defaultRowHeight="12.75"/>
  <cols>
    <col min="1" max="1" width="36.85546875" style="204" customWidth="1"/>
    <col min="2" max="2" width="5" style="9" customWidth="1"/>
    <col min="3" max="3" width="41" style="9" customWidth="1"/>
    <col min="4" max="4" width="8" style="201" customWidth="1"/>
    <col min="5" max="5" width="5.7109375" style="201" customWidth="1"/>
    <col min="6" max="6" width="6.85546875" style="202" customWidth="1"/>
    <col min="7" max="7" width="11.5703125" style="201" customWidth="1"/>
    <col min="8" max="8" width="11.5703125" style="9" customWidth="1"/>
    <col min="9" max="9" width="10.5703125" style="203" bestFit="1" customWidth="1"/>
    <col min="10" max="16384" width="9.140625" style="204"/>
  </cols>
  <sheetData>
    <row r="3" spans="2:13" s="8" customFormat="1" ht="16.5" customHeight="1">
      <c r="B3" s="912" t="s">
        <v>123</v>
      </c>
      <c r="C3" s="912"/>
      <c r="D3" s="912"/>
      <c r="E3" s="912"/>
      <c r="F3" s="912"/>
      <c r="G3" s="912"/>
      <c r="H3" s="912"/>
    </row>
    <row r="4" spans="2:13" s="8" customFormat="1" ht="16.5" customHeight="1">
      <c r="B4" s="174"/>
      <c r="C4" s="174" t="s">
        <v>124</v>
      </c>
      <c r="D4" s="175" t="s">
        <v>125</v>
      </c>
      <c r="E4" s="176" t="s">
        <v>126</v>
      </c>
      <c r="F4" s="175">
        <v>2023</v>
      </c>
      <c r="G4" s="177" t="s">
        <v>913</v>
      </c>
      <c r="H4" s="178"/>
    </row>
    <row r="5" spans="2:13" s="8" customFormat="1" ht="16.5" customHeight="1">
      <c r="B5" s="174"/>
      <c r="C5" s="174"/>
      <c r="D5" s="175" t="s">
        <v>5</v>
      </c>
      <c r="E5" s="176"/>
      <c r="F5" s="175">
        <v>2023</v>
      </c>
      <c r="G5" s="177" t="s">
        <v>913</v>
      </c>
      <c r="H5" s="178"/>
    </row>
    <row r="6" spans="2:13" s="8" customFormat="1" ht="16.5" customHeight="1">
      <c r="B6" s="174"/>
      <c r="C6" s="177" t="s">
        <v>127</v>
      </c>
      <c r="D6" s="175"/>
      <c r="E6" s="176"/>
      <c r="F6" s="175"/>
      <c r="G6" s="177"/>
      <c r="H6" s="178"/>
    </row>
    <row r="7" spans="2:13" s="8" customFormat="1" ht="16.5" customHeight="1">
      <c r="B7" s="174"/>
      <c r="C7" s="177" t="s">
        <v>793</v>
      </c>
      <c r="D7" s="175"/>
      <c r="E7" s="176"/>
      <c r="F7" s="175"/>
      <c r="G7" s="177"/>
      <c r="H7" s="178"/>
    </row>
    <row r="8" spans="2:13" s="8" customFormat="1" ht="30" customHeight="1">
      <c r="C8" s="913" t="s">
        <v>802</v>
      </c>
      <c r="D8" s="913"/>
      <c r="E8" s="913"/>
      <c r="F8" s="913"/>
      <c r="G8" s="913"/>
      <c r="H8" s="913"/>
    </row>
    <row r="9" spans="2:13" s="8" customFormat="1" ht="12.75" customHeight="1">
      <c r="B9" s="179"/>
      <c r="C9" s="179"/>
      <c r="D9" s="180"/>
      <c r="E9" s="180"/>
      <c r="F9" s="180"/>
      <c r="G9" s="179"/>
      <c r="H9" s="179"/>
    </row>
    <row r="10" spans="2:13" s="8" customFormat="1" ht="12.75" customHeight="1">
      <c r="B10" s="181" t="s">
        <v>128</v>
      </c>
      <c r="C10" s="181" t="s">
        <v>722</v>
      </c>
      <c r="D10" s="180"/>
      <c r="E10" s="180"/>
      <c r="F10" s="180"/>
      <c r="G10" s="179"/>
      <c r="H10" s="179"/>
    </row>
    <row r="11" spans="2:13" s="8" customFormat="1" ht="12.75" customHeight="1">
      <c r="B11" s="182"/>
      <c r="C11" s="182"/>
      <c r="D11" s="183"/>
      <c r="E11" s="183"/>
      <c r="F11" s="183"/>
      <c r="G11" s="182"/>
      <c r="H11" s="182"/>
    </row>
    <row r="12" spans="2:13" s="8" customFormat="1" ht="25.5" customHeight="1">
      <c r="B12" s="184" t="s">
        <v>25</v>
      </c>
      <c r="C12" s="184" t="s">
        <v>129</v>
      </c>
      <c r="D12" s="185" t="s">
        <v>26</v>
      </c>
      <c r="E12" s="184" t="s">
        <v>130</v>
      </c>
      <c r="F12" s="184" t="s">
        <v>131</v>
      </c>
      <c r="G12" s="185" t="s">
        <v>132</v>
      </c>
      <c r="H12" s="185" t="s">
        <v>133</v>
      </c>
    </row>
    <row r="13" spans="2:13" s="8" customFormat="1" ht="12.75" customHeight="1">
      <c r="B13" s="674">
        <v>1</v>
      </c>
      <c r="C13" s="635" t="s">
        <v>791</v>
      </c>
      <c r="D13" s="644">
        <v>88265</v>
      </c>
      <c r="E13" s="673" t="s">
        <v>107</v>
      </c>
      <c r="F13" s="672">
        <f>ROUND(B23*D23*E23,2)</f>
        <v>16</v>
      </c>
      <c r="G13" s="643">
        <v>34</v>
      </c>
      <c r="H13" s="671">
        <f>ROUND(F13*G13,2)</f>
        <v>544</v>
      </c>
    </row>
    <row r="14" spans="2:13" s="8" customFormat="1" ht="12.75" customHeight="1">
      <c r="B14" s="674">
        <f>B13+1</f>
        <v>2</v>
      </c>
      <c r="C14" s="635" t="s">
        <v>790</v>
      </c>
      <c r="D14" s="676">
        <v>88247</v>
      </c>
      <c r="E14" s="673" t="s">
        <v>107</v>
      </c>
      <c r="F14" s="672">
        <f>ROUND(B24*D24*E24,2)</f>
        <v>48</v>
      </c>
      <c r="G14" s="643">
        <v>26.99</v>
      </c>
      <c r="H14" s="671">
        <f>ROUND(F14*G14,2)</f>
        <v>1295.52</v>
      </c>
      <c r="K14"/>
      <c r="M14" s="670"/>
    </row>
    <row r="15" spans="2:13" s="8" customFormat="1" ht="12.75" customHeight="1">
      <c r="B15" s="674">
        <f t="shared" ref="B15:B16" si="0">B14+1</f>
        <v>3</v>
      </c>
      <c r="C15" s="635" t="s">
        <v>728</v>
      </c>
      <c r="D15" s="675">
        <v>88266</v>
      </c>
      <c r="E15" s="673" t="s">
        <v>107</v>
      </c>
      <c r="F15" s="672">
        <f>ROUND(B25*D25*E25,2)</f>
        <v>8</v>
      </c>
      <c r="G15" s="643">
        <v>40.659999999999997</v>
      </c>
      <c r="H15" s="671">
        <f>ROUND(F15*G15,2)</f>
        <v>325.27999999999997</v>
      </c>
    </row>
    <row r="16" spans="2:13" s="8" customFormat="1" ht="12.75" customHeight="1">
      <c r="B16" s="674">
        <f t="shared" si="0"/>
        <v>4</v>
      </c>
      <c r="C16" s="635" t="s">
        <v>914</v>
      </c>
      <c r="D16" s="641">
        <v>90778</v>
      </c>
      <c r="E16" s="673" t="s">
        <v>107</v>
      </c>
      <c r="F16" s="672">
        <f>ROUND(B26*D26*E26,2)</f>
        <v>16</v>
      </c>
      <c r="G16" s="643">
        <v>99.68</v>
      </c>
      <c r="H16" s="671">
        <f>ROUND(F16*G16,2)</f>
        <v>1594.88</v>
      </c>
      <c r="K16"/>
      <c r="M16" s="670"/>
    </row>
    <row r="17" spans="2:11" s="8" customFormat="1" ht="12.75" customHeight="1">
      <c r="B17" s="191"/>
      <c r="C17" s="192"/>
      <c r="D17" s="191"/>
      <c r="E17" s="193"/>
      <c r="F17" s="194"/>
      <c r="G17" s="195"/>
      <c r="H17" s="196"/>
      <c r="I17" s="7"/>
    </row>
    <row r="18" spans="2:11" s="8" customFormat="1" ht="12.75" customHeight="1">
      <c r="B18" s="191"/>
      <c r="C18" s="192"/>
      <c r="D18" s="191"/>
      <c r="E18" s="193"/>
      <c r="F18" s="194"/>
      <c r="G18" s="195"/>
      <c r="H18" s="196"/>
      <c r="I18" s="7"/>
    </row>
    <row r="19" spans="2:11" s="8" customFormat="1" ht="12.75" customHeight="1">
      <c r="B19" s="192"/>
      <c r="C19" s="669"/>
      <c r="D19" s="198"/>
      <c r="E19" s="198"/>
      <c r="F19" s="193"/>
      <c r="G19" s="199" t="s">
        <v>134</v>
      </c>
      <c r="H19" s="200">
        <f>SUM(H13:H18)</f>
        <v>3759.6800000000003</v>
      </c>
      <c r="I19" s="7"/>
      <c r="K19" s="677"/>
    </row>
    <row r="20" spans="2:11" s="8" customFormat="1" ht="12.75" customHeight="1">
      <c r="B20" s="198"/>
      <c r="C20" s="669"/>
      <c r="D20" s="198"/>
      <c r="E20" s="198"/>
      <c r="F20" s="198"/>
      <c r="G20" s="198"/>
      <c r="H20" s="198"/>
      <c r="I20" s="7"/>
    </row>
    <row r="21" spans="2:11" s="8" customFormat="1" ht="12.75" customHeight="1">
      <c r="B21" s="915" t="s">
        <v>789</v>
      </c>
      <c r="C21" s="915"/>
      <c r="D21" s="915"/>
      <c r="E21" s="915"/>
      <c r="F21" s="183"/>
      <c r="G21" s="208"/>
      <c r="H21" s="209"/>
      <c r="I21" s="7"/>
    </row>
    <row r="22" spans="2:11" s="8" customFormat="1" ht="12.75" customHeight="1">
      <c r="B22" s="651" t="s">
        <v>140</v>
      </c>
      <c r="C22" s="651" t="s">
        <v>141</v>
      </c>
      <c r="D22" s="651" t="s">
        <v>788</v>
      </c>
      <c r="E22" s="651" t="s">
        <v>377</v>
      </c>
      <c r="F22" s="183"/>
      <c r="G22" s="208"/>
      <c r="H22" s="209"/>
      <c r="I22" s="7"/>
      <c r="J22" s="141"/>
      <c r="K22" s="141"/>
    </row>
    <row r="23" spans="2:11" s="8" customFormat="1" ht="12.75" customHeight="1">
      <c r="B23" s="210">
        <v>1</v>
      </c>
      <c r="C23" s="210" t="s">
        <v>787</v>
      </c>
      <c r="D23" s="161">
        <v>8</v>
      </c>
      <c r="E23" s="161">
        <v>2</v>
      </c>
      <c r="F23" s="183"/>
      <c r="G23" s="208"/>
      <c r="H23" s="209"/>
      <c r="I23" s="7"/>
      <c r="J23" s="141"/>
      <c r="K23" s="141"/>
    </row>
    <row r="24" spans="2:11" s="8" customFormat="1" ht="12.75" customHeight="1">
      <c r="B24" s="210">
        <v>3</v>
      </c>
      <c r="C24" s="210" t="s">
        <v>786</v>
      </c>
      <c r="D24" s="161">
        <v>8</v>
      </c>
      <c r="E24" s="161">
        <v>2</v>
      </c>
      <c r="F24" s="183"/>
      <c r="G24" s="208"/>
      <c r="H24" s="209"/>
      <c r="I24" s="7"/>
      <c r="J24" s="141"/>
      <c r="K24" s="141"/>
    </row>
    <row r="25" spans="2:11" s="8" customFormat="1" ht="12.75" customHeight="1">
      <c r="B25" s="210">
        <v>1</v>
      </c>
      <c r="C25" s="210" t="s">
        <v>726</v>
      </c>
      <c r="D25" s="161">
        <v>8</v>
      </c>
      <c r="E25" s="161">
        <v>1</v>
      </c>
      <c r="F25" s="293"/>
      <c r="G25" s="294"/>
      <c r="H25" s="295"/>
      <c r="I25" s="7"/>
      <c r="J25" s="141"/>
      <c r="K25" s="141"/>
    </row>
    <row r="26" spans="2:11" ht="12.75" customHeight="1">
      <c r="B26" s="210">
        <v>1</v>
      </c>
      <c r="C26" s="210" t="s">
        <v>785</v>
      </c>
      <c r="D26" s="161">
        <v>8</v>
      </c>
      <c r="E26" s="161">
        <v>2</v>
      </c>
    </row>
    <row r="31" spans="2:11" s="8" customFormat="1" ht="16.5" customHeight="1">
      <c r="B31" s="174"/>
      <c r="C31" s="177"/>
      <c r="D31" s="175"/>
      <c r="E31" s="176"/>
      <c r="F31" s="175"/>
      <c r="G31" s="177"/>
      <c r="H31" s="178"/>
    </row>
    <row r="32" spans="2:11" s="8" customFormat="1" ht="16.5" customHeight="1">
      <c r="B32" s="174"/>
      <c r="C32" s="177"/>
      <c r="D32" s="175"/>
      <c r="E32" s="176"/>
      <c r="F32" s="175"/>
      <c r="G32" s="177"/>
      <c r="H32" s="178"/>
    </row>
    <row r="33" spans="2:15" s="8" customFormat="1" ht="12.75" customHeight="1">
      <c r="B33" s="210"/>
      <c r="C33" s="210"/>
      <c r="D33" s="161"/>
      <c r="E33" s="161"/>
      <c r="F33" s="183"/>
      <c r="G33" s="208"/>
      <c r="H33" s="209"/>
      <c r="I33" s="7"/>
      <c r="J33" s="141"/>
      <c r="K33" s="141"/>
    </row>
    <row r="34" spans="2:15" s="8" customFormat="1" ht="12.75" customHeight="1">
      <c r="B34" s="210"/>
      <c r="C34" s="210"/>
      <c r="D34" s="161"/>
      <c r="E34" s="161"/>
      <c r="F34" s="183"/>
      <c r="G34" s="208"/>
      <c r="H34" s="209"/>
      <c r="I34" s="7"/>
      <c r="J34" s="141"/>
      <c r="K34" s="141"/>
    </row>
    <row r="35" spans="2:15" s="8" customFormat="1" ht="12.75" customHeight="1">
      <c r="B35" s="210"/>
      <c r="C35" s="210"/>
      <c r="D35" s="161"/>
      <c r="E35" s="161"/>
      <c r="F35" s="293"/>
      <c r="G35" s="294"/>
      <c r="H35" s="295"/>
      <c r="I35" s="7"/>
      <c r="J35" s="141"/>
      <c r="K35" s="141"/>
    </row>
    <row r="36" spans="2:15" ht="12.75" customHeight="1">
      <c r="B36" s="210"/>
      <c r="C36" s="210"/>
      <c r="D36" s="161"/>
      <c r="E36" s="161"/>
    </row>
    <row r="48" spans="2:15" ht="15.75">
      <c r="C48" s="47"/>
      <c r="D48" s="47"/>
      <c r="E48" s="47"/>
      <c r="F48" s="47"/>
      <c r="G48" s="47"/>
      <c r="H48" s="47"/>
      <c r="I48" s="47"/>
      <c r="J48" s="47"/>
      <c r="K48" s="47"/>
      <c r="L48" s="47"/>
      <c r="M48" s="47"/>
      <c r="N48" s="47"/>
      <c r="O48" s="47"/>
    </row>
    <row r="49" s="47" customFormat="1" ht="15.75"/>
    <row r="50" s="47" customFormat="1" ht="15.75"/>
    <row r="51" s="47" customFormat="1" ht="15.75"/>
    <row r="52" s="47" customFormat="1" ht="15.75"/>
    <row r="53" s="47" customFormat="1" ht="15.75"/>
  </sheetData>
  <mergeCells count="3">
    <mergeCell ref="B3:H3"/>
    <mergeCell ref="C8:H8"/>
    <mergeCell ref="B21:E21"/>
  </mergeCells>
  <printOptions horizontalCentered="1"/>
  <pageMargins left="0.78740157480314965" right="0.43307086614173229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477F&amp;C&amp;"Arial,Negrito"&amp;10B.&amp;P</oddFooter>
  </headerFooter>
  <legacyDrawingHF r:id="rId2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B3:O47"/>
  <sheetViews>
    <sheetView zoomScaleNormal="100" zoomScaleSheetLayoutView="120" workbookViewId="0">
      <selection activeCell="G29" sqref="G29:G30"/>
    </sheetView>
  </sheetViews>
  <sheetFormatPr defaultColWidth="9.140625" defaultRowHeight="12.75"/>
  <cols>
    <col min="1" max="1" width="36.85546875" style="204" customWidth="1"/>
    <col min="2" max="2" width="5" style="9" customWidth="1"/>
    <col min="3" max="3" width="41" style="9" customWidth="1"/>
    <col min="4" max="4" width="8" style="201" customWidth="1"/>
    <col min="5" max="5" width="5.7109375" style="201" customWidth="1"/>
    <col min="6" max="6" width="6.85546875" style="202" customWidth="1"/>
    <col min="7" max="7" width="11.5703125" style="201" customWidth="1"/>
    <col min="8" max="8" width="11.5703125" style="9" customWidth="1"/>
    <col min="9" max="9" width="10.5703125" style="203" bestFit="1" customWidth="1"/>
    <col min="10" max="16384" width="9.140625" style="204"/>
  </cols>
  <sheetData>
    <row r="3" spans="2:13" s="8" customFormat="1" ht="16.5" customHeight="1">
      <c r="B3" s="912" t="s">
        <v>123</v>
      </c>
      <c r="C3" s="912"/>
      <c r="D3" s="912"/>
      <c r="E3" s="912"/>
      <c r="F3" s="912"/>
      <c r="G3" s="912"/>
      <c r="H3" s="912"/>
    </row>
    <row r="4" spans="2:13" s="8" customFormat="1" ht="16.5" customHeight="1">
      <c r="B4" s="174"/>
      <c r="C4" s="174" t="s">
        <v>124</v>
      </c>
      <c r="D4" s="175" t="s">
        <v>125</v>
      </c>
      <c r="E4" s="176" t="s">
        <v>126</v>
      </c>
      <c r="F4" s="175">
        <v>2023</v>
      </c>
      <c r="G4" s="177" t="s">
        <v>913</v>
      </c>
      <c r="H4" s="178"/>
    </row>
    <row r="5" spans="2:13" s="8" customFormat="1" ht="16.5" customHeight="1">
      <c r="B5" s="174"/>
      <c r="C5" s="174"/>
      <c r="D5" s="175" t="s">
        <v>5</v>
      </c>
      <c r="E5" s="176"/>
      <c r="F5" s="175">
        <v>2023</v>
      </c>
      <c r="G5" s="177" t="s">
        <v>913</v>
      </c>
      <c r="H5" s="178"/>
    </row>
    <row r="6" spans="2:13" s="8" customFormat="1" ht="16.5" customHeight="1">
      <c r="B6" s="174"/>
      <c r="C6" s="177" t="s">
        <v>127</v>
      </c>
      <c r="D6" s="175"/>
      <c r="E6" s="176"/>
      <c r="F6" s="175"/>
      <c r="G6" s="177"/>
      <c r="H6" s="178"/>
    </row>
    <row r="7" spans="2:13" s="8" customFormat="1" ht="16.5" customHeight="1">
      <c r="B7" s="174"/>
      <c r="C7" s="177" t="s">
        <v>794</v>
      </c>
      <c r="D7" s="175"/>
      <c r="E7" s="176"/>
      <c r="F7" s="175"/>
      <c r="G7" s="177"/>
      <c r="H7" s="178"/>
    </row>
    <row r="8" spans="2:13" s="8" customFormat="1" ht="30" customHeight="1">
      <c r="C8" s="913" t="s">
        <v>792</v>
      </c>
      <c r="D8" s="913"/>
      <c r="E8" s="913"/>
      <c r="F8" s="913"/>
      <c r="G8" s="913"/>
      <c r="H8" s="913"/>
    </row>
    <row r="9" spans="2:13" s="8" customFormat="1" ht="12.75" customHeight="1">
      <c r="B9" s="179"/>
      <c r="C9" s="179"/>
      <c r="D9" s="180"/>
      <c r="E9" s="180"/>
      <c r="F9" s="180"/>
      <c r="G9" s="179"/>
      <c r="H9" s="179"/>
    </row>
    <row r="10" spans="2:13" s="8" customFormat="1" ht="12.75" customHeight="1">
      <c r="B10" s="181" t="s">
        <v>128</v>
      </c>
      <c r="C10" s="181" t="s">
        <v>722</v>
      </c>
      <c r="D10" s="180"/>
      <c r="E10" s="180"/>
      <c r="F10" s="180"/>
      <c r="G10" s="179"/>
      <c r="H10" s="179"/>
    </row>
    <row r="11" spans="2:13" s="8" customFormat="1" ht="12.75" customHeight="1">
      <c r="B11" s="182"/>
      <c r="C11" s="182"/>
      <c r="D11" s="183"/>
      <c r="E11" s="183"/>
      <c r="F11" s="183"/>
      <c r="G11" s="182"/>
      <c r="H11" s="182"/>
    </row>
    <row r="12" spans="2:13" s="8" customFormat="1" ht="25.5" customHeight="1">
      <c r="B12" s="184" t="s">
        <v>25</v>
      </c>
      <c r="C12" s="184" t="s">
        <v>129</v>
      </c>
      <c r="D12" s="185" t="s">
        <v>26</v>
      </c>
      <c r="E12" s="184" t="s">
        <v>130</v>
      </c>
      <c r="F12" s="184" t="s">
        <v>131</v>
      </c>
      <c r="G12" s="185" t="s">
        <v>132</v>
      </c>
      <c r="H12" s="185" t="s">
        <v>133</v>
      </c>
    </row>
    <row r="13" spans="2:13" s="8" customFormat="1" ht="12.75" customHeight="1">
      <c r="B13" s="674">
        <v>1</v>
      </c>
      <c r="C13" s="635" t="s">
        <v>791</v>
      </c>
      <c r="D13" s="644">
        <v>88265</v>
      </c>
      <c r="E13" s="673" t="s">
        <v>107</v>
      </c>
      <c r="F13" s="672">
        <f>ROUND(B23*D23*E23,2)</f>
        <v>24</v>
      </c>
      <c r="G13" s="643">
        <v>34</v>
      </c>
      <c r="H13" s="671">
        <f>ROUND(F13*G13,2)</f>
        <v>816</v>
      </c>
    </row>
    <row r="14" spans="2:13" s="8" customFormat="1" ht="12.75" customHeight="1">
      <c r="B14" s="674">
        <f>B13+1</f>
        <v>2</v>
      </c>
      <c r="C14" s="635" t="s">
        <v>790</v>
      </c>
      <c r="D14" s="676">
        <v>88247</v>
      </c>
      <c r="E14" s="673" t="s">
        <v>107</v>
      </c>
      <c r="F14" s="672">
        <f>ROUND(B24*D24*E24,2)</f>
        <v>72</v>
      </c>
      <c r="G14" s="643">
        <v>26.99</v>
      </c>
      <c r="H14" s="671">
        <f t="shared" ref="H14:H16" si="0">ROUND(F14*G14,2)</f>
        <v>1943.28</v>
      </c>
      <c r="K14"/>
      <c r="M14" s="670"/>
    </row>
    <row r="15" spans="2:13" s="8" customFormat="1" ht="12.75" customHeight="1">
      <c r="B15" s="674">
        <f t="shared" ref="B15:B16" si="1">B14+1</f>
        <v>3</v>
      </c>
      <c r="C15" s="635" t="s">
        <v>728</v>
      </c>
      <c r="D15" s="675">
        <v>88266</v>
      </c>
      <c r="E15" s="673" t="s">
        <v>107</v>
      </c>
      <c r="F15" s="672">
        <f>ROUND(B25*D25*E25,2)</f>
        <v>24</v>
      </c>
      <c r="G15" s="643">
        <v>40.659999999999997</v>
      </c>
      <c r="H15" s="671">
        <f t="shared" si="0"/>
        <v>975.84</v>
      </c>
    </row>
    <row r="16" spans="2:13" s="8" customFormat="1" ht="12.75" customHeight="1">
      <c r="B16" s="674">
        <f t="shared" si="1"/>
        <v>4</v>
      </c>
      <c r="C16" s="635" t="s">
        <v>914</v>
      </c>
      <c r="D16" s="641">
        <v>90778</v>
      </c>
      <c r="E16" s="673" t="s">
        <v>107</v>
      </c>
      <c r="F16" s="672">
        <f>ROUND(B26*D26*E26,2)</f>
        <v>24</v>
      </c>
      <c r="G16" s="643">
        <v>99.68</v>
      </c>
      <c r="H16" s="671">
        <f t="shared" si="0"/>
        <v>2392.3200000000002</v>
      </c>
      <c r="K16"/>
      <c r="M16" s="670"/>
    </row>
    <row r="17" spans="2:11" s="8" customFormat="1" ht="12.75" customHeight="1">
      <c r="B17" s="191"/>
      <c r="C17" s="192"/>
      <c r="D17" s="191"/>
      <c r="E17" s="193"/>
      <c r="F17" s="194"/>
      <c r="G17" s="195"/>
      <c r="H17" s="196"/>
      <c r="I17" s="7"/>
    </row>
    <row r="18" spans="2:11" s="8" customFormat="1" ht="12.75" customHeight="1">
      <c r="B18" s="191"/>
      <c r="C18" s="192"/>
      <c r="D18" s="191"/>
      <c r="E18" s="193"/>
      <c r="F18" s="194"/>
      <c r="G18" s="195"/>
      <c r="H18" s="196"/>
      <c r="I18" s="7"/>
    </row>
    <row r="19" spans="2:11" s="8" customFormat="1" ht="12.75" customHeight="1">
      <c r="B19" s="192"/>
      <c r="C19" s="669"/>
      <c r="D19" s="198"/>
      <c r="E19" s="198"/>
      <c r="F19" s="193"/>
      <c r="G19" s="199" t="s">
        <v>134</v>
      </c>
      <c r="H19" s="200">
        <f>SUM(H13:H18)</f>
        <v>6127.4400000000005</v>
      </c>
      <c r="I19" s="7"/>
      <c r="K19" s="677"/>
    </row>
    <row r="20" spans="2:11" s="8" customFormat="1" ht="12.75" customHeight="1">
      <c r="B20" s="198"/>
      <c r="C20" s="669"/>
      <c r="D20" s="198"/>
      <c r="E20" s="198"/>
      <c r="F20" s="198"/>
      <c r="G20" s="198"/>
      <c r="H20" s="198"/>
      <c r="I20" s="7"/>
    </row>
    <row r="21" spans="2:11" s="8" customFormat="1" ht="12.75" customHeight="1">
      <c r="B21" s="915" t="s">
        <v>789</v>
      </c>
      <c r="C21" s="915"/>
      <c r="D21" s="915"/>
      <c r="E21" s="915"/>
      <c r="F21" s="183"/>
      <c r="G21" s="208"/>
      <c r="H21" s="209"/>
      <c r="I21" s="7"/>
    </row>
    <row r="22" spans="2:11" s="8" customFormat="1" ht="12.75" customHeight="1">
      <c r="B22" s="651" t="s">
        <v>140</v>
      </c>
      <c r="C22" s="651" t="s">
        <v>141</v>
      </c>
      <c r="D22" s="651" t="s">
        <v>788</v>
      </c>
      <c r="E22" s="651" t="s">
        <v>377</v>
      </c>
      <c r="F22" s="183"/>
      <c r="G22" s="208"/>
      <c r="H22" s="209"/>
      <c r="I22" s="7"/>
      <c r="J22" s="141"/>
      <c r="K22" s="141"/>
    </row>
    <row r="23" spans="2:11" s="8" customFormat="1" ht="12.75" customHeight="1">
      <c r="B23" s="210">
        <v>1</v>
      </c>
      <c r="C23" s="210" t="s">
        <v>787</v>
      </c>
      <c r="D23" s="161">
        <v>8</v>
      </c>
      <c r="E23" s="161">
        <v>3</v>
      </c>
      <c r="F23" s="183"/>
      <c r="G23" s="208"/>
      <c r="H23" s="209"/>
      <c r="I23" s="7"/>
      <c r="J23" s="141"/>
      <c r="K23" s="141"/>
    </row>
    <row r="24" spans="2:11" s="8" customFormat="1" ht="12.75" customHeight="1">
      <c r="B24" s="210">
        <v>3</v>
      </c>
      <c r="C24" s="210" t="s">
        <v>786</v>
      </c>
      <c r="D24" s="161">
        <v>8</v>
      </c>
      <c r="E24" s="161">
        <v>3</v>
      </c>
      <c r="F24" s="183"/>
      <c r="G24" s="208"/>
      <c r="H24" s="209"/>
      <c r="I24" s="7"/>
      <c r="J24" s="141"/>
      <c r="K24" s="141"/>
    </row>
    <row r="25" spans="2:11" s="8" customFormat="1" ht="12.75" customHeight="1">
      <c r="B25" s="210">
        <v>1</v>
      </c>
      <c r="C25" s="210" t="s">
        <v>726</v>
      </c>
      <c r="D25" s="161">
        <v>8</v>
      </c>
      <c r="E25" s="161">
        <v>3</v>
      </c>
      <c r="F25" s="293"/>
      <c r="G25" s="294"/>
      <c r="H25" s="295"/>
      <c r="I25" s="7"/>
      <c r="J25" s="141"/>
      <c r="K25" s="141"/>
    </row>
    <row r="26" spans="2:11" ht="12.75" customHeight="1">
      <c r="B26" s="210">
        <v>1</v>
      </c>
      <c r="C26" s="210" t="s">
        <v>785</v>
      </c>
      <c r="D26" s="161">
        <v>8</v>
      </c>
      <c r="E26" s="161">
        <v>3</v>
      </c>
    </row>
    <row r="31" spans="2:11" s="8" customFormat="1" ht="16.5" customHeight="1">
      <c r="B31" s="174"/>
      <c r="C31" s="177"/>
      <c r="D31" s="175"/>
      <c r="E31" s="176"/>
      <c r="F31" s="175"/>
      <c r="G31" s="177"/>
      <c r="H31" s="178"/>
    </row>
    <row r="32" spans="2:11" s="8" customFormat="1" ht="16.5" customHeight="1">
      <c r="B32" s="174"/>
      <c r="C32" s="177"/>
      <c r="D32" s="175"/>
      <c r="E32" s="176"/>
      <c r="F32" s="175"/>
      <c r="G32" s="177"/>
      <c r="H32" s="178"/>
    </row>
    <row r="42" spans="3:15" ht="15.75">
      <c r="C42" s="47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47"/>
    </row>
    <row r="43" spans="3:15" s="47" customFormat="1" ht="15.75"/>
    <row r="44" spans="3:15" s="47" customFormat="1" ht="15.75"/>
    <row r="45" spans="3:15" s="47" customFormat="1" ht="15.75"/>
    <row r="46" spans="3:15" s="47" customFormat="1" ht="15.75"/>
    <row r="47" spans="3:15" s="47" customFormat="1" ht="15.75"/>
  </sheetData>
  <mergeCells count="3">
    <mergeCell ref="B3:H3"/>
    <mergeCell ref="C8:H8"/>
    <mergeCell ref="B21:E21"/>
  </mergeCells>
  <printOptions horizontalCentered="1"/>
  <pageMargins left="0.78740157480314965" right="0.43307086614173229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477F&amp;C&amp;"Arial,Negrito"&amp;10B.&amp;P</oddFooter>
  </headerFooter>
  <legacyDrawingHF r:id="rId2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B3:O43"/>
  <sheetViews>
    <sheetView zoomScaleNormal="100" zoomScaleSheetLayoutView="120" workbookViewId="0">
      <selection activeCell="G29" sqref="G29:G30"/>
    </sheetView>
  </sheetViews>
  <sheetFormatPr defaultColWidth="9.140625" defaultRowHeight="12.75"/>
  <cols>
    <col min="1" max="1" width="36.85546875" style="204" customWidth="1"/>
    <col min="2" max="2" width="5" style="9" customWidth="1"/>
    <col min="3" max="3" width="41" style="9" customWidth="1"/>
    <col min="4" max="4" width="8" style="201" customWidth="1"/>
    <col min="5" max="5" width="5.7109375" style="201" customWidth="1"/>
    <col min="6" max="6" width="6.85546875" style="202" customWidth="1"/>
    <col min="7" max="7" width="11.5703125" style="201" customWidth="1"/>
    <col min="8" max="8" width="11.5703125" style="9" customWidth="1"/>
    <col min="9" max="9" width="10.5703125" style="203" bestFit="1" customWidth="1"/>
    <col min="10" max="16384" width="9.140625" style="204"/>
  </cols>
  <sheetData>
    <row r="3" spans="2:9" s="8" customFormat="1" ht="16.5" customHeight="1">
      <c r="B3" s="912" t="s">
        <v>123</v>
      </c>
      <c r="C3" s="912"/>
      <c r="D3" s="912"/>
      <c r="E3" s="912"/>
      <c r="F3" s="912"/>
      <c r="G3" s="912"/>
      <c r="H3" s="912"/>
    </row>
    <row r="4" spans="2:9" s="8" customFormat="1" ht="16.5" customHeight="1">
      <c r="B4" s="174"/>
      <c r="C4" s="174" t="s">
        <v>124</v>
      </c>
      <c r="D4" s="175" t="s">
        <v>125</v>
      </c>
      <c r="E4" s="176" t="s">
        <v>126</v>
      </c>
      <c r="F4" s="175">
        <v>2023</v>
      </c>
      <c r="G4" s="177" t="s">
        <v>913</v>
      </c>
      <c r="H4" s="178"/>
    </row>
    <row r="5" spans="2:9" s="8" customFormat="1" ht="16.5" customHeight="1">
      <c r="B5" s="174"/>
      <c r="C5" s="174"/>
      <c r="D5" s="175" t="s">
        <v>5</v>
      </c>
      <c r="E5" s="176"/>
      <c r="F5" s="175">
        <v>2023</v>
      </c>
      <c r="G5" s="177" t="s">
        <v>913</v>
      </c>
      <c r="H5" s="178"/>
    </row>
    <row r="6" spans="2:9" s="8" customFormat="1" ht="16.5" customHeight="1">
      <c r="B6" s="174"/>
      <c r="C6" s="177" t="s">
        <v>127</v>
      </c>
      <c r="D6" s="175"/>
      <c r="E6" s="176"/>
      <c r="F6" s="175"/>
      <c r="G6" s="177"/>
      <c r="H6" s="178"/>
    </row>
    <row r="7" spans="2:9" s="8" customFormat="1" ht="16.5" customHeight="1">
      <c r="B7" s="174"/>
      <c r="C7" s="177" t="s">
        <v>799</v>
      </c>
      <c r="D7" s="175"/>
      <c r="E7" s="176"/>
      <c r="F7" s="175"/>
      <c r="G7" s="177"/>
      <c r="H7" s="178"/>
    </row>
    <row r="8" spans="2:9" s="8" customFormat="1" ht="30" customHeight="1">
      <c r="C8" s="913" t="s">
        <v>798</v>
      </c>
      <c r="D8" s="913"/>
      <c r="E8" s="913"/>
      <c r="F8" s="913"/>
      <c r="G8" s="913"/>
      <c r="H8" s="913"/>
    </row>
    <row r="9" spans="2:9" s="8" customFormat="1" ht="12.75" customHeight="1">
      <c r="B9" s="179"/>
      <c r="C9" s="179"/>
      <c r="D9" s="180"/>
      <c r="E9" s="180"/>
      <c r="F9" s="180"/>
      <c r="G9" s="179"/>
      <c r="H9" s="179"/>
    </row>
    <row r="10" spans="2:9" s="8" customFormat="1" ht="12.75" customHeight="1">
      <c r="B10" s="181" t="s">
        <v>128</v>
      </c>
      <c r="C10" s="181" t="s">
        <v>722</v>
      </c>
      <c r="D10" s="180"/>
      <c r="E10" s="180"/>
      <c r="F10" s="180"/>
      <c r="G10" s="179"/>
      <c r="H10" s="179"/>
    </row>
    <row r="11" spans="2:9" s="8" customFormat="1" ht="12.75" customHeight="1">
      <c r="B11" s="182"/>
      <c r="C11" s="182"/>
      <c r="D11" s="183"/>
      <c r="E11" s="183"/>
      <c r="F11" s="183"/>
      <c r="G11" s="182"/>
      <c r="H11" s="182"/>
    </row>
    <row r="12" spans="2:9" s="8" customFormat="1" ht="25.5" customHeight="1">
      <c r="B12" s="184" t="s">
        <v>25</v>
      </c>
      <c r="C12" s="184" t="s">
        <v>129</v>
      </c>
      <c r="D12" s="185" t="s">
        <v>26</v>
      </c>
      <c r="E12" s="184" t="s">
        <v>130</v>
      </c>
      <c r="F12" s="184" t="s">
        <v>131</v>
      </c>
      <c r="G12" s="185" t="s">
        <v>132</v>
      </c>
      <c r="H12" s="185" t="s">
        <v>133</v>
      </c>
    </row>
    <row r="13" spans="2:9" s="8" customFormat="1" ht="25.5">
      <c r="B13" s="674">
        <v>1</v>
      </c>
      <c r="C13" s="635" t="s">
        <v>797</v>
      </c>
      <c r="D13" s="679">
        <v>100947</v>
      </c>
      <c r="E13" s="678" t="s">
        <v>459</v>
      </c>
      <c r="F13" s="672">
        <f>ROUND(2*30,2)</f>
        <v>60</v>
      </c>
      <c r="G13" s="643">
        <v>2.3199999999999998</v>
      </c>
      <c r="H13" s="671">
        <f>ROUND(F13*G13,2)</f>
        <v>139.19999999999999</v>
      </c>
    </row>
    <row r="14" spans="2:9" s="8" customFormat="1" ht="25.5">
      <c r="B14" s="674">
        <f>B13+1</f>
        <v>2</v>
      </c>
      <c r="C14" s="635" t="s">
        <v>796</v>
      </c>
      <c r="D14" s="679">
        <v>88241</v>
      </c>
      <c r="E14" s="678" t="s">
        <v>107</v>
      </c>
      <c r="F14" s="672">
        <f>ROUND(B21*D21*E21,2)</f>
        <v>64</v>
      </c>
      <c r="G14" s="643">
        <v>24.59</v>
      </c>
      <c r="H14" s="671">
        <f>ROUND(F14*G14,2)</f>
        <v>1573.76</v>
      </c>
    </row>
    <row r="15" spans="2:9" s="8" customFormat="1" ht="12.75" customHeight="1">
      <c r="B15" s="191"/>
      <c r="C15" s="192"/>
      <c r="D15" s="191"/>
      <c r="E15" s="193"/>
      <c r="F15" s="194"/>
      <c r="G15" s="195"/>
      <c r="H15" s="196"/>
      <c r="I15" s="7"/>
    </row>
    <row r="16" spans="2:9" s="8" customFormat="1" ht="12.75" customHeight="1">
      <c r="B16" s="191"/>
      <c r="C16" s="192"/>
      <c r="D16" s="191"/>
      <c r="E16" s="193"/>
      <c r="F16" s="194"/>
      <c r="G16" s="195"/>
      <c r="H16" s="196"/>
      <c r="I16" s="7"/>
    </row>
    <row r="17" spans="2:12" s="8" customFormat="1" ht="12.75" customHeight="1">
      <c r="B17" s="192"/>
      <c r="C17" s="669"/>
      <c r="D17" s="198"/>
      <c r="E17" s="198"/>
      <c r="F17" s="193"/>
      <c r="G17" s="199" t="s">
        <v>134</v>
      </c>
      <c r="H17" s="200">
        <f>SUM(H13:H16)</f>
        <v>1712.96</v>
      </c>
      <c r="I17" s="7"/>
      <c r="K17" s="677"/>
      <c r="L17" s="677"/>
    </row>
    <row r="18" spans="2:12" s="8" customFormat="1" ht="12.75" customHeight="1">
      <c r="B18" s="198"/>
      <c r="C18" s="669"/>
      <c r="D18" s="198"/>
      <c r="E18" s="198"/>
      <c r="F18" s="198"/>
      <c r="G18" s="198"/>
      <c r="H18" s="198"/>
      <c r="I18" s="7"/>
    </row>
    <row r="19" spans="2:12" s="8" customFormat="1" ht="12.75" customHeight="1">
      <c r="B19" s="915" t="s">
        <v>789</v>
      </c>
      <c r="C19" s="915"/>
      <c r="D19" s="915"/>
      <c r="E19" s="915"/>
      <c r="F19" s="183"/>
      <c r="G19" s="208"/>
      <c r="H19" s="209"/>
      <c r="I19" s="7"/>
    </row>
    <row r="20" spans="2:12" s="8" customFormat="1" ht="12.75" customHeight="1">
      <c r="B20" s="651" t="s">
        <v>140</v>
      </c>
      <c r="C20" s="651" t="s">
        <v>141</v>
      </c>
      <c r="D20" s="651" t="s">
        <v>788</v>
      </c>
      <c r="E20" s="651" t="s">
        <v>377</v>
      </c>
      <c r="F20" s="183"/>
      <c r="G20" s="208"/>
      <c r="H20" s="209"/>
      <c r="I20" s="7"/>
      <c r="J20" s="141"/>
      <c r="K20" s="141"/>
    </row>
    <row r="21" spans="2:12" s="8" customFormat="1" ht="12.75" customHeight="1">
      <c r="B21" s="210">
        <v>2</v>
      </c>
      <c r="C21" s="210" t="s">
        <v>795</v>
      </c>
      <c r="D21" s="161">
        <v>8</v>
      </c>
      <c r="E21" s="161">
        <v>4</v>
      </c>
      <c r="F21" s="183"/>
      <c r="G21" s="208"/>
      <c r="H21" s="209"/>
      <c r="I21" s="7"/>
      <c r="J21" s="141"/>
      <c r="K21" s="141"/>
    </row>
    <row r="26" spans="2:12" ht="16.5" customHeight="1"/>
    <row r="27" spans="2:12" ht="16.5" customHeight="1"/>
    <row r="28" spans="2:12" s="8" customFormat="1" ht="16.5" customHeight="1">
      <c r="B28" s="174"/>
      <c r="C28" s="177"/>
      <c r="D28" s="175"/>
      <c r="E28" s="176"/>
      <c r="F28" s="175"/>
      <c r="G28" s="177"/>
      <c r="H28" s="178"/>
    </row>
    <row r="38" spans="3:15" ht="15.75">
      <c r="C38" s="47"/>
      <c r="D38" s="47"/>
      <c r="E38" s="47"/>
      <c r="F38" s="47"/>
      <c r="G38" s="47"/>
      <c r="H38" s="47"/>
      <c r="I38" s="47"/>
      <c r="J38" s="47"/>
      <c r="K38" s="47"/>
      <c r="L38" s="47"/>
      <c r="M38" s="47"/>
      <c r="N38" s="47"/>
      <c r="O38" s="47"/>
    </row>
    <row r="39" spans="3:15" s="47" customFormat="1" ht="15.75"/>
    <row r="40" spans="3:15" s="47" customFormat="1" ht="15.75"/>
    <row r="41" spans="3:15" s="47" customFormat="1" ht="15.75"/>
    <row r="42" spans="3:15" s="47" customFormat="1" ht="15.75"/>
    <row r="43" spans="3:15" s="47" customFormat="1" ht="15.75"/>
  </sheetData>
  <mergeCells count="3">
    <mergeCell ref="B3:H3"/>
    <mergeCell ref="C8:H8"/>
    <mergeCell ref="B19:E19"/>
  </mergeCells>
  <conditionalFormatting sqref="D13:E14">
    <cfRule type="expression" dxfId="1" priority="5" stopIfTrue="1">
      <formula>AND($A13&lt;&gt;"COMPOSICAO",$A13&lt;&gt;"INSUMO",$A13&lt;&gt;"")</formula>
    </cfRule>
    <cfRule type="expression" dxfId="0" priority="6" stopIfTrue="1">
      <formula>AND(OR($A13="COMPOSICAO",$A13="INSUMO",$A13&lt;&gt;""),$A13&lt;&gt;"")</formula>
    </cfRule>
  </conditionalFormatting>
  <printOptions horizontalCentered="1"/>
  <pageMargins left="0.78740157480314965" right="0.43307086614173229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477F&amp;C&amp;"Arial,Negrito"&amp;10B.&amp;P</oddFooter>
  </headerFooter>
  <legacyDrawingHF r:id="rId2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theme="6" tint="-0.249977111117893"/>
  </sheetPr>
  <dimension ref="B3:O48"/>
  <sheetViews>
    <sheetView zoomScaleNormal="100" zoomScaleSheetLayoutView="120" workbookViewId="0">
      <selection activeCell="G29" sqref="G29:G30"/>
    </sheetView>
  </sheetViews>
  <sheetFormatPr defaultColWidth="9.140625" defaultRowHeight="12.75"/>
  <cols>
    <col min="1" max="1" width="36.85546875" style="204" customWidth="1"/>
    <col min="2" max="2" width="5" style="9" customWidth="1"/>
    <col min="3" max="3" width="41" style="9" customWidth="1"/>
    <col min="4" max="4" width="8" style="201" customWidth="1"/>
    <col min="5" max="5" width="5.7109375" style="201" customWidth="1"/>
    <col min="6" max="6" width="6.85546875" style="202" customWidth="1"/>
    <col min="7" max="7" width="11.5703125" style="201" customWidth="1"/>
    <col min="8" max="8" width="11.5703125" style="9" customWidth="1"/>
    <col min="9" max="9" width="10.5703125" style="203" bestFit="1" customWidth="1"/>
    <col min="10" max="16384" width="9.140625" style="204"/>
  </cols>
  <sheetData>
    <row r="3" spans="2:13" s="8" customFormat="1" ht="16.5" customHeight="1">
      <c r="B3" s="912" t="s">
        <v>123</v>
      </c>
      <c r="C3" s="912"/>
      <c r="D3" s="912"/>
      <c r="E3" s="912"/>
      <c r="F3" s="912"/>
      <c r="G3" s="912"/>
      <c r="H3" s="912"/>
    </row>
    <row r="4" spans="2:13" s="8" customFormat="1" ht="16.5" customHeight="1">
      <c r="B4" s="174"/>
      <c r="C4" s="174" t="s">
        <v>124</v>
      </c>
      <c r="D4" s="175" t="s">
        <v>125</v>
      </c>
      <c r="E4" s="176" t="s">
        <v>126</v>
      </c>
      <c r="F4" s="175">
        <v>2023</v>
      </c>
      <c r="G4" s="177" t="s">
        <v>913</v>
      </c>
      <c r="H4" s="178"/>
    </row>
    <row r="5" spans="2:13" s="8" customFormat="1" ht="16.5" customHeight="1">
      <c r="B5" s="174"/>
      <c r="C5" s="174"/>
      <c r="D5" s="175" t="s">
        <v>5</v>
      </c>
      <c r="E5" s="176"/>
      <c r="F5" s="175">
        <v>2023</v>
      </c>
      <c r="G5" s="177" t="s">
        <v>913</v>
      </c>
      <c r="H5" s="178"/>
    </row>
    <row r="6" spans="2:13" s="8" customFormat="1" ht="16.5" customHeight="1">
      <c r="B6" s="174"/>
      <c r="C6" s="177" t="s">
        <v>127</v>
      </c>
      <c r="D6" s="175"/>
      <c r="E6" s="176"/>
      <c r="F6" s="175"/>
      <c r="G6" s="177"/>
      <c r="H6" s="178"/>
    </row>
    <row r="7" spans="2:13" s="8" customFormat="1" ht="16.5" customHeight="1">
      <c r="B7" s="174"/>
      <c r="C7" s="177" t="s">
        <v>801</v>
      </c>
      <c r="D7" s="175"/>
      <c r="E7" s="176"/>
      <c r="F7" s="175"/>
      <c r="G7" s="177"/>
      <c r="H7" s="178"/>
    </row>
    <row r="8" spans="2:13" s="8" customFormat="1" ht="30" customHeight="1">
      <c r="C8" s="913" t="s">
        <v>800</v>
      </c>
      <c r="D8" s="913"/>
      <c r="E8" s="913"/>
      <c r="F8" s="913"/>
      <c r="G8" s="913"/>
      <c r="H8" s="913"/>
    </row>
    <row r="9" spans="2:13" s="8" customFormat="1" ht="12.75" customHeight="1">
      <c r="B9" s="179"/>
      <c r="C9" s="179"/>
      <c r="D9" s="180"/>
      <c r="E9" s="180"/>
      <c r="F9" s="180"/>
      <c r="G9" s="179"/>
      <c r="H9" s="179"/>
    </row>
    <row r="10" spans="2:13" s="8" customFormat="1" ht="12.75" customHeight="1">
      <c r="B10" s="181" t="s">
        <v>128</v>
      </c>
      <c r="C10" s="181" t="s">
        <v>722</v>
      </c>
      <c r="D10" s="180"/>
      <c r="E10" s="180"/>
      <c r="F10" s="180"/>
      <c r="G10" s="179"/>
      <c r="H10" s="179"/>
    </row>
    <row r="11" spans="2:13" s="8" customFormat="1" ht="12.75" customHeight="1">
      <c r="B11" s="182"/>
      <c r="C11" s="182"/>
      <c r="D11" s="183"/>
      <c r="E11" s="183"/>
      <c r="F11" s="183"/>
      <c r="G11" s="182"/>
      <c r="H11" s="182"/>
    </row>
    <row r="12" spans="2:13" s="8" customFormat="1" ht="25.5" customHeight="1">
      <c r="B12" s="184" t="s">
        <v>25</v>
      </c>
      <c r="C12" s="184" t="s">
        <v>129</v>
      </c>
      <c r="D12" s="185" t="s">
        <v>26</v>
      </c>
      <c r="E12" s="184" t="s">
        <v>130</v>
      </c>
      <c r="F12" s="184" t="s">
        <v>131</v>
      </c>
      <c r="G12" s="185" t="s">
        <v>132</v>
      </c>
      <c r="H12" s="185" t="s">
        <v>133</v>
      </c>
    </row>
    <row r="13" spans="2:13" s="8" customFormat="1">
      <c r="B13" s="674">
        <v>1</v>
      </c>
      <c r="C13" s="635" t="s">
        <v>791</v>
      </c>
      <c r="D13" s="644">
        <v>88265</v>
      </c>
      <c r="E13" s="673" t="s">
        <v>107</v>
      </c>
      <c r="F13" s="672">
        <f>ROUND(B22*D22*E22,2)</f>
        <v>40</v>
      </c>
      <c r="G13" s="643">
        <v>34</v>
      </c>
      <c r="H13" s="671">
        <f>ROUND(F13*G13,2)</f>
        <v>1360</v>
      </c>
    </row>
    <row r="14" spans="2:13" s="8" customFormat="1" ht="12.75" customHeight="1">
      <c r="B14" s="674">
        <f>B13+1</f>
        <v>2</v>
      </c>
      <c r="C14" s="635" t="s">
        <v>728</v>
      </c>
      <c r="D14" s="675">
        <v>88266</v>
      </c>
      <c r="E14" s="673" t="s">
        <v>107</v>
      </c>
      <c r="F14" s="672">
        <f>ROUND(B23*D23*E23,2)</f>
        <v>40</v>
      </c>
      <c r="G14" s="643">
        <v>40.659999999999997</v>
      </c>
      <c r="H14" s="671">
        <f>ROUND(F14*G14,2)</f>
        <v>1626.4</v>
      </c>
    </row>
    <row r="15" spans="2:13" s="8" customFormat="1" ht="12.75" customHeight="1">
      <c r="B15" s="674">
        <f>B14+1</f>
        <v>3</v>
      </c>
      <c r="C15" s="635" t="s">
        <v>914</v>
      </c>
      <c r="D15" s="641">
        <v>90778</v>
      </c>
      <c r="E15" s="673" t="s">
        <v>107</v>
      </c>
      <c r="F15" s="672">
        <f>ROUND(B24*D24*E24,2)</f>
        <v>8</v>
      </c>
      <c r="G15" s="643">
        <v>99.68</v>
      </c>
      <c r="H15" s="671">
        <f>ROUND(F15*G15,2)</f>
        <v>797.44</v>
      </c>
      <c r="K15"/>
      <c r="M15" s="670"/>
    </row>
    <row r="16" spans="2:13" s="8" customFormat="1" ht="12.75" customHeight="1">
      <c r="B16" s="191"/>
      <c r="C16" s="192"/>
      <c r="D16" s="191"/>
      <c r="E16" s="193"/>
      <c r="F16" s="194"/>
      <c r="G16" s="195"/>
      <c r="H16" s="196"/>
      <c r="I16" s="7"/>
    </row>
    <row r="17" spans="2:12" s="8" customFormat="1" ht="12.75" customHeight="1">
      <c r="B17" s="191"/>
      <c r="C17" s="192"/>
      <c r="D17" s="191"/>
      <c r="E17" s="193"/>
      <c r="F17" s="194"/>
      <c r="G17" s="195"/>
      <c r="H17" s="196"/>
      <c r="I17" s="7"/>
    </row>
    <row r="18" spans="2:12" s="8" customFormat="1" ht="12.75" customHeight="1">
      <c r="B18" s="192"/>
      <c r="C18" s="669"/>
      <c r="D18" s="198"/>
      <c r="E18" s="198"/>
      <c r="F18" s="193"/>
      <c r="G18" s="199" t="s">
        <v>134</v>
      </c>
      <c r="H18" s="200">
        <f>SUM(H13:H17)</f>
        <v>3783.84</v>
      </c>
      <c r="I18" s="7"/>
      <c r="K18" s="677"/>
      <c r="L18" s="677"/>
    </row>
    <row r="19" spans="2:12" s="8" customFormat="1" ht="12.75" customHeight="1">
      <c r="B19" s="198"/>
      <c r="C19" s="669"/>
      <c r="D19" s="198"/>
      <c r="E19" s="198"/>
      <c r="F19" s="198"/>
      <c r="G19" s="198"/>
      <c r="H19" s="198"/>
      <c r="I19" s="7"/>
    </row>
    <row r="20" spans="2:12" s="8" customFormat="1" ht="12.75" customHeight="1">
      <c r="B20" s="915" t="s">
        <v>789</v>
      </c>
      <c r="C20" s="915"/>
      <c r="D20" s="915"/>
      <c r="E20" s="915"/>
      <c r="F20" s="183"/>
      <c r="G20" s="208"/>
      <c r="H20" s="209"/>
      <c r="I20" s="7"/>
    </row>
    <row r="21" spans="2:12" s="8" customFormat="1" ht="12.75" customHeight="1">
      <c r="B21" s="651" t="s">
        <v>140</v>
      </c>
      <c r="C21" s="651" t="s">
        <v>141</v>
      </c>
      <c r="D21" s="651" t="s">
        <v>788</v>
      </c>
      <c r="E21" s="651" t="s">
        <v>377</v>
      </c>
      <c r="F21" s="183"/>
      <c r="G21" s="208"/>
      <c r="H21" s="209"/>
      <c r="I21" s="7"/>
      <c r="J21" s="141"/>
      <c r="K21" s="141"/>
    </row>
    <row r="22" spans="2:12" s="8" customFormat="1" ht="12.75" customHeight="1">
      <c r="B22" s="210">
        <v>1</v>
      </c>
      <c r="C22" s="210" t="s">
        <v>787</v>
      </c>
      <c r="D22" s="161">
        <v>8</v>
      </c>
      <c r="E22" s="161">
        <v>5</v>
      </c>
      <c r="F22" s="183"/>
      <c r="G22" s="208"/>
      <c r="H22" s="209"/>
      <c r="I22" s="7"/>
      <c r="J22" s="141"/>
      <c r="K22" s="141"/>
    </row>
    <row r="23" spans="2:12">
      <c r="B23" s="210">
        <v>1</v>
      </c>
      <c r="C23" s="210" t="s">
        <v>726</v>
      </c>
      <c r="D23" s="161">
        <v>8</v>
      </c>
      <c r="E23" s="161">
        <v>5</v>
      </c>
    </row>
    <row r="24" spans="2:12">
      <c r="B24" s="210">
        <v>1</v>
      </c>
      <c r="C24" s="210" t="s">
        <v>785</v>
      </c>
      <c r="D24" s="161">
        <v>2</v>
      </c>
      <c r="E24" s="161">
        <v>4</v>
      </c>
    </row>
    <row r="29" spans="2:12" ht="16.5" customHeight="1"/>
    <row r="30" spans="2:12" ht="16.5" customHeight="1"/>
    <row r="31" spans="2:12" ht="16.5" customHeight="1"/>
    <row r="32" spans="2:12" ht="16.5" customHeight="1"/>
    <row r="33" spans="2:15" s="8" customFormat="1" ht="16.5" customHeight="1">
      <c r="B33" s="174"/>
      <c r="C33" s="177"/>
      <c r="D33" s="175"/>
      <c r="E33" s="176"/>
      <c r="F33" s="175"/>
      <c r="G33" s="177"/>
      <c r="H33" s="178"/>
    </row>
    <row r="43" spans="2:15" ht="15.75"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</row>
    <row r="44" spans="2:15" s="47" customFormat="1" ht="15.75"/>
    <row r="45" spans="2:15" s="47" customFormat="1" ht="15.75"/>
    <row r="46" spans="2:15" s="47" customFormat="1" ht="15.75"/>
    <row r="47" spans="2:15" s="47" customFormat="1" ht="15.75"/>
    <row r="48" spans="2:15" s="47" customFormat="1" ht="15.75"/>
  </sheetData>
  <mergeCells count="3">
    <mergeCell ref="B3:H3"/>
    <mergeCell ref="C8:H8"/>
    <mergeCell ref="B20:E20"/>
  </mergeCells>
  <printOptions horizontalCentered="1"/>
  <pageMargins left="0.78740157480314965" right="0.43307086614173229" top="0.98425196850393704" bottom="0.78740157480314965" header="0.39370078740157483" footer="0.39370078740157483"/>
  <pageSetup paperSize="9" orientation="portrait" r:id="rId1"/>
  <headerFooter scaleWithDoc="0">
    <oddHeader>&amp;R&amp;G</oddHeader>
    <oddFooter>&amp;L&amp;"Arial,Negrito"&amp;10CTR 477F&amp;C&amp;"Arial,Negrito"&amp;10B.&amp;P</oddFooter>
  </headerFooter>
  <legacyDrawingHF r:id="rId2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2:U66"/>
  <sheetViews>
    <sheetView zoomScaleNormal="100" workbookViewId="0">
      <selection activeCell="J78" sqref="J78"/>
    </sheetView>
  </sheetViews>
  <sheetFormatPr defaultRowHeight="12.75"/>
  <cols>
    <col min="1" max="2" width="9.140625" style="214"/>
    <col min="3" max="3" width="8" style="215" bestFit="1" customWidth="1"/>
    <col min="4" max="4" width="80.28515625" style="215" customWidth="1"/>
    <col min="5" max="5" width="5.42578125" style="226" bestFit="1" customWidth="1"/>
    <col min="6" max="8" width="18.140625" style="217" customWidth="1"/>
    <col min="9" max="11" width="12.42578125" style="218" customWidth="1"/>
    <col min="12" max="12" width="12.42578125" style="219" customWidth="1"/>
    <col min="13" max="13" width="12.5703125" style="220" customWidth="1"/>
    <col min="14" max="16" width="12.5703125" style="215" customWidth="1"/>
    <col min="17" max="17" width="9.140625" style="215"/>
    <col min="18" max="18" width="12.42578125" style="215" bestFit="1" customWidth="1"/>
    <col min="19" max="16384" width="9.140625" style="215"/>
  </cols>
  <sheetData>
    <row r="2" spans="1:19" ht="26.25" customHeight="1">
      <c r="E2" s="216"/>
      <c r="F2" s="215"/>
    </row>
    <row r="3" spans="1:19" ht="26.25" customHeight="1" thickBot="1">
      <c r="C3" s="916" t="s">
        <v>900</v>
      </c>
      <c r="D3" s="917"/>
      <c r="E3" s="917"/>
      <c r="F3" s="917"/>
      <c r="G3" s="917"/>
      <c r="H3" s="917"/>
      <c r="I3" s="917"/>
      <c r="J3" s="917"/>
      <c r="K3" s="917"/>
      <c r="L3" s="918"/>
    </row>
    <row r="4" spans="1:19" s="220" customFormat="1" ht="39.950000000000003" customHeight="1">
      <c r="A4" s="214"/>
      <c r="B4" s="214"/>
      <c r="C4" s="659" t="s">
        <v>147</v>
      </c>
      <c r="D4" s="660" t="s">
        <v>148</v>
      </c>
      <c r="E4" s="660" t="s">
        <v>149</v>
      </c>
      <c r="F4" s="660" t="s">
        <v>150</v>
      </c>
      <c r="G4" s="660" t="s">
        <v>151</v>
      </c>
      <c r="H4" s="660" t="s">
        <v>152</v>
      </c>
      <c r="I4" s="661" t="s">
        <v>153</v>
      </c>
      <c r="J4" s="661" t="s">
        <v>154</v>
      </c>
      <c r="K4" s="661" t="s">
        <v>155</v>
      </c>
      <c r="L4" s="662" t="s">
        <v>156</v>
      </c>
      <c r="N4" s="215"/>
      <c r="O4" s="215"/>
      <c r="P4" s="215"/>
      <c r="Q4" s="215"/>
      <c r="R4" s="215"/>
      <c r="S4" s="215"/>
    </row>
    <row r="5" spans="1:19" s="220" customFormat="1" ht="26.25" customHeight="1">
      <c r="A5" s="221"/>
      <c r="B5" s="221"/>
      <c r="C5" s="222" t="s">
        <v>159</v>
      </c>
      <c r="D5" s="227" t="s">
        <v>160</v>
      </c>
      <c r="E5" s="228" t="s">
        <v>136</v>
      </c>
      <c r="F5" s="223" t="s">
        <v>5</v>
      </c>
      <c r="G5" s="223"/>
      <c r="H5" s="223"/>
      <c r="I5" s="224">
        <v>5687.83</v>
      </c>
      <c r="J5" s="224"/>
      <c r="K5" s="224"/>
      <c r="L5" s="225">
        <f>MEDIAN(I5:K5)</f>
        <v>5687.83</v>
      </c>
      <c r="N5" s="215"/>
      <c r="O5" s="215"/>
      <c r="P5" s="215"/>
      <c r="Q5" s="215"/>
      <c r="R5" s="215"/>
      <c r="S5" s="215"/>
    </row>
    <row r="6" spans="1:19" s="220" customFormat="1" ht="26.25" customHeight="1">
      <c r="A6" s="221"/>
      <c r="B6" s="221"/>
      <c r="C6" s="222" t="s">
        <v>239</v>
      </c>
      <c r="D6" s="227" t="s">
        <v>259</v>
      </c>
      <c r="E6" s="228" t="s">
        <v>136</v>
      </c>
      <c r="F6" s="223" t="s">
        <v>5</v>
      </c>
      <c r="G6" s="223"/>
      <c r="H6" s="223"/>
      <c r="I6" s="224">
        <f>ROUND(936.06*3.8,2)</f>
        <v>3557.03</v>
      </c>
      <c r="J6" s="224"/>
      <c r="K6" s="224"/>
      <c r="L6" s="225">
        <f t="shared" ref="L6:L16" si="0">MEDIAN(I6:K6)</f>
        <v>3557.03</v>
      </c>
      <c r="N6" s="215"/>
      <c r="O6" s="215"/>
      <c r="P6" s="215"/>
      <c r="Q6" s="215"/>
      <c r="R6" s="215"/>
      <c r="S6" s="215"/>
    </row>
    <row r="7" spans="1:19" s="220" customFormat="1" ht="26.25" customHeight="1">
      <c r="A7" s="221"/>
      <c r="B7" s="221"/>
      <c r="C7" s="222" t="s">
        <v>239</v>
      </c>
      <c r="D7" s="227" t="s">
        <v>166</v>
      </c>
      <c r="E7" s="228" t="s">
        <v>136</v>
      </c>
      <c r="F7" s="223" t="s">
        <v>5</v>
      </c>
      <c r="G7" s="223"/>
      <c r="H7" s="223"/>
      <c r="I7" s="224">
        <f>ROUND(936.06*6,2)</f>
        <v>5616.36</v>
      </c>
      <c r="J7" s="224"/>
      <c r="K7" s="224"/>
      <c r="L7" s="225">
        <f t="shared" si="0"/>
        <v>5616.36</v>
      </c>
      <c r="N7" s="215"/>
      <c r="O7" s="215"/>
      <c r="P7" s="215"/>
      <c r="Q7" s="215"/>
      <c r="R7" s="215"/>
      <c r="S7" s="215"/>
    </row>
    <row r="8" spans="1:19" s="220" customFormat="1" ht="26.25" customHeight="1">
      <c r="A8" s="221"/>
      <c r="B8" s="221"/>
      <c r="C8" s="222" t="s">
        <v>240</v>
      </c>
      <c r="D8" s="663" t="s">
        <v>258</v>
      </c>
      <c r="E8" s="228" t="s">
        <v>136</v>
      </c>
      <c r="F8" s="223" t="s">
        <v>5</v>
      </c>
      <c r="G8" s="223"/>
      <c r="H8" s="223"/>
      <c r="I8" s="224">
        <v>10647.16</v>
      </c>
      <c r="J8" s="224"/>
      <c r="K8" s="224"/>
      <c r="L8" s="225">
        <f t="shared" si="0"/>
        <v>10647.16</v>
      </c>
      <c r="N8" s="215"/>
      <c r="O8" s="215"/>
      <c r="P8" s="215"/>
      <c r="Q8" s="215"/>
      <c r="R8" s="215"/>
      <c r="S8" s="215"/>
    </row>
    <row r="9" spans="1:19" s="220" customFormat="1" ht="26.25" customHeight="1">
      <c r="A9" s="221"/>
      <c r="B9" s="221"/>
      <c r="C9" s="222" t="s">
        <v>241</v>
      </c>
      <c r="D9" s="557" t="s">
        <v>167</v>
      </c>
      <c r="E9" s="228" t="s">
        <v>136</v>
      </c>
      <c r="F9" s="223" t="s">
        <v>5</v>
      </c>
      <c r="G9" s="223"/>
      <c r="H9" s="223"/>
      <c r="I9" s="224">
        <v>2618.73</v>
      </c>
      <c r="J9" s="224"/>
      <c r="K9" s="224"/>
      <c r="L9" s="225">
        <f t="shared" si="0"/>
        <v>2618.73</v>
      </c>
      <c r="N9" s="215"/>
      <c r="O9" s="215"/>
      <c r="P9" s="215"/>
      <c r="Q9" s="215"/>
      <c r="R9" s="215"/>
      <c r="S9" s="215"/>
    </row>
    <row r="10" spans="1:19" s="220" customFormat="1" ht="26.25" customHeight="1">
      <c r="A10" s="221"/>
      <c r="B10" s="221"/>
      <c r="C10" s="222" t="s">
        <v>242</v>
      </c>
      <c r="D10" s="227" t="s">
        <v>168</v>
      </c>
      <c r="E10" s="228" t="s">
        <v>136</v>
      </c>
      <c r="F10" s="223" t="s">
        <v>5</v>
      </c>
      <c r="G10" s="223"/>
      <c r="H10" s="223"/>
      <c r="I10" s="224">
        <v>3898.96</v>
      </c>
      <c r="J10" s="224"/>
      <c r="K10" s="224"/>
      <c r="L10" s="225">
        <f t="shared" si="0"/>
        <v>3898.96</v>
      </c>
      <c r="N10" s="215"/>
      <c r="O10" s="215"/>
      <c r="P10" s="215"/>
      <c r="Q10" s="215"/>
      <c r="R10" s="215"/>
      <c r="S10" s="215"/>
    </row>
    <row r="11" spans="1:19" s="220" customFormat="1" ht="26.25" customHeight="1">
      <c r="A11" s="221"/>
      <c r="B11" s="221"/>
      <c r="C11" s="222" t="s">
        <v>169</v>
      </c>
      <c r="D11" s="227" t="s">
        <v>170</v>
      </c>
      <c r="E11" s="228" t="s">
        <v>136</v>
      </c>
      <c r="F11" s="223" t="s">
        <v>5</v>
      </c>
      <c r="G11" s="223"/>
      <c r="H11" s="223"/>
      <c r="I11" s="224">
        <v>2823.63</v>
      </c>
      <c r="J11" s="224"/>
      <c r="K11" s="224"/>
      <c r="L11" s="225">
        <f t="shared" si="0"/>
        <v>2823.63</v>
      </c>
      <c r="N11" s="215"/>
      <c r="O11" s="215"/>
      <c r="P11" s="215"/>
      <c r="Q11" s="215"/>
      <c r="R11" s="215"/>
      <c r="S11" s="215"/>
    </row>
    <row r="12" spans="1:19" s="220" customFormat="1" ht="26.25" customHeight="1">
      <c r="A12" s="221"/>
      <c r="B12" s="221"/>
      <c r="C12" s="222" t="s">
        <v>243</v>
      </c>
      <c r="D12" s="227" t="s">
        <v>171</v>
      </c>
      <c r="E12" s="228" t="s">
        <v>136</v>
      </c>
      <c r="F12" s="223" t="s">
        <v>5</v>
      </c>
      <c r="G12" s="223"/>
      <c r="H12" s="223"/>
      <c r="I12" s="224">
        <v>6261.72</v>
      </c>
      <c r="J12" s="224"/>
      <c r="K12" s="224"/>
      <c r="L12" s="225">
        <f t="shared" si="0"/>
        <v>6261.72</v>
      </c>
      <c r="N12" s="215"/>
      <c r="O12" s="215"/>
      <c r="P12" s="215"/>
      <c r="Q12" s="215"/>
      <c r="R12" s="215"/>
      <c r="S12" s="215"/>
    </row>
    <row r="13" spans="1:19" s="220" customFormat="1" ht="26.25" customHeight="1">
      <c r="A13" s="221"/>
      <c r="B13" s="221"/>
      <c r="C13" s="222" t="s">
        <v>244</v>
      </c>
      <c r="D13" s="663" t="s">
        <v>172</v>
      </c>
      <c r="E13" s="228" t="s">
        <v>136</v>
      </c>
      <c r="F13" s="223" t="s">
        <v>5</v>
      </c>
      <c r="G13" s="223"/>
      <c r="H13" s="223"/>
      <c r="I13" s="224">
        <v>3960.54</v>
      </c>
      <c r="J13" s="224"/>
      <c r="K13" s="224"/>
      <c r="L13" s="225">
        <f t="shared" si="0"/>
        <v>3960.54</v>
      </c>
      <c r="N13" s="215"/>
      <c r="O13" s="215"/>
      <c r="P13" s="215"/>
      <c r="Q13" s="215"/>
      <c r="R13" s="215"/>
      <c r="S13" s="215"/>
    </row>
    <row r="14" spans="1:19" s="220" customFormat="1" ht="26.25" customHeight="1">
      <c r="A14" s="221"/>
      <c r="B14" s="221"/>
      <c r="C14" s="222" t="s">
        <v>245</v>
      </c>
      <c r="D14" s="227" t="s">
        <v>173</v>
      </c>
      <c r="E14" s="228" t="s">
        <v>136</v>
      </c>
      <c r="F14" s="223" t="s">
        <v>5</v>
      </c>
      <c r="G14" s="223"/>
      <c r="H14" s="223"/>
      <c r="I14" s="224">
        <v>12952.9</v>
      </c>
      <c r="J14" s="224"/>
      <c r="K14" s="224"/>
      <c r="L14" s="225">
        <f t="shared" si="0"/>
        <v>12952.9</v>
      </c>
      <c r="N14" s="215"/>
      <c r="O14" s="215"/>
      <c r="P14" s="215"/>
      <c r="Q14" s="215"/>
      <c r="R14" s="215"/>
      <c r="S14" s="215"/>
    </row>
    <row r="15" spans="1:19" s="220" customFormat="1" ht="26.25" customHeight="1">
      <c r="A15" s="221"/>
      <c r="B15" s="221"/>
      <c r="C15" s="222" t="s">
        <v>174</v>
      </c>
      <c r="D15" s="663" t="s">
        <v>175</v>
      </c>
      <c r="E15" s="228" t="s">
        <v>136</v>
      </c>
      <c r="F15" s="223" t="s">
        <v>5</v>
      </c>
      <c r="G15" s="223"/>
      <c r="H15" s="223"/>
      <c r="I15" s="224">
        <v>1285.47</v>
      </c>
      <c r="J15" s="224"/>
      <c r="K15" s="224"/>
      <c r="L15" s="225">
        <f t="shared" si="0"/>
        <v>1285.47</v>
      </c>
      <c r="N15" s="215"/>
      <c r="O15" s="215"/>
      <c r="P15" s="215"/>
      <c r="Q15" s="215"/>
      <c r="R15" s="215"/>
      <c r="S15" s="215"/>
    </row>
    <row r="16" spans="1:19" s="220" customFormat="1" ht="26.25" customHeight="1">
      <c r="A16" s="221"/>
      <c r="B16" s="221"/>
      <c r="C16" s="222" t="s">
        <v>246</v>
      </c>
      <c r="D16" s="227" t="s">
        <v>176</v>
      </c>
      <c r="E16" s="228" t="s">
        <v>136</v>
      </c>
      <c r="F16" s="223" t="s">
        <v>5</v>
      </c>
      <c r="G16" s="223"/>
      <c r="H16" s="223"/>
      <c r="I16" s="224">
        <v>2442.9</v>
      </c>
      <c r="J16" s="224"/>
      <c r="K16" s="224"/>
      <c r="L16" s="225">
        <f t="shared" si="0"/>
        <v>2442.9</v>
      </c>
      <c r="N16" s="215"/>
      <c r="O16" s="215"/>
      <c r="P16" s="215"/>
      <c r="Q16" s="215"/>
      <c r="R16" s="215"/>
      <c r="S16" s="215"/>
    </row>
    <row r="17" spans="1:19" s="220" customFormat="1" ht="26.25" customHeight="1">
      <c r="A17" s="221"/>
      <c r="B17" s="221"/>
      <c r="C17" s="222" t="s">
        <v>270</v>
      </c>
      <c r="D17" s="227" t="s">
        <v>432</v>
      </c>
      <c r="E17" s="228" t="s">
        <v>136</v>
      </c>
      <c r="F17" s="223" t="s">
        <v>431</v>
      </c>
      <c r="G17" s="223" t="s">
        <v>909</v>
      </c>
      <c r="H17" s="223" t="s">
        <v>910</v>
      </c>
      <c r="I17" s="224">
        <v>39149.050000000003</v>
      </c>
      <c r="J17" s="224">
        <v>39000</v>
      </c>
      <c r="K17" s="224">
        <v>41237.53</v>
      </c>
      <c r="L17" s="225">
        <f>MEDIAN(I17:K17)</f>
        <v>39149.050000000003</v>
      </c>
      <c r="N17" s="215"/>
      <c r="O17" s="215"/>
      <c r="P17" s="215"/>
      <c r="Q17" s="215"/>
      <c r="R17" s="215"/>
      <c r="S17" s="215"/>
    </row>
    <row r="18" spans="1:19" s="220" customFormat="1" ht="26.25" customHeight="1">
      <c r="A18" s="221"/>
      <c r="B18" s="221"/>
      <c r="C18" s="222" t="s">
        <v>247</v>
      </c>
      <c r="D18" s="663" t="s">
        <v>177</v>
      </c>
      <c r="E18" s="228" t="s">
        <v>136</v>
      </c>
      <c r="F18" s="223" t="s">
        <v>5</v>
      </c>
      <c r="G18" s="223"/>
      <c r="H18" s="223"/>
      <c r="I18" s="224">
        <v>4181.3500000000004</v>
      </c>
      <c r="J18" s="224"/>
      <c r="K18" s="224"/>
      <c r="L18" s="225">
        <f>MEDIAN(I18:K18)</f>
        <v>4181.3500000000004</v>
      </c>
      <c r="N18" s="215"/>
      <c r="O18" s="215"/>
      <c r="P18" s="215"/>
      <c r="Q18" s="215"/>
      <c r="R18" s="215"/>
      <c r="S18" s="215"/>
    </row>
    <row r="19" spans="1:19" s="220" customFormat="1" ht="26.25" customHeight="1">
      <c r="A19" s="221"/>
      <c r="B19" s="221"/>
      <c r="C19" s="222" t="s">
        <v>248</v>
      </c>
      <c r="D19" s="227" t="s">
        <v>158</v>
      </c>
      <c r="E19" s="228" t="s">
        <v>136</v>
      </c>
      <c r="F19" s="223" t="s">
        <v>5</v>
      </c>
      <c r="G19" s="223"/>
      <c r="H19" s="223"/>
      <c r="I19" s="224">
        <v>2873.75</v>
      </c>
      <c r="J19" s="224"/>
      <c r="K19" s="224"/>
      <c r="L19" s="225">
        <f t="shared" ref="L19:L31" si="1">MEDIAN(I19:K19)</f>
        <v>2873.75</v>
      </c>
      <c r="N19" s="215"/>
      <c r="O19" s="215"/>
      <c r="P19" s="215"/>
      <c r="Q19" s="215"/>
      <c r="R19" s="215"/>
      <c r="S19" s="215"/>
    </row>
    <row r="20" spans="1:19" s="220" customFormat="1" ht="26.25" customHeight="1">
      <c r="A20" s="221"/>
      <c r="B20" s="221"/>
      <c r="C20" s="222" t="s">
        <v>239</v>
      </c>
      <c r="D20" s="227" t="s">
        <v>178</v>
      </c>
      <c r="E20" s="228" t="s">
        <v>136</v>
      </c>
      <c r="F20" s="223" t="s">
        <v>5</v>
      </c>
      <c r="G20" s="223"/>
      <c r="H20" s="223"/>
      <c r="I20" s="224">
        <f>ROUND(936.06*1.25,2)</f>
        <v>1170.08</v>
      </c>
      <c r="J20" s="224"/>
      <c r="K20" s="224"/>
      <c r="L20" s="225">
        <f t="shared" si="1"/>
        <v>1170.08</v>
      </c>
      <c r="N20" s="215"/>
      <c r="O20" s="215"/>
      <c r="P20" s="215"/>
      <c r="Q20" s="215"/>
      <c r="R20" s="215"/>
      <c r="S20" s="215"/>
    </row>
    <row r="21" spans="1:19" s="220" customFormat="1" ht="26.25" customHeight="1">
      <c r="A21" s="221"/>
      <c r="B21" s="221"/>
      <c r="C21" s="222" t="s">
        <v>249</v>
      </c>
      <c r="D21" s="227" t="s">
        <v>157</v>
      </c>
      <c r="E21" s="228" t="s">
        <v>136</v>
      </c>
      <c r="F21" s="223" t="s">
        <v>5</v>
      </c>
      <c r="G21" s="223"/>
      <c r="H21" s="223"/>
      <c r="I21" s="224">
        <v>1925.13</v>
      </c>
      <c r="J21" s="224"/>
      <c r="K21" s="224"/>
      <c r="L21" s="225">
        <f t="shared" si="1"/>
        <v>1925.13</v>
      </c>
      <c r="N21" s="215"/>
      <c r="O21" s="215"/>
      <c r="P21" s="215"/>
      <c r="Q21" s="215"/>
      <c r="R21" s="215"/>
      <c r="S21" s="215"/>
    </row>
    <row r="22" spans="1:19" s="220" customFormat="1" ht="26.25" customHeight="1">
      <c r="A22" s="221"/>
      <c r="B22" s="221"/>
      <c r="C22" s="222" t="s">
        <v>250</v>
      </c>
      <c r="D22" s="663" t="s">
        <v>179</v>
      </c>
      <c r="E22" s="228" t="s">
        <v>136</v>
      </c>
      <c r="F22" s="223" t="s">
        <v>5</v>
      </c>
      <c r="G22" s="223"/>
      <c r="H22" s="223"/>
      <c r="I22" s="224">
        <v>6284.69</v>
      </c>
      <c r="J22" s="224"/>
      <c r="K22" s="224"/>
      <c r="L22" s="225">
        <f t="shared" si="1"/>
        <v>6284.69</v>
      </c>
      <c r="N22" s="215"/>
      <c r="O22" s="215"/>
      <c r="P22" s="215"/>
      <c r="Q22" s="215"/>
      <c r="R22" s="215"/>
      <c r="S22" s="215"/>
    </row>
    <row r="23" spans="1:19" s="220" customFormat="1" ht="26.25" customHeight="1">
      <c r="A23" s="221"/>
      <c r="B23" s="221"/>
      <c r="C23" s="222" t="s">
        <v>251</v>
      </c>
      <c r="D23" s="227" t="s">
        <v>180</v>
      </c>
      <c r="E23" s="228" t="s">
        <v>136</v>
      </c>
      <c r="F23" s="223" t="s">
        <v>5</v>
      </c>
      <c r="G23" s="223"/>
      <c r="H23" s="223"/>
      <c r="I23" s="224">
        <v>7864.79</v>
      </c>
      <c r="J23" s="224"/>
      <c r="K23" s="224"/>
      <c r="L23" s="225">
        <f t="shared" si="1"/>
        <v>7864.79</v>
      </c>
      <c r="N23" s="215"/>
      <c r="O23" s="215"/>
      <c r="P23" s="215"/>
      <c r="Q23" s="215"/>
      <c r="R23" s="215"/>
      <c r="S23" s="215"/>
    </row>
    <row r="24" spans="1:19" s="220" customFormat="1" ht="26.25" customHeight="1">
      <c r="A24" s="221"/>
      <c r="B24" s="221"/>
      <c r="C24" s="222" t="s">
        <v>252</v>
      </c>
      <c r="D24" s="663" t="s">
        <v>181</v>
      </c>
      <c r="E24" s="228" t="s">
        <v>136</v>
      </c>
      <c r="F24" s="223" t="s">
        <v>5</v>
      </c>
      <c r="G24" s="223"/>
      <c r="H24" s="223"/>
      <c r="I24" s="224">
        <v>5124.71</v>
      </c>
      <c r="J24" s="224"/>
      <c r="K24" s="224"/>
      <c r="L24" s="225">
        <f t="shared" si="1"/>
        <v>5124.71</v>
      </c>
      <c r="N24" s="215"/>
      <c r="O24" s="215"/>
      <c r="P24" s="215"/>
      <c r="Q24" s="215"/>
      <c r="R24" s="215"/>
      <c r="S24" s="215"/>
    </row>
    <row r="25" spans="1:19" s="220" customFormat="1" ht="26.25" customHeight="1">
      <c r="A25" s="221"/>
      <c r="B25" s="221"/>
      <c r="C25" s="222" t="s">
        <v>253</v>
      </c>
      <c r="D25" s="227" t="s">
        <v>182</v>
      </c>
      <c r="E25" s="228" t="s">
        <v>136</v>
      </c>
      <c r="F25" s="223" t="s">
        <v>5</v>
      </c>
      <c r="G25" s="223"/>
      <c r="H25" s="223"/>
      <c r="I25" s="224">
        <v>9897.9500000000007</v>
      </c>
      <c r="J25" s="224"/>
      <c r="K25" s="224"/>
      <c r="L25" s="225">
        <f t="shared" si="1"/>
        <v>9897.9500000000007</v>
      </c>
      <c r="N25" s="215"/>
      <c r="O25" s="215"/>
      <c r="P25" s="215"/>
      <c r="Q25" s="215"/>
      <c r="R25" s="215"/>
      <c r="S25" s="215"/>
    </row>
    <row r="26" spans="1:19" s="220" customFormat="1" ht="26.25" customHeight="1">
      <c r="A26" s="221"/>
      <c r="B26" s="221"/>
      <c r="C26" s="222" t="s">
        <v>254</v>
      </c>
      <c r="D26" s="663" t="s">
        <v>183</v>
      </c>
      <c r="E26" s="228" t="s">
        <v>136</v>
      </c>
      <c r="F26" s="223" t="s">
        <v>5</v>
      </c>
      <c r="G26" s="223"/>
      <c r="H26" s="223"/>
      <c r="I26" s="224">
        <v>11791.47</v>
      </c>
      <c r="J26" s="224"/>
      <c r="K26" s="224"/>
      <c r="L26" s="225">
        <f t="shared" si="1"/>
        <v>11791.47</v>
      </c>
      <c r="N26" s="215"/>
      <c r="O26" s="215"/>
      <c r="P26" s="215"/>
      <c r="Q26" s="215"/>
      <c r="R26" s="215"/>
      <c r="S26" s="215"/>
    </row>
    <row r="27" spans="1:19" s="220" customFormat="1" ht="26.25" customHeight="1">
      <c r="A27" s="221"/>
      <c r="B27" s="221"/>
      <c r="C27" s="222" t="s">
        <v>255</v>
      </c>
      <c r="D27" s="663" t="s">
        <v>184</v>
      </c>
      <c r="E27" s="228" t="s">
        <v>136</v>
      </c>
      <c r="F27" s="223" t="s">
        <v>5</v>
      </c>
      <c r="G27" s="223"/>
      <c r="H27" s="223"/>
      <c r="I27" s="224">
        <v>11175.42</v>
      </c>
      <c r="J27" s="224"/>
      <c r="K27" s="224"/>
      <c r="L27" s="225">
        <f t="shared" si="1"/>
        <v>11175.42</v>
      </c>
      <c r="N27" s="215"/>
      <c r="O27" s="215"/>
      <c r="P27" s="215"/>
      <c r="Q27" s="215"/>
      <c r="R27" s="215"/>
      <c r="S27" s="215"/>
    </row>
    <row r="28" spans="1:19" s="220" customFormat="1" ht="26.25" customHeight="1">
      <c r="A28" s="221"/>
      <c r="B28" s="221"/>
      <c r="C28" s="222">
        <v>70110161</v>
      </c>
      <c r="D28" s="663" t="s">
        <v>256</v>
      </c>
      <c r="E28" s="228" t="s">
        <v>4</v>
      </c>
      <c r="F28" s="223" t="s">
        <v>5</v>
      </c>
      <c r="G28" s="223"/>
      <c r="H28" s="223"/>
      <c r="I28" s="224">
        <v>1506.32</v>
      </c>
      <c r="J28" s="224"/>
      <c r="K28" s="224"/>
      <c r="L28" s="225">
        <f t="shared" si="1"/>
        <v>1506.32</v>
      </c>
      <c r="N28" s="215"/>
      <c r="O28" s="215"/>
      <c r="P28" s="215"/>
      <c r="Q28" s="215"/>
      <c r="R28" s="215"/>
      <c r="S28" s="215"/>
    </row>
    <row r="29" spans="1:19" s="220" customFormat="1" ht="26.25" customHeight="1">
      <c r="A29" s="221"/>
      <c r="B29" s="221"/>
      <c r="C29" s="222">
        <v>70110156</v>
      </c>
      <c r="D29" s="663" t="s">
        <v>185</v>
      </c>
      <c r="E29" s="228" t="s">
        <v>4</v>
      </c>
      <c r="F29" s="223" t="s">
        <v>5</v>
      </c>
      <c r="G29" s="223"/>
      <c r="H29" s="223"/>
      <c r="I29" s="224">
        <v>1197.45</v>
      </c>
      <c r="J29" s="224"/>
      <c r="K29" s="224"/>
      <c r="L29" s="225">
        <f t="shared" si="1"/>
        <v>1197.45</v>
      </c>
      <c r="N29" s="215"/>
      <c r="O29" s="215"/>
      <c r="P29" s="215"/>
      <c r="Q29" s="215"/>
      <c r="R29" s="215"/>
      <c r="S29" s="215"/>
    </row>
    <row r="30" spans="1:19" s="220" customFormat="1" ht="26.25" customHeight="1">
      <c r="A30" s="221"/>
      <c r="B30" s="221"/>
      <c r="C30" s="222" t="s">
        <v>257</v>
      </c>
      <c r="D30" s="227" t="s">
        <v>186</v>
      </c>
      <c r="E30" s="228" t="s">
        <v>161</v>
      </c>
      <c r="F30" s="223" t="s">
        <v>5</v>
      </c>
      <c r="G30" s="223"/>
      <c r="H30" s="223"/>
      <c r="I30" s="224">
        <v>276.12</v>
      </c>
      <c r="J30" s="224"/>
      <c r="K30" s="224"/>
      <c r="L30" s="225">
        <f t="shared" si="1"/>
        <v>276.12</v>
      </c>
      <c r="N30" s="215"/>
      <c r="O30" s="215"/>
      <c r="P30" s="215"/>
      <c r="Q30" s="215"/>
      <c r="R30" s="215"/>
      <c r="S30" s="215"/>
    </row>
    <row r="31" spans="1:19" s="220" customFormat="1" ht="26.25" customHeight="1">
      <c r="A31" s="221"/>
      <c r="B31" s="221"/>
      <c r="C31" s="222" t="s">
        <v>164</v>
      </c>
      <c r="D31" s="227" t="s">
        <v>165</v>
      </c>
      <c r="E31" s="228" t="s">
        <v>161</v>
      </c>
      <c r="F31" s="223" t="s">
        <v>5</v>
      </c>
      <c r="G31" s="223"/>
      <c r="H31" s="223"/>
      <c r="I31" s="224">
        <v>584.17999999999995</v>
      </c>
      <c r="J31" s="224"/>
      <c r="K31" s="224"/>
      <c r="L31" s="225">
        <f t="shared" si="1"/>
        <v>584.17999999999995</v>
      </c>
      <c r="N31" s="215"/>
      <c r="O31" s="215"/>
      <c r="P31" s="215"/>
      <c r="Q31" s="215"/>
      <c r="R31" s="215"/>
      <c r="S31" s="215"/>
    </row>
    <row r="32" spans="1:19" s="220" customFormat="1" ht="26.25" customHeight="1">
      <c r="A32" s="221"/>
      <c r="B32" s="221"/>
      <c r="C32" s="222" t="s">
        <v>261</v>
      </c>
      <c r="D32" s="227" t="s">
        <v>187</v>
      </c>
      <c r="E32" s="228" t="s">
        <v>136</v>
      </c>
      <c r="F32" s="223" t="s">
        <v>5</v>
      </c>
      <c r="G32" s="223"/>
      <c r="H32" s="223"/>
      <c r="I32" s="224">
        <v>11508.02</v>
      </c>
      <c r="J32" s="224"/>
      <c r="K32" s="224"/>
      <c r="L32" s="225">
        <f>MEDIAN(I32:K32)</f>
        <v>11508.02</v>
      </c>
      <c r="N32" s="215"/>
      <c r="O32" s="215"/>
      <c r="P32" s="215"/>
      <c r="Q32" s="215"/>
      <c r="R32" s="215"/>
      <c r="S32" s="215"/>
    </row>
    <row r="33" spans="1:19" s="220" customFormat="1" ht="26.25" customHeight="1">
      <c r="A33" s="221"/>
      <c r="B33" s="221"/>
      <c r="C33" s="222" t="s">
        <v>262</v>
      </c>
      <c r="D33" s="227" t="s">
        <v>188</v>
      </c>
      <c r="E33" s="228" t="s">
        <v>136</v>
      </c>
      <c r="F33" s="223" t="s">
        <v>5</v>
      </c>
      <c r="G33" s="223"/>
      <c r="H33" s="223"/>
      <c r="I33" s="224">
        <v>19663.12</v>
      </c>
      <c r="J33" s="224"/>
      <c r="K33" s="224"/>
      <c r="L33" s="225">
        <f t="shared" ref="L33:L42" si="2">MEDIAN(I33:K33)</f>
        <v>19663.12</v>
      </c>
      <c r="N33" s="215"/>
      <c r="O33" s="215"/>
      <c r="P33" s="215"/>
      <c r="Q33" s="215"/>
      <c r="R33" s="215"/>
      <c r="S33" s="215"/>
    </row>
    <row r="34" spans="1:19" s="220" customFormat="1" ht="26.25" customHeight="1">
      <c r="A34" s="221"/>
      <c r="B34" s="221"/>
      <c r="C34" s="222" t="s">
        <v>263</v>
      </c>
      <c r="D34" s="663" t="s">
        <v>189</v>
      </c>
      <c r="E34" s="228" t="s">
        <v>136</v>
      </c>
      <c r="F34" s="223" t="s">
        <v>5</v>
      </c>
      <c r="G34" s="223"/>
      <c r="H34" s="223"/>
      <c r="I34" s="224">
        <v>15655.55</v>
      </c>
      <c r="J34" s="224"/>
      <c r="K34" s="224"/>
      <c r="L34" s="225">
        <f t="shared" si="2"/>
        <v>15655.55</v>
      </c>
      <c r="N34" s="215"/>
      <c r="O34" s="215"/>
      <c r="P34" s="215"/>
      <c r="Q34" s="215"/>
      <c r="R34" s="215"/>
      <c r="S34" s="215"/>
    </row>
    <row r="35" spans="1:19" s="220" customFormat="1" ht="26.25" customHeight="1">
      <c r="A35" s="221"/>
      <c r="B35" s="221"/>
      <c r="C35" s="222" t="s">
        <v>264</v>
      </c>
      <c r="D35" s="663" t="s">
        <v>190</v>
      </c>
      <c r="E35" s="228" t="s">
        <v>136</v>
      </c>
      <c r="F35" s="223" t="s">
        <v>5</v>
      </c>
      <c r="G35" s="223"/>
      <c r="H35" s="223"/>
      <c r="I35" s="224">
        <v>12467.25</v>
      </c>
      <c r="J35" s="224"/>
      <c r="K35" s="224"/>
      <c r="L35" s="225">
        <f t="shared" si="2"/>
        <v>12467.25</v>
      </c>
      <c r="N35" s="215"/>
      <c r="O35" s="215"/>
      <c r="P35" s="215"/>
      <c r="Q35" s="215"/>
      <c r="R35" s="215"/>
      <c r="S35" s="215"/>
    </row>
    <row r="36" spans="1:19" s="220" customFormat="1" ht="26.25" customHeight="1">
      <c r="A36" s="221"/>
      <c r="B36" s="221"/>
      <c r="C36" s="222" t="s">
        <v>265</v>
      </c>
      <c r="D36" s="227" t="s">
        <v>191</v>
      </c>
      <c r="E36" s="228" t="s">
        <v>136</v>
      </c>
      <c r="F36" s="223" t="s">
        <v>5</v>
      </c>
      <c r="G36" s="223"/>
      <c r="H36" s="223"/>
      <c r="I36" s="224">
        <f>ROUND(1227.71*3,2)</f>
        <v>3683.13</v>
      </c>
      <c r="J36" s="224"/>
      <c r="K36" s="224"/>
      <c r="L36" s="225">
        <f t="shared" si="2"/>
        <v>3683.13</v>
      </c>
      <c r="N36" s="215"/>
      <c r="O36" s="215"/>
      <c r="P36" s="215"/>
      <c r="Q36" s="215"/>
      <c r="R36" s="215"/>
      <c r="S36" s="215"/>
    </row>
    <row r="37" spans="1:19" s="220" customFormat="1" ht="26.25" customHeight="1">
      <c r="A37" s="221"/>
      <c r="B37" s="221"/>
      <c r="C37" s="664" t="s">
        <v>266</v>
      </c>
      <c r="D37" s="663" t="s">
        <v>192</v>
      </c>
      <c r="E37" s="228" t="s">
        <v>136</v>
      </c>
      <c r="F37" s="223" t="s">
        <v>5</v>
      </c>
      <c r="G37" s="223"/>
      <c r="H37" s="223"/>
      <c r="I37" s="224">
        <v>598.59</v>
      </c>
      <c r="J37" s="224"/>
      <c r="K37" s="224"/>
      <c r="L37" s="225">
        <f t="shared" si="2"/>
        <v>598.59</v>
      </c>
      <c r="N37" s="215"/>
      <c r="O37" s="215"/>
      <c r="P37" s="215"/>
      <c r="Q37" s="215"/>
      <c r="R37" s="215"/>
      <c r="S37" s="215"/>
    </row>
    <row r="38" spans="1:19" s="220" customFormat="1" ht="26.25" customHeight="1">
      <c r="A38" s="221"/>
      <c r="B38" s="221"/>
      <c r="C38" s="222" t="s">
        <v>267</v>
      </c>
      <c r="D38" s="227" t="s">
        <v>193</v>
      </c>
      <c r="E38" s="228" t="s">
        <v>136</v>
      </c>
      <c r="F38" s="223" t="s">
        <v>5</v>
      </c>
      <c r="G38" s="223"/>
      <c r="H38" s="223"/>
      <c r="I38" s="224">
        <v>714.69</v>
      </c>
      <c r="J38" s="224"/>
      <c r="K38" s="224"/>
      <c r="L38" s="225">
        <f t="shared" si="2"/>
        <v>714.69</v>
      </c>
      <c r="N38" s="215"/>
      <c r="O38" s="215"/>
      <c r="P38" s="215"/>
      <c r="Q38" s="215"/>
      <c r="R38" s="215"/>
      <c r="S38" s="215"/>
    </row>
    <row r="39" spans="1:19" s="220" customFormat="1" ht="26.25" customHeight="1">
      <c r="A39" s="221"/>
      <c r="B39" s="221"/>
      <c r="C39" s="222" t="s">
        <v>268</v>
      </c>
      <c r="D39" s="663" t="s">
        <v>194</v>
      </c>
      <c r="E39" s="228" t="s">
        <v>136</v>
      </c>
      <c r="F39" s="223" t="s">
        <v>5</v>
      </c>
      <c r="G39" s="223"/>
      <c r="H39" s="223"/>
      <c r="I39" s="224">
        <v>3130.31</v>
      </c>
      <c r="J39" s="224"/>
      <c r="K39" s="224"/>
      <c r="L39" s="225">
        <f t="shared" si="2"/>
        <v>3130.31</v>
      </c>
      <c r="N39" s="215"/>
      <c r="O39" s="215"/>
      <c r="P39" s="215"/>
      <c r="Q39" s="215"/>
      <c r="R39" s="215"/>
      <c r="S39" s="215"/>
    </row>
    <row r="40" spans="1:19" s="220" customFormat="1" ht="26.25" customHeight="1">
      <c r="A40" s="221"/>
      <c r="B40" s="221"/>
      <c r="C40" s="222" t="s">
        <v>269</v>
      </c>
      <c r="D40" s="227" t="s">
        <v>195</v>
      </c>
      <c r="E40" s="228" t="s">
        <v>136</v>
      </c>
      <c r="F40" s="223" t="s">
        <v>5</v>
      </c>
      <c r="G40" s="223"/>
      <c r="H40" s="223"/>
      <c r="I40" s="224">
        <v>1260.24</v>
      </c>
      <c r="J40" s="224"/>
      <c r="K40" s="224"/>
      <c r="L40" s="225">
        <f t="shared" si="2"/>
        <v>1260.24</v>
      </c>
      <c r="N40" s="215"/>
      <c r="O40" s="215"/>
      <c r="P40" s="215"/>
      <c r="Q40" s="215"/>
      <c r="R40" s="215"/>
      <c r="S40" s="215"/>
    </row>
    <row r="41" spans="1:19" s="220" customFormat="1" ht="26.25" customHeight="1">
      <c r="A41" s="221"/>
      <c r="B41" s="221"/>
      <c r="C41" s="222">
        <v>36365</v>
      </c>
      <c r="D41" s="227" t="s">
        <v>196</v>
      </c>
      <c r="E41" s="228" t="s">
        <v>4</v>
      </c>
      <c r="F41" s="223" t="s">
        <v>2</v>
      </c>
      <c r="G41" s="223"/>
      <c r="H41" s="223"/>
      <c r="I41" s="224">
        <v>43.79</v>
      </c>
      <c r="J41" s="224"/>
      <c r="K41" s="224"/>
      <c r="L41" s="225">
        <f t="shared" si="2"/>
        <v>43.79</v>
      </c>
      <c r="N41" s="215"/>
      <c r="O41" s="215"/>
      <c r="P41" s="215"/>
      <c r="Q41" s="215"/>
      <c r="R41" s="215"/>
      <c r="S41" s="215"/>
    </row>
    <row r="42" spans="1:19" s="220" customFormat="1" ht="26.25" customHeight="1">
      <c r="A42" s="221"/>
      <c r="B42" s="221"/>
      <c r="C42" s="222" t="s">
        <v>273</v>
      </c>
      <c r="D42" s="227" t="s">
        <v>197</v>
      </c>
      <c r="E42" s="228" t="s">
        <v>136</v>
      </c>
      <c r="F42" s="223" t="s">
        <v>274</v>
      </c>
      <c r="G42" s="223" t="s">
        <v>903</v>
      </c>
      <c r="H42" s="223" t="s">
        <v>275</v>
      </c>
      <c r="I42" s="224">
        <v>124.66</v>
      </c>
      <c r="J42" s="224">
        <v>136.62</v>
      </c>
      <c r="K42" s="224">
        <v>103.78</v>
      </c>
      <c r="L42" s="225">
        <f t="shared" si="2"/>
        <v>124.66</v>
      </c>
      <c r="N42" s="215"/>
      <c r="O42" s="215"/>
      <c r="P42" s="215"/>
      <c r="Q42" s="215"/>
      <c r="R42" s="215"/>
      <c r="S42" s="215"/>
    </row>
    <row r="43" spans="1:19" s="220" customFormat="1" ht="26.25" customHeight="1">
      <c r="A43" s="221"/>
      <c r="B43" s="221"/>
      <c r="C43" s="222" t="s">
        <v>271</v>
      </c>
      <c r="D43" s="227" t="s">
        <v>198</v>
      </c>
      <c r="E43" s="228" t="s">
        <v>136</v>
      </c>
      <c r="F43" s="223" t="s">
        <v>784</v>
      </c>
      <c r="G43" s="223" t="s">
        <v>909</v>
      </c>
      <c r="H43" s="223" t="s">
        <v>910</v>
      </c>
      <c r="I43" s="224">
        <v>3800</v>
      </c>
      <c r="J43" s="224">
        <v>3500</v>
      </c>
      <c r="K43" s="224">
        <v>4104</v>
      </c>
      <c r="L43" s="225">
        <f>MEDIAN(I43:K43)</f>
        <v>3800</v>
      </c>
      <c r="N43" s="215"/>
      <c r="O43" s="215"/>
      <c r="P43" s="215"/>
      <c r="Q43" s="215"/>
      <c r="R43" s="215"/>
      <c r="S43" s="215"/>
    </row>
    <row r="44" spans="1:19" s="220" customFormat="1" ht="26.25" customHeight="1">
      <c r="A44" s="221"/>
      <c r="B44" s="221"/>
      <c r="C44" s="222" t="s">
        <v>272</v>
      </c>
      <c r="D44" s="227" t="s">
        <v>199</v>
      </c>
      <c r="E44" s="228" t="s">
        <v>161</v>
      </c>
      <c r="F44" s="223" t="s">
        <v>5</v>
      </c>
      <c r="G44" s="223"/>
      <c r="H44" s="223"/>
      <c r="I44" s="224">
        <v>730.6</v>
      </c>
      <c r="J44" s="224"/>
      <c r="K44" s="224"/>
      <c r="L44" s="225">
        <f>MEDIAN(I44:K44)</f>
        <v>730.6</v>
      </c>
      <c r="N44" s="215"/>
      <c r="O44" s="215"/>
      <c r="P44" s="215"/>
      <c r="Q44" s="215"/>
      <c r="R44" s="215"/>
      <c r="S44" s="215"/>
    </row>
    <row r="45" spans="1:19" s="220" customFormat="1" ht="26.25" customHeight="1">
      <c r="A45" s="221"/>
      <c r="B45" s="221"/>
      <c r="C45" s="222" t="s">
        <v>162</v>
      </c>
      <c r="D45" s="227" t="s">
        <v>163</v>
      </c>
      <c r="E45" s="228" t="s">
        <v>161</v>
      </c>
      <c r="F45" s="223" t="s">
        <v>5</v>
      </c>
      <c r="G45" s="223"/>
      <c r="H45" s="223"/>
      <c r="I45" s="224">
        <v>184.08</v>
      </c>
      <c r="J45" s="224"/>
      <c r="K45" s="224"/>
      <c r="L45" s="225">
        <f t="shared" ref="L45:L47" si="3">MEDIAN(I45:K45)</f>
        <v>184.08</v>
      </c>
      <c r="N45" s="215"/>
      <c r="O45" s="215"/>
      <c r="P45" s="215"/>
      <c r="Q45" s="215"/>
      <c r="R45" s="215"/>
      <c r="S45" s="215"/>
    </row>
    <row r="46" spans="1:19" s="220" customFormat="1" ht="26.25" customHeight="1">
      <c r="A46" s="221"/>
      <c r="B46" s="221"/>
      <c r="C46" s="222" t="s">
        <v>277</v>
      </c>
      <c r="D46" s="227" t="s">
        <v>276</v>
      </c>
      <c r="E46" s="228" t="s">
        <v>161</v>
      </c>
      <c r="F46" s="223" t="s">
        <v>5</v>
      </c>
      <c r="G46" s="223"/>
      <c r="H46" s="223"/>
      <c r="I46" s="224">
        <v>115.92</v>
      </c>
      <c r="J46" s="224"/>
      <c r="K46" s="224"/>
      <c r="L46" s="225">
        <f t="shared" si="3"/>
        <v>115.92</v>
      </c>
      <c r="N46" s="215"/>
      <c r="O46" s="215"/>
      <c r="P46" s="215"/>
      <c r="Q46" s="215"/>
      <c r="R46" s="215"/>
      <c r="S46" s="215"/>
    </row>
    <row r="47" spans="1:19" s="220" customFormat="1" ht="26.25" customHeight="1">
      <c r="A47" s="221"/>
      <c r="B47" s="221"/>
      <c r="C47" s="222">
        <v>70110172</v>
      </c>
      <c r="D47" s="227" t="s">
        <v>278</v>
      </c>
      <c r="E47" s="228" t="s">
        <v>1</v>
      </c>
      <c r="F47" s="223" t="s">
        <v>5</v>
      </c>
      <c r="G47" s="223"/>
      <c r="H47" s="223"/>
      <c r="I47" s="224">
        <v>1645.02</v>
      </c>
      <c r="J47" s="224"/>
      <c r="K47" s="224"/>
      <c r="L47" s="225">
        <f t="shared" si="3"/>
        <v>1645.02</v>
      </c>
      <c r="N47" s="215"/>
      <c r="O47" s="215"/>
      <c r="P47" s="215"/>
      <c r="Q47" s="215"/>
      <c r="R47" s="215"/>
      <c r="S47" s="215"/>
    </row>
    <row r="48" spans="1:19" s="220" customFormat="1" ht="26.25" customHeight="1">
      <c r="A48" s="221"/>
      <c r="B48" s="221"/>
      <c r="C48" s="222" t="s">
        <v>279</v>
      </c>
      <c r="D48" s="227" t="s">
        <v>200</v>
      </c>
      <c r="E48" s="228" t="s">
        <v>136</v>
      </c>
      <c r="F48" s="223" t="s">
        <v>5</v>
      </c>
      <c r="G48" s="223"/>
      <c r="H48" s="223"/>
      <c r="I48" s="224">
        <v>9711.89</v>
      </c>
      <c r="J48" s="224"/>
      <c r="K48" s="224"/>
      <c r="L48" s="225">
        <f>MEDIAN(I48:K48)</f>
        <v>9711.89</v>
      </c>
      <c r="N48" s="215"/>
      <c r="O48" s="215"/>
      <c r="P48" s="215"/>
      <c r="Q48" s="215"/>
      <c r="R48" s="215"/>
      <c r="S48" s="215"/>
    </row>
    <row r="49" spans="1:19" s="220" customFormat="1" ht="26.25" customHeight="1">
      <c r="A49" s="221"/>
      <c r="B49" s="221"/>
      <c r="C49" s="222" t="s">
        <v>265</v>
      </c>
      <c r="D49" s="227" t="s">
        <v>201</v>
      </c>
      <c r="E49" s="228" t="s">
        <v>136</v>
      </c>
      <c r="F49" s="223" t="s">
        <v>5</v>
      </c>
      <c r="G49" s="223"/>
      <c r="H49" s="223"/>
      <c r="I49" s="224">
        <f>ROUND(1227.71*4.7,2)</f>
        <v>5770.24</v>
      </c>
      <c r="J49" s="224"/>
      <c r="K49" s="224"/>
      <c r="L49" s="225">
        <f t="shared" ref="L49:L59" si="4">MEDIAN(I49:K49)</f>
        <v>5770.24</v>
      </c>
      <c r="N49" s="215"/>
      <c r="O49" s="215"/>
      <c r="P49" s="215"/>
      <c r="Q49" s="215"/>
      <c r="R49" s="215"/>
      <c r="S49" s="215"/>
    </row>
    <row r="50" spans="1:19" s="220" customFormat="1" ht="26.25" customHeight="1">
      <c r="A50" s="221"/>
      <c r="B50" s="221"/>
      <c r="C50" s="222" t="s">
        <v>265</v>
      </c>
      <c r="D50" s="227" t="s">
        <v>202</v>
      </c>
      <c r="E50" s="228" t="s">
        <v>136</v>
      </c>
      <c r="F50" s="223" t="s">
        <v>5</v>
      </c>
      <c r="G50" s="223"/>
      <c r="H50" s="223"/>
      <c r="I50" s="224">
        <f>ROUND(1227.71*6,2)</f>
        <v>7366.26</v>
      </c>
      <c r="J50" s="224"/>
      <c r="K50" s="224"/>
      <c r="L50" s="225">
        <f t="shared" si="4"/>
        <v>7366.26</v>
      </c>
      <c r="N50" s="215"/>
      <c r="O50" s="215"/>
      <c r="P50" s="215"/>
      <c r="Q50" s="215"/>
      <c r="R50" s="215"/>
      <c r="S50" s="215"/>
    </row>
    <row r="51" spans="1:19" s="220" customFormat="1" ht="26.25" customHeight="1">
      <c r="A51" s="221"/>
      <c r="B51" s="221"/>
      <c r="C51" s="222" t="s">
        <v>280</v>
      </c>
      <c r="D51" s="227" t="s">
        <v>203</v>
      </c>
      <c r="E51" s="228" t="s">
        <v>136</v>
      </c>
      <c r="F51" s="223" t="s">
        <v>5</v>
      </c>
      <c r="G51" s="223"/>
      <c r="H51" s="223"/>
      <c r="I51" s="224">
        <v>4566.8900000000003</v>
      </c>
      <c r="J51" s="224"/>
      <c r="K51" s="224"/>
      <c r="L51" s="225">
        <f t="shared" si="4"/>
        <v>4566.8900000000003</v>
      </c>
      <c r="N51" s="215"/>
      <c r="O51" s="215"/>
      <c r="P51" s="215"/>
      <c r="Q51" s="215"/>
      <c r="R51" s="215"/>
      <c r="S51" s="215"/>
    </row>
    <row r="52" spans="1:19" s="220" customFormat="1" ht="26.25" customHeight="1">
      <c r="A52" s="221"/>
      <c r="B52" s="221"/>
      <c r="C52" s="222" t="s">
        <v>281</v>
      </c>
      <c r="D52" s="663" t="s">
        <v>204</v>
      </c>
      <c r="E52" s="228" t="s">
        <v>136</v>
      </c>
      <c r="F52" s="223" t="s">
        <v>5</v>
      </c>
      <c r="G52" s="223"/>
      <c r="H52" s="223"/>
      <c r="I52" s="224">
        <v>6465.58</v>
      </c>
      <c r="J52" s="224"/>
      <c r="K52" s="224"/>
      <c r="L52" s="225">
        <f t="shared" si="4"/>
        <v>6465.58</v>
      </c>
      <c r="N52" s="215"/>
      <c r="O52" s="215"/>
      <c r="P52" s="215"/>
      <c r="Q52" s="215"/>
      <c r="R52" s="215"/>
      <c r="S52" s="215"/>
    </row>
    <row r="53" spans="1:19" s="220" customFormat="1" ht="26.25" customHeight="1">
      <c r="A53" s="221"/>
      <c r="B53" s="221"/>
      <c r="C53" s="222" t="s">
        <v>282</v>
      </c>
      <c r="D53" s="227" t="s">
        <v>205</v>
      </c>
      <c r="E53" s="228" t="s">
        <v>136</v>
      </c>
      <c r="F53" s="223" t="s">
        <v>5</v>
      </c>
      <c r="G53" s="223"/>
      <c r="H53" s="223"/>
      <c r="I53" s="224">
        <v>8811.56</v>
      </c>
      <c r="J53" s="224"/>
      <c r="K53" s="224"/>
      <c r="L53" s="225">
        <f t="shared" si="4"/>
        <v>8811.56</v>
      </c>
      <c r="N53" s="215"/>
      <c r="O53" s="215"/>
      <c r="P53" s="215"/>
      <c r="Q53" s="215"/>
      <c r="R53" s="215"/>
      <c r="S53" s="215"/>
    </row>
    <row r="54" spans="1:19" s="220" customFormat="1" ht="26.25" customHeight="1">
      <c r="A54" s="221"/>
      <c r="B54" s="221"/>
      <c r="C54" s="222" t="s">
        <v>283</v>
      </c>
      <c r="D54" s="663" t="s">
        <v>206</v>
      </c>
      <c r="E54" s="228" t="s">
        <v>136</v>
      </c>
      <c r="F54" s="223" t="s">
        <v>5</v>
      </c>
      <c r="G54" s="223"/>
      <c r="H54" s="223"/>
      <c r="I54" s="224">
        <v>8592.51</v>
      </c>
      <c r="J54" s="224"/>
      <c r="K54" s="224"/>
      <c r="L54" s="225">
        <f t="shared" si="4"/>
        <v>8592.51</v>
      </c>
      <c r="N54" s="215"/>
      <c r="O54" s="215"/>
      <c r="P54" s="215"/>
      <c r="Q54" s="215"/>
      <c r="R54" s="215"/>
      <c r="S54" s="215"/>
    </row>
    <row r="55" spans="1:19" s="220" customFormat="1" ht="26.25" customHeight="1">
      <c r="A55" s="221"/>
      <c r="B55" s="221"/>
      <c r="C55" s="222" t="s">
        <v>284</v>
      </c>
      <c r="D55" s="227" t="s">
        <v>207</v>
      </c>
      <c r="E55" s="228" t="s">
        <v>136</v>
      </c>
      <c r="F55" s="223" t="s">
        <v>5</v>
      </c>
      <c r="G55" s="223"/>
      <c r="H55" s="223"/>
      <c r="I55" s="224">
        <v>14188.07</v>
      </c>
      <c r="J55" s="224"/>
      <c r="K55" s="224"/>
      <c r="L55" s="225">
        <f t="shared" si="4"/>
        <v>14188.07</v>
      </c>
      <c r="N55" s="215"/>
      <c r="O55" s="215"/>
      <c r="P55" s="215"/>
      <c r="Q55" s="215"/>
      <c r="R55" s="215"/>
      <c r="S55" s="215"/>
    </row>
    <row r="56" spans="1:19" s="220" customFormat="1" ht="26.25" customHeight="1">
      <c r="A56" s="221"/>
      <c r="B56" s="221"/>
      <c r="C56" s="222" t="s">
        <v>285</v>
      </c>
      <c r="D56" s="663" t="s">
        <v>208</v>
      </c>
      <c r="E56" s="228" t="s">
        <v>136</v>
      </c>
      <c r="F56" s="223" t="s">
        <v>5</v>
      </c>
      <c r="G56" s="223"/>
      <c r="H56" s="223"/>
      <c r="I56" s="224">
        <v>6751.86</v>
      </c>
      <c r="J56" s="224"/>
      <c r="K56" s="224"/>
      <c r="L56" s="225">
        <f t="shared" si="4"/>
        <v>6751.86</v>
      </c>
      <c r="N56" s="215"/>
      <c r="O56" s="215"/>
      <c r="P56" s="215"/>
      <c r="Q56" s="215"/>
      <c r="R56" s="215"/>
      <c r="S56" s="215"/>
    </row>
    <row r="57" spans="1:19" s="220" customFormat="1" ht="26.25" customHeight="1">
      <c r="A57" s="221"/>
      <c r="B57" s="221"/>
      <c r="C57" s="222" t="s">
        <v>286</v>
      </c>
      <c r="D57" s="227" t="s">
        <v>409</v>
      </c>
      <c r="E57" s="228" t="s">
        <v>136</v>
      </c>
      <c r="F57" s="223" t="s">
        <v>5</v>
      </c>
      <c r="G57" s="223"/>
      <c r="H57" s="223"/>
      <c r="I57" s="224">
        <v>30742.36</v>
      </c>
      <c r="J57" s="224"/>
      <c r="K57" s="224"/>
      <c r="L57" s="225">
        <f t="shared" si="4"/>
        <v>30742.36</v>
      </c>
      <c r="N57" s="215"/>
      <c r="O57" s="215"/>
      <c r="P57" s="215"/>
      <c r="Q57" s="215"/>
      <c r="R57" s="215"/>
      <c r="S57" s="215"/>
    </row>
    <row r="58" spans="1:19" s="220" customFormat="1" ht="26.25" customHeight="1">
      <c r="A58" s="221"/>
      <c r="B58" s="221"/>
      <c r="C58" s="222" t="s">
        <v>287</v>
      </c>
      <c r="D58" s="227" t="s">
        <v>209</v>
      </c>
      <c r="E58" s="228" t="s">
        <v>136</v>
      </c>
      <c r="F58" s="223" t="s">
        <v>5</v>
      </c>
      <c r="G58" s="223"/>
      <c r="H58" s="223"/>
      <c r="I58" s="224">
        <v>7660.64</v>
      </c>
      <c r="J58" s="224"/>
      <c r="K58" s="224"/>
      <c r="L58" s="225">
        <f t="shared" si="4"/>
        <v>7660.64</v>
      </c>
      <c r="N58" s="215"/>
      <c r="O58" s="215"/>
      <c r="P58" s="215"/>
      <c r="Q58" s="215"/>
      <c r="R58" s="215"/>
      <c r="S58" s="215"/>
    </row>
    <row r="59" spans="1:19" s="220" customFormat="1" ht="26.25" customHeight="1">
      <c r="A59" s="221"/>
      <c r="B59" s="221"/>
      <c r="C59" s="222" t="s">
        <v>272</v>
      </c>
      <c r="D59" s="227" t="s">
        <v>199</v>
      </c>
      <c r="E59" s="228" t="s">
        <v>161</v>
      </c>
      <c r="F59" s="223" t="s">
        <v>5</v>
      </c>
      <c r="G59" s="223"/>
      <c r="H59" s="223"/>
      <c r="I59" s="224">
        <v>730.6</v>
      </c>
      <c r="J59" s="224"/>
      <c r="K59" s="224"/>
      <c r="L59" s="225">
        <f t="shared" si="4"/>
        <v>730.6</v>
      </c>
      <c r="N59" s="215"/>
      <c r="O59" s="215"/>
      <c r="P59" s="215"/>
      <c r="Q59" s="215"/>
      <c r="R59" s="215"/>
      <c r="S59" s="215"/>
    </row>
    <row r="60" spans="1:19" s="220" customFormat="1" ht="26.25" customHeight="1">
      <c r="A60" s="221"/>
      <c r="B60" s="221"/>
      <c r="C60" s="222" t="s">
        <v>288</v>
      </c>
      <c r="D60" s="663" t="s">
        <v>210</v>
      </c>
      <c r="E60" s="228" t="s">
        <v>136</v>
      </c>
      <c r="F60" s="223" t="s">
        <v>5</v>
      </c>
      <c r="G60" s="223"/>
      <c r="H60" s="223"/>
      <c r="I60" s="224">
        <v>511.45</v>
      </c>
      <c r="J60" s="224"/>
      <c r="K60" s="224"/>
      <c r="L60" s="225">
        <f>MEDIAN(I60:K60)</f>
        <v>511.45</v>
      </c>
      <c r="N60" s="215"/>
      <c r="O60" s="215"/>
      <c r="P60" s="215"/>
      <c r="Q60" s="215"/>
      <c r="R60" s="215"/>
      <c r="S60" s="215"/>
    </row>
    <row r="61" spans="1:19" s="220" customFormat="1" ht="26.25" customHeight="1">
      <c r="A61" s="221"/>
      <c r="B61" s="221"/>
      <c r="C61" s="222" t="s">
        <v>267</v>
      </c>
      <c r="D61" s="227" t="s">
        <v>193</v>
      </c>
      <c r="E61" s="228" t="s">
        <v>136</v>
      </c>
      <c r="F61" s="223" t="s">
        <v>5</v>
      </c>
      <c r="G61" s="223"/>
      <c r="H61" s="223"/>
      <c r="I61" s="224">
        <v>714.69</v>
      </c>
      <c r="J61" s="224"/>
      <c r="K61" s="224"/>
      <c r="L61" s="225">
        <f t="shared" ref="L61:L63" si="5">MEDIAN(I61:K61)</f>
        <v>714.69</v>
      </c>
      <c r="N61" s="215"/>
      <c r="O61" s="215"/>
      <c r="P61" s="215"/>
      <c r="Q61" s="215"/>
      <c r="R61" s="215"/>
      <c r="S61" s="215"/>
    </row>
    <row r="62" spans="1:19" s="220" customFormat="1" ht="26.25" customHeight="1">
      <c r="A62" s="221"/>
      <c r="B62" s="221"/>
      <c r="C62" s="222" t="s">
        <v>289</v>
      </c>
      <c r="D62" s="227" t="s">
        <v>211</v>
      </c>
      <c r="E62" s="228" t="s">
        <v>136</v>
      </c>
      <c r="F62" s="223" t="s">
        <v>290</v>
      </c>
      <c r="G62" s="223" t="s">
        <v>291</v>
      </c>
      <c r="H62" s="223" t="s">
        <v>911</v>
      </c>
      <c r="I62" s="224">
        <f>ROUND(((((290/1000)/2)^2)*PI())*65,2)</f>
        <v>4.29</v>
      </c>
      <c r="J62" s="224">
        <f>ROUND(((((290/1000)/2)^2)*PI())*(98/1.5),2)</f>
        <v>4.32</v>
      </c>
      <c r="K62" s="224">
        <v>9.3699999999999992</v>
      </c>
      <c r="L62" s="225">
        <f t="shared" si="5"/>
        <v>4.32</v>
      </c>
      <c r="N62" s="215"/>
      <c r="O62" s="215"/>
      <c r="P62" s="215"/>
      <c r="Q62" s="215"/>
      <c r="R62" s="215"/>
      <c r="S62" s="215"/>
    </row>
    <row r="63" spans="1:19" s="220" customFormat="1" ht="26.25" customHeight="1">
      <c r="A63" s="221"/>
      <c r="B63" s="221"/>
      <c r="C63" s="222" t="s">
        <v>162</v>
      </c>
      <c r="D63" s="227" t="s">
        <v>163</v>
      </c>
      <c r="E63" s="228" t="s">
        <v>161</v>
      </c>
      <c r="F63" s="223" t="s">
        <v>5</v>
      </c>
      <c r="G63" s="223"/>
      <c r="H63" s="223"/>
      <c r="I63" s="224">
        <v>184.08</v>
      </c>
      <c r="J63" s="224"/>
      <c r="K63" s="224"/>
      <c r="L63" s="225">
        <f t="shared" si="5"/>
        <v>184.08</v>
      </c>
      <c r="N63" s="215"/>
      <c r="O63" s="215"/>
      <c r="P63" s="215"/>
      <c r="Q63" s="215"/>
      <c r="R63" s="215"/>
      <c r="S63" s="215"/>
    </row>
    <row r="64" spans="1:19" s="220" customFormat="1" ht="26.25" customHeight="1">
      <c r="A64" s="221"/>
      <c r="B64" s="221"/>
      <c r="C64" s="222" t="s">
        <v>299</v>
      </c>
      <c r="D64" s="227" t="s">
        <v>300</v>
      </c>
      <c r="E64" s="228" t="s">
        <v>1</v>
      </c>
      <c r="F64" s="223" t="s">
        <v>904</v>
      </c>
      <c r="G64" s="223" t="s">
        <v>905</v>
      </c>
      <c r="H64" s="223" t="s">
        <v>906</v>
      </c>
      <c r="I64" s="224">
        <v>226.52</v>
      </c>
      <c r="J64" s="224">
        <v>148.81</v>
      </c>
      <c r="K64" s="224">
        <v>192.79</v>
      </c>
      <c r="L64" s="225">
        <f>MEDIAN(I64:K64)</f>
        <v>192.79</v>
      </c>
      <c r="N64" s="215"/>
      <c r="O64" s="215"/>
      <c r="P64" s="215"/>
      <c r="Q64" s="215"/>
      <c r="R64" s="215"/>
      <c r="S64" s="215"/>
    </row>
    <row r="65" spans="1:21" s="220" customFormat="1" ht="26.25" customHeight="1">
      <c r="A65" s="221"/>
      <c r="B65" s="221"/>
      <c r="C65" s="222" t="s">
        <v>766</v>
      </c>
      <c r="D65" s="227" t="s">
        <v>765</v>
      </c>
      <c r="E65" s="228" t="s">
        <v>161</v>
      </c>
      <c r="F65" s="223" t="s">
        <v>767</v>
      </c>
      <c r="G65" s="223" t="s">
        <v>782</v>
      </c>
      <c r="H65" s="223" t="s">
        <v>783</v>
      </c>
      <c r="I65" s="224">
        <v>1850000</v>
      </c>
      <c r="J65" s="224">
        <v>2180000</v>
      </c>
      <c r="K65" s="224">
        <v>2250000</v>
      </c>
      <c r="L65" s="225">
        <f>MEDIAN(I65:K65)</f>
        <v>2180000</v>
      </c>
      <c r="N65" s="215"/>
      <c r="O65" s="215"/>
      <c r="P65" s="215"/>
      <c r="Q65" s="215"/>
      <c r="R65" s="215"/>
      <c r="S65" s="215"/>
    </row>
    <row r="66" spans="1:21" s="220" customFormat="1" ht="26.25" customHeight="1">
      <c r="A66" s="221"/>
      <c r="B66" s="221" t="s">
        <v>227</v>
      </c>
      <c r="C66" s="222" t="s">
        <v>772</v>
      </c>
      <c r="D66" s="557" t="s">
        <v>895</v>
      </c>
      <c r="E66" s="228" t="s">
        <v>161</v>
      </c>
      <c r="F66" s="223" t="s">
        <v>912</v>
      </c>
      <c r="G66" s="223" t="s">
        <v>909</v>
      </c>
      <c r="H66" s="223" t="s">
        <v>910</v>
      </c>
      <c r="I66" s="224">
        <v>4382.72</v>
      </c>
      <c r="J66" s="224">
        <v>4100</v>
      </c>
      <c r="K66" s="224">
        <v>4733.34</v>
      </c>
      <c r="L66" s="225">
        <f>MEDIAN(I66:K66)</f>
        <v>4382.72</v>
      </c>
      <c r="M66" s="558"/>
      <c r="P66" s="215"/>
      <c r="Q66" s="215"/>
      <c r="R66" s="215"/>
      <c r="S66" s="215"/>
      <c r="T66" s="215"/>
      <c r="U66" s="215"/>
    </row>
  </sheetData>
  <mergeCells count="1">
    <mergeCell ref="C3:L3"/>
  </mergeCells>
  <printOptions horizontalCentered="1"/>
  <pageMargins left="0.78740157480314965" right="0.39370078740157483" top="0.98425196850393704" bottom="0.78740157480314965" header="0.39370078740157483" footer="0.39370078740157483"/>
  <pageSetup paperSize="9" scale="67" orientation="landscape" useFirstPageNumber="1" r:id="rId1"/>
  <headerFooter scaleWithDoc="0">
    <oddHeader>&amp;R&amp;G</oddHeader>
    <oddFooter>&amp;L&amp;"Arial,Negrito"&amp;10CTR 477F&amp;C&amp;"Arial,Negrito"&amp;10 C.&amp;P</oddFooter>
  </headerFooter>
  <rowBreaks count="2" manualBreakCount="2">
    <brk id="28" max="16383" man="1"/>
    <brk id="52" max="16383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33</vt:i4>
      </vt:variant>
      <vt:variant>
        <vt:lpstr>Intervalos nomeados</vt:lpstr>
      </vt:variant>
      <vt:variant>
        <vt:i4>61</vt:i4>
      </vt:variant>
    </vt:vector>
  </HeadingPairs>
  <TitlesOfParts>
    <vt:vector size="94" baseType="lpstr">
      <vt:lpstr>Resumo</vt:lpstr>
      <vt:lpstr>OS-Reservatório</vt:lpstr>
      <vt:lpstr>ME-Reservatório</vt:lpstr>
      <vt:lpstr>OS-Entrada</vt:lpstr>
      <vt:lpstr>ME-Entrada</vt:lpstr>
      <vt:lpstr>OS-Extravasor</vt:lpstr>
      <vt:lpstr>ME-Extravasor</vt:lpstr>
      <vt:lpstr>OS-Saída</vt:lpstr>
      <vt:lpstr>ME-Saída</vt:lpstr>
      <vt:lpstr>OS-Respiro</vt:lpstr>
      <vt:lpstr>ME-Respiro</vt:lpstr>
      <vt:lpstr>OS-Canteiro</vt:lpstr>
      <vt:lpstr>Cronograma </vt:lpstr>
      <vt:lpstr>Q-Entrada</vt:lpstr>
      <vt:lpstr>Q-CX-Entrada</vt:lpstr>
      <vt:lpstr>Q-Bloco Apoio</vt:lpstr>
      <vt:lpstr>Q-Extravasor</vt:lpstr>
      <vt:lpstr>Q-CX-Extravasor</vt:lpstr>
      <vt:lpstr>Q-Saída</vt:lpstr>
      <vt:lpstr>Q-Canteiro</vt:lpstr>
      <vt:lpstr>CX-Entrada</vt:lpstr>
      <vt:lpstr>BL-Apoio</vt:lpstr>
      <vt:lpstr>PROT-FL</vt:lpstr>
      <vt:lpstr>MNT-01</vt:lpstr>
      <vt:lpstr>CX-Extravasor</vt:lpstr>
      <vt:lpstr>SUP-01</vt:lpstr>
      <vt:lpstr>SUP-02</vt:lpstr>
      <vt:lpstr>OPER-01</vt:lpstr>
      <vt:lpstr>E-001</vt:lpstr>
      <vt:lpstr>E-002</vt:lpstr>
      <vt:lpstr>E-003</vt:lpstr>
      <vt:lpstr>E-004</vt:lpstr>
      <vt:lpstr>Resumo Preços</vt:lpstr>
      <vt:lpstr>'BL-Apoio'!Area_de_impressao</vt:lpstr>
      <vt:lpstr>'Cronograma '!Area_de_impressao</vt:lpstr>
      <vt:lpstr>'CX-Entrada'!Area_de_impressao</vt:lpstr>
      <vt:lpstr>'CX-Extravasor'!Area_de_impressao</vt:lpstr>
      <vt:lpstr>'E-001'!Area_de_impressao</vt:lpstr>
      <vt:lpstr>'E-002'!Area_de_impressao</vt:lpstr>
      <vt:lpstr>'E-003'!Area_de_impressao</vt:lpstr>
      <vt:lpstr>'E-004'!Area_de_impressao</vt:lpstr>
      <vt:lpstr>'ME-Entrada'!Area_de_impressao</vt:lpstr>
      <vt:lpstr>'ME-Extravasor'!Area_de_impressao</vt:lpstr>
      <vt:lpstr>'ME-Reservatório'!Area_de_impressao</vt:lpstr>
      <vt:lpstr>'ME-Respiro'!Area_de_impressao</vt:lpstr>
      <vt:lpstr>'ME-Saída'!Area_de_impressao</vt:lpstr>
      <vt:lpstr>'MNT-01'!Area_de_impressao</vt:lpstr>
      <vt:lpstr>'OPER-01'!Area_de_impressao</vt:lpstr>
      <vt:lpstr>'OS-Canteiro'!Area_de_impressao</vt:lpstr>
      <vt:lpstr>'OS-Entrada'!Area_de_impressao</vt:lpstr>
      <vt:lpstr>'OS-Extravasor'!Area_de_impressao</vt:lpstr>
      <vt:lpstr>'OS-Reservatório'!Area_de_impressao</vt:lpstr>
      <vt:lpstr>'OS-Respiro'!Area_de_impressao</vt:lpstr>
      <vt:lpstr>'OS-Saída'!Area_de_impressao</vt:lpstr>
      <vt:lpstr>'PROT-FL'!Area_de_impressao</vt:lpstr>
      <vt:lpstr>'Q-Bloco Apoio'!Area_de_impressao</vt:lpstr>
      <vt:lpstr>'Q-Canteiro'!Area_de_impressao</vt:lpstr>
      <vt:lpstr>'Q-CX-Entrada'!Area_de_impressao</vt:lpstr>
      <vt:lpstr>'Q-CX-Extravasor'!Area_de_impressao</vt:lpstr>
      <vt:lpstr>'Q-Entrada'!Area_de_impressao</vt:lpstr>
      <vt:lpstr>'Q-Extravasor'!Area_de_impressao</vt:lpstr>
      <vt:lpstr>'Q-Saída'!Area_de_impressao</vt:lpstr>
      <vt:lpstr>Resumo!Area_de_impressao</vt:lpstr>
      <vt:lpstr>'Resumo Preços'!Area_de_impressao</vt:lpstr>
      <vt:lpstr>'SUP-01'!Area_de_impressao</vt:lpstr>
      <vt:lpstr>'SUP-02'!Area_de_impressao</vt:lpstr>
      <vt:lpstr>'Q-Entrada'!Print_Area</vt:lpstr>
      <vt:lpstr>'Q-Extravasor'!Print_Area</vt:lpstr>
      <vt:lpstr>'Q-Saída'!Print_Area</vt:lpstr>
      <vt:lpstr>'Q-Entrada'!Print_Titles</vt:lpstr>
      <vt:lpstr>'Q-Extravasor'!Print_Titles</vt:lpstr>
      <vt:lpstr>'Q-Saída'!Print_Titles</vt:lpstr>
      <vt:lpstr>'Cronograma '!Titulos_de_impressao</vt:lpstr>
      <vt:lpstr>'ME-Entrada'!Titulos_de_impressao</vt:lpstr>
      <vt:lpstr>'ME-Extravasor'!Titulos_de_impressao</vt:lpstr>
      <vt:lpstr>'ME-Reservatório'!Titulos_de_impressao</vt:lpstr>
      <vt:lpstr>'ME-Respiro'!Titulos_de_impressao</vt:lpstr>
      <vt:lpstr>'ME-Saída'!Titulos_de_impressao</vt:lpstr>
      <vt:lpstr>'OPER-01'!Titulos_de_impressao</vt:lpstr>
      <vt:lpstr>'OS-Canteiro'!Titulos_de_impressao</vt:lpstr>
      <vt:lpstr>'OS-Entrada'!Titulos_de_impressao</vt:lpstr>
      <vt:lpstr>'OS-Extravasor'!Titulos_de_impressao</vt:lpstr>
      <vt:lpstr>'OS-Reservatório'!Titulos_de_impressao</vt:lpstr>
      <vt:lpstr>'OS-Respiro'!Titulos_de_impressao</vt:lpstr>
      <vt:lpstr>'OS-Saída'!Titulos_de_impressao</vt:lpstr>
      <vt:lpstr>'Q-Bloco Apoio'!Titulos_de_impressao</vt:lpstr>
      <vt:lpstr>'Q-Canteiro'!Titulos_de_impressao</vt:lpstr>
      <vt:lpstr>'Q-CX-Entrada'!Titulos_de_impressao</vt:lpstr>
      <vt:lpstr>'Q-CX-Extravasor'!Titulos_de_impressao</vt:lpstr>
      <vt:lpstr>'Q-Entrada'!Titulos_de_impressao</vt:lpstr>
      <vt:lpstr>'Q-Extravasor'!Titulos_de_impressao</vt:lpstr>
      <vt:lpstr>'Q-Saída'!Titulos_de_impressao</vt:lpstr>
      <vt:lpstr>Resumo!Titulos_de_impressao</vt:lpstr>
      <vt:lpstr>'Resumo Preços'!Titulos_de_impressao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Proesplan</dc:creator>
  <cp:lastModifiedBy>Proesplan</cp:lastModifiedBy>
  <cp:lastPrinted>2024-03-11T17:37:22Z</cp:lastPrinted>
  <dcterms:created xsi:type="dcterms:W3CDTF">2019-09-11T13:57:52Z</dcterms:created>
  <dcterms:modified xsi:type="dcterms:W3CDTF">2024-03-11T18:07:16Z</dcterms:modified>
</cp:coreProperties>
</file>