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J5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" min="1" max="1" bestFit="1" customWidth="1"/>
    <col width="13" min="2" max="2" bestFit="1" customWidth="1"/>
    <col width="13.2" min="3" max="3" bestFit="1" customWidth="1"/>
    <col width="60" min="4" max="4" bestFit="1" customWidth="1"/>
    <col width="8" min="5" max="5" bestFit="1" customWidth="1"/>
    <col width="13" min="6" max="6" bestFit="1" customWidth="1"/>
    <col width="13" min="7" max="7" bestFit="1" customWidth="1"/>
    <col width="13" min="8" max="8" bestFit="1" customWidth="1"/>
    <col width="13" min="9" max="9" bestFit="1" customWidth="1"/>
    <col width="13" min="10" max="10" bestFit="1" customWidth="1"/>
    <col width="13" min="11" max="11" bestFit="1" customWidth="1"/>
  </cols>
  <sheetData>
    <row customHeight="1" ht="30" r="1">
      <c r="A1" s="56"/>
      <c r="B1" s="56"/>
      <c r="C1" s="56"/>
      <c r="D1" s="56"/>
      <c r="E1" s="56"/>
      <c r="F1" s="56"/>
      <c r="G1" s="56"/>
      <c r="H1" s="56" t="inlineStr">
        <is>
          <t>Valor Final do Orçamento</t>
        </is>
      </c>
      <c r="I1" s="56"/>
      <c r="J1" s="59" t="str">
        <f>i4 + i6 + i47 + i50 + i53</f>
      </c>
    </row>
    <row customHeight="1" ht="20" r="2">
      <c r="A2" s="56"/>
      <c r="B2" s="56"/>
      <c r="C2" s="56"/>
      <c r="D2" s="56"/>
      <c r="E2" s="56"/>
      <c r="F2" s="56"/>
      <c r="G2" s="56"/>
      <c r="H2" s="56" t="inlineStr">
        <is>
          <t>BDI</t>
        </is>
      </c>
      <c r="I2" s="56"/>
      <c r="J2" s="64" t="n">
        <v>0.2247</v>
      </c>
    </row>
    <row customHeight="1" ht="30" r="3">
      <c r="A3" s="5" t="inlineStr">
        <is>
          <t>Item</t>
        </is>
      </c>
      <c r="B3" s="8" t="inlineStr">
        <is>
          <t>Código</t>
        </is>
      </c>
      <c r="C3" s="5" t="inlineStr">
        <is>
          <t>Banco</t>
        </is>
      </c>
      <c r="D3" s="5" t="inlineStr">
        <is>
          <t>Descrição</t>
        </is>
      </c>
      <c r="E3" s="6" t="inlineStr">
        <is>
          <t>Und</t>
        </is>
      </c>
      <c r="F3" s="8" t="inlineStr">
        <is>
          <t>Quant.</t>
        </is>
      </c>
      <c r="G3" s="8" t="inlineStr">
        <is>
          <t>Valor Unit</t>
        </is>
      </c>
      <c r="H3" s="8" t="inlineStr">
        <is>
          <t>Valor Unit com BDI</t>
        </is>
      </c>
      <c r="I3" s="8" t="inlineStr">
        <is>
          <t>Total</t>
        </is>
      </c>
      <c r="J3" s="8" t="inlineStr">
        <is>
          <t>Peso (%)</t>
        </is>
      </c>
    </row>
    <row customHeight="1" ht="24" r="4">
      <c r="A4" s="9" t="inlineStr">
        <is>
          <t> 1 </t>
        </is>
      </c>
      <c r="B4" s="9" t="inlineStr">
        <is>
          <t>  </t>
        </is>
      </c>
      <c r="C4" s="9"/>
      <c r="D4" s="9" t="inlineStr">
        <is>
          <t>SERVIÇOS PRELIMINARES</t>
        </is>
      </c>
      <c r="E4" s="10"/>
      <c r="F4" s="11" t="n">
        <v>1.0</v>
      </c>
      <c r="G4" s="11" t="inlineStr">
        <is>
          <t/>
        </is>
      </c>
      <c r="H4" s="12" t="str">
        <f>i5</f>
      </c>
      <c r="I4" s="12" t="str">
        <f>TRUNC(F4 * h4,2)</f>
      </c>
      <c r="J4" s="13" t="str">
        <f>i4 / j1</f>
      </c>
    </row>
    <row customHeight="1" ht="26" r="5">
      <c r="A5" s="17" t="inlineStr">
        <is>
          <t> 1.1 </t>
        </is>
      </c>
      <c r="B5" s="17" t="inlineStr">
        <is>
          <t> 02.08.050 </t>
        </is>
      </c>
      <c r="C5" s="17" t="inlineStr">
        <is>
          <t>CPOS/CDHU</t>
        </is>
      </c>
      <c r="D5" s="17" t="inlineStr">
        <is>
          <t>Placa em lona com impressão digital e estrutura em madeira</t>
        </is>
      </c>
      <c r="E5" s="18" t="inlineStr">
        <is>
          <t>m²</t>
        </is>
      </c>
      <c r="F5" s="19" t="n">
        <v>6.0</v>
      </c>
      <c r="G5" s="20" t="n">
        <v>210.11</v>
      </c>
      <c r="H5" s="20" t="str">
        <f>TRUNC(TRUNC(G5 * j2, 2) + G5, 2)</f>
      </c>
      <c r="I5" s="20" t="str">
        <f>TRUNC(F5 * h5,2)</f>
      </c>
      <c r="J5" s="21" t="str">
        <f>i5 / j1</f>
      </c>
    </row>
    <row customHeight="1" ht="24" r="6">
      <c r="A6" s="9" t="inlineStr">
        <is>
          <t> 2 </t>
        </is>
      </c>
      <c r="B6" s="9" t="inlineStr">
        <is>
          <t>  </t>
        </is>
      </c>
      <c r="C6" s="9"/>
      <c r="D6" s="9" t="inlineStr">
        <is>
          <t>RECAPE - JARDIM IMPERIAL</t>
        </is>
      </c>
      <c r="E6" s="10"/>
      <c r="F6" s="11" t="n">
        <v>1.0</v>
      </c>
      <c r="G6" s="11" t="inlineStr">
        <is>
          <t/>
        </is>
      </c>
      <c r="H6" s="12" t="str">
        <f>i7 + i12 + i17 + i22 + i27 + i32 + i37 + i42</f>
      </c>
      <c r="I6" s="12" t="str">
        <f>TRUNC(F6 * h6,2)</f>
      </c>
      <c r="J6" s="13" t="str">
        <f>i6 / j1</f>
      </c>
    </row>
    <row customHeight="1" ht="24" r="7">
      <c r="A7" s="9" t="inlineStr">
        <is>
          <t> 2.1 </t>
        </is>
      </c>
      <c r="B7" s="9" t="inlineStr">
        <is>
          <t>  </t>
        </is>
      </c>
      <c r="C7" s="9"/>
      <c r="D7" s="9" t="inlineStr">
        <is>
          <t>RUA JOÃO BAPTISTA BONATTO</t>
        </is>
      </c>
      <c r="E7" s="10"/>
      <c r="F7" s="11" t="n">
        <v>1.0</v>
      </c>
      <c r="G7" s="11" t="inlineStr">
        <is>
          <t/>
        </is>
      </c>
      <c r="H7" s="12" t="str">
        <f>i8 + i9 + i10 + i11</f>
      </c>
      <c r="I7" s="12" t="str">
        <f>TRUNC(F7 * h7,2)</f>
      </c>
      <c r="J7" s="13" t="str">
        <f>i7 / j1</f>
      </c>
    </row>
    <row customHeight="1" ht="24" r="8">
      <c r="A8" s="17" t="inlineStr">
        <is>
          <t> 2.1.1 </t>
        </is>
      </c>
      <c r="B8" s="17" t="inlineStr">
        <is>
          <t> 54.01.410 </t>
        </is>
      </c>
      <c r="C8" s="17" t="inlineStr">
        <is>
          <t>CPOS/CDHU</t>
        </is>
      </c>
      <c r="D8" s="17" t="inlineStr">
        <is>
          <t>Varrição de pavimento para recapeamento</t>
        </is>
      </c>
      <c r="E8" s="18" t="inlineStr">
        <is>
          <t>m²</t>
        </is>
      </c>
      <c r="F8" s="19" t="n">
        <v>1550.65</v>
      </c>
      <c r="G8" s="20" t="n">
        <v>0.9</v>
      </c>
      <c r="H8" s="20" t="str">
        <f>TRUNC(TRUNC(G8 * j2, 2) + G8, 2)</f>
      </c>
      <c r="I8" s="20" t="str">
        <f>TRUNC(F8 * h8,2)</f>
      </c>
      <c r="J8" s="21" t="str">
        <f>i8 / j1</f>
      </c>
    </row>
    <row customHeight="1" ht="24" r="9">
      <c r="A9" s="17" t="inlineStr">
        <is>
          <t> 2.1.2 </t>
        </is>
      </c>
      <c r="B9" s="17" t="inlineStr">
        <is>
          <t> 54.03.230 </t>
        </is>
      </c>
      <c r="C9" s="17" t="inlineStr">
        <is>
          <t>CPOS/CDHU</t>
        </is>
      </c>
      <c r="D9" s="17" t="inlineStr">
        <is>
          <t>Imprimação betuminosa ligante</t>
        </is>
      </c>
      <c r="E9" s="18" t="inlineStr">
        <is>
          <t>m²</t>
        </is>
      </c>
      <c r="F9" s="19" t="n">
        <v>1550.65</v>
      </c>
      <c r="G9" s="20" t="n">
        <v>6.66</v>
      </c>
      <c r="H9" s="20" t="str">
        <f>TRUNC(TRUNC(G9 * j2, 2) + G9, 2)</f>
      </c>
      <c r="I9" s="20" t="str">
        <f>TRUNC(F9 * h9,2)</f>
      </c>
      <c r="J9" s="21" t="str">
        <f>i9 / j1</f>
      </c>
    </row>
    <row customHeight="1" ht="26" r="10">
      <c r="A10" s="17" t="inlineStr">
        <is>
          <t> 2.1.3 </t>
        </is>
      </c>
      <c r="B10" s="17" t="inlineStr">
        <is>
          <t> 54.03.210 </t>
        </is>
      </c>
      <c r="C10" s="17" t="inlineStr">
        <is>
          <t>CPOS/CDHU</t>
        </is>
      </c>
      <c r="D10" s="17" t="inlineStr">
        <is>
          <t>Camada de rolamento em concreto betuminoso usinado quente - CBUQ</t>
        </is>
      </c>
      <c r="E10" s="18" t="inlineStr">
        <is>
          <t>m³</t>
        </is>
      </c>
      <c r="F10" s="19" t="n">
        <v>46.52</v>
      </c>
      <c r="G10" s="20" t="n">
        <v>1542.0</v>
      </c>
      <c r="H10" s="20" t="str">
        <f>TRUNC(TRUNC(G10 * j2, 2) + G10, 2)</f>
      </c>
      <c r="I10" s="20" t="str">
        <f>TRUNC(F10 * h10,2)</f>
      </c>
      <c r="J10" s="21" t="str">
        <f>i10 / j1</f>
      </c>
    </row>
    <row customHeight="1" ht="26" r="11">
      <c r="A11" s="17" t="inlineStr">
        <is>
          <t> 2.1.4 </t>
        </is>
      </c>
      <c r="B11" s="17" t="inlineStr">
        <is>
          <t> 70.02.010 </t>
        </is>
      </c>
      <c r="C11" s="17" t="inlineStr">
        <is>
          <t>CPOS/CDHU</t>
        </is>
      </c>
      <c r="D11" s="17" t="inlineStr">
        <is>
          <t>Sinalização horizontal com tinta vinílica ou acrílica</t>
        </is>
      </c>
      <c r="E11" s="18" t="inlineStr">
        <is>
          <t>m²</t>
        </is>
      </c>
      <c r="F11" s="19" t="n">
        <v>37.56</v>
      </c>
      <c r="G11" s="20" t="n">
        <v>34.9</v>
      </c>
      <c r="H11" s="20" t="str">
        <f>TRUNC(TRUNC(G11 * j2, 2) + G11, 2)</f>
      </c>
      <c r="I11" s="20" t="str">
        <f>TRUNC(F11 * h11,2)</f>
      </c>
      <c r="J11" s="21" t="str">
        <f>i11 / j1</f>
      </c>
    </row>
    <row customHeight="1" ht="24" r="12">
      <c r="A12" s="9" t="inlineStr">
        <is>
          <t> 2.2 </t>
        </is>
      </c>
      <c r="B12" s="9" t="inlineStr">
        <is>
          <t>  </t>
        </is>
      </c>
      <c r="C12" s="9"/>
      <c r="D12" s="9" t="inlineStr">
        <is>
          <t>RUA ADELINO BORTOLOTTO</t>
        </is>
      </c>
      <c r="E12" s="10"/>
      <c r="F12" s="11" t="n">
        <v>1.0</v>
      </c>
      <c r="G12" s="11" t="inlineStr">
        <is>
          <t/>
        </is>
      </c>
      <c r="H12" s="12" t="str">
        <f>i13 + i14 + i15 + i16</f>
      </c>
      <c r="I12" s="12" t="str">
        <f>TRUNC(F12 * h12,2)</f>
      </c>
      <c r="J12" s="13" t="str">
        <f>i12 / j1</f>
      </c>
    </row>
    <row customHeight="1" ht="24" r="13">
      <c r="A13" s="17" t="inlineStr">
        <is>
          <t> 2.2.1 </t>
        </is>
      </c>
      <c r="B13" s="17" t="inlineStr">
        <is>
          <t> 54.01.410 </t>
        </is>
      </c>
      <c r="C13" s="17" t="inlineStr">
        <is>
          <t>CPOS/CDHU</t>
        </is>
      </c>
      <c r="D13" s="17" t="inlineStr">
        <is>
          <t>Varrição de pavimento para recapeamento</t>
        </is>
      </c>
      <c r="E13" s="18" t="inlineStr">
        <is>
          <t>m²</t>
        </is>
      </c>
      <c r="F13" s="19" t="n">
        <v>1691.11</v>
      </c>
      <c r="G13" s="20" t="n">
        <v>0.9</v>
      </c>
      <c r="H13" s="20" t="str">
        <f>TRUNC(TRUNC(G13 * j2, 2) + G13, 2)</f>
      </c>
      <c r="I13" s="20" t="str">
        <f>TRUNC(F13 * h13,2)</f>
      </c>
      <c r="J13" s="21" t="str">
        <f>i13 / j1</f>
      </c>
    </row>
    <row customHeight="1" ht="24" r="14">
      <c r="A14" s="17" t="inlineStr">
        <is>
          <t> 2.2.2 </t>
        </is>
      </c>
      <c r="B14" s="17" t="inlineStr">
        <is>
          <t> 54.03.230 </t>
        </is>
      </c>
      <c r="C14" s="17" t="inlineStr">
        <is>
          <t>CPOS/CDHU</t>
        </is>
      </c>
      <c r="D14" s="17" t="inlineStr">
        <is>
          <t>Imprimação betuminosa ligante</t>
        </is>
      </c>
      <c r="E14" s="18" t="inlineStr">
        <is>
          <t>m²</t>
        </is>
      </c>
      <c r="F14" s="19" t="n">
        <v>1691.11</v>
      </c>
      <c r="G14" s="20" t="n">
        <v>6.66</v>
      </c>
      <c r="H14" s="20" t="str">
        <f>TRUNC(TRUNC(G14 * j2, 2) + G14, 2)</f>
      </c>
      <c r="I14" s="20" t="str">
        <f>TRUNC(F14 * h14,2)</f>
      </c>
      <c r="J14" s="21" t="str">
        <f>i14 / j1</f>
      </c>
    </row>
    <row customHeight="1" ht="26" r="15">
      <c r="A15" s="17" t="inlineStr">
        <is>
          <t> 2.2.3 </t>
        </is>
      </c>
      <c r="B15" s="17" t="inlineStr">
        <is>
          <t> 54.03.210 </t>
        </is>
      </c>
      <c r="C15" s="17" t="inlineStr">
        <is>
          <t>CPOS/CDHU</t>
        </is>
      </c>
      <c r="D15" s="17" t="inlineStr">
        <is>
          <t>Camada de rolamento em concreto betuminoso usinado quente - CBUQ</t>
        </is>
      </c>
      <c r="E15" s="18" t="inlineStr">
        <is>
          <t>m³</t>
        </is>
      </c>
      <c r="F15" s="19" t="n">
        <v>50.73</v>
      </c>
      <c r="G15" s="20" t="n">
        <v>1542.0</v>
      </c>
      <c r="H15" s="20" t="str">
        <f>TRUNC(TRUNC(G15 * j2, 2) + G15, 2)</f>
      </c>
      <c r="I15" s="20" t="str">
        <f>TRUNC(F15 * h15,2)</f>
      </c>
      <c r="J15" s="21" t="str">
        <f>i15 / j1</f>
      </c>
    </row>
    <row customHeight="1" ht="26" r="16">
      <c r="A16" s="17" t="inlineStr">
        <is>
          <t> 2.2.4 </t>
        </is>
      </c>
      <c r="B16" s="17" t="inlineStr">
        <is>
          <t> 70.02.010 </t>
        </is>
      </c>
      <c r="C16" s="17" t="inlineStr">
        <is>
          <t>CPOS/CDHU</t>
        </is>
      </c>
      <c r="D16" s="17" t="inlineStr">
        <is>
          <t>Sinalização horizontal com tinta vinílica ou acrílica</t>
        </is>
      </c>
      <c r="E16" s="18" t="inlineStr">
        <is>
          <t>m²</t>
        </is>
      </c>
      <c r="F16" s="19" t="n">
        <v>37.56</v>
      </c>
      <c r="G16" s="20" t="n">
        <v>34.9</v>
      </c>
      <c r="H16" s="20" t="str">
        <f>TRUNC(TRUNC(G16 * j2, 2) + G16, 2)</f>
      </c>
      <c r="I16" s="20" t="str">
        <f>TRUNC(F16 * h16,2)</f>
      </c>
      <c r="J16" s="21" t="str">
        <f>i16 / j1</f>
      </c>
    </row>
    <row customHeight="1" ht="24" r="17">
      <c r="A17" s="9" t="inlineStr">
        <is>
          <t> 2.3 </t>
        </is>
      </c>
      <c r="B17" s="9" t="inlineStr">
        <is>
          <t>  </t>
        </is>
      </c>
      <c r="C17" s="9"/>
      <c r="D17" s="9" t="inlineStr">
        <is>
          <t>RUA ARMANDO PACAGNELLA</t>
        </is>
      </c>
      <c r="E17" s="10"/>
      <c r="F17" s="11" t="n">
        <v>1.0</v>
      </c>
      <c r="G17" s="11" t="inlineStr">
        <is>
          <t/>
        </is>
      </c>
      <c r="H17" s="12" t="str">
        <f>i18 + i19 + i20 + i21</f>
      </c>
      <c r="I17" s="12" t="str">
        <f>TRUNC(F17 * h17,2)</f>
      </c>
      <c r="J17" s="13" t="str">
        <f>i17 / j1</f>
      </c>
    </row>
    <row customHeight="1" ht="24" r="18">
      <c r="A18" s="17" t="inlineStr">
        <is>
          <t> 2.3.1 </t>
        </is>
      </c>
      <c r="B18" s="17" t="inlineStr">
        <is>
          <t> 54.01.410 </t>
        </is>
      </c>
      <c r="C18" s="17" t="inlineStr">
        <is>
          <t>CPOS/CDHU</t>
        </is>
      </c>
      <c r="D18" s="17" t="inlineStr">
        <is>
          <t>Varrição de pavimento para recapeamento</t>
        </is>
      </c>
      <c r="E18" s="18" t="inlineStr">
        <is>
          <t>m²</t>
        </is>
      </c>
      <c r="F18" s="19" t="n">
        <v>1760.65</v>
      </c>
      <c r="G18" s="20" t="n">
        <v>0.9</v>
      </c>
      <c r="H18" s="20" t="str">
        <f>TRUNC(TRUNC(G18 * j2, 2) + G18, 2)</f>
      </c>
      <c r="I18" s="20" t="str">
        <f>TRUNC(F18 * h18,2)</f>
      </c>
      <c r="J18" s="21" t="str">
        <f>i18 / j1</f>
      </c>
    </row>
    <row customHeight="1" ht="24" r="19">
      <c r="A19" s="17" t="inlineStr">
        <is>
          <t> 2.3.2 </t>
        </is>
      </c>
      <c r="B19" s="17" t="inlineStr">
        <is>
          <t> 54.03.230 </t>
        </is>
      </c>
      <c r="C19" s="17" t="inlineStr">
        <is>
          <t>CPOS/CDHU</t>
        </is>
      </c>
      <c r="D19" s="17" t="inlineStr">
        <is>
          <t>Imprimação betuminosa ligante</t>
        </is>
      </c>
      <c r="E19" s="18" t="inlineStr">
        <is>
          <t>m²</t>
        </is>
      </c>
      <c r="F19" s="19" t="n">
        <v>1760.65</v>
      </c>
      <c r="G19" s="20" t="n">
        <v>6.66</v>
      </c>
      <c r="H19" s="20" t="str">
        <f>TRUNC(TRUNC(G19 * j2, 2) + G19, 2)</f>
      </c>
      <c r="I19" s="20" t="str">
        <f>TRUNC(F19 * h19,2)</f>
      </c>
      <c r="J19" s="21" t="str">
        <f>i19 / j1</f>
      </c>
    </row>
    <row customHeight="1" ht="26" r="20">
      <c r="A20" s="17" t="inlineStr">
        <is>
          <t> 2.3.3 </t>
        </is>
      </c>
      <c r="B20" s="17" t="inlineStr">
        <is>
          <t> 54.03.210 </t>
        </is>
      </c>
      <c r="C20" s="17" t="inlineStr">
        <is>
          <t>CPOS/CDHU</t>
        </is>
      </c>
      <c r="D20" s="17" t="inlineStr">
        <is>
          <t>Camada de rolamento em concreto betuminoso usinado quente - CBUQ</t>
        </is>
      </c>
      <c r="E20" s="18" t="inlineStr">
        <is>
          <t>m³</t>
        </is>
      </c>
      <c r="F20" s="19" t="n">
        <v>52.82</v>
      </c>
      <c r="G20" s="20" t="n">
        <v>1542.0</v>
      </c>
      <c r="H20" s="20" t="str">
        <f>TRUNC(TRUNC(G20 * j2, 2) + G20, 2)</f>
      </c>
      <c r="I20" s="20" t="str">
        <f>TRUNC(F20 * h20,2)</f>
      </c>
      <c r="J20" s="21" t="str">
        <f>i20 / j1</f>
      </c>
    </row>
    <row customHeight="1" ht="26" r="21">
      <c r="A21" s="17" t="inlineStr">
        <is>
          <t> 2.3.4 </t>
        </is>
      </c>
      <c r="B21" s="17" t="inlineStr">
        <is>
          <t> 70.02.010 </t>
        </is>
      </c>
      <c r="C21" s="17" t="inlineStr">
        <is>
          <t>CPOS/CDHU</t>
        </is>
      </c>
      <c r="D21" s="17" t="inlineStr">
        <is>
          <t>Sinalização horizontal com tinta vinílica ou acrílica</t>
        </is>
      </c>
      <c r="E21" s="18" t="inlineStr">
        <is>
          <t>m²</t>
        </is>
      </c>
      <c r="F21" s="19" t="n">
        <v>18.56</v>
      </c>
      <c r="G21" s="20" t="n">
        <v>34.9</v>
      </c>
      <c r="H21" s="20" t="str">
        <f>TRUNC(TRUNC(G21 * j2, 2) + G21, 2)</f>
      </c>
      <c r="I21" s="20" t="str">
        <f>TRUNC(F21 * h21,2)</f>
      </c>
      <c r="J21" s="21" t="str">
        <f>i21 / j1</f>
      </c>
    </row>
    <row customHeight="1" ht="24" r="22">
      <c r="A22" s="9" t="inlineStr">
        <is>
          <t> 2.4 </t>
        </is>
      </c>
      <c r="B22" s="9" t="inlineStr">
        <is>
          <t>  </t>
        </is>
      </c>
      <c r="C22" s="9"/>
      <c r="D22" s="9" t="inlineStr">
        <is>
          <t>RUA JOAQUIM RATTO</t>
        </is>
      </c>
      <c r="E22" s="10"/>
      <c r="F22" s="11" t="n">
        <v>1.0</v>
      </c>
      <c r="G22" s="11" t="inlineStr">
        <is>
          <t/>
        </is>
      </c>
      <c r="H22" s="12" t="str">
        <f>i23 + i24 + i25 + i26</f>
      </c>
      <c r="I22" s="12" t="str">
        <f>TRUNC(F22 * h22,2)</f>
      </c>
      <c r="J22" s="13" t="str">
        <f>i22 / j1</f>
      </c>
    </row>
    <row customHeight="1" ht="24" r="23">
      <c r="A23" s="17" t="inlineStr">
        <is>
          <t> 2.4.1 </t>
        </is>
      </c>
      <c r="B23" s="17" t="inlineStr">
        <is>
          <t> 54.01.410 </t>
        </is>
      </c>
      <c r="C23" s="17" t="inlineStr">
        <is>
          <t>CPOS/CDHU</t>
        </is>
      </c>
      <c r="D23" s="17" t="inlineStr">
        <is>
          <t>Varrição de pavimento para recapeamento</t>
        </is>
      </c>
      <c r="E23" s="18" t="inlineStr">
        <is>
          <t>m²</t>
        </is>
      </c>
      <c r="F23" s="19" t="n">
        <v>1581.28</v>
      </c>
      <c r="G23" s="20" t="n">
        <v>0.9</v>
      </c>
      <c r="H23" s="20" t="str">
        <f>TRUNC(TRUNC(G23 * j2, 2) + G23, 2)</f>
      </c>
      <c r="I23" s="20" t="str">
        <f>TRUNC(F23 * h23,2)</f>
      </c>
      <c r="J23" s="21" t="str">
        <f>i23 / j1</f>
      </c>
    </row>
    <row customHeight="1" ht="24" r="24">
      <c r="A24" s="17" t="inlineStr">
        <is>
          <t> 2.4.2 </t>
        </is>
      </c>
      <c r="B24" s="17" t="inlineStr">
        <is>
          <t> 54.03.230 </t>
        </is>
      </c>
      <c r="C24" s="17" t="inlineStr">
        <is>
          <t>CPOS/CDHU</t>
        </is>
      </c>
      <c r="D24" s="17" t="inlineStr">
        <is>
          <t>Imprimação betuminosa ligante</t>
        </is>
      </c>
      <c r="E24" s="18" t="inlineStr">
        <is>
          <t>m²</t>
        </is>
      </c>
      <c r="F24" s="19" t="n">
        <v>1581.28</v>
      </c>
      <c r="G24" s="20" t="n">
        <v>6.66</v>
      </c>
      <c r="H24" s="20" t="str">
        <f>TRUNC(TRUNC(G24 * j2, 2) + G24, 2)</f>
      </c>
      <c r="I24" s="20" t="str">
        <f>TRUNC(F24 * h24,2)</f>
      </c>
      <c r="J24" s="21" t="str">
        <f>i24 / j1</f>
      </c>
    </row>
    <row customHeight="1" ht="26" r="25">
      <c r="A25" s="17" t="inlineStr">
        <is>
          <t> 2.4.3 </t>
        </is>
      </c>
      <c r="B25" s="17" t="inlineStr">
        <is>
          <t> 54.03.210 </t>
        </is>
      </c>
      <c r="C25" s="17" t="inlineStr">
        <is>
          <t>CPOS/CDHU</t>
        </is>
      </c>
      <c r="D25" s="17" t="inlineStr">
        <is>
          <t>Camada de rolamento em concreto betuminoso usinado quente - CBUQ</t>
        </is>
      </c>
      <c r="E25" s="18" t="inlineStr">
        <is>
          <t>m³</t>
        </is>
      </c>
      <c r="F25" s="19" t="n">
        <v>47.44</v>
      </c>
      <c r="G25" s="20" t="n">
        <v>1542.0</v>
      </c>
      <c r="H25" s="20" t="str">
        <f>TRUNC(TRUNC(G25 * j2, 2) + G25, 2)</f>
      </c>
      <c r="I25" s="20" t="str">
        <f>TRUNC(F25 * h25,2)</f>
      </c>
      <c r="J25" s="21" t="str">
        <f>i25 / j1</f>
      </c>
    </row>
    <row customHeight="1" ht="26" r="26">
      <c r="A26" s="17" t="inlineStr">
        <is>
          <t> 2.4.4 </t>
        </is>
      </c>
      <c r="B26" s="17" t="inlineStr">
        <is>
          <t> 70.02.010 </t>
        </is>
      </c>
      <c r="C26" s="17" t="inlineStr">
        <is>
          <t>CPOS/CDHU</t>
        </is>
      </c>
      <c r="D26" s="17" t="inlineStr">
        <is>
          <t>Sinalização horizontal com tinta vinílica ou acrílica</t>
        </is>
      </c>
      <c r="E26" s="18" t="inlineStr">
        <is>
          <t>m²</t>
        </is>
      </c>
      <c r="F26" s="19" t="n">
        <v>18.56</v>
      </c>
      <c r="G26" s="20" t="n">
        <v>34.9</v>
      </c>
      <c r="H26" s="20" t="str">
        <f>TRUNC(TRUNC(G26 * j2, 2) + G26, 2)</f>
      </c>
      <c r="I26" s="20" t="str">
        <f>TRUNC(F26 * h26,2)</f>
      </c>
      <c r="J26" s="21" t="str">
        <f>i26 / j1</f>
      </c>
    </row>
    <row customHeight="1" ht="24" r="27">
      <c r="A27" s="9" t="inlineStr">
        <is>
          <t> 2.5 </t>
        </is>
      </c>
      <c r="B27" s="9" t="inlineStr">
        <is>
          <t>  </t>
        </is>
      </c>
      <c r="C27" s="9"/>
      <c r="D27" s="9" t="inlineStr">
        <is>
          <t>RUA JOSÉ BENEDICTO DE MORAES</t>
        </is>
      </c>
      <c r="E27" s="10"/>
      <c r="F27" s="11" t="n">
        <v>1.0</v>
      </c>
      <c r="G27" s="11" t="inlineStr">
        <is>
          <t/>
        </is>
      </c>
      <c r="H27" s="12" t="str">
        <f>i28 + i29 + i30 + i31</f>
      </c>
      <c r="I27" s="12" t="str">
        <f>TRUNC(F27 * h27,2)</f>
      </c>
      <c r="J27" s="13" t="str">
        <f>i27 / j1</f>
      </c>
    </row>
    <row customHeight="1" ht="24" r="28">
      <c r="A28" s="17" t="inlineStr">
        <is>
          <t> 2.5.1 </t>
        </is>
      </c>
      <c r="B28" s="17" t="inlineStr">
        <is>
          <t> 54.01.410 </t>
        </is>
      </c>
      <c r="C28" s="17" t="inlineStr">
        <is>
          <t>CPOS/CDHU</t>
        </is>
      </c>
      <c r="D28" s="17" t="inlineStr">
        <is>
          <t>Varrição de pavimento para recapeamento</t>
        </is>
      </c>
      <c r="E28" s="18" t="inlineStr">
        <is>
          <t>m²</t>
        </is>
      </c>
      <c r="F28" s="19" t="n">
        <v>1481.42</v>
      </c>
      <c r="G28" s="20" t="n">
        <v>0.9</v>
      </c>
      <c r="H28" s="20" t="str">
        <f>TRUNC(TRUNC(G28 * j2, 2) + G28, 2)</f>
      </c>
      <c r="I28" s="20" t="str">
        <f>TRUNC(F28 * h28,2)</f>
      </c>
      <c r="J28" s="21" t="str">
        <f>i28 / j1</f>
      </c>
    </row>
    <row customHeight="1" ht="24" r="29">
      <c r="A29" s="17" t="inlineStr">
        <is>
          <t> 2.5.2 </t>
        </is>
      </c>
      <c r="B29" s="17" t="inlineStr">
        <is>
          <t> 54.03.230 </t>
        </is>
      </c>
      <c r="C29" s="17" t="inlineStr">
        <is>
          <t>CPOS/CDHU</t>
        </is>
      </c>
      <c r="D29" s="17" t="inlineStr">
        <is>
          <t>Imprimação betuminosa ligante</t>
        </is>
      </c>
      <c r="E29" s="18" t="inlineStr">
        <is>
          <t>m²</t>
        </is>
      </c>
      <c r="F29" s="19" t="n">
        <v>1481.42</v>
      </c>
      <c r="G29" s="20" t="n">
        <v>6.66</v>
      </c>
      <c r="H29" s="20" t="str">
        <f>TRUNC(TRUNC(G29 * j2, 2) + G29, 2)</f>
      </c>
      <c r="I29" s="20" t="str">
        <f>TRUNC(F29 * h29,2)</f>
      </c>
      <c r="J29" s="21" t="str">
        <f>i29 / j1</f>
      </c>
    </row>
    <row customHeight="1" ht="26" r="30">
      <c r="A30" s="17" t="inlineStr">
        <is>
          <t> 2.5.3 </t>
        </is>
      </c>
      <c r="B30" s="17" t="inlineStr">
        <is>
          <t> 54.03.210 </t>
        </is>
      </c>
      <c r="C30" s="17" t="inlineStr">
        <is>
          <t>CPOS/CDHU</t>
        </is>
      </c>
      <c r="D30" s="17" t="inlineStr">
        <is>
          <t>Camada de rolamento em concreto betuminoso usinado quente - CBUQ</t>
        </is>
      </c>
      <c r="E30" s="18" t="inlineStr">
        <is>
          <t>m³</t>
        </is>
      </c>
      <c r="F30" s="19" t="n">
        <v>44.44</v>
      </c>
      <c r="G30" s="20" t="n">
        <v>1542.0</v>
      </c>
      <c r="H30" s="20" t="str">
        <f>TRUNC(TRUNC(G30 * j2, 2) + G30, 2)</f>
      </c>
      <c r="I30" s="20" t="str">
        <f>TRUNC(F30 * h30,2)</f>
      </c>
      <c r="J30" s="21" t="str">
        <f>i30 / j1</f>
      </c>
    </row>
    <row customHeight="1" ht="26" r="31">
      <c r="A31" s="17" t="inlineStr">
        <is>
          <t> 2.5.4 </t>
        </is>
      </c>
      <c r="B31" s="17" t="inlineStr">
        <is>
          <t> 70.02.010 </t>
        </is>
      </c>
      <c r="C31" s="17" t="inlineStr">
        <is>
          <t>CPOS/CDHU</t>
        </is>
      </c>
      <c r="D31" s="17" t="inlineStr">
        <is>
          <t>Sinalização horizontal com tinta vinílica ou acrílica</t>
        </is>
      </c>
      <c r="E31" s="18" t="inlineStr">
        <is>
          <t>m²</t>
        </is>
      </c>
      <c r="F31" s="19" t="n">
        <v>18.56</v>
      </c>
      <c r="G31" s="20" t="n">
        <v>34.9</v>
      </c>
      <c r="H31" s="20" t="str">
        <f>TRUNC(TRUNC(G31 * j2, 2) + G31, 2)</f>
      </c>
      <c r="I31" s="20" t="str">
        <f>TRUNC(F31 * h31,2)</f>
      </c>
      <c r="J31" s="21" t="str">
        <f>i31 / j1</f>
      </c>
    </row>
    <row customHeight="1" ht="24" r="32">
      <c r="A32" s="9" t="inlineStr">
        <is>
          <t> 2.6 </t>
        </is>
      </c>
      <c r="B32" s="9" t="inlineStr">
        <is>
          <t>  </t>
        </is>
      </c>
      <c r="C32" s="9"/>
      <c r="D32" s="9" t="inlineStr">
        <is>
          <t>RUA SPM MARCOS STILLI</t>
        </is>
      </c>
      <c r="E32" s="10"/>
      <c r="F32" s="11" t="n">
        <v>1.0</v>
      </c>
      <c r="G32" s="11" t="inlineStr">
        <is>
          <t/>
        </is>
      </c>
      <c r="H32" s="12" t="str">
        <f>i33 + i34 + i35 + i36</f>
      </c>
      <c r="I32" s="12" t="str">
        <f>TRUNC(F32 * h32,2)</f>
      </c>
      <c r="J32" s="13" t="str">
        <f>i32 / j1</f>
      </c>
    </row>
    <row customHeight="1" ht="24" r="33">
      <c r="A33" s="17" t="inlineStr">
        <is>
          <t> 2.6.1 </t>
        </is>
      </c>
      <c r="B33" s="17" t="inlineStr">
        <is>
          <t> 54.01.410 </t>
        </is>
      </c>
      <c r="C33" s="17" t="inlineStr">
        <is>
          <t>CPOS/CDHU</t>
        </is>
      </c>
      <c r="D33" s="17" t="inlineStr">
        <is>
          <t>Varrição de pavimento para recapeamento</t>
        </is>
      </c>
      <c r="E33" s="18" t="inlineStr">
        <is>
          <t>m²</t>
        </is>
      </c>
      <c r="F33" s="19" t="n">
        <v>1060.96</v>
      </c>
      <c r="G33" s="20" t="n">
        <v>0.9</v>
      </c>
      <c r="H33" s="20" t="str">
        <f>TRUNC(TRUNC(G33 * j2, 2) + G33, 2)</f>
      </c>
      <c r="I33" s="20" t="str">
        <f>TRUNC(F33 * h33,2)</f>
      </c>
      <c r="J33" s="21" t="str">
        <f>i33 / j1</f>
      </c>
    </row>
    <row customHeight="1" ht="24" r="34">
      <c r="A34" s="17" t="inlineStr">
        <is>
          <t> 2.6.2 </t>
        </is>
      </c>
      <c r="B34" s="17" t="inlineStr">
        <is>
          <t> 54.03.230 </t>
        </is>
      </c>
      <c r="C34" s="17" t="inlineStr">
        <is>
          <t>CPOS/CDHU</t>
        </is>
      </c>
      <c r="D34" s="17" t="inlineStr">
        <is>
          <t>Imprimação betuminosa ligante</t>
        </is>
      </c>
      <c r="E34" s="18" t="inlineStr">
        <is>
          <t>m²</t>
        </is>
      </c>
      <c r="F34" s="19" t="n">
        <v>1060.96</v>
      </c>
      <c r="G34" s="20" t="n">
        <v>6.66</v>
      </c>
      <c r="H34" s="20" t="str">
        <f>TRUNC(TRUNC(G34 * j2, 2) + G34, 2)</f>
      </c>
      <c r="I34" s="20" t="str">
        <f>TRUNC(F34 * h34,2)</f>
      </c>
      <c r="J34" s="21" t="str">
        <f>i34 / j1</f>
      </c>
    </row>
    <row customHeight="1" ht="26" r="35">
      <c r="A35" s="17" t="inlineStr">
        <is>
          <t> 2.6.3 </t>
        </is>
      </c>
      <c r="B35" s="17" t="inlineStr">
        <is>
          <t> 54.03.210 </t>
        </is>
      </c>
      <c r="C35" s="17" t="inlineStr">
        <is>
          <t>CPOS/CDHU</t>
        </is>
      </c>
      <c r="D35" s="17" t="inlineStr">
        <is>
          <t>Camada de rolamento em concreto betuminoso usinado quente - CBUQ</t>
        </is>
      </c>
      <c r="E35" s="18" t="inlineStr">
        <is>
          <t>m³</t>
        </is>
      </c>
      <c r="F35" s="19" t="n">
        <v>31.83</v>
      </c>
      <c r="G35" s="20" t="n">
        <v>1542.0</v>
      </c>
      <c r="H35" s="20" t="str">
        <f>TRUNC(TRUNC(G35 * j2, 2) + G35, 2)</f>
      </c>
      <c r="I35" s="20" t="str">
        <f>TRUNC(F35 * h35,2)</f>
      </c>
      <c r="J35" s="21" t="str">
        <f>i35 / j1</f>
      </c>
    </row>
    <row customHeight="1" ht="26" r="36">
      <c r="A36" s="17" t="inlineStr">
        <is>
          <t> 2.6.4 </t>
        </is>
      </c>
      <c r="B36" s="17" t="inlineStr">
        <is>
          <t> 70.02.010 </t>
        </is>
      </c>
      <c r="C36" s="17" t="inlineStr">
        <is>
          <t>CPOS/CDHU</t>
        </is>
      </c>
      <c r="D36" s="17" t="inlineStr">
        <is>
          <t>Sinalização horizontal com tinta vinílica ou acrílica</t>
        </is>
      </c>
      <c r="E36" s="18" t="inlineStr">
        <is>
          <t>m²</t>
        </is>
      </c>
      <c r="F36" s="19" t="n">
        <v>29.56</v>
      </c>
      <c r="G36" s="20" t="n">
        <v>34.9</v>
      </c>
      <c r="H36" s="20" t="str">
        <f>TRUNC(TRUNC(G36 * j2, 2) + G36, 2)</f>
      </c>
      <c r="I36" s="20" t="str">
        <f>TRUNC(F36 * h36,2)</f>
      </c>
      <c r="J36" s="21" t="str">
        <f>i36 / j1</f>
      </c>
    </row>
    <row customHeight="1" ht="24" r="37">
      <c r="A37" s="9" t="inlineStr">
        <is>
          <t> 2.7 </t>
        </is>
      </c>
      <c r="B37" s="9" t="inlineStr">
        <is>
          <t>  </t>
        </is>
      </c>
      <c r="C37" s="9"/>
      <c r="D37" s="9" t="inlineStr">
        <is>
          <t>AVENIDA 3 (OMAR TRAVAGIN)</t>
        </is>
      </c>
      <c r="E37" s="10"/>
      <c r="F37" s="11" t="n">
        <v>1.0</v>
      </c>
      <c r="G37" s="11" t="inlineStr">
        <is>
          <t/>
        </is>
      </c>
      <c r="H37" s="12" t="str">
        <f>i38 + i39 + i40 + i41</f>
      </c>
      <c r="I37" s="12" t="str">
        <f>TRUNC(F37 * h37,2)</f>
      </c>
      <c r="J37" s="13" t="str">
        <f>i37 / j1</f>
      </c>
    </row>
    <row customHeight="1" ht="24" r="38">
      <c r="A38" s="17" t="inlineStr">
        <is>
          <t> 2.7.1 </t>
        </is>
      </c>
      <c r="B38" s="17" t="inlineStr">
        <is>
          <t> 54.01.410 </t>
        </is>
      </c>
      <c r="C38" s="17" t="inlineStr">
        <is>
          <t>CPOS/CDHU</t>
        </is>
      </c>
      <c r="D38" s="17" t="inlineStr">
        <is>
          <t>Varrição de pavimento para recapeamento</t>
        </is>
      </c>
      <c r="E38" s="18" t="inlineStr">
        <is>
          <t>m²</t>
        </is>
      </c>
      <c r="F38" s="19" t="n">
        <v>5080.14</v>
      </c>
      <c r="G38" s="20" t="n">
        <v>0.9</v>
      </c>
      <c r="H38" s="20" t="str">
        <f>TRUNC(TRUNC(G38 * j2, 2) + G38, 2)</f>
      </c>
      <c r="I38" s="20" t="str">
        <f>TRUNC(F38 * h38,2)</f>
      </c>
      <c r="J38" s="21" t="str">
        <f>i38 / j1</f>
      </c>
    </row>
    <row customHeight="1" ht="24" r="39">
      <c r="A39" s="17" t="inlineStr">
        <is>
          <t> 2.7.2 </t>
        </is>
      </c>
      <c r="B39" s="17" t="inlineStr">
        <is>
          <t> 54.03.230 </t>
        </is>
      </c>
      <c r="C39" s="17" t="inlineStr">
        <is>
          <t>CPOS/CDHU</t>
        </is>
      </c>
      <c r="D39" s="17" t="inlineStr">
        <is>
          <t>Imprimação betuminosa ligante</t>
        </is>
      </c>
      <c r="E39" s="18" t="inlineStr">
        <is>
          <t>m²</t>
        </is>
      </c>
      <c r="F39" s="19" t="n">
        <v>5080.14</v>
      </c>
      <c r="G39" s="20" t="n">
        <v>6.66</v>
      </c>
      <c r="H39" s="20" t="str">
        <f>TRUNC(TRUNC(G39 * j2, 2) + G39, 2)</f>
      </c>
      <c r="I39" s="20" t="str">
        <f>TRUNC(F39 * h39,2)</f>
      </c>
      <c r="J39" s="21" t="str">
        <f>i39 / j1</f>
      </c>
    </row>
    <row customHeight="1" ht="26" r="40">
      <c r="A40" s="17" t="inlineStr">
        <is>
          <t> 2.7.3 </t>
        </is>
      </c>
      <c r="B40" s="17" t="inlineStr">
        <is>
          <t> 54.03.210 </t>
        </is>
      </c>
      <c r="C40" s="17" t="inlineStr">
        <is>
          <t>CPOS/CDHU</t>
        </is>
      </c>
      <c r="D40" s="17" t="inlineStr">
        <is>
          <t>Camada de rolamento em concreto betuminoso usinado quente - CBUQ</t>
        </is>
      </c>
      <c r="E40" s="18" t="inlineStr">
        <is>
          <t>m³</t>
        </is>
      </c>
      <c r="F40" s="19" t="n">
        <v>152.4</v>
      </c>
      <c r="G40" s="20" t="n">
        <v>1542.0</v>
      </c>
      <c r="H40" s="20" t="str">
        <f>TRUNC(TRUNC(G40 * j2, 2) + G40, 2)</f>
      </c>
      <c r="I40" s="20" t="str">
        <f>TRUNC(F40 * h40,2)</f>
      </c>
      <c r="J40" s="21" t="str">
        <f>i40 / j1</f>
      </c>
    </row>
    <row customHeight="1" ht="26" r="41">
      <c r="A41" s="17" t="inlineStr">
        <is>
          <t> 2.7.4 </t>
        </is>
      </c>
      <c r="B41" s="17" t="inlineStr">
        <is>
          <t> 54.03.221 </t>
        </is>
      </c>
      <c r="C41" s="17" t="inlineStr">
        <is>
          <t>CPOS/CDHU</t>
        </is>
      </c>
      <c r="D41" s="17" t="inlineStr">
        <is>
          <t>Restauração de pavimento asfáltico com concreto betuminoso usinado quente - CBUQ - tapa buraco</t>
        </is>
      </c>
      <c r="E41" s="18" t="inlineStr">
        <is>
          <t>m³</t>
        </is>
      </c>
      <c r="F41" s="19" t="n">
        <v>2.6972</v>
      </c>
      <c r="G41" s="20" t="n">
        <v>1542.0</v>
      </c>
      <c r="H41" s="20" t="str">
        <f>TRUNC(TRUNC(G41 * j2, 2) + G41, 2)</f>
      </c>
      <c r="I41" s="20" t="str">
        <f>TRUNC(F41 * h41,2)</f>
      </c>
      <c r="J41" s="21" t="str">
        <f>i41 / j1</f>
      </c>
    </row>
    <row customHeight="1" ht="24" r="42">
      <c r="A42" s="9" t="inlineStr">
        <is>
          <t> 2.8 </t>
        </is>
      </c>
      <c r="B42" s="9" t="inlineStr">
        <is>
          <t>  </t>
        </is>
      </c>
      <c r="C42" s="9"/>
      <c r="D42" s="9" t="inlineStr">
        <is>
          <t>LME 145</t>
        </is>
      </c>
      <c r="E42" s="10"/>
      <c r="F42" s="11" t="n">
        <v>1.0</v>
      </c>
      <c r="G42" s="11" t="inlineStr">
        <is>
          <t/>
        </is>
      </c>
      <c r="H42" s="12" t="str">
        <f>i43 + i44 + i45 + i46</f>
      </c>
      <c r="I42" s="12" t="str">
        <f>TRUNC(F42 * h42,2)</f>
      </c>
      <c r="J42" s="13" t="str">
        <f>i42 / j1</f>
      </c>
    </row>
    <row customHeight="1" ht="24" r="43">
      <c r="A43" s="17" t="inlineStr">
        <is>
          <t> 2.8.1 </t>
        </is>
      </c>
      <c r="B43" s="17" t="inlineStr">
        <is>
          <t> 54.01.410 </t>
        </is>
      </c>
      <c r="C43" s="17" t="inlineStr">
        <is>
          <t>CPOS/CDHU</t>
        </is>
      </c>
      <c r="D43" s="17" t="inlineStr">
        <is>
          <t>Varrição de pavimento para recapeamento</t>
        </is>
      </c>
      <c r="E43" s="18" t="inlineStr">
        <is>
          <t>m²</t>
        </is>
      </c>
      <c r="F43" s="19" t="n">
        <v>2658.06</v>
      </c>
      <c r="G43" s="20" t="n">
        <v>0.9</v>
      </c>
      <c r="H43" s="20" t="str">
        <f>TRUNC(TRUNC(G43 * j2, 2) + G43, 2)</f>
      </c>
      <c r="I43" s="20" t="str">
        <f>TRUNC(F43 * h43,2)</f>
      </c>
      <c r="J43" s="21" t="str">
        <f>i43 / j1</f>
      </c>
    </row>
    <row customHeight="1" ht="24" r="44">
      <c r="A44" s="17" t="inlineStr">
        <is>
          <t> 2.8.2 </t>
        </is>
      </c>
      <c r="B44" s="17" t="inlineStr">
        <is>
          <t> 54.03.230 </t>
        </is>
      </c>
      <c r="C44" s="17" t="inlineStr">
        <is>
          <t>CPOS/CDHU</t>
        </is>
      </c>
      <c r="D44" s="17" t="inlineStr">
        <is>
          <t>Imprimação betuminosa ligante</t>
        </is>
      </c>
      <c r="E44" s="18" t="inlineStr">
        <is>
          <t>m²</t>
        </is>
      </c>
      <c r="F44" s="19" t="n">
        <v>2658.06</v>
      </c>
      <c r="G44" s="20" t="n">
        <v>6.66</v>
      </c>
      <c r="H44" s="20" t="str">
        <f>TRUNC(TRUNC(G44 * j2, 2) + G44, 2)</f>
      </c>
      <c r="I44" s="20" t="str">
        <f>TRUNC(F44 * h44,2)</f>
      </c>
      <c r="J44" s="21" t="str">
        <f>i44 / j1</f>
      </c>
    </row>
    <row customHeight="1" ht="26" r="45">
      <c r="A45" s="17" t="inlineStr">
        <is>
          <t> 2.8.3 </t>
        </is>
      </c>
      <c r="B45" s="17" t="inlineStr">
        <is>
          <t> 54.03.210 </t>
        </is>
      </c>
      <c r="C45" s="17" t="inlineStr">
        <is>
          <t>CPOS/CDHU</t>
        </is>
      </c>
      <c r="D45" s="17" t="inlineStr">
        <is>
          <t>Camada de rolamento em concreto betuminoso usinado quente - CBUQ</t>
        </is>
      </c>
      <c r="E45" s="18" t="inlineStr">
        <is>
          <t>m³</t>
        </is>
      </c>
      <c r="F45" s="19" t="n">
        <v>79.74</v>
      </c>
      <c r="G45" s="20" t="n">
        <v>1542.0</v>
      </c>
      <c r="H45" s="20" t="str">
        <f>TRUNC(TRUNC(G45 * j2, 2) + G45, 2)</f>
      </c>
      <c r="I45" s="20" t="str">
        <f>TRUNC(F45 * h45,2)</f>
      </c>
      <c r="J45" s="21" t="str">
        <f>i45 / j1</f>
      </c>
    </row>
    <row customHeight="1" ht="26" r="46">
      <c r="A46" s="17" t="inlineStr">
        <is>
          <t> 2.8.4 </t>
        </is>
      </c>
      <c r="B46" s="17" t="inlineStr">
        <is>
          <t> 70.02.010 </t>
        </is>
      </c>
      <c r="C46" s="17" t="inlineStr">
        <is>
          <t>CPOS/CDHU</t>
        </is>
      </c>
      <c r="D46" s="17" t="inlineStr">
        <is>
          <t>Sinalização horizontal com tinta vinílica ou acrílica</t>
        </is>
      </c>
      <c r="E46" s="18" t="inlineStr">
        <is>
          <t>m²</t>
        </is>
      </c>
      <c r="F46" s="19" t="n">
        <v>18.26</v>
      </c>
      <c r="G46" s="20" t="n">
        <v>34.9</v>
      </c>
      <c r="H46" s="20" t="str">
        <f>TRUNC(TRUNC(G46 * j2, 2) + G46, 2)</f>
      </c>
      <c r="I46" s="20" t="str">
        <f>TRUNC(F46 * h46,2)</f>
      </c>
      <c r="J46" s="21" t="str">
        <f>i46 / j1</f>
      </c>
    </row>
    <row customHeight="1" ht="24" r="47">
      <c r="A47" s="9" t="inlineStr">
        <is>
          <t> 3 </t>
        </is>
      </c>
      <c r="B47" s="9" t="inlineStr">
        <is>
          <t>  </t>
        </is>
      </c>
      <c r="C47" s="9"/>
      <c r="D47" s="9" t="inlineStr">
        <is>
          <t>SINALIZAÇÃO VERTICAL</t>
        </is>
      </c>
      <c r="E47" s="10"/>
      <c r="F47" s="11" t="n">
        <v>1.0</v>
      </c>
      <c r="G47" s="11" t="inlineStr">
        <is>
          <t/>
        </is>
      </c>
      <c r="H47" s="12" t="str">
        <f>i48 + i49</f>
      </c>
      <c r="I47" s="12" t="str">
        <f>TRUNC(F47 * h47,2)</f>
      </c>
      <c r="J47" s="13" t="str">
        <f>i47 / j1</f>
      </c>
    </row>
    <row customHeight="1" ht="39" r="48">
      <c r="A48" s="17" t="inlineStr">
        <is>
          <t> 3.1 </t>
        </is>
      </c>
      <c r="B48" s="17" t="inlineStr">
        <is>
          <t> 70.03.010 </t>
        </is>
      </c>
      <c r="C48" s="17" t="inlineStr">
        <is>
          <t>CPOS/CDHU</t>
        </is>
      </c>
      <c r="D48" s="17" t="inlineStr">
        <is>
          <t>Placa para sinalização viária em alumínio composto, totalmente refletiva com película IA/IA - área até 2,0 m² (14 placas de PARE + 10 placas lombada)</t>
        </is>
      </c>
      <c r="E48" s="18" t="inlineStr">
        <is>
          <t>m²</t>
        </is>
      </c>
      <c r="F48" s="19" t="n">
        <v>7.8</v>
      </c>
      <c r="G48" s="20" t="n">
        <v>1883.43</v>
      </c>
      <c r="H48" s="20" t="str">
        <f>TRUNC(TRUNC(G48 * j2, 2) + G48, 2)</f>
      </c>
      <c r="I48" s="20" t="str">
        <f>TRUNC(F48 * h48,2)</f>
      </c>
      <c r="J48" s="21" t="str">
        <f>i48 / j1</f>
      </c>
    </row>
    <row customHeight="1" ht="26" r="49">
      <c r="A49" s="17" t="inlineStr">
        <is>
          <t> 3.2 </t>
        </is>
      </c>
      <c r="B49" s="17" t="inlineStr">
        <is>
          <t> 97.05.130 </t>
        </is>
      </c>
      <c r="C49" s="17" t="inlineStr">
        <is>
          <t>CPOS/CDHU</t>
        </is>
      </c>
      <c r="D49" s="17" t="inlineStr">
        <is>
          <t>Colocação de placa em suporte de madeira / metálico - solo</t>
        </is>
      </c>
      <c r="E49" s="18" t="inlineStr">
        <is>
          <t>m²</t>
        </is>
      </c>
      <c r="F49" s="19" t="n">
        <v>7.8</v>
      </c>
      <c r="G49" s="20" t="n">
        <v>70.93</v>
      </c>
      <c r="H49" s="20" t="str">
        <f>TRUNC(TRUNC(G49 * j2, 2) + G49, 2)</f>
      </c>
      <c r="I49" s="20" t="str">
        <f>TRUNC(F49 * h49,2)</f>
      </c>
      <c r="J49" s="21" t="str">
        <f>i49 / j1</f>
      </c>
    </row>
    <row customHeight="1" ht="24" r="50">
      <c r="A50" s="9" t="inlineStr">
        <is>
          <t> 4 </t>
        </is>
      </c>
      <c r="B50" s="9" t="inlineStr">
        <is>
          <t>  </t>
        </is>
      </c>
      <c r="C50" s="9"/>
      <c r="D50" s="9" t="inlineStr">
        <is>
          <t>LEVANTAMENTO TAMPÃO</t>
        </is>
      </c>
      <c r="E50" s="10"/>
      <c r="F50" s="11" t="n">
        <v>1.0</v>
      </c>
      <c r="G50" s="11" t="inlineStr">
        <is>
          <t/>
        </is>
      </c>
      <c r="H50" s="12" t="str">
        <f>i51 + i52</f>
      </c>
      <c r="I50" s="12" t="str">
        <f>TRUNC(F50 * h50,2)</f>
      </c>
      <c r="J50" s="13" t="str">
        <f>i50 / j1</f>
      </c>
    </row>
    <row customHeight="1" ht="39" r="51">
      <c r="A51" s="17" t="inlineStr">
        <is>
          <t> 4.1 </t>
        </is>
      </c>
      <c r="B51" s="17" t="inlineStr">
        <is>
          <t> 90728 </t>
        </is>
      </c>
      <c r="C51" s="17" t="inlineStr">
        <is>
          <t>SINAPI</t>
        </is>
      </c>
      <c r="D51" s="17" t="inlineStr">
        <is>
          <t>JUNTA ARGAMASSADA ENTRE TUBO DN 300 MM E O POÇO DE VISITA/ CAIXA DE CONCRETO OU ALVENARIA EM REDES DE ESGOTO. AF_01/2021</t>
        </is>
      </c>
      <c r="E51" s="18" t="inlineStr">
        <is>
          <t>UN</t>
        </is>
      </c>
      <c r="F51" s="19" t="n">
        <v>17.0</v>
      </c>
      <c r="G51" s="20" t="n">
        <v>63.98</v>
      </c>
      <c r="H51" s="20" t="str">
        <f>TRUNC(TRUNC(G51 * j2, 2) + G51, 2)</f>
      </c>
      <c r="I51" s="20" t="str">
        <f>TRUNC(F51 * h51,2)</f>
      </c>
      <c r="J51" s="21" t="str">
        <f>i51 / j1</f>
      </c>
    </row>
    <row customHeight="1" ht="39" r="52">
      <c r="A52" s="17" t="inlineStr">
        <is>
          <t> 4.2 </t>
        </is>
      </c>
      <c r="B52" s="17" t="inlineStr">
        <is>
          <t> 03.07.010 </t>
        </is>
      </c>
      <c r="C52" s="17" t="inlineStr">
        <is>
          <t>CPOS/CDHU</t>
        </is>
      </c>
      <c r="D52" s="17" t="inlineStr">
        <is>
          <t>Demolição (levantamento) mecanizada de pavimento asfáltico, inclusive carregamento, transporte até 1 quilômetro e descarregamento</t>
        </is>
      </c>
      <c r="E52" s="18" t="inlineStr">
        <is>
          <t>m²</t>
        </is>
      </c>
      <c r="F52" s="19" t="n">
        <v>3.57</v>
      </c>
      <c r="G52" s="20" t="n">
        <v>28.46</v>
      </c>
      <c r="H52" s="20" t="str">
        <f>TRUNC(TRUNC(G52 * j2, 2) + G52, 2)</f>
      </c>
      <c r="I52" s="20" t="str">
        <f>TRUNC(F52 * h52,2)</f>
      </c>
      <c r="J52" s="21" t="str">
        <f>i52 / j1</f>
      </c>
    </row>
    <row customHeight="1" ht="24" r="53">
      <c r="A53" s="9" t="inlineStr">
        <is>
          <t> 5 </t>
        </is>
      </c>
      <c r="B53" s="9" t="inlineStr">
        <is>
          <t>  </t>
        </is>
      </c>
      <c r="C53" s="9"/>
      <c r="D53" s="9" t="inlineStr">
        <is>
          <t>SERVIÇOS FINAIS</t>
        </is>
      </c>
      <c r="E53" s="10"/>
      <c r="F53" s="11" t="n">
        <v>1.0</v>
      </c>
      <c r="G53" s="11" t="inlineStr">
        <is>
          <t/>
        </is>
      </c>
      <c r="H53" s="12" t="str">
        <f>i54</f>
      </c>
      <c r="I53" s="12" t="str">
        <f>TRUNC(F53 * h53,2)</f>
      </c>
      <c r="J53" s="13" t="str">
        <f>i53 / j1</f>
      </c>
    </row>
    <row customHeight="1" ht="26" r="54">
      <c r="A54" s="17" t="inlineStr">
        <is>
          <t> 5.1 </t>
        </is>
      </c>
      <c r="B54" s="17" t="inlineStr">
        <is>
          <t> 01.20.280 </t>
        </is>
      </c>
      <c r="C54" s="17" t="inlineStr">
        <is>
          <t>CPOS/CDHU</t>
        </is>
      </c>
      <c r="D54" s="17" t="inlineStr">
        <is>
          <t>LEVANTAMENTO PLANIMÉTRICO DE ÁREA PAVIMENTADA PARA VEÍCULO E PEDESTRE</t>
        </is>
      </c>
      <c r="E54" s="18" t="inlineStr">
        <is>
          <t>m²</t>
        </is>
      </c>
      <c r="F54" s="19" t="n">
        <v>16864.27</v>
      </c>
      <c r="G54" s="20" t="n">
        <v>0.21</v>
      </c>
      <c r="H54" s="20" t="str">
        <f>TRUNC(TRUNC(G54 * j2, 2) + G54, 2)</f>
      </c>
      <c r="I54" s="20" t="str">
        <f>TRUNC(F54 * h54,2)</f>
      </c>
      <c r="J54" s="21" t="str">
        <f>i54 / j1</f>
      </c>
    </row>
  </sheetData>
  <sheetCalcPr fullCalcOnLoad="1"/>
  <mergeCells count="2">
    <mergeCell ref="h1:i1"/>
    <mergeCell ref="h2:i2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&amp;CRECAPES
CPF:  &amp;R</oddHeader>
    <oddFooter>&amp;L &amp;C  -  -  / SP
 / 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2026-03-23T13:58:09Z</dcterms:created>
  <cp:revision>0</cp:revision>
</cp:coreProperties>
</file>