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850" yWindow="-210" windowWidth="20730" windowHeight="8040"/>
  </bookViews>
  <sheets>
    <sheet name="CRONOGRAMA" sheetId="4" r:id="rId1"/>
  </sheets>
  <definedNames>
    <definedName name="_xlnm.Print_Area" localSheetId="0">CRONOGRAMA!$A$1:$O$47</definedName>
  </definedNames>
  <calcPr calcId="125725"/>
</workbook>
</file>

<file path=xl/calcChain.xml><?xml version="1.0" encoding="utf-8"?>
<calcChain xmlns="http://schemas.openxmlformats.org/spreadsheetml/2006/main">
  <c r="G59" i="4"/>
  <c r="G55"/>
  <c r="O30"/>
  <c r="O10"/>
  <c r="B54" l="1"/>
  <c r="B56"/>
  <c r="O28"/>
  <c r="O26"/>
  <c r="O24"/>
  <c r="O22"/>
  <c r="O20"/>
  <c r="O16"/>
  <c r="O14"/>
  <c r="O12"/>
  <c r="O18"/>
  <c r="J30" l="1"/>
  <c r="F30"/>
  <c r="G30"/>
  <c r="I30"/>
  <c r="E30"/>
  <c r="K30"/>
  <c r="L30"/>
  <c r="O32"/>
  <c r="C54" l="1"/>
  <c r="P31" l="1"/>
  <c r="F14" l="1"/>
  <c r="J14"/>
  <c r="E14"/>
  <c r="I14"/>
  <c r="M14"/>
  <c r="H14"/>
  <c r="L14"/>
  <c r="K14"/>
  <c r="G14"/>
  <c r="D30"/>
  <c r="N30"/>
  <c r="C30"/>
  <c r="D28"/>
  <c r="E28"/>
  <c r="F28"/>
  <c r="G28"/>
  <c r="H28"/>
  <c r="I28"/>
  <c r="J28"/>
  <c r="K28"/>
  <c r="L28"/>
  <c r="M28"/>
  <c r="N28"/>
  <c r="D26"/>
  <c r="E26"/>
  <c r="F26"/>
  <c r="G26"/>
  <c r="H26"/>
  <c r="I26"/>
  <c r="J26"/>
  <c r="K26"/>
  <c r="L26"/>
  <c r="M26"/>
  <c r="N26"/>
  <c r="D24"/>
  <c r="E24"/>
  <c r="F24"/>
  <c r="G24"/>
  <c r="H24"/>
  <c r="I24"/>
  <c r="J24"/>
  <c r="K24"/>
  <c r="L24"/>
  <c r="M24"/>
  <c r="N24"/>
  <c r="D22"/>
  <c r="E22"/>
  <c r="F22"/>
  <c r="G22"/>
  <c r="H22"/>
  <c r="I22"/>
  <c r="J22"/>
  <c r="K22"/>
  <c r="L22"/>
  <c r="M22"/>
  <c r="N22"/>
  <c r="D20"/>
  <c r="E20"/>
  <c r="F20"/>
  <c r="G20"/>
  <c r="H20"/>
  <c r="I20"/>
  <c r="J20"/>
  <c r="K20"/>
  <c r="L20"/>
  <c r="M20"/>
  <c r="N20"/>
  <c r="D18"/>
  <c r="E18"/>
  <c r="F18"/>
  <c r="G18"/>
  <c r="H18"/>
  <c r="I18"/>
  <c r="J18"/>
  <c r="K18"/>
  <c r="L18"/>
  <c r="M18"/>
  <c r="N18"/>
  <c r="D16"/>
  <c r="E16"/>
  <c r="F16"/>
  <c r="G16"/>
  <c r="H16"/>
  <c r="I16"/>
  <c r="J16"/>
  <c r="K16"/>
  <c r="L16"/>
  <c r="M16"/>
  <c r="N16"/>
  <c r="C28"/>
  <c r="C26"/>
  <c r="C24"/>
  <c r="C22"/>
  <c r="C20"/>
  <c r="C18"/>
  <c r="C16"/>
  <c r="C14"/>
  <c r="D12"/>
  <c r="E12"/>
  <c r="F12"/>
  <c r="G12"/>
  <c r="H12"/>
  <c r="I12"/>
  <c r="J12"/>
  <c r="K12"/>
  <c r="L12"/>
  <c r="M12"/>
  <c r="N12"/>
  <c r="C12"/>
  <c r="H10"/>
  <c r="I10"/>
  <c r="J10"/>
  <c r="K10"/>
  <c r="L10"/>
  <c r="M10"/>
  <c r="N10"/>
  <c r="G10"/>
  <c r="F10"/>
  <c r="E10"/>
  <c r="D10"/>
  <c r="C10"/>
  <c r="P30" l="1"/>
  <c r="Q30" s="1"/>
  <c r="M36"/>
  <c r="M35"/>
  <c r="M37"/>
  <c r="M38" s="1"/>
  <c r="J35"/>
  <c r="J36"/>
  <c r="J37"/>
  <c r="J38" s="1"/>
  <c r="C35"/>
  <c r="C36"/>
  <c r="C40" s="1"/>
  <c r="C37"/>
  <c r="C38" s="1"/>
  <c r="C39" s="1"/>
  <c r="C32"/>
  <c r="K35"/>
  <c r="K36"/>
  <c r="K37"/>
  <c r="K38" s="1"/>
  <c r="E35"/>
  <c r="E36"/>
  <c r="E37"/>
  <c r="E38" s="1"/>
  <c r="I35"/>
  <c r="I36"/>
  <c r="I37"/>
  <c r="I38" s="1"/>
  <c r="G35"/>
  <c r="G36"/>
  <c r="G37"/>
  <c r="G38" s="1"/>
  <c r="F35"/>
  <c r="F36"/>
  <c r="F37"/>
  <c r="F38" s="1"/>
  <c r="L35"/>
  <c r="L36"/>
  <c r="L37"/>
  <c r="L38" s="1"/>
  <c r="H35"/>
  <c r="H36"/>
  <c r="H37"/>
  <c r="H38" s="1"/>
  <c r="J32"/>
  <c r="L32"/>
  <c r="L33" s="1"/>
  <c r="L34" s="1"/>
  <c r="H32"/>
  <c r="M32"/>
  <c r="I32"/>
  <c r="E32"/>
  <c r="E33" s="1"/>
  <c r="E34" s="1"/>
  <c r="F32"/>
  <c r="K32"/>
  <c r="G32"/>
  <c r="D14"/>
  <c r="D36" s="1"/>
  <c r="N14"/>
  <c r="N32" s="1"/>
  <c r="P29"/>
  <c r="P27"/>
  <c r="P25"/>
  <c r="P23"/>
  <c r="P21"/>
  <c r="P19"/>
  <c r="P17"/>
  <c r="P15"/>
  <c r="P13"/>
  <c r="P11"/>
  <c r="D37" l="1"/>
  <c r="D38" s="1"/>
  <c r="D39" s="1"/>
  <c r="E39" s="1"/>
  <c r="F39" s="1"/>
  <c r="G39" s="1"/>
  <c r="H39" s="1"/>
  <c r="N37"/>
  <c r="N38" s="1"/>
  <c r="N35"/>
  <c r="P14"/>
  <c r="Q14" s="1"/>
  <c r="N36"/>
  <c r="D35"/>
  <c r="C33"/>
  <c r="C34" s="1"/>
  <c r="I33"/>
  <c r="I34" s="1"/>
  <c r="N33"/>
  <c r="N34" s="1"/>
  <c r="F33"/>
  <c r="F34" s="1"/>
  <c r="G33"/>
  <c r="G34" s="1"/>
  <c r="J33"/>
  <c r="J34" s="1"/>
  <c r="K33"/>
  <c r="K34" s="1"/>
  <c r="D40"/>
  <c r="E40" s="1"/>
  <c r="F40" s="1"/>
  <c r="G40" s="1"/>
  <c r="H40" s="1"/>
  <c r="M33"/>
  <c r="M34" s="1"/>
  <c r="H33"/>
  <c r="H34" s="1"/>
  <c r="D32"/>
  <c r="D33" s="1"/>
  <c r="D34" s="1"/>
  <c r="Q55"/>
  <c r="C41" l="1"/>
  <c r="I39"/>
  <c r="J39" s="1"/>
  <c r="K39" s="1"/>
  <c r="L39" s="1"/>
  <c r="M39" s="1"/>
  <c r="N39" s="1"/>
  <c r="C42"/>
  <c r="I40"/>
  <c r="J40" s="1"/>
  <c r="K40" s="1"/>
  <c r="L40" s="1"/>
  <c r="M40" s="1"/>
  <c r="N40" s="1"/>
  <c r="P26"/>
  <c r="Q26" s="1"/>
  <c r="P20"/>
  <c r="Q20" s="1"/>
  <c r="P24"/>
  <c r="Q24" s="1"/>
  <c r="P22"/>
  <c r="Q22" s="1"/>
  <c r="I41" l="1"/>
  <c r="I42"/>
  <c r="P16"/>
  <c r="Q16" s="1"/>
  <c r="L49" l="1"/>
  <c r="P12"/>
  <c r="Q12" s="1"/>
  <c r="P28" l="1"/>
  <c r="Q28" s="1"/>
  <c r="P18"/>
  <c r="Q18" s="1"/>
  <c r="C49" l="1"/>
  <c r="I49" l="1"/>
  <c r="P10"/>
  <c r="Q10" s="1"/>
  <c r="F49" l="1"/>
</calcChain>
</file>

<file path=xl/sharedStrings.xml><?xml version="1.0" encoding="utf-8"?>
<sst xmlns="http://schemas.openxmlformats.org/spreadsheetml/2006/main" count="47" uniqueCount="45">
  <si>
    <t>CRONOGRAMA FÍSICO-FINANCEIRO</t>
  </si>
  <si>
    <t>DESCRIÇÃO</t>
  </si>
  <si>
    <t>TOTAIS PARCIAIS</t>
  </si>
  <si>
    <t>PERÍODO EM MESES</t>
  </si>
  <si>
    <t xml:space="preserve"> </t>
  </si>
  <si>
    <t>01</t>
  </si>
  <si>
    <t>02</t>
  </si>
  <si>
    <t>03</t>
  </si>
  <si>
    <t>TOTAL GERAL</t>
  </si>
  <si>
    <t>SERVIÇOS PRELIIMINARES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</si>
  <si>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</si>
  <si>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</si>
  <si>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</si>
  <si>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</si>
  <si>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</si>
  <si>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</si>
  <si>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</si>
  <si>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</si>
  <si>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</si>
  <si>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ENGº LEANDRO BORELLA BARBOSA</t>
  </si>
  <si>
    <t>RESPONSÁVEL TECNICO - CREA SP Nº 506087467-8</t>
  </si>
  <si>
    <t>SERVIÇOS FINAIS</t>
  </si>
  <si>
    <t>OBJETO: Urbanização da Raiz e Molhe Norte no Enrocamento da Foz do Rio Juqueriquerê</t>
  </si>
  <si>
    <t>LOCAL: Avenida Geraldo Nogueira da Silva, Raiz e Molhe Norte do Enrocamento da Foz do Rio Juqueriquerê, Jardim Porto Novo, Caraguatatuba- SP.</t>
  </si>
  <si>
    <t xml:space="preserve">IMPLANTAÇÃO DO CANTEIRO DE OBRAS </t>
  </si>
  <si>
    <t>PAVIMENTAÇÃO</t>
  </si>
  <si>
    <t>PASSEIO</t>
  </si>
  <si>
    <t>DRENAGEM</t>
  </si>
  <si>
    <t>SINALIZAÇÃO</t>
  </si>
  <si>
    <t>ILUMINAÇÃO</t>
  </si>
  <si>
    <t>MONUMENTO</t>
  </si>
  <si>
    <t xml:space="preserve">SERVIÇOS COMPLEMENTARES </t>
  </si>
  <si>
    <t>VALOR COM BDI 24,23%</t>
  </si>
  <si>
    <t>ART Nº 28027230231783186</t>
  </si>
  <si>
    <t>SERVIÇOS EXECUTADOS EXCLUSIVAMENTE COM RECURSOS DA PREFEITURA MUNICIPAL DE CARAGUATATUBA-SP</t>
  </si>
  <si>
    <t>ANEXO II-G</t>
  </si>
  <si>
    <t>CONVENIO</t>
  </si>
  <si>
    <t>PREFEITURA</t>
  </si>
  <si>
    <t>CONTRA</t>
  </si>
  <si>
    <t>ACUMULADO PREF</t>
  </si>
  <si>
    <t>ACUMULADO CONV</t>
  </si>
  <si>
    <t>BDI (24,23%)</t>
  </si>
  <si>
    <t>CONV COM BDI</t>
  </si>
  <si>
    <t>DATA DA ELABORAÇÃO: JULHO/2024</t>
  </si>
  <si>
    <t>PREFEITURA MUNICIPAL DA ESTÂNCIA BALNEÁRIA DE CARAGUATATUBA - SP                                                               ESTADO DE SÃO PAULO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</si>
</sst>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&quot;R$&quot;\ #,##0.00"/>
    <numFmt numFmtId="166" formatCode="0.00000000%"/>
  </numFmts>
  <fonts count="15">
    <font>
      <sz val="10"/>
      <name val="Arial"/>
    </font>
    <font>
      <sz val="11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.5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4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0" fillId="0" borderId="0" xfId="0" applyFill="1"/>
    <xf numFmtId="0" fontId="1" fillId="0" borderId="0" xfId="0" applyFont="1" applyFill="1"/>
    <xf numFmtId="0" fontId="4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Border="1"/>
    <xf numFmtId="0" fontId="6" fillId="0" borderId="0" xfId="0" applyFont="1" applyFill="1" applyAlignment="1"/>
    <xf numFmtId="4" fontId="2" fillId="0" borderId="0" xfId="0" applyNumberFormat="1" applyFont="1"/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0" xfId="0" applyFont="1" applyBorder="1"/>
    <xf numFmtId="0" fontId="1" fillId="0" borderId="0" xfId="0" applyFont="1"/>
    <xf numFmtId="0" fontId="5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right"/>
    </xf>
    <xf numFmtId="4" fontId="3" fillId="0" borderId="8" xfId="0" applyNumberFormat="1" applyFont="1" applyFill="1" applyBorder="1" applyAlignment="1"/>
    <xf numFmtId="4" fontId="3" fillId="0" borderId="11" xfId="0" applyNumberFormat="1" applyFont="1" applyFill="1" applyBorder="1" applyAlignment="1">
      <alignment horizontal="center"/>
    </xf>
    <xf numFmtId="4" fontId="0" fillId="0" borderId="0" xfId="0" applyNumberFormat="1" applyFill="1" applyBorder="1"/>
    <xf numFmtId="4" fontId="3" fillId="0" borderId="14" xfId="0" applyNumberFormat="1" applyFont="1" applyFill="1" applyBorder="1" applyAlignment="1">
      <alignment horizontal="center"/>
    </xf>
    <xf numFmtId="4" fontId="3" fillId="0" borderId="5" xfId="0" applyNumberFormat="1" applyFont="1" applyFill="1" applyBorder="1" applyAlignment="1"/>
    <xf numFmtId="43" fontId="2" fillId="0" borderId="0" xfId="1" applyFont="1"/>
    <xf numFmtId="0" fontId="11" fillId="0" borderId="0" xfId="0" applyFont="1" applyFill="1" applyAlignment="1"/>
    <xf numFmtId="0" fontId="5" fillId="0" borderId="0" xfId="0" applyFont="1" applyFill="1" applyAlignment="1">
      <alignment vertical="center"/>
    </xf>
    <xf numFmtId="9" fontId="0" fillId="0" borderId="0" xfId="0" applyNumberFormat="1" applyFill="1" applyBorder="1"/>
    <xf numFmtId="4" fontId="0" fillId="0" borderId="0" xfId="0" applyNumberFormat="1" applyBorder="1"/>
    <xf numFmtId="4" fontId="2" fillId="0" borderId="0" xfId="0" applyNumberFormat="1" applyFont="1" applyAlignment="1">
      <alignment horizontal="center"/>
    </xf>
    <xf numFmtId="164" fontId="0" fillId="0" borderId="0" xfId="0" applyNumberFormat="1" applyFill="1" applyBorder="1"/>
    <xf numFmtId="49" fontId="3" fillId="0" borderId="23" xfId="0" applyNumberFormat="1" applyFont="1" applyFill="1" applyBorder="1" applyAlignment="1">
      <alignment horizontal="center"/>
    </xf>
    <xf numFmtId="9" fontId="3" fillId="0" borderId="24" xfId="0" applyNumberFormat="1" applyFont="1" applyFill="1" applyBorder="1" applyAlignment="1">
      <alignment horizontal="center"/>
    </xf>
    <xf numFmtId="4" fontId="2" fillId="0" borderId="25" xfId="0" applyNumberFormat="1" applyFont="1" applyFill="1" applyBorder="1" applyAlignment="1">
      <alignment horizontal="center" vertical="center"/>
    </xf>
    <xf numFmtId="9" fontId="3" fillId="0" borderId="25" xfId="0" applyNumberFormat="1" applyFont="1" applyFill="1" applyBorder="1" applyAlignment="1">
      <alignment horizontal="center" vertical="center"/>
    </xf>
    <xf numFmtId="164" fontId="2" fillId="0" borderId="25" xfId="0" applyNumberFormat="1" applyFont="1" applyFill="1" applyBorder="1" applyAlignment="1">
      <alignment horizontal="center"/>
    </xf>
    <xf numFmtId="10" fontId="3" fillId="0" borderId="25" xfId="0" applyNumberFormat="1" applyFont="1" applyFill="1" applyBorder="1" applyAlignment="1">
      <alignment horizontal="center"/>
    </xf>
    <xf numFmtId="9" fontId="2" fillId="0" borderId="25" xfId="0" applyNumberFormat="1" applyFont="1" applyFill="1" applyBorder="1" applyAlignment="1">
      <alignment horizontal="center"/>
    </xf>
    <xf numFmtId="164" fontId="3" fillId="0" borderId="25" xfId="0" applyNumberFormat="1" applyFont="1" applyFill="1" applyBorder="1" applyAlignment="1">
      <alignment horizontal="center"/>
    </xf>
    <xf numFmtId="9" fontId="3" fillId="0" borderId="25" xfId="0" applyNumberFormat="1" applyFont="1" applyFill="1" applyBorder="1" applyAlignment="1">
      <alignment horizontal="center"/>
    </xf>
    <xf numFmtId="164" fontId="3" fillId="0" borderId="24" xfId="0" applyNumberFormat="1" applyFont="1" applyFill="1" applyBorder="1" applyAlignment="1">
      <alignment horizontal="center"/>
    </xf>
    <xf numFmtId="44" fontId="13" fillId="0" borderId="0" xfId="2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4" fontId="2" fillId="0" borderId="0" xfId="0" applyNumberFormat="1" applyFont="1" applyAlignment="1">
      <alignment horizontal="center"/>
    </xf>
    <xf numFmtId="165" fontId="0" fillId="0" borderId="0" xfId="0" applyNumberFormat="1" applyBorder="1"/>
    <xf numFmtId="9" fontId="3" fillId="3" borderId="25" xfId="0" applyNumberFormat="1" applyFont="1" applyFill="1" applyBorder="1" applyAlignment="1">
      <alignment horizontal="center"/>
    </xf>
    <xf numFmtId="164" fontId="3" fillId="3" borderId="25" xfId="0" applyNumberFormat="1" applyFont="1" applyFill="1" applyBorder="1" applyAlignment="1">
      <alignment horizontal="center"/>
    </xf>
    <xf numFmtId="9" fontId="2" fillId="0" borderId="29" xfId="0" applyNumberFormat="1" applyFont="1" applyFill="1" applyBorder="1" applyAlignment="1">
      <alignment horizontal="center"/>
    </xf>
    <xf numFmtId="9" fontId="3" fillId="0" borderId="29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165" fontId="2" fillId="0" borderId="25" xfId="0" applyNumberFormat="1" applyFont="1" applyFill="1" applyBorder="1" applyAlignment="1">
      <alignment horizontal="center"/>
    </xf>
    <xf numFmtId="165" fontId="2" fillId="0" borderId="25" xfId="0" applyNumberFormat="1" applyFont="1" applyFill="1" applyBorder="1" applyAlignment="1">
      <alignment horizontal="center" vertical="center"/>
    </xf>
    <xf numFmtId="165" fontId="2" fillId="0" borderId="24" xfId="0" applyNumberFormat="1" applyFont="1" applyFill="1" applyBorder="1" applyAlignment="1">
      <alignment horizontal="center"/>
    </xf>
    <xf numFmtId="165" fontId="2" fillId="0" borderId="23" xfId="0" applyNumberFormat="1" applyFont="1" applyFill="1" applyBorder="1" applyAlignment="1">
      <alignment horizontal="center"/>
    </xf>
    <xf numFmtId="165" fontId="8" fillId="2" borderId="5" xfId="0" applyNumberFormat="1" applyFont="1" applyFill="1" applyBorder="1" applyAlignment="1">
      <alignment vertical="center"/>
    </xf>
    <xf numFmtId="165" fontId="8" fillId="0" borderId="19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165" fontId="2" fillId="0" borderId="0" xfId="0" applyNumberFormat="1" applyFont="1" applyAlignment="1">
      <alignment horizontal="center"/>
    </xf>
    <xf numFmtId="166" fontId="2" fillId="0" borderId="0" xfId="0" applyNumberFormat="1" applyFont="1"/>
    <xf numFmtId="166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right"/>
    </xf>
    <xf numFmtId="4" fontId="3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/>
    <xf numFmtId="165" fontId="2" fillId="0" borderId="0" xfId="0" applyNumberFormat="1" applyFont="1" applyAlignment="1">
      <alignment horizontal="center"/>
    </xf>
    <xf numFmtId="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7" fillId="0" borderId="31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vertical="center"/>
    </xf>
    <xf numFmtId="165" fontId="3" fillId="2" borderId="5" xfId="0" applyNumberFormat="1" applyFont="1" applyFill="1" applyBorder="1" applyAlignment="1">
      <alignment vertical="center"/>
    </xf>
    <xf numFmtId="4" fontId="2" fillId="0" borderId="26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3" fillId="2" borderId="27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4" fontId="2" fillId="0" borderId="7" xfId="0" applyNumberFormat="1" applyFont="1" applyBorder="1" applyAlignment="1">
      <alignment horizontal="center"/>
    </xf>
    <xf numFmtId="4" fontId="2" fillId="0" borderId="22" xfId="0" applyNumberFormat="1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165" fontId="3" fillId="2" borderId="18" xfId="0" applyNumberFormat="1" applyFont="1" applyFill="1" applyBorder="1" applyAlignment="1">
      <alignment horizontal="center" vertical="center"/>
    </xf>
    <xf numFmtId="165" fontId="3" fillId="2" borderId="19" xfId="0" applyNumberFormat="1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165" fontId="2" fillId="0" borderId="0" xfId="0" applyNumberFormat="1" applyFont="1" applyAlignment="1">
      <alignment horizontal="center"/>
    </xf>
    <xf numFmtId="49" fontId="3" fillId="2" borderId="18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7" fillId="0" borderId="30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/>
    </xf>
    <xf numFmtId="0" fontId="0" fillId="0" borderId="9" xfId="0" applyFill="1" applyBorder="1"/>
    <xf numFmtId="0" fontId="5" fillId="0" borderId="20" xfId="0" applyFont="1" applyFill="1" applyBorder="1" applyAlignment="1">
      <alignment horizontal="center" vertical="center"/>
    </xf>
    <xf numFmtId="0" fontId="1" fillId="0" borderId="30" xfId="0" applyFont="1" applyFill="1" applyBorder="1"/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12" xfId="0" applyFont="1" applyFill="1" applyBorder="1" applyAlignment="1">
      <alignment horizontal="right"/>
    </xf>
    <xf numFmtId="0" fontId="3" fillId="0" borderId="13" xfId="0" applyFont="1" applyFill="1" applyBorder="1" applyAlignment="1">
      <alignment horizontal="right"/>
    </xf>
    <xf numFmtId="0" fontId="3" fillId="0" borderId="10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8" fillId="0" borderId="19" xfId="0" applyFont="1" applyFill="1" applyBorder="1" applyAlignment="1">
      <alignment horizontal="right" vertical="center"/>
    </xf>
    <xf numFmtId="0" fontId="8" fillId="0" borderId="3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/>
    </xf>
    <xf numFmtId="0" fontId="12" fillId="0" borderId="28" xfId="0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</cellXfs>
  <cellStyles count="3">
    <cellStyle name="Moeda" xfId="2" builtinId="4"/>
    <cellStyle name="Normal" xfId="0" builtinId="0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309731</xdr:colOff>
      <xdr:row>0</xdr:row>
      <xdr:rowOff>262779</xdr:rowOff>
    </xdr:from>
    <xdr:to>
      <xdr:col>2</xdr:col>
      <xdr:colOff>829237</xdr:colOff>
      <xdr:row>0</xdr:row>
      <xdr:rowOff>739589</xdr:rowOff>
    </xdr:to>
    <xdr:pic>
      <xdr:nvPicPr>
        <xdr:cNvPr id="2" name="Imagem 1" descr="brazão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02231" y="262779"/>
          <a:ext cx="519506" cy="476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59"/>
  <sheetViews>
    <sheetView tabSelected="1" view="pageBreakPreview" zoomScale="70" zoomScaleNormal="100" zoomScaleSheetLayoutView="70" workbookViewId="0">
      <selection activeCell="I4" sqref="I4"/>
    </sheetView>
  </sheetViews>
  <sheetFormatPr defaultRowHeight="12.75"/>
  <cols>
    <col min="1" max="1" width="6.140625" style="1" customWidth="1"/>
    <col min="2" max="2" width="46.140625" style="1" customWidth="1"/>
    <col min="3" max="3" width="17.28515625" style="7" bestFit="1" customWidth="1"/>
    <col min="4" max="5" width="16.7109375" style="7" customWidth="1"/>
    <col min="6" max="6" width="16.28515625" style="7" customWidth="1"/>
    <col min="7" max="13" width="15.5703125" style="7" bestFit="1" customWidth="1"/>
    <col min="14" max="14" width="15.85546875" style="7" customWidth="1"/>
    <col min="15" max="15" width="16.85546875" style="1" customWidth="1"/>
    <col min="16" max="16" width="16" style="12" bestFit="1" customWidth="1"/>
    <col min="17" max="17" width="12.5703125" style="12" bestFit="1" customWidth="1"/>
    <col min="18" max="18" width="13.7109375" style="12" bestFit="1" customWidth="1"/>
    <col min="19" max="41" width="9.140625" style="12"/>
  </cols>
  <sheetData>
    <row r="1" spans="1:41" ht="78.75" customHeight="1">
      <c r="D1" s="106" t="s">
        <v>44</v>
      </c>
      <c r="E1" s="106"/>
      <c r="F1" s="106"/>
      <c r="G1" s="106"/>
      <c r="H1" s="106"/>
      <c r="I1" s="106"/>
      <c r="J1" s="106"/>
      <c r="K1" s="106"/>
    </row>
    <row r="2" spans="1:41" s="3" customFormat="1" ht="23.25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</row>
    <row r="3" spans="1:41" s="3" customFormat="1" ht="32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4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</row>
    <row r="4" spans="1:41" s="3" customFormat="1" ht="18.75" customHeight="1">
      <c r="A4" s="13" t="s">
        <v>22</v>
      </c>
      <c r="B4" s="28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 t="s">
        <v>35</v>
      </c>
      <c r="O4" s="5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</row>
    <row r="5" spans="1:41" s="3" customFormat="1" ht="21.75" customHeight="1">
      <c r="A5" s="13" t="s">
        <v>23</v>
      </c>
      <c r="B5" s="29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5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</row>
    <row r="6" spans="1:41" s="2" customFormat="1" ht="15" customHeight="1">
      <c r="A6" s="113"/>
      <c r="B6" s="113"/>
      <c r="C6" s="113"/>
      <c r="D6" s="113"/>
      <c r="E6" s="113"/>
      <c r="F6" s="15"/>
      <c r="G6" s="15"/>
      <c r="H6" s="15"/>
      <c r="I6" s="15"/>
      <c r="J6" s="15"/>
      <c r="K6" s="15"/>
      <c r="L6" s="15"/>
      <c r="M6" s="15"/>
      <c r="N6" s="21" t="s">
        <v>43</v>
      </c>
      <c r="O6" s="2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</row>
    <row r="7" spans="1:41" s="2" customFormat="1" ht="12" customHeight="1" thickBot="1">
      <c r="A7" s="113"/>
      <c r="B7" s="113"/>
      <c r="C7" s="113"/>
      <c r="D7" s="113"/>
      <c r="E7" s="113"/>
      <c r="F7" s="15"/>
      <c r="G7" s="15"/>
      <c r="H7" s="15"/>
      <c r="I7" s="15"/>
      <c r="J7" s="15"/>
      <c r="K7" s="15"/>
      <c r="L7" s="15"/>
      <c r="M7" s="15"/>
      <c r="N7" s="15"/>
      <c r="O7" s="2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</row>
    <row r="8" spans="1:41" s="2" customFormat="1" ht="24.75" customHeight="1" thickBot="1">
      <c r="A8" s="97" t="s">
        <v>4</v>
      </c>
      <c r="B8" s="99" t="s">
        <v>1</v>
      </c>
      <c r="C8" s="101" t="s">
        <v>3</v>
      </c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2"/>
      <c r="O8" s="94" t="s">
        <v>32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</row>
    <row r="9" spans="1:41" s="2" customFormat="1" ht="15.95" customHeight="1" thickBot="1">
      <c r="A9" s="98"/>
      <c r="B9" s="100"/>
      <c r="C9" s="34" t="s">
        <v>5</v>
      </c>
      <c r="D9" s="34" t="s">
        <v>6</v>
      </c>
      <c r="E9" s="34" t="s">
        <v>7</v>
      </c>
      <c r="F9" s="34" t="s">
        <v>10</v>
      </c>
      <c r="G9" s="34" t="s">
        <v>11</v>
      </c>
      <c r="H9" s="34" t="s">
        <v>12</v>
      </c>
      <c r="I9" s="53" t="s">
        <v>13</v>
      </c>
      <c r="J9" s="34" t="s">
        <v>14</v>
      </c>
      <c r="K9" s="34" t="s">
        <v>15</v>
      </c>
      <c r="L9" s="34" t="s">
        <v>16</v>
      </c>
      <c r="M9" s="34" t="s">
        <v>17</v>
      </c>
      <c r="N9" s="34" t="s">
        <v>18</v>
      </c>
      <c r="O9" s="95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</row>
    <row r="10" spans="1:41" s="2" customFormat="1" ht="18" customHeight="1">
      <c r="A10" s="73">
        <v>1</v>
      </c>
      <c r="B10" s="103" t="s">
        <v>24</v>
      </c>
      <c r="C10" s="56">
        <f>O10*C11</f>
        <v>6111.3047999999999</v>
      </c>
      <c r="D10" s="56">
        <f>O10*D11</f>
        <v>4074.2032000000004</v>
      </c>
      <c r="E10" s="56">
        <f>O10*E11</f>
        <v>3564.9278000000004</v>
      </c>
      <c r="F10" s="56">
        <f>O10*F11</f>
        <v>5092.7540000000008</v>
      </c>
      <c r="G10" s="56">
        <f>$O$10*G11</f>
        <v>5092.7540000000008</v>
      </c>
      <c r="H10" s="56">
        <f t="shared" ref="H10:N10" si="0">$O$10*H11</f>
        <v>5092.7540000000008</v>
      </c>
      <c r="I10" s="57">
        <f t="shared" si="0"/>
        <v>5092.7540000000008</v>
      </c>
      <c r="J10" s="56">
        <f t="shared" si="0"/>
        <v>5092.7540000000008</v>
      </c>
      <c r="K10" s="56">
        <f t="shared" si="0"/>
        <v>3819.5654999999997</v>
      </c>
      <c r="L10" s="56">
        <f t="shared" si="0"/>
        <v>2801.0147000000002</v>
      </c>
      <c r="M10" s="56">
        <f t="shared" si="0"/>
        <v>2546.3770000000004</v>
      </c>
      <c r="N10" s="56">
        <f t="shared" si="0"/>
        <v>2546.3770000000004</v>
      </c>
      <c r="O10" s="75">
        <f>ROUNDDOWN(40994.566*1.2423,2)</f>
        <v>50927.54</v>
      </c>
      <c r="P10" s="24">
        <f>SUM(C10:N10)</f>
        <v>50927.54</v>
      </c>
      <c r="Q10" s="68">
        <f>O10-P10</f>
        <v>0</v>
      </c>
      <c r="R10" s="3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</row>
    <row r="11" spans="1:41" s="2" customFormat="1" ht="13.5" customHeight="1" thickBot="1">
      <c r="A11" s="74"/>
      <c r="B11" s="104"/>
      <c r="C11" s="35">
        <v>0.12</v>
      </c>
      <c r="D11" s="35">
        <v>0.08</v>
      </c>
      <c r="E11" s="35">
        <v>7.0000000000000007E-2</v>
      </c>
      <c r="F11" s="35">
        <v>0.1</v>
      </c>
      <c r="G11" s="35">
        <v>0.1</v>
      </c>
      <c r="H11" s="35">
        <v>0.1</v>
      </c>
      <c r="I11" s="35">
        <v>0.1</v>
      </c>
      <c r="J11" s="35">
        <v>0.1</v>
      </c>
      <c r="K11" s="43">
        <v>7.4999999999999997E-2</v>
      </c>
      <c r="L11" s="43">
        <v>5.5E-2</v>
      </c>
      <c r="M11" s="35">
        <v>0.05</v>
      </c>
      <c r="N11" s="35">
        <v>0.05</v>
      </c>
      <c r="O11" s="76"/>
      <c r="P11" s="30">
        <f>C11+D11+E11+F11+G11+H11+I11+J11+K11+L11+M11+N11</f>
        <v>1</v>
      </c>
      <c r="Q11" s="69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</row>
    <row r="12" spans="1:41" s="8" customFormat="1" ht="18.75" customHeight="1">
      <c r="A12" s="73">
        <v>2</v>
      </c>
      <c r="B12" s="96" t="s">
        <v>9</v>
      </c>
      <c r="C12" s="56">
        <f>$O$12*C13</f>
        <v>86060.58</v>
      </c>
      <c r="D12" s="56">
        <f t="shared" ref="D12:N12" si="1">$O$12*D13</f>
        <v>43030.29</v>
      </c>
      <c r="E12" s="56">
        <f t="shared" si="1"/>
        <v>43030.29</v>
      </c>
      <c r="F12" s="56">
        <f t="shared" si="1"/>
        <v>0</v>
      </c>
      <c r="G12" s="56">
        <f t="shared" si="1"/>
        <v>0</v>
      </c>
      <c r="H12" s="56">
        <f t="shared" si="1"/>
        <v>0</v>
      </c>
      <c r="I12" s="56">
        <f t="shared" si="1"/>
        <v>0</v>
      </c>
      <c r="J12" s="56">
        <f t="shared" si="1"/>
        <v>0</v>
      </c>
      <c r="K12" s="56">
        <f t="shared" si="1"/>
        <v>0</v>
      </c>
      <c r="L12" s="56">
        <f t="shared" si="1"/>
        <v>0</v>
      </c>
      <c r="M12" s="56">
        <f t="shared" si="1"/>
        <v>0</v>
      </c>
      <c r="N12" s="56">
        <f t="shared" si="1"/>
        <v>0</v>
      </c>
      <c r="O12" s="75">
        <f>ROUND(138550.399*1.2423,2)</f>
        <v>172121.16</v>
      </c>
      <c r="P12" s="24">
        <f>SUM(C12:N12)</f>
        <v>172121.16</v>
      </c>
      <c r="Q12" s="68">
        <f>O12-P12</f>
        <v>0</v>
      </c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</row>
    <row r="13" spans="1:41" s="9" customFormat="1" ht="13.5" customHeight="1" thickBot="1">
      <c r="A13" s="74"/>
      <c r="B13" s="96"/>
      <c r="C13" s="37">
        <v>0.5</v>
      </c>
      <c r="D13" s="37">
        <v>0.25</v>
      </c>
      <c r="E13" s="42">
        <v>0.25</v>
      </c>
      <c r="F13" s="42"/>
      <c r="G13" s="42"/>
      <c r="H13" s="42"/>
      <c r="I13" s="42"/>
      <c r="J13" s="42"/>
      <c r="K13" s="42"/>
      <c r="L13" s="42"/>
      <c r="M13" s="42"/>
      <c r="N13" s="42"/>
      <c r="O13" s="76"/>
      <c r="P13" s="30">
        <f>C13+D13+E13+F13+G13+H13+I13+J13+K13+L13+M13+N13</f>
        <v>1</v>
      </c>
      <c r="Q13" s="69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</row>
    <row r="14" spans="1:41" s="10" customFormat="1" ht="18.75" customHeight="1">
      <c r="A14" s="73">
        <v>3</v>
      </c>
      <c r="B14" s="105" t="s">
        <v>27</v>
      </c>
      <c r="C14" s="36">
        <f>$O$14*C15</f>
        <v>0</v>
      </c>
      <c r="D14" s="36">
        <f>$O$14*D15</f>
        <v>0</v>
      </c>
      <c r="E14" s="36">
        <f t="shared" ref="E14:M14" si="2">$O$14*E15</f>
        <v>56838.73000000001</v>
      </c>
      <c r="F14" s="36">
        <f t="shared" si="2"/>
        <v>56838.73000000001</v>
      </c>
      <c r="G14" s="36">
        <f t="shared" si="2"/>
        <v>56838.73000000001</v>
      </c>
      <c r="H14" s="36">
        <f t="shared" si="2"/>
        <v>56838.73000000001</v>
      </c>
      <c r="I14" s="36">
        <f t="shared" si="2"/>
        <v>56838.73000000001</v>
      </c>
      <c r="J14" s="36">
        <f t="shared" si="2"/>
        <v>0</v>
      </c>
      <c r="K14" s="36">
        <f t="shared" si="2"/>
        <v>0</v>
      </c>
      <c r="L14" s="36">
        <f t="shared" si="2"/>
        <v>0</v>
      </c>
      <c r="M14" s="36">
        <f t="shared" si="2"/>
        <v>0</v>
      </c>
      <c r="N14" s="36">
        <f>$O$14*N15</f>
        <v>0</v>
      </c>
      <c r="O14" s="75">
        <f>ROUND(228764.11*1.2423,2)</f>
        <v>284193.65000000002</v>
      </c>
      <c r="P14" s="24">
        <f>SUM(C14:N14)</f>
        <v>284193.65000000002</v>
      </c>
      <c r="Q14" s="68">
        <f>O14-P14</f>
        <v>0</v>
      </c>
    </row>
    <row r="15" spans="1:41" s="10" customFormat="1" ht="12.75" customHeight="1" thickBot="1">
      <c r="A15" s="74"/>
      <c r="B15" s="105"/>
      <c r="C15" s="38"/>
      <c r="D15" s="41"/>
      <c r="E15" s="41">
        <v>0.2</v>
      </c>
      <c r="F15" s="41">
        <v>0.2</v>
      </c>
      <c r="G15" s="41">
        <v>0.2</v>
      </c>
      <c r="H15" s="41">
        <v>0.2</v>
      </c>
      <c r="I15" s="42">
        <v>0.2</v>
      </c>
      <c r="J15" s="40"/>
      <c r="K15" s="40"/>
      <c r="L15" s="40"/>
      <c r="M15" s="40"/>
      <c r="N15" s="40"/>
      <c r="O15" s="76"/>
      <c r="P15" s="30">
        <f>C15+D15+E15+F15+G15+H15+I15+J15+K15+L15+M15+N15</f>
        <v>1</v>
      </c>
      <c r="Q15" s="69"/>
    </row>
    <row r="16" spans="1:41" s="10" customFormat="1" ht="18.75" customHeight="1">
      <c r="A16" s="73">
        <v>4</v>
      </c>
      <c r="B16" s="105" t="s">
        <v>25</v>
      </c>
      <c r="C16" s="55">
        <f>$O$16*C17</f>
        <v>0</v>
      </c>
      <c r="D16" s="55">
        <f t="shared" ref="D16:N16" si="3">$O$16*D17</f>
        <v>0</v>
      </c>
      <c r="E16" s="55">
        <f t="shared" si="3"/>
        <v>0</v>
      </c>
      <c r="F16" s="55">
        <f t="shared" si="3"/>
        <v>0</v>
      </c>
      <c r="G16" s="55">
        <f t="shared" si="3"/>
        <v>92809.395900000003</v>
      </c>
      <c r="H16" s="55">
        <f t="shared" si="3"/>
        <v>85670.21160000001</v>
      </c>
      <c r="I16" s="55">
        <f t="shared" si="3"/>
        <v>249871.45050000001</v>
      </c>
      <c r="J16" s="55">
        <f t="shared" si="3"/>
        <v>178479.60750000001</v>
      </c>
      <c r="K16" s="55">
        <f t="shared" si="3"/>
        <v>107087.7645</v>
      </c>
      <c r="L16" s="55">
        <f t="shared" si="3"/>
        <v>0</v>
      </c>
      <c r="M16" s="55">
        <f t="shared" si="3"/>
        <v>0</v>
      </c>
      <c r="N16" s="55">
        <f t="shared" si="3"/>
        <v>0</v>
      </c>
      <c r="O16" s="75">
        <f>ROUND(574674.74*1.2423,2)</f>
        <v>713918.43</v>
      </c>
      <c r="P16" s="24">
        <f>SUM(C16:N16)</f>
        <v>713918.43</v>
      </c>
      <c r="Q16" s="68">
        <f t="shared" ref="Q16" si="4">O16-P16</f>
        <v>0</v>
      </c>
    </row>
    <row r="17" spans="1:41" s="10" customFormat="1" ht="12.75" customHeight="1" thickBot="1">
      <c r="A17" s="74"/>
      <c r="B17" s="105"/>
      <c r="C17" s="39"/>
      <c r="D17" s="39"/>
      <c r="E17" s="39"/>
      <c r="F17" s="39"/>
      <c r="G17" s="39">
        <v>0.13</v>
      </c>
      <c r="H17" s="39">
        <v>0.12</v>
      </c>
      <c r="I17" s="39">
        <v>0.35</v>
      </c>
      <c r="J17" s="42">
        <v>0.25</v>
      </c>
      <c r="K17" s="42">
        <v>0.15</v>
      </c>
      <c r="L17" s="42"/>
      <c r="M17" s="42"/>
      <c r="N17" s="42"/>
      <c r="O17" s="76"/>
      <c r="P17" s="30">
        <f>C17+D17+E17+F17+G17+H17+I17+J17+K17+L17+M17+N17</f>
        <v>1</v>
      </c>
      <c r="Q17" s="69"/>
    </row>
    <row r="18" spans="1:41" s="10" customFormat="1" ht="18.75" customHeight="1">
      <c r="A18" s="73">
        <v>5</v>
      </c>
      <c r="B18" s="105" t="s">
        <v>26</v>
      </c>
      <c r="C18" s="55">
        <f>$O$18*C19</f>
        <v>597026.31689999998</v>
      </c>
      <c r="D18" s="55">
        <f t="shared" ref="D18:N18" si="5">$O$18*D19</f>
        <v>597026.31689999998</v>
      </c>
      <c r="E18" s="55">
        <f t="shared" si="5"/>
        <v>574063.76624999999</v>
      </c>
      <c r="F18" s="55">
        <f t="shared" si="5"/>
        <v>390363.36105000001</v>
      </c>
      <c r="G18" s="55">
        <f t="shared" si="5"/>
        <v>390363.36105000001</v>
      </c>
      <c r="H18" s="55">
        <f t="shared" si="5"/>
        <v>390363.36105000001</v>
      </c>
      <c r="I18" s="55">
        <f t="shared" si="5"/>
        <v>298513.15844999999</v>
      </c>
      <c r="J18" s="55">
        <f t="shared" si="5"/>
        <v>275550.6078</v>
      </c>
      <c r="K18" s="55">
        <f t="shared" si="5"/>
        <v>275550.6078</v>
      </c>
      <c r="L18" s="55">
        <f t="shared" si="5"/>
        <v>321475.70910000004</v>
      </c>
      <c r="M18" s="55">
        <f t="shared" si="5"/>
        <v>275550.6078</v>
      </c>
      <c r="N18" s="55">
        <f t="shared" si="5"/>
        <v>206662.95585</v>
      </c>
      <c r="O18" s="75">
        <f>ROUND(3696780.27*1.2423,2)</f>
        <v>4592510.13</v>
      </c>
      <c r="P18" s="24">
        <f>SUM(C18:N18)</f>
        <v>4592510.129999999</v>
      </c>
      <c r="Q18" s="68">
        <f t="shared" ref="Q18" si="6">O18-P18</f>
        <v>0</v>
      </c>
    </row>
    <row r="19" spans="1:41" s="10" customFormat="1" ht="12.75" customHeight="1" thickBot="1">
      <c r="A19" s="74"/>
      <c r="B19" s="105"/>
      <c r="C19" s="49">
        <v>0.13</v>
      </c>
      <c r="D19" s="49">
        <v>0.13</v>
      </c>
      <c r="E19" s="50">
        <v>0.125</v>
      </c>
      <c r="F19" s="50">
        <v>8.5000000000000006E-2</v>
      </c>
      <c r="G19" s="50">
        <v>8.5000000000000006E-2</v>
      </c>
      <c r="H19" s="50">
        <v>8.5000000000000006E-2</v>
      </c>
      <c r="I19" s="50">
        <v>6.5000000000000002E-2</v>
      </c>
      <c r="J19" s="49">
        <v>0.06</v>
      </c>
      <c r="K19" s="49">
        <v>0.06</v>
      </c>
      <c r="L19" s="50">
        <v>7.0000000000000007E-2</v>
      </c>
      <c r="M19" s="50">
        <v>0.06</v>
      </c>
      <c r="N19" s="50">
        <v>4.4999999999999998E-2</v>
      </c>
      <c r="O19" s="76"/>
      <c r="P19" s="30">
        <f>C19+D19+E19+F19+G19+H19+I19+J19+K19+L19+M19+N19</f>
        <v>1.0000000000000002</v>
      </c>
      <c r="Q19" s="69"/>
    </row>
    <row r="20" spans="1:41" s="10" customFormat="1" ht="18.75" customHeight="1">
      <c r="A20" s="73">
        <v>6</v>
      </c>
      <c r="B20" s="71" t="s">
        <v>28</v>
      </c>
      <c r="C20" s="55">
        <f>$O$20*C21</f>
        <v>0</v>
      </c>
      <c r="D20" s="55">
        <f t="shared" ref="D20:N20" si="7">$O$20*D21</f>
        <v>0</v>
      </c>
      <c r="E20" s="55">
        <f t="shared" si="7"/>
        <v>0</v>
      </c>
      <c r="F20" s="55">
        <f t="shared" si="7"/>
        <v>0</v>
      </c>
      <c r="G20" s="55">
        <f t="shared" si="7"/>
        <v>0</v>
      </c>
      <c r="H20" s="55">
        <f t="shared" si="7"/>
        <v>0</v>
      </c>
      <c r="I20" s="55">
        <f t="shared" si="7"/>
        <v>0</v>
      </c>
      <c r="J20" s="55">
        <f t="shared" si="7"/>
        <v>0</v>
      </c>
      <c r="K20" s="55">
        <f t="shared" si="7"/>
        <v>0</v>
      </c>
      <c r="L20" s="55">
        <f t="shared" si="7"/>
        <v>0</v>
      </c>
      <c r="M20" s="55">
        <f t="shared" si="7"/>
        <v>86774.955000000002</v>
      </c>
      <c r="N20" s="55">
        <f t="shared" si="7"/>
        <v>86774.955000000002</v>
      </c>
      <c r="O20" s="75">
        <f>ROUND(139700.48*1.2423,2)</f>
        <v>173549.91</v>
      </c>
      <c r="P20" s="24">
        <f>SUM(C20:N20)</f>
        <v>173549.91</v>
      </c>
      <c r="Q20" s="68">
        <f t="shared" ref="Q20" si="8">O20-P20</f>
        <v>0</v>
      </c>
    </row>
    <row r="21" spans="1:41" s="10" customFormat="1" ht="13.5" customHeight="1" thickBot="1">
      <c r="A21" s="74"/>
      <c r="B21" s="72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2">
        <v>0.5</v>
      </c>
      <c r="N21" s="42">
        <v>0.5</v>
      </c>
      <c r="O21" s="76"/>
      <c r="P21" s="30">
        <f>C21+D21+E21+F21+G21+H21+I21+J21+K21+L21+M21+N21</f>
        <v>1</v>
      </c>
      <c r="Q21" s="69"/>
    </row>
    <row r="22" spans="1:41" s="10" customFormat="1" ht="18.75" customHeight="1">
      <c r="A22" s="73">
        <v>7</v>
      </c>
      <c r="B22" s="71" t="s">
        <v>29</v>
      </c>
      <c r="C22" s="55">
        <f>$O$22*C23</f>
        <v>12374.720549999998</v>
      </c>
      <c r="D22" s="55">
        <f t="shared" ref="D22:N22" si="9">$O$22*D23</f>
        <v>12374.720549999998</v>
      </c>
      <c r="E22" s="55">
        <f t="shared" si="9"/>
        <v>12374.720549999998</v>
      </c>
      <c r="F22" s="55">
        <f t="shared" si="9"/>
        <v>13749.6895</v>
      </c>
      <c r="G22" s="55">
        <f t="shared" si="9"/>
        <v>15124.658449999999</v>
      </c>
      <c r="H22" s="55">
        <f t="shared" si="9"/>
        <v>3024.9316899999994</v>
      </c>
      <c r="I22" s="55">
        <f t="shared" si="9"/>
        <v>17874.59635</v>
      </c>
      <c r="J22" s="55">
        <f t="shared" si="9"/>
        <v>17874.59635</v>
      </c>
      <c r="K22" s="55">
        <f t="shared" si="9"/>
        <v>20624.534249999997</v>
      </c>
      <c r="L22" s="55">
        <f t="shared" si="9"/>
        <v>39599.105759999991</v>
      </c>
      <c r="M22" s="55">
        <f t="shared" si="9"/>
        <v>54998.758000000002</v>
      </c>
      <c r="N22" s="55">
        <f t="shared" si="9"/>
        <v>54998.758000000002</v>
      </c>
      <c r="O22" s="75">
        <f>ROUND(221358.6*1.2423,2)</f>
        <v>274993.78999999998</v>
      </c>
      <c r="P22" s="24">
        <f>SUM(C22:N22)</f>
        <v>274993.78999999998</v>
      </c>
      <c r="Q22" s="68">
        <f t="shared" ref="Q22" si="10">O22-P22</f>
        <v>0</v>
      </c>
    </row>
    <row r="23" spans="1:41" s="10" customFormat="1" ht="13.5" customHeight="1" thickBot="1">
      <c r="A23" s="74"/>
      <c r="B23" s="72"/>
      <c r="C23" s="50">
        <v>4.4999999999999998E-2</v>
      </c>
      <c r="D23" s="50">
        <v>4.4999999999999998E-2</v>
      </c>
      <c r="E23" s="50">
        <v>4.4999999999999998E-2</v>
      </c>
      <c r="F23" s="50">
        <v>0.05</v>
      </c>
      <c r="G23" s="50">
        <v>5.5E-2</v>
      </c>
      <c r="H23" s="50">
        <v>1.0999999999999999E-2</v>
      </c>
      <c r="I23" s="50">
        <v>6.5000000000000002E-2</v>
      </c>
      <c r="J23" s="50">
        <v>6.5000000000000002E-2</v>
      </c>
      <c r="K23" s="50">
        <v>7.4999999999999997E-2</v>
      </c>
      <c r="L23" s="50">
        <v>0.14399999999999999</v>
      </c>
      <c r="M23" s="50">
        <v>0.2</v>
      </c>
      <c r="N23" s="50">
        <v>0.2</v>
      </c>
      <c r="O23" s="76"/>
      <c r="P23" s="33">
        <f>C23+D23+E23+F23+G23+H23+I23+J23+K23+L23+M23+N23</f>
        <v>1</v>
      </c>
      <c r="Q23" s="69"/>
    </row>
    <row r="24" spans="1:41" s="10" customFormat="1" ht="18.75" customHeight="1">
      <c r="A24" s="73">
        <v>8</v>
      </c>
      <c r="B24" s="71" t="s">
        <v>30</v>
      </c>
      <c r="C24" s="36">
        <f>$O$24*C25</f>
        <v>0</v>
      </c>
      <c r="D24" s="36">
        <f t="shared" ref="D24:N24" si="11">$O$24*D25</f>
        <v>0</v>
      </c>
      <c r="E24" s="36">
        <f t="shared" si="11"/>
        <v>0</v>
      </c>
      <c r="F24" s="36">
        <f t="shared" si="11"/>
        <v>0</v>
      </c>
      <c r="G24" s="36">
        <f t="shared" si="11"/>
        <v>0</v>
      </c>
      <c r="H24" s="36">
        <f t="shared" si="11"/>
        <v>0</v>
      </c>
      <c r="I24" s="36">
        <f t="shared" si="11"/>
        <v>0</v>
      </c>
      <c r="J24" s="36">
        <f t="shared" si="11"/>
        <v>0</v>
      </c>
      <c r="K24" s="36">
        <f t="shared" si="11"/>
        <v>0</v>
      </c>
      <c r="L24" s="36">
        <f t="shared" si="11"/>
        <v>70854.812000000005</v>
      </c>
      <c r="M24" s="36">
        <f t="shared" si="11"/>
        <v>70854.812000000005</v>
      </c>
      <c r="N24" s="36">
        <f t="shared" si="11"/>
        <v>212564.43599999999</v>
      </c>
      <c r="O24" s="75">
        <f>ROUND(285175.93*1.2423,2)</f>
        <v>354274.06</v>
      </c>
      <c r="P24" s="24">
        <f>SUM(C24:N24)</f>
        <v>354274.06</v>
      </c>
      <c r="Q24" s="68">
        <f t="shared" ref="Q24" si="12">O24-P24</f>
        <v>0</v>
      </c>
    </row>
    <row r="25" spans="1:41" s="10" customFormat="1" ht="13.5" customHeight="1" thickBot="1">
      <c r="A25" s="74"/>
      <c r="B25" s="72"/>
      <c r="C25" s="40"/>
      <c r="D25" s="40"/>
      <c r="E25" s="40"/>
      <c r="F25" s="40"/>
      <c r="G25" s="40"/>
      <c r="H25" s="40"/>
      <c r="I25" s="40"/>
      <c r="J25" s="40"/>
      <c r="K25" s="40"/>
      <c r="L25" s="42">
        <v>0.2</v>
      </c>
      <c r="M25" s="42">
        <v>0.2</v>
      </c>
      <c r="N25" s="42">
        <v>0.6</v>
      </c>
      <c r="O25" s="76"/>
      <c r="P25" s="30">
        <f>C25+D25+E25+F25+G25+H25+I25+J25+K25+L25+M25+N25</f>
        <v>1</v>
      </c>
      <c r="Q25" s="69"/>
    </row>
    <row r="26" spans="1:41" s="10" customFormat="1" ht="18.75" customHeight="1">
      <c r="A26" s="73">
        <v>9</v>
      </c>
      <c r="B26" s="71" t="s">
        <v>31</v>
      </c>
      <c r="C26" s="55">
        <f>$O$26*C27</f>
        <v>0</v>
      </c>
      <c r="D26" s="55">
        <f t="shared" ref="D26:N26" si="13">$O$26*D27</f>
        <v>0</v>
      </c>
      <c r="E26" s="55">
        <f t="shared" si="13"/>
        <v>0</v>
      </c>
      <c r="F26" s="55">
        <f t="shared" si="13"/>
        <v>0</v>
      </c>
      <c r="G26" s="55">
        <f t="shared" si="13"/>
        <v>0</v>
      </c>
      <c r="H26" s="55">
        <f t="shared" si="13"/>
        <v>0</v>
      </c>
      <c r="I26" s="55">
        <f t="shared" si="13"/>
        <v>0</v>
      </c>
      <c r="J26" s="55">
        <f t="shared" si="13"/>
        <v>0</v>
      </c>
      <c r="K26" s="55">
        <f t="shared" si="13"/>
        <v>0</v>
      </c>
      <c r="L26" s="55">
        <f t="shared" si="13"/>
        <v>0</v>
      </c>
      <c r="M26" s="55">
        <f t="shared" si="13"/>
        <v>22818.55</v>
      </c>
      <c r="N26" s="55">
        <f t="shared" si="13"/>
        <v>22818.55</v>
      </c>
      <c r="O26" s="75">
        <f>ROUNDDOWN(36735.98*1.2423,2)</f>
        <v>45637.1</v>
      </c>
      <c r="P26" s="24">
        <f>SUM(C26:N26)</f>
        <v>45637.1</v>
      </c>
      <c r="Q26" s="68">
        <f t="shared" ref="Q26" si="14">O26-P26</f>
        <v>0</v>
      </c>
    </row>
    <row r="27" spans="1:41" s="10" customFormat="1" ht="13.5" customHeight="1" thickBot="1">
      <c r="A27" s="74"/>
      <c r="B27" s="72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2">
        <v>0.5</v>
      </c>
      <c r="N27" s="42">
        <v>0.5</v>
      </c>
      <c r="O27" s="76"/>
      <c r="P27" s="30">
        <f>C27+D27+E27+F27+G27+H27+I27+J27+K27+L27+M27+N27</f>
        <v>1</v>
      </c>
      <c r="Q27" s="69"/>
    </row>
    <row r="28" spans="1:41" s="10" customFormat="1" ht="18.75" customHeight="1">
      <c r="A28" s="73">
        <v>10</v>
      </c>
      <c r="B28" s="105" t="s">
        <v>21</v>
      </c>
      <c r="C28" s="55">
        <f>$O$28*C29</f>
        <v>0</v>
      </c>
      <c r="D28" s="55">
        <f t="shared" ref="D28:N28" si="15">$O$28*D29</f>
        <v>0</v>
      </c>
      <c r="E28" s="55">
        <f t="shared" si="15"/>
        <v>0</v>
      </c>
      <c r="F28" s="55">
        <f t="shared" si="15"/>
        <v>0</v>
      </c>
      <c r="G28" s="55">
        <f t="shared" si="15"/>
        <v>0</v>
      </c>
      <c r="H28" s="55">
        <f t="shared" si="15"/>
        <v>0</v>
      </c>
      <c r="I28" s="55">
        <f t="shared" si="15"/>
        <v>0</v>
      </c>
      <c r="J28" s="55">
        <f t="shared" si="15"/>
        <v>0</v>
      </c>
      <c r="K28" s="55">
        <f t="shared" si="15"/>
        <v>0</v>
      </c>
      <c r="L28" s="55">
        <f t="shared" si="15"/>
        <v>0</v>
      </c>
      <c r="M28" s="55">
        <f t="shared" si="15"/>
        <v>0</v>
      </c>
      <c r="N28" s="55">
        <f t="shared" si="15"/>
        <v>1134.8399999999999</v>
      </c>
      <c r="O28" s="75">
        <f>ROUNDDOWN(913.5*1.2423,2)</f>
        <v>1134.8399999999999</v>
      </c>
      <c r="P28" s="24">
        <f>SUM(C28:N28)</f>
        <v>1134.8399999999999</v>
      </c>
      <c r="Q28" s="68">
        <f>O28-P28</f>
        <v>0</v>
      </c>
    </row>
    <row r="29" spans="1:41" s="10" customFormat="1" ht="12.75" customHeight="1" thickBot="1">
      <c r="A29" s="114"/>
      <c r="B29" s="7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2">
        <v>1</v>
      </c>
      <c r="O29" s="81"/>
      <c r="P29" s="30">
        <f>C29+D29+E29+F29+G29+H29+I29+J29+K29+L29+M29+N29</f>
        <v>1</v>
      </c>
      <c r="Q29" s="69"/>
    </row>
    <row r="30" spans="1:41" s="10" customFormat="1" ht="20.25" customHeight="1">
      <c r="A30" s="89">
        <v>11</v>
      </c>
      <c r="B30" s="91" t="s">
        <v>34</v>
      </c>
      <c r="C30" s="54">
        <f>$O$30*C31</f>
        <v>0</v>
      </c>
      <c r="D30" s="54">
        <f t="shared" ref="D30:N30" si="16">$O$30*D31</f>
        <v>119692.06200000002</v>
      </c>
      <c r="E30" s="54">
        <f t="shared" si="16"/>
        <v>119692.06200000002</v>
      </c>
      <c r="F30" s="54">
        <f t="shared" si="16"/>
        <v>119692.06200000002</v>
      </c>
      <c r="G30" s="54">
        <f t="shared" si="16"/>
        <v>119692.06200000002</v>
      </c>
      <c r="H30" s="54">
        <v>54846.879999999997</v>
      </c>
      <c r="I30" s="54">
        <f t="shared" si="16"/>
        <v>119692.06200000002</v>
      </c>
      <c r="J30" s="54">
        <f t="shared" si="16"/>
        <v>119692.06200000002</v>
      </c>
      <c r="K30" s="54">
        <f t="shared" si="16"/>
        <v>119692.06200000002</v>
      </c>
      <c r="L30" s="54">
        <f t="shared" si="16"/>
        <v>119692.06200000002</v>
      </c>
      <c r="M30" s="54">
        <v>184537.24</v>
      </c>
      <c r="N30" s="54">
        <f t="shared" si="16"/>
        <v>0</v>
      </c>
      <c r="O30" s="87">
        <f>ROUND(963471.48*1.2423,2)</f>
        <v>1196920.6200000001</v>
      </c>
      <c r="P30" s="24">
        <f>SUM(C30:N30)</f>
        <v>1196920.6160000002</v>
      </c>
      <c r="Q30" s="68">
        <f>O30-P30</f>
        <v>3.9999999571591616E-3</v>
      </c>
    </row>
    <row r="31" spans="1:41" s="10" customFormat="1" ht="35.25" customHeight="1" thickBot="1">
      <c r="A31" s="90"/>
      <c r="B31" s="92"/>
      <c r="C31" s="42"/>
      <c r="D31" s="42">
        <v>0.1</v>
      </c>
      <c r="E31" s="42">
        <v>0.1</v>
      </c>
      <c r="F31" s="42">
        <v>0.1</v>
      </c>
      <c r="G31" s="42">
        <v>0.1</v>
      </c>
      <c r="H31" s="41">
        <v>0.05</v>
      </c>
      <c r="I31" s="42">
        <v>0.1</v>
      </c>
      <c r="J31" s="42">
        <v>0.1</v>
      </c>
      <c r="K31" s="42">
        <v>0.1</v>
      </c>
      <c r="L31" s="42">
        <v>0.1</v>
      </c>
      <c r="M31" s="41">
        <v>0.15</v>
      </c>
      <c r="N31" s="42"/>
      <c r="O31" s="88"/>
      <c r="P31" s="30">
        <f>C31+D31+E31+F31+G31+H31+I31+J31+K31+L31+M31+N31</f>
        <v>1</v>
      </c>
      <c r="Q31" s="69"/>
    </row>
    <row r="32" spans="1:41" s="46" customFormat="1" ht="24" customHeight="1" thickBot="1">
      <c r="A32" s="111" t="s">
        <v>2</v>
      </c>
      <c r="B32" s="112"/>
      <c r="C32" s="59">
        <f>SUM(C10+C12+C14+C16+C18+C20+C22+C24+C26+C28+C30)</f>
        <v>701572.92224999995</v>
      </c>
      <c r="D32" s="59">
        <f t="shared" ref="D32:N32" si="17">SUM(D10+D12+D14+D16+D18+D20+D22+D24+D26+D28+D30)</f>
        <v>776197.59265000001</v>
      </c>
      <c r="E32" s="59">
        <f t="shared" si="17"/>
        <v>809564.49659999995</v>
      </c>
      <c r="F32" s="59">
        <f t="shared" si="17"/>
        <v>585736.59655000002</v>
      </c>
      <c r="G32" s="59">
        <f t="shared" si="17"/>
        <v>679920.96140000003</v>
      </c>
      <c r="H32" s="59">
        <f t="shared" si="17"/>
        <v>595836.86834000004</v>
      </c>
      <c r="I32" s="59">
        <f t="shared" si="17"/>
        <v>747882.7513</v>
      </c>
      <c r="J32" s="59">
        <f t="shared" si="17"/>
        <v>596689.62765000004</v>
      </c>
      <c r="K32" s="59">
        <f t="shared" si="17"/>
        <v>526774.53405000002</v>
      </c>
      <c r="L32" s="59">
        <f t="shared" si="17"/>
        <v>554422.70356000005</v>
      </c>
      <c r="M32" s="59">
        <f t="shared" si="17"/>
        <v>698081.29979999992</v>
      </c>
      <c r="N32" s="59">
        <f t="shared" si="17"/>
        <v>587500.87185</v>
      </c>
      <c r="O32" s="58">
        <f>ROUNDDOWN(O10+O12+O14+O16+O18+O20+O22+O24+O26+O28+O30,2)</f>
        <v>7860181.2300000004</v>
      </c>
      <c r="P32" s="44"/>
      <c r="Q32" s="60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</row>
    <row r="33" spans="1:41" s="2" customFormat="1" ht="21.75" hidden="1" customHeight="1" thickBot="1">
      <c r="A33" s="107" t="s">
        <v>41</v>
      </c>
      <c r="B33" s="108"/>
      <c r="C33" s="25">
        <f>C32*0.2423</f>
        <v>169991.11906117498</v>
      </c>
      <c r="D33" s="25">
        <f t="shared" ref="D33:N33" si="18">D32*0.2423</f>
        <v>188072.676699095</v>
      </c>
      <c r="E33" s="25">
        <f t="shared" si="18"/>
        <v>196157.47752617998</v>
      </c>
      <c r="F33" s="25">
        <f t="shared" si="18"/>
        <v>141923.977344065</v>
      </c>
      <c r="G33" s="25">
        <f t="shared" si="18"/>
        <v>164744.84894721999</v>
      </c>
      <c r="H33" s="25">
        <f t="shared" si="18"/>
        <v>144371.273198782</v>
      </c>
      <c r="I33" s="25">
        <f t="shared" si="18"/>
        <v>181211.99063998999</v>
      </c>
      <c r="J33" s="25">
        <f t="shared" si="18"/>
        <v>144577.896779595</v>
      </c>
      <c r="K33" s="25">
        <f t="shared" si="18"/>
        <v>127637.469600315</v>
      </c>
      <c r="L33" s="25">
        <f t="shared" si="18"/>
        <v>134336.62107258799</v>
      </c>
      <c r="M33" s="25">
        <f t="shared" si="18"/>
        <v>169145.09894153997</v>
      </c>
      <c r="N33" s="25">
        <f t="shared" si="18"/>
        <v>142351.46124925499</v>
      </c>
      <c r="O33" s="26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</row>
    <row r="34" spans="1:41" s="2" customFormat="1" ht="17.25" hidden="1" customHeight="1" thickBot="1">
      <c r="A34" s="109" t="s">
        <v>8</v>
      </c>
      <c r="B34" s="110"/>
      <c r="C34" s="23">
        <f>SUM(C32,C33)</f>
        <v>871564.04131117486</v>
      </c>
      <c r="D34" s="23">
        <f t="shared" ref="D34:N34" si="19">SUM(D32,D33)</f>
        <v>964270.26934909495</v>
      </c>
      <c r="E34" s="23">
        <f t="shared" si="19"/>
        <v>1005721.9741261799</v>
      </c>
      <c r="F34" s="23">
        <f t="shared" si="19"/>
        <v>727660.57389406499</v>
      </c>
      <c r="G34" s="23">
        <f t="shared" si="19"/>
        <v>844665.81034722005</v>
      </c>
      <c r="H34" s="23">
        <f t="shared" si="19"/>
        <v>740208.14153878205</v>
      </c>
      <c r="I34" s="23">
        <f t="shared" si="19"/>
        <v>929094.74193998997</v>
      </c>
      <c r="J34" s="23">
        <f t="shared" si="19"/>
        <v>741267.5244295951</v>
      </c>
      <c r="K34" s="23">
        <f t="shared" si="19"/>
        <v>654412.00365031499</v>
      </c>
      <c r="L34" s="23">
        <f t="shared" si="19"/>
        <v>688759.32463258808</v>
      </c>
      <c r="M34" s="23">
        <f t="shared" si="19"/>
        <v>867226.39874153992</v>
      </c>
      <c r="N34" s="23">
        <f t="shared" si="19"/>
        <v>729852.33309925499</v>
      </c>
      <c r="O34" s="22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</row>
    <row r="35" spans="1:41" s="2" customFormat="1" ht="23.25" hidden="1" customHeight="1">
      <c r="A35" s="64"/>
      <c r="B35" s="64" t="s">
        <v>42</v>
      </c>
      <c r="C35" s="65">
        <f t="shared" ref="C35:J35" si="20">SUM(C10,C12,C14,C16,C18,C20,C22,C24,C26,C28)</f>
        <v>701572.92224999995</v>
      </c>
      <c r="D35" s="65">
        <f t="shared" si="20"/>
        <v>656505.53064999997</v>
      </c>
      <c r="E35" s="65">
        <f t="shared" si="20"/>
        <v>689872.43459999992</v>
      </c>
      <c r="F35" s="65">
        <f t="shared" si="20"/>
        <v>466044.53454999998</v>
      </c>
      <c r="G35" s="65">
        <f t="shared" si="20"/>
        <v>560228.89939999999</v>
      </c>
      <c r="H35" s="65">
        <f t="shared" si="20"/>
        <v>540989.98834000004</v>
      </c>
      <c r="I35" s="65">
        <f t="shared" si="20"/>
        <v>628190.68929999997</v>
      </c>
      <c r="J35" s="65">
        <f t="shared" si="20"/>
        <v>476997.56565</v>
      </c>
      <c r="K35" s="65">
        <f t="shared" ref="K35:N35" si="21">SUM(K10,K12,K14,K16,K18,K20,K22,K24,K26,K28)</f>
        <v>407082.47204999998</v>
      </c>
      <c r="L35" s="65">
        <f t="shared" si="21"/>
        <v>434730.64156000002</v>
      </c>
      <c r="M35" s="65">
        <f t="shared" si="21"/>
        <v>513544.05979999999</v>
      </c>
      <c r="N35" s="65">
        <f t="shared" si="21"/>
        <v>587500.87185</v>
      </c>
      <c r="O35" s="66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</row>
    <row r="36" spans="1:41" ht="30" hidden="1" customHeight="1">
      <c r="B36" s="1" t="s">
        <v>36</v>
      </c>
      <c r="C36" s="61">
        <f>(SUM(C10,C12,C14,C16,C18,C20,C22,C24,C26,C28)*$B$54)</f>
        <v>692845.87754363753</v>
      </c>
      <c r="D36" s="61">
        <f>(SUM(D10,D12,D14,D16,D18,D20,D22,D24,D26,D28)*$B$54)</f>
        <v>648339.09073441394</v>
      </c>
      <c r="E36" s="61">
        <f>(SUM(E10,E12,E14,E16,E18,E20,E22,E24,E26,E28)*$B$54)</f>
        <v>681290.93524689937</v>
      </c>
      <c r="F36" s="61">
        <f>(SUM(F10,F12,F14,F16,F18,F20,F22,F24,F26,F28)*$B$54)</f>
        <v>460247.28759364667</v>
      </c>
      <c r="G36" s="61">
        <f>(SUM(G10,G12,G14,G16,G18,G20,G22,G24,G26,G28)*$B$54)</f>
        <v>553260.06908200518</v>
      </c>
      <c r="H36" s="61">
        <f>(SUM(H10,H12,H14,H16,H18,H20,H22,H24,H26,H28)*$B$54)</f>
        <v>534260.47574878391</v>
      </c>
      <c r="I36" s="61">
        <f>(SUM(I10,I12,I14,I16,I18,I20,I22,I24,I26,I28)*$B$54)</f>
        <v>620376.46492534806</v>
      </c>
      <c r="J36" s="61">
        <f>(SUM(J10,J12,J14,J16,J18,J20,J22,J24,J26,J28)*$B$54)</f>
        <v>471064.0711432519</v>
      </c>
      <c r="K36" s="61">
        <f>(SUM(K10,K12,K14,K16,K18,K20,K22,K24,K26,K28)*$B$54)</f>
        <v>402018.6692433533</v>
      </c>
      <c r="L36" s="61">
        <f>(SUM(L10,L12,L14,L16,L18,L20,L22,L24,L26,L28)*$B$54)</f>
        <v>429322.91611365246</v>
      </c>
      <c r="M36" s="61">
        <f>(SUM(M10,M12,M14,M16,M18,M20,M22,M24,M26,M28)*$B$54)</f>
        <v>507155.95412142249</v>
      </c>
      <c r="N36" s="61">
        <f>(SUM(N10,N12,N14,N16,N18,N20,N22,N24,N26,N28)*$B$54)</f>
        <v>580192.79850358481</v>
      </c>
    </row>
    <row r="37" spans="1:41" ht="32.25" hidden="1" customHeight="1">
      <c r="B37" s="1" t="s">
        <v>38</v>
      </c>
      <c r="C37" s="61">
        <f>SUM(C10,C12,C14,C16,C18,C20,C22,C24,C26,C28)*$C$54</f>
        <v>8727.0447063623924</v>
      </c>
      <c r="D37" s="61">
        <f t="shared" ref="D37:N37" si="22">SUM(D10,D12,D14,D16,D18,D20,D22,D24,D26,D28)*$C$54</f>
        <v>8166.4399155860028</v>
      </c>
      <c r="E37" s="61">
        <f t="shared" si="22"/>
        <v>8581.4993531005894</v>
      </c>
      <c r="F37" s="61">
        <f t="shared" si="22"/>
        <v>5797.2469563532995</v>
      </c>
      <c r="G37" s="61">
        <f t="shared" si="22"/>
        <v>6968.830317994787</v>
      </c>
      <c r="H37" s="61">
        <f t="shared" si="22"/>
        <v>6729.5125912161011</v>
      </c>
      <c r="I37" s="61">
        <f t="shared" si="22"/>
        <v>7814.2243746518925</v>
      </c>
      <c r="J37" s="61">
        <f t="shared" si="22"/>
        <v>5933.4945067480903</v>
      </c>
      <c r="K37" s="61">
        <f t="shared" si="22"/>
        <v>5063.8028066466886</v>
      </c>
      <c r="L37" s="61">
        <f t="shared" si="22"/>
        <v>5407.7254463475338</v>
      </c>
      <c r="M37" s="61">
        <f t="shared" si="22"/>
        <v>6388.1056785775081</v>
      </c>
      <c r="N37" s="61">
        <f t="shared" si="22"/>
        <v>7308.0733464151772</v>
      </c>
      <c r="O37" s="14"/>
    </row>
    <row r="38" spans="1:41" ht="38.25" hidden="1" customHeight="1">
      <c r="B38" s="1" t="s">
        <v>37</v>
      </c>
      <c r="C38" s="61">
        <f>C30+C37</f>
        <v>8727.0447063623924</v>
      </c>
      <c r="D38" s="61">
        <f t="shared" ref="D38:N38" si="23">D30+D37</f>
        <v>127858.50191558602</v>
      </c>
      <c r="E38" s="61">
        <f t="shared" si="23"/>
        <v>128273.56135310061</v>
      </c>
      <c r="F38" s="61">
        <f t="shared" si="23"/>
        <v>125489.30895635331</v>
      </c>
      <c r="G38" s="61">
        <f t="shared" si="23"/>
        <v>126660.8923179948</v>
      </c>
      <c r="H38" s="61">
        <f t="shared" si="23"/>
        <v>61576.392591216099</v>
      </c>
      <c r="I38" s="61">
        <f t="shared" si="23"/>
        <v>127506.28637465191</v>
      </c>
      <c r="J38" s="61">
        <f t="shared" si="23"/>
        <v>125625.55650674811</v>
      </c>
      <c r="K38" s="61">
        <f t="shared" si="23"/>
        <v>124755.86480664671</v>
      </c>
      <c r="L38" s="61">
        <f t="shared" si="23"/>
        <v>125099.78744634756</v>
      </c>
      <c r="M38" s="61">
        <f t="shared" si="23"/>
        <v>190925.34567857749</v>
      </c>
      <c r="N38" s="61">
        <f t="shared" si="23"/>
        <v>7308.0733464151772</v>
      </c>
      <c r="O38" s="14"/>
      <c r="P38" s="48"/>
      <c r="Q38" s="12">
        <v>20</v>
      </c>
    </row>
    <row r="39" spans="1:41" ht="41.25" hidden="1" customHeight="1">
      <c r="B39" s="1" t="s">
        <v>39</v>
      </c>
      <c r="C39" s="61">
        <f>C38</f>
        <v>8727.0447063623924</v>
      </c>
      <c r="D39" s="61">
        <f>C39+D38</f>
        <v>136585.54662194842</v>
      </c>
      <c r="E39" s="61">
        <f t="shared" ref="E39:N39" si="24">D39+E38</f>
        <v>264859.10797504906</v>
      </c>
      <c r="F39" s="61">
        <f t="shared" si="24"/>
        <v>390348.4169314024</v>
      </c>
      <c r="G39" s="61">
        <f t="shared" si="24"/>
        <v>517009.30924939719</v>
      </c>
      <c r="H39" s="61">
        <f t="shared" si="24"/>
        <v>578585.70184061327</v>
      </c>
      <c r="I39" s="61">
        <f t="shared" si="24"/>
        <v>706091.98821526521</v>
      </c>
      <c r="J39" s="61">
        <f t="shared" si="24"/>
        <v>831717.54472201329</v>
      </c>
      <c r="K39" s="61">
        <f t="shared" si="24"/>
        <v>956473.40952866001</v>
      </c>
      <c r="L39" s="61">
        <f t="shared" si="24"/>
        <v>1081573.1969750077</v>
      </c>
      <c r="M39" s="61">
        <f t="shared" si="24"/>
        <v>1272498.5426535851</v>
      </c>
      <c r="N39" s="61">
        <f t="shared" si="24"/>
        <v>1279806.6160000002</v>
      </c>
      <c r="O39" s="14"/>
      <c r="P39" s="48"/>
    </row>
    <row r="40" spans="1:41" ht="40.5" hidden="1" customHeight="1">
      <c r="B40" s="1" t="s">
        <v>40</v>
      </c>
      <c r="C40" s="61">
        <f>C36</f>
        <v>692845.87754363753</v>
      </c>
      <c r="D40" s="61">
        <f>C40+D36</f>
        <v>1341184.9682780514</v>
      </c>
      <c r="E40" s="61">
        <f t="shared" ref="E40:N40" si="25">D40+E36</f>
        <v>2022475.9035249506</v>
      </c>
      <c r="F40" s="61">
        <f t="shared" si="25"/>
        <v>2482723.1911185971</v>
      </c>
      <c r="G40" s="61">
        <f t="shared" si="25"/>
        <v>3035983.260200602</v>
      </c>
      <c r="H40" s="61">
        <f t="shared" si="25"/>
        <v>3570243.7359493859</v>
      </c>
      <c r="I40" s="61">
        <f t="shared" si="25"/>
        <v>4190620.2008747337</v>
      </c>
      <c r="J40" s="61">
        <f t="shared" si="25"/>
        <v>4661684.2720179856</v>
      </c>
      <c r="K40" s="61">
        <f t="shared" si="25"/>
        <v>5063702.941261339</v>
      </c>
      <c r="L40" s="61">
        <f t="shared" si="25"/>
        <v>5493025.8573749913</v>
      </c>
      <c r="M40" s="61">
        <f t="shared" si="25"/>
        <v>6000181.8114964142</v>
      </c>
      <c r="N40" s="61">
        <f t="shared" si="25"/>
        <v>6580374.6099999994</v>
      </c>
      <c r="O40" s="14"/>
      <c r="P40" s="48"/>
    </row>
    <row r="41" spans="1:41" ht="43.5" customHeight="1">
      <c r="B41" s="1" t="s">
        <v>37</v>
      </c>
      <c r="C41" s="93">
        <f>H39</f>
        <v>578585.70184061327</v>
      </c>
      <c r="D41" s="93"/>
      <c r="E41" s="93"/>
      <c r="F41" s="93"/>
      <c r="G41" s="93"/>
      <c r="H41" s="93"/>
      <c r="I41" s="93">
        <f>N39-C41</f>
        <v>701220.91415938688</v>
      </c>
      <c r="J41" s="93"/>
      <c r="K41" s="93"/>
      <c r="L41" s="93"/>
      <c r="M41" s="93"/>
      <c r="N41" s="93"/>
      <c r="O41" s="14"/>
      <c r="P41" s="48"/>
    </row>
    <row r="42" spans="1:41" ht="43.5" customHeight="1">
      <c r="B42" s="1" t="s">
        <v>36</v>
      </c>
      <c r="C42" s="93">
        <f>H40</f>
        <v>3570243.7359493859</v>
      </c>
      <c r="D42" s="93"/>
      <c r="E42" s="93"/>
      <c r="F42" s="93"/>
      <c r="G42" s="93"/>
      <c r="H42" s="93"/>
      <c r="I42" s="93">
        <f>N40-C42</f>
        <v>3010130.8740506135</v>
      </c>
      <c r="J42" s="93"/>
      <c r="K42" s="93"/>
      <c r="L42" s="93"/>
      <c r="M42" s="93"/>
      <c r="N42" s="93"/>
      <c r="O42" s="14"/>
      <c r="P42" s="48"/>
    </row>
    <row r="43" spans="1:41" ht="43.5" customHeight="1"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14"/>
      <c r="P43" s="48"/>
    </row>
    <row r="44" spans="1:41" ht="43.5" customHeight="1"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14"/>
      <c r="P44" s="48"/>
    </row>
    <row r="45" spans="1:41" s="18" customFormat="1" ht="18" customHeight="1">
      <c r="A45" s="82" t="s">
        <v>19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16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</row>
    <row r="46" spans="1:41" s="18" customFormat="1" ht="18" customHeight="1">
      <c r="A46" s="83" t="s">
        <v>20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19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</row>
    <row r="47" spans="1:41" s="18" customFormat="1" ht="18" customHeight="1">
      <c r="A47" s="82" t="s">
        <v>33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16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</row>
    <row r="48" spans="1:41" ht="13.5" thickBot="1"/>
    <row r="49" spans="2:41" ht="13.5" thickBot="1">
      <c r="C49" s="84">
        <f>SUM(C32:E32)</f>
        <v>2287335.0115</v>
      </c>
      <c r="D49" s="85"/>
      <c r="E49" s="86"/>
      <c r="F49" s="77">
        <f>F32+G32+H32</f>
        <v>1861494.4262900001</v>
      </c>
      <c r="G49" s="78"/>
      <c r="H49" s="78"/>
      <c r="I49" s="79">
        <f>I32+J32+K32</f>
        <v>1871346.9130000002</v>
      </c>
      <c r="J49" s="80"/>
      <c r="K49" s="80"/>
      <c r="L49" s="79">
        <f>L32+M32+N32</f>
        <v>1840004.87521</v>
      </c>
      <c r="M49" s="80"/>
      <c r="N49" s="80"/>
      <c r="O49" s="12"/>
      <c r="AG49"/>
      <c r="AH49"/>
      <c r="AI49"/>
      <c r="AJ49"/>
      <c r="AK49"/>
      <c r="AL49"/>
      <c r="AM49"/>
      <c r="AN49"/>
      <c r="AO49"/>
    </row>
    <row r="50" spans="2:41">
      <c r="R50" s="12">
        <v>2017392.16</v>
      </c>
    </row>
    <row r="51" spans="2:41">
      <c r="D51" s="47"/>
      <c r="I51" s="32"/>
      <c r="L51" s="32"/>
    </row>
    <row r="52" spans="2:41">
      <c r="C52" s="115"/>
      <c r="D52" s="78"/>
      <c r="E52" s="115"/>
      <c r="F52" s="115"/>
      <c r="G52" s="115"/>
      <c r="H52" s="78"/>
      <c r="I52" s="78"/>
      <c r="J52" s="115"/>
      <c r="K52" s="78"/>
      <c r="L52" s="78"/>
      <c r="M52" s="115"/>
      <c r="N52" s="78"/>
    </row>
    <row r="53" spans="2:41">
      <c r="O53" s="27"/>
    </row>
    <row r="54" spans="2:41">
      <c r="B54" s="62">
        <f>1-G59</f>
        <v>0.98756074467872268</v>
      </c>
      <c r="C54" s="63">
        <f>100%-B54</f>
        <v>1.243925532127732E-2</v>
      </c>
    </row>
    <row r="55" spans="2:41">
      <c r="G55" s="7">
        <f>6663260.61-6580374.61</f>
        <v>82886</v>
      </c>
      <c r="Q55" s="31">
        <f>O32-R50</f>
        <v>5842789.0700000003</v>
      </c>
    </row>
    <row r="56" spans="2:41">
      <c r="B56" s="62">
        <f>1-G59</f>
        <v>0.98756074467872268</v>
      </c>
    </row>
    <row r="59" spans="2:41">
      <c r="G59" s="7">
        <f>G55/6663260.61</f>
        <v>1.243925532127731E-2</v>
      </c>
    </row>
  </sheetData>
  <mergeCells count="71">
    <mergeCell ref="I41:N41"/>
    <mergeCell ref="C42:H42"/>
    <mergeCell ref="I42:N42"/>
    <mergeCell ref="C52:D52"/>
    <mergeCell ref="E52:F52"/>
    <mergeCell ref="G52:I52"/>
    <mergeCell ref="J52:L52"/>
    <mergeCell ref="M52:N52"/>
    <mergeCell ref="D1:K1"/>
    <mergeCell ref="A33:B33"/>
    <mergeCell ref="A34:B34"/>
    <mergeCell ref="A32:B32"/>
    <mergeCell ref="A18:A19"/>
    <mergeCell ref="B18:B19"/>
    <mergeCell ref="A6:E6"/>
    <mergeCell ref="A7:E7"/>
    <mergeCell ref="A28:A29"/>
    <mergeCell ref="B28:B29"/>
    <mergeCell ref="B26:B27"/>
    <mergeCell ref="A26:A27"/>
    <mergeCell ref="B22:B23"/>
    <mergeCell ref="A22:A23"/>
    <mergeCell ref="O18:O19"/>
    <mergeCell ref="A14:A15"/>
    <mergeCell ref="B14:B15"/>
    <mergeCell ref="O14:O15"/>
    <mergeCell ref="A16:A17"/>
    <mergeCell ref="B16:B17"/>
    <mergeCell ref="O16:O17"/>
    <mergeCell ref="O8:O9"/>
    <mergeCell ref="A12:A13"/>
    <mergeCell ref="B12:B13"/>
    <mergeCell ref="O12:O13"/>
    <mergeCell ref="A8:A9"/>
    <mergeCell ref="B8:B9"/>
    <mergeCell ref="C8:N8"/>
    <mergeCell ref="B10:B11"/>
    <mergeCell ref="A10:A11"/>
    <mergeCell ref="O10:O11"/>
    <mergeCell ref="O20:O21"/>
    <mergeCell ref="F49:H49"/>
    <mergeCell ref="I49:K49"/>
    <mergeCell ref="L49:N49"/>
    <mergeCell ref="O28:O29"/>
    <mergeCell ref="O24:O25"/>
    <mergeCell ref="O26:O27"/>
    <mergeCell ref="A45:N45"/>
    <mergeCell ref="A46:N46"/>
    <mergeCell ref="C49:E49"/>
    <mergeCell ref="O30:O31"/>
    <mergeCell ref="A30:A31"/>
    <mergeCell ref="B30:B31"/>
    <mergeCell ref="A47:N47"/>
    <mergeCell ref="O22:O23"/>
    <mergeCell ref="C41:H41"/>
    <mergeCell ref="Q30:Q31"/>
    <mergeCell ref="Q28:Q29"/>
    <mergeCell ref="A2:O2"/>
    <mergeCell ref="Q20:Q21"/>
    <mergeCell ref="Q22:Q23"/>
    <mergeCell ref="Q24:Q25"/>
    <mergeCell ref="Q26:Q27"/>
    <mergeCell ref="Q10:Q11"/>
    <mergeCell ref="Q12:Q13"/>
    <mergeCell ref="Q14:Q15"/>
    <mergeCell ref="Q16:Q17"/>
    <mergeCell ref="Q18:Q19"/>
    <mergeCell ref="B20:B21"/>
    <mergeCell ref="A20:A21"/>
    <mergeCell ref="B24:B25"/>
    <mergeCell ref="A24:A25"/>
  </mergeCells>
  <printOptions horizontalCentered="1"/>
  <pageMargins left="0.15748031496062992" right="0.15748031496062992" top="0.47" bottom="0.19685039370078741" header="0.31" footer="0.15748031496062992"/>
  <pageSetup paperSize="9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Company>lvi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jorge.neto</dc:creator>
  <cp:lastModifiedBy>13226</cp:lastModifiedBy>
  <cp:lastPrinted>2023-11-29T16:59:50Z</cp:lastPrinted>
  <dcterms:created xsi:type="dcterms:W3CDTF">2006-07-21T14:39:02Z</dcterms:created>
  <dcterms:modified xsi:type="dcterms:W3CDTF">2024-07-04T16:37:20Z</dcterms:modified>
</cp:coreProperties>
</file>