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W:\GAB\Editais\Minutas de Editais\P.A. 17409_2024 - ENCOSTAS - SDUH\ANEXOS\"/>
    </mc:Choice>
  </mc:AlternateContent>
  <xr:revisionPtr revIDLastSave="0" documentId="13_ncr:1_{9450CCAB-2EC4-48B4-82C7-45FE3644C68A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5.1-RESUMO" sheetId="5" r:id="rId1"/>
    <sheet name="5.2-Projetos_Resumo" sheetId="4" r:id="rId2"/>
    <sheet name="5.3-Proj_Serv Preliminares" sheetId="8" r:id="rId3"/>
    <sheet name="5.4-Proj_Bas-Exec" sheetId="9" r:id="rId4"/>
    <sheet name="5.5-Parametrização_Obras" sheetId="1" r:id="rId5"/>
    <sheet name="EVENTOGRAMA" sheetId="11" r:id="rId6"/>
    <sheet name="APOIO EVENTOGRAMA" sheetId="10" r:id="rId7"/>
    <sheet name="ÍNDICES SINAPI IBGE" sheetId="3" r:id="rId8"/>
    <sheet name="Fator K" sheetId="13" r:id="rId9"/>
    <sheet name="Proj_Ref_SIURB" sheetId="12" r:id="rId10"/>
  </sheets>
  <externalReferences>
    <externalReference r:id="rId11"/>
    <externalReference r:id="rId12"/>
    <externalReference r:id="rId13"/>
  </externalReferences>
  <definedNames>
    <definedName name="_xlnm.Print_Area" localSheetId="0">'5.1-RESUMO'!$A$1:$C$25</definedName>
    <definedName name="_xlnm.Print_Area" localSheetId="1">'5.2-Projetos_Resumo'!$A$1:$C$25</definedName>
    <definedName name="_xlnm.Print_Area" localSheetId="2">'5.3-Proj_Serv Preliminares'!$A$1:$J$28</definedName>
    <definedName name="_xlnm.Print_Area" localSheetId="3">'5.4-Proj_Bas-Exec'!$A$1:$W$34</definedName>
    <definedName name="_xlnm.Print_Area" localSheetId="4">'5.5-Parametrização_Obras'!$A$1:$X$36</definedName>
    <definedName name="_xlnm.Print_Area" localSheetId="5">EVENTOGRAMA!$A$1:$AJ$50</definedName>
    <definedName name="_xlnm.Print_Area" localSheetId="8">'Fator K'!$A$1:$G$49</definedName>
    <definedName name="_xlnm.Print_Area" localSheetId="7">'ÍNDICES SINAPI IBGE'!$A$1:$I$36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34" i="1" l="1"/>
  <c r="X33" i="1"/>
  <c r="A3" i="12"/>
  <c r="A3" i="13"/>
  <c r="A3" i="3"/>
  <c r="A3" i="11"/>
  <c r="A3" i="1"/>
  <c r="A3" i="9"/>
  <c r="A3" i="8"/>
  <c r="A6" i="4"/>
  <c r="F24" i="9"/>
  <c r="F25" i="9"/>
  <c r="F26" i="9"/>
  <c r="F23" i="9"/>
  <c r="F22" i="9"/>
  <c r="F27" i="9"/>
  <c r="G26" i="9" l="1"/>
  <c r="G23" i="9"/>
  <c r="G22" i="9"/>
  <c r="G16" i="9"/>
  <c r="G13" i="9"/>
  <c r="G12" i="9"/>
  <c r="L22" i="9" l="1"/>
  <c r="M22" i="9"/>
  <c r="N22" i="9"/>
  <c r="O22" i="9"/>
  <c r="P22" i="9"/>
  <c r="Q22" i="9"/>
  <c r="R22" i="9"/>
  <c r="S22" i="9"/>
  <c r="T22" i="9"/>
  <c r="U22" i="9"/>
  <c r="V22" i="9"/>
  <c r="L23" i="9"/>
  <c r="M23" i="9"/>
  <c r="N23" i="9"/>
  <c r="O23" i="9"/>
  <c r="P23" i="9"/>
  <c r="Q23" i="9"/>
  <c r="R23" i="9"/>
  <c r="S23" i="9"/>
  <c r="T23" i="9"/>
  <c r="U23" i="9"/>
  <c r="V23" i="9"/>
  <c r="L24" i="9"/>
  <c r="M24" i="9"/>
  <c r="N24" i="9"/>
  <c r="O24" i="9"/>
  <c r="P24" i="9"/>
  <c r="Q24" i="9"/>
  <c r="R24" i="9"/>
  <c r="S24" i="9"/>
  <c r="T24" i="9"/>
  <c r="U24" i="9"/>
  <c r="V24" i="9"/>
  <c r="L25" i="9"/>
  <c r="M25" i="9"/>
  <c r="N25" i="9"/>
  <c r="O25" i="9"/>
  <c r="P25" i="9"/>
  <c r="Q25" i="9"/>
  <c r="R25" i="9"/>
  <c r="S25" i="9"/>
  <c r="T25" i="9"/>
  <c r="U25" i="9"/>
  <c r="V25" i="9"/>
  <c r="L26" i="9"/>
  <c r="M26" i="9"/>
  <c r="N26" i="9"/>
  <c r="O26" i="9"/>
  <c r="P26" i="9"/>
  <c r="Q26" i="9"/>
  <c r="R26" i="9"/>
  <c r="S26" i="9"/>
  <c r="T26" i="9"/>
  <c r="U26" i="9"/>
  <c r="V26" i="9"/>
  <c r="L27" i="9"/>
  <c r="M27" i="9"/>
  <c r="N27" i="9"/>
  <c r="O27" i="9"/>
  <c r="P27" i="9"/>
  <c r="Q27" i="9"/>
  <c r="R27" i="9"/>
  <c r="S27" i="9"/>
  <c r="T27" i="9"/>
  <c r="U27" i="9"/>
  <c r="V27" i="9"/>
  <c r="K27" i="9"/>
  <c r="K26" i="9"/>
  <c r="K25" i="9"/>
  <c r="K24" i="9"/>
  <c r="K23" i="9"/>
  <c r="K22" i="9"/>
  <c r="L12" i="9"/>
  <c r="M12" i="9"/>
  <c r="N12" i="9"/>
  <c r="O12" i="9"/>
  <c r="P12" i="9"/>
  <c r="Q12" i="9"/>
  <c r="R12" i="9"/>
  <c r="S12" i="9"/>
  <c r="T12" i="9"/>
  <c r="U12" i="9"/>
  <c r="V12" i="9"/>
  <c r="L13" i="9"/>
  <c r="M13" i="9"/>
  <c r="N13" i="9"/>
  <c r="O13" i="9"/>
  <c r="P13" i="9"/>
  <c r="Q13" i="9"/>
  <c r="R13" i="9"/>
  <c r="S13" i="9"/>
  <c r="T13" i="9"/>
  <c r="U13" i="9"/>
  <c r="V13" i="9"/>
  <c r="L14" i="9"/>
  <c r="M14" i="9"/>
  <c r="N14" i="9"/>
  <c r="O14" i="9"/>
  <c r="P14" i="9"/>
  <c r="Q14" i="9"/>
  <c r="R14" i="9"/>
  <c r="S14" i="9"/>
  <c r="T14" i="9"/>
  <c r="U14" i="9"/>
  <c r="V14" i="9"/>
  <c r="L15" i="9"/>
  <c r="M15" i="9"/>
  <c r="N15" i="9"/>
  <c r="O15" i="9"/>
  <c r="P15" i="9"/>
  <c r="Q15" i="9"/>
  <c r="R15" i="9"/>
  <c r="S15" i="9"/>
  <c r="T15" i="9"/>
  <c r="U15" i="9"/>
  <c r="V15" i="9"/>
  <c r="L16" i="9"/>
  <c r="M16" i="9"/>
  <c r="N16" i="9"/>
  <c r="O16" i="9"/>
  <c r="P16" i="9"/>
  <c r="Q16" i="9"/>
  <c r="R16" i="9"/>
  <c r="S16" i="9"/>
  <c r="T16" i="9"/>
  <c r="U16" i="9"/>
  <c r="V16" i="9"/>
  <c r="L17" i="9"/>
  <c r="M17" i="9"/>
  <c r="N17" i="9"/>
  <c r="O17" i="9"/>
  <c r="P17" i="9"/>
  <c r="Q17" i="9"/>
  <c r="R17" i="9"/>
  <c r="S17" i="9"/>
  <c r="T17" i="9"/>
  <c r="U17" i="9"/>
  <c r="V17" i="9"/>
  <c r="K17" i="9"/>
  <c r="K16" i="9"/>
  <c r="K15" i="9"/>
  <c r="K14" i="9"/>
  <c r="K13" i="9"/>
  <c r="K12" i="9"/>
  <c r="G27" i="9"/>
  <c r="G25" i="9"/>
  <c r="G24" i="9"/>
  <c r="I15" i="9" l="1"/>
  <c r="J15" i="9" s="1"/>
  <c r="I25" i="9"/>
  <c r="J25" i="9" s="1"/>
  <c r="I24" i="9"/>
  <c r="J24" i="9" s="1"/>
  <c r="I23" i="9"/>
  <c r="J23" i="9" s="1"/>
  <c r="I27" i="9"/>
  <c r="J27" i="9" s="1"/>
  <c r="I22" i="9"/>
  <c r="J22" i="9" s="1"/>
  <c r="I26" i="9"/>
  <c r="J26" i="9" s="1"/>
  <c r="I14" i="9"/>
  <c r="J14" i="9" s="1"/>
  <c r="I13" i="9"/>
  <c r="J13" i="9" s="1"/>
  <c r="I17" i="9"/>
  <c r="J17" i="9" s="1"/>
  <c r="I12" i="9"/>
  <c r="J12" i="9" s="1"/>
  <c r="I16" i="9"/>
  <c r="J16" i="9" s="1"/>
  <c r="G17" i="9" l="1"/>
  <c r="G15" i="9"/>
  <c r="G14" i="9"/>
  <c r="C14" i="13"/>
  <c r="G16" i="13" s="1"/>
  <c r="G32" i="12"/>
  <c r="I31" i="12"/>
  <c r="G31" i="12"/>
  <c r="I30" i="12"/>
  <c r="G30" i="12"/>
  <c r="G29" i="12"/>
  <c r="G28" i="12"/>
  <c r="I27" i="12"/>
  <c r="G27" i="12"/>
  <c r="I26" i="12"/>
  <c r="G26" i="12"/>
  <c r="G25" i="12"/>
  <c r="G20" i="12"/>
  <c r="I19" i="12"/>
  <c r="G19" i="12"/>
  <c r="I18" i="12"/>
  <c r="G18" i="12"/>
  <c r="G17" i="12"/>
  <c r="G16" i="12"/>
  <c r="I15" i="12"/>
  <c r="G15" i="12"/>
  <c r="I14" i="12"/>
  <c r="G14" i="12"/>
  <c r="G13" i="12"/>
  <c r="D6" i="10"/>
  <c r="I7" i="10" s="1"/>
  <c r="AJ49" i="11"/>
  <c r="AI49" i="11"/>
  <c r="AH49" i="11"/>
  <c r="AJ48" i="11"/>
  <c r="AI48" i="11"/>
  <c r="AH48" i="11"/>
  <c r="AE48" i="11"/>
  <c r="AC48" i="11"/>
  <c r="AA48" i="11"/>
  <c r="Y48" i="11"/>
  <c r="W48" i="11"/>
  <c r="U48" i="11"/>
  <c r="S48" i="11"/>
  <c r="Q48" i="11"/>
  <c r="O48" i="11"/>
  <c r="N48" i="11"/>
  <c r="M48" i="11"/>
  <c r="L48" i="11"/>
  <c r="J48" i="11"/>
  <c r="I48" i="11"/>
  <c r="G48" i="11"/>
  <c r="F48" i="11"/>
  <c r="D48" i="11"/>
  <c r="D49" i="11" s="1"/>
  <c r="B13" i="11"/>
  <c r="F25" i="8"/>
  <c r="F24" i="8"/>
  <c r="F23" i="8"/>
  <c r="F22" i="8"/>
  <c r="F21" i="8"/>
  <c r="F20" i="8"/>
  <c r="F18" i="8"/>
  <c r="F17" i="8"/>
  <c r="F16" i="8"/>
  <c r="V15" i="12" l="1"/>
  <c r="V19" i="12"/>
  <c r="V14" i="12"/>
  <c r="V18" i="12"/>
  <c r="H17" i="9"/>
  <c r="G14" i="13"/>
  <c r="J9" i="8"/>
  <c r="H14" i="8" s="1"/>
  <c r="I14" i="8" s="1"/>
  <c r="J14" i="8" s="1"/>
  <c r="J13" i="8" s="1"/>
  <c r="H23" i="9"/>
  <c r="W23" i="9" s="1"/>
  <c r="H24" i="9"/>
  <c r="W24" i="9" s="1"/>
  <c r="H25" i="9"/>
  <c r="W25" i="9" s="1"/>
  <c r="W17" i="9"/>
  <c r="H13" i="9"/>
  <c r="W13" i="9" s="1"/>
  <c r="I28" i="12"/>
  <c r="V28" i="12" s="1"/>
  <c r="I25" i="12"/>
  <c r="V25" i="12" s="1"/>
  <c r="I29" i="12"/>
  <c r="V29" i="12" s="1"/>
  <c r="I32" i="12"/>
  <c r="V32" i="12" s="1"/>
  <c r="V27" i="12"/>
  <c r="V31" i="12"/>
  <c r="W15" i="12"/>
  <c r="W19" i="12"/>
  <c r="I13" i="12"/>
  <c r="V13" i="12" s="1"/>
  <c r="W14" i="12"/>
  <c r="I17" i="12"/>
  <c r="V17" i="12" s="1"/>
  <c r="I16" i="12"/>
  <c r="V16" i="12" s="1"/>
  <c r="I20" i="12"/>
  <c r="V20" i="12" s="1"/>
  <c r="W18" i="12"/>
  <c r="V26" i="12"/>
  <c r="V30" i="12"/>
  <c r="W26" i="12"/>
  <c r="W27" i="12"/>
  <c r="W30" i="12"/>
  <c r="W31" i="12"/>
  <c r="D50" i="11"/>
  <c r="H7" i="10"/>
  <c r="G7" i="10"/>
  <c r="F7" i="10"/>
  <c r="E7" i="10"/>
  <c r="H21" i="8"/>
  <c r="I21" i="8" s="1"/>
  <c r="J21" i="8" s="1"/>
  <c r="V15" i="1"/>
  <c r="V12" i="1"/>
  <c r="V13" i="1"/>
  <c r="T15" i="1"/>
  <c r="T14" i="1"/>
  <c r="F36" i="3"/>
  <c r="W32" i="12" l="1"/>
  <c r="W28" i="12"/>
  <c r="W17" i="12"/>
  <c r="H22" i="9"/>
  <c r="W22" i="9" s="1"/>
  <c r="H16" i="9"/>
  <c r="W16" i="9" s="1"/>
  <c r="H12" i="9"/>
  <c r="H15" i="9"/>
  <c r="H14" i="9"/>
  <c r="W14" i="9" s="1"/>
  <c r="H18" i="8"/>
  <c r="I18" i="8" s="1"/>
  <c r="J18" i="8" s="1"/>
  <c r="H25" i="8"/>
  <c r="I25" i="8" s="1"/>
  <c r="J25" i="8" s="1"/>
  <c r="H24" i="8"/>
  <c r="I24" i="8" s="1"/>
  <c r="J24" i="8" s="1"/>
  <c r="H16" i="8"/>
  <c r="I16" i="8" s="1"/>
  <c r="J16" i="8" s="1"/>
  <c r="W12" i="9"/>
  <c r="H26" i="9"/>
  <c r="W26" i="9" s="1"/>
  <c r="H22" i="8"/>
  <c r="I22" i="8" s="1"/>
  <c r="J22" i="8" s="1"/>
  <c r="H17" i="8"/>
  <c r="I17" i="8" s="1"/>
  <c r="J17" i="8" s="1"/>
  <c r="H23" i="8"/>
  <c r="I23" i="8" s="1"/>
  <c r="J23" i="8" s="1"/>
  <c r="H20" i="8"/>
  <c r="I20" i="8" s="1"/>
  <c r="J20" i="8" s="1"/>
  <c r="W15" i="9"/>
  <c r="H27" i="9"/>
  <c r="W27" i="9" s="1"/>
  <c r="W29" i="12"/>
  <c r="W13" i="12"/>
  <c r="W16" i="12"/>
  <c r="W25" i="12"/>
  <c r="W20" i="12"/>
  <c r="V21" i="12"/>
  <c r="V33" i="12"/>
  <c r="V21" i="1"/>
  <c r="T19" i="1"/>
  <c r="R19" i="1"/>
  <c r="R21" i="1" s="1"/>
  <c r="F31" i="3"/>
  <c r="U15" i="1" s="1"/>
  <c r="T21" i="1"/>
  <c r="W33" i="12" l="1"/>
  <c r="W28" i="9"/>
  <c r="C22" i="10" s="1"/>
  <c r="C22" i="11" s="1"/>
  <c r="J15" i="8"/>
  <c r="J19" i="8"/>
  <c r="W18" i="9"/>
  <c r="C21" i="10" s="1"/>
  <c r="C20" i="11" s="1"/>
  <c r="W21" i="12"/>
  <c r="U12" i="1"/>
  <c r="S14" i="1"/>
  <c r="S12" i="1"/>
  <c r="S13" i="1"/>
  <c r="S15" i="1"/>
  <c r="U13" i="1"/>
  <c r="U14" i="1"/>
  <c r="R16" i="1"/>
  <c r="T16" i="1"/>
  <c r="P15" i="1"/>
  <c r="P16" i="1" s="1"/>
  <c r="N21" i="1"/>
  <c r="P21" i="1"/>
  <c r="F25" i="3"/>
  <c r="O13" i="1" s="1"/>
  <c r="N16" i="1"/>
  <c r="C18" i="4" l="1"/>
  <c r="J12" i="8"/>
  <c r="C14" i="4" s="1"/>
  <c r="C16" i="4"/>
  <c r="C20" i="10"/>
  <c r="C18" i="11" s="1"/>
  <c r="C16" i="11" s="1"/>
  <c r="K22" i="11"/>
  <c r="H20" i="11"/>
  <c r="S16" i="1"/>
  <c r="R23" i="1" s="1"/>
  <c r="U16" i="1"/>
  <c r="T23" i="1" s="1"/>
  <c r="V14" i="1"/>
  <c r="V16" i="1" s="1"/>
  <c r="O14" i="1"/>
  <c r="O30" i="1"/>
  <c r="O15" i="1"/>
  <c r="R25" i="1"/>
  <c r="H19" i="1"/>
  <c r="J19" i="1"/>
  <c r="L19" i="1"/>
  <c r="L15" i="1"/>
  <c r="L14" i="1"/>
  <c r="J15" i="1"/>
  <c r="J14" i="1"/>
  <c r="J13" i="1"/>
  <c r="C20" i="4" l="1"/>
  <c r="E18" i="11"/>
  <c r="AK18" i="11" s="1"/>
  <c r="K48" i="11"/>
  <c r="AK22" i="11"/>
  <c r="AL22" i="11" s="1"/>
  <c r="AK20" i="11"/>
  <c r="AL20" i="11" s="1"/>
  <c r="H48" i="11"/>
  <c r="R26" i="1"/>
  <c r="T25" i="1"/>
  <c r="T26" i="1"/>
  <c r="R27" i="1"/>
  <c r="T27" i="1"/>
  <c r="O16" i="1"/>
  <c r="N31" i="1" s="1"/>
  <c r="W16" i="1"/>
  <c r="H14" i="1"/>
  <c r="H15" i="1"/>
  <c r="E48" i="11" l="1"/>
  <c r="AK16" i="11"/>
  <c r="AL16" i="11" s="1"/>
  <c r="AL18" i="11"/>
  <c r="N23" i="1"/>
  <c r="N27" i="1"/>
  <c r="N26" i="1"/>
  <c r="N25" i="1"/>
  <c r="V23" i="1"/>
  <c r="V27" i="1"/>
  <c r="V25" i="1"/>
  <c r="V26" i="1"/>
  <c r="F19" i="3"/>
  <c r="I14" i="1" l="1"/>
  <c r="Q30" i="1"/>
  <c r="Q15" i="1"/>
  <c r="Q13" i="1"/>
  <c r="Q14" i="1"/>
  <c r="M30" i="1"/>
  <c r="K30" i="1"/>
  <c r="I30" i="1"/>
  <c r="K14" i="1"/>
  <c r="M15" i="1"/>
  <c r="K15" i="1"/>
  <c r="I13" i="1"/>
  <c r="M14" i="1"/>
  <c r="M13" i="1"/>
  <c r="K13" i="1"/>
  <c r="I15" i="1"/>
  <c r="J21" i="1"/>
  <c r="H21" i="1"/>
  <c r="L21" i="1"/>
  <c r="J16" i="1"/>
  <c r="L16" i="1"/>
  <c r="H16" i="1"/>
  <c r="F20" i="1"/>
  <c r="F21" i="1" s="1"/>
  <c r="F14" i="1"/>
  <c r="F16" i="1" s="1"/>
  <c r="D21" i="1"/>
  <c r="D16" i="1"/>
  <c r="F13" i="3"/>
  <c r="E15" i="1" s="1"/>
  <c r="B20" i="1"/>
  <c r="B21" i="1" s="1"/>
  <c r="B14" i="1"/>
  <c r="B16" i="1" s="1"/>
  <c r="K16" i="1" l="1"/>
  <c r="J25" i="1" s="1"/>
  <c r="Q16" i="1"/>
  <c r="P23" i="1" s="1"/>
  <c r="G14" i="1"/>
  <c r="C13" i="1"/>
  <c r="G15" i="1"/>
  <c r="C30" i="1"/>
  <c r="C14" i="1"/>
  <c r="G13" i="1"/>
  <c r="C15" i="1"/>
  <c r="E13" i="1"/>
  <c r="E14" i="1"/>
  <c r="I16" i="1"/>
  <c r="H31" i="1" s="1"/>
  <c r="M16" i="1"/>
  <c r="L31" i="1" s="1"/>
  <c r="G16" i="1" l="1"/>
  <c r="F23" i="1" s="1"/>
  <c r="J26" i="1"/>
  <c r="P27" i="1"/>
  <c r="J23" i="1"/>
  <c r="J31" i="1"/>
  <c r="J27" i="1"/>
  <c r="P26" i="1"/>
  <c r="P31" i="1"/>
  <c r="P25" i="1"/>
  <c r="H23" i="1"/>
  <c r="H25" i="1"/>
  <c r="H26" i="1"/>
  <c r="H27" i="1"/>
  <c r="L23" i="1"/>
  <c r="L27" i="1"/>
  <c r="L25" i="1"/>
  <c r="L26" i="1"/>
  <c r="C16" i="1"/>
  <c r="B23" i="1" s="1"/>
  <c r="E16" i="1"/>
  <c r="F26" i="1" l="1"/>
  <c r="F25" i="1"/>
  <c r="F27" i="1"/>
  <c r="B25" i="1"/>
  <c r="B31" i="1"/>
  <c r="X31" i="1" s="1"/>
  <c r="B27" i="1"/>
  <c r="D23" i="1"/>
  <c r="X23" i="1" s="1"/>
  <c r="B34" i="1" s="1"/>
  <c r="D27" i="1"/>
  <c r="B26" i="1"/>
  <c r="D26" i="1"/>
  <c r="D25" i="1"/>
  <c r="X26" i="1" l="1"/>
  <c r="C18" i="5" s="1"/>
  <c r="C12" i="10" s="1"/>
  <c r="X27" i="1"/>
  <c r="C19" i="5" s="1"/>
  <c r="C15" i="10" s="1"/>
  <c r="C16" i="10" s="1"/>
  <c r="X25" i="1"/>
  <c r="C17" i="5" s="1"/>
  <c r="C11" i="10" l="1"/>
  <c r="C13" i="10" s="1"/>
  <c r="C16" i="5"/>
  <c r="C15" i="5" s="1"/>
  <c r="C42" i="10"/>
  <c r="C46" i="11" s="1"/>
  <c r="AG46" i="11" s="1"/>
  <c r="C38" i="10"/>
  <c r="C44" i="11" s="1"/>
  <c r="AD44" i="11" s="1"/>
  <c r="C34" i="10"/>
  <c r="C42" i="11" s="1"/>
  <c r="Z42" i="11" s="1"/>
  <c r="C26" i="10"/>
  <c r="C38" i="11" s="1"/>
  <c r="C30" i="10"/>
  <c r="C40" i="11" s="1"/>
  <c r="V40" i="11" s="1"/>
  <c r="C36" i="11" l="1"/>
  <c r="C9" i="10"/>
  <c r="C14" i="11" s="1"/>
  <c r="C13" i="11" s="1"/>
  <c r="C41" i="10"/>
  <c r="C34" i="11" s="1"/>
  <c r="AF34" i="11" s="1"/>
  <c r="C29" i="10"/>
  <c r="C28" i="11" s="1"/>
  <c r="T28" i="11" s="1"/>
  <c r="C37" i="10"/>
  <c r="C32" i="11" s="1"/>
  <c r="AB32" i="11" s="1"/>
  <c r="C33" i="10"/>
  <c r="C30" i="11" s="1"/>
  <c r="X30" i="11" s="1"/>
  <c r="C25" i="10"/>
  <c r="C26" i="11" s="1"/>
  <c r="AK40" i="11"/>
  <c r="AL40" i="11" s="1"/>
  <c r="V48" i="11"/>
  <c r="AK42" i="11"/>
  <c r="AL42" i="11" s="1"/>
  <c r="Z48" i="11"/>
  <c r="AG48" i="11"/>
  <c r="AK46" i="11"/>
  <c r="AL46" i="11" s="1"/>
  <c r="AD48" i="11"/>
  <c r="AK44" i="11"/>
  <c r="AL44" i="11" s="1"/>
  <c r="R38" i="11"/>
  <c r="C24" i="11" l="1"/>
  <c r="C49" i="11" s="1"/>
  <c r="E14" i="11" s="1"/>
  <c r="AK34" i="11"/>
  <c r="AL34" i="11" s="1"/>
  <c r="AF48" i="11"/>
  <c r="T48" i="11"/>
  <c r="AK28" i="11"/>
  <c r="AL28" i="11" s="1"/>
  <c r="AB48" i="11"/>
  <c r="AK32" i="11"/>
  <c r="AL32" i="11" s="1"/>
  <c r="P26" i="11"/>
  <c r="AK38" i="11"/>
  <c r="R48" i="11"/>
  <c r="AK30" i="11"/>
  <c r="AL30" i="11" s="1"/>
  <c r="X48" i="11"/>
  <c r="C14" i="5"/>
  <c r="C20" i="5" s="1"/>
  <c r="B15" i="5" s="1"/>
  <c r="AB14" i="11" l="1"/>
  <c r="AB49" i="11" s="1"/>
  <c r="X14" i="11"/>
  <c r="X49" i="11" s="1"/>
  <c r="AE14" i="11"/>
  <c r="AE49" i="11" s="1"/>
  <c r="L14" i="11"/>
  <c r="L49" i="11" s="1"/>
  <c r="Q14" i="11"/>
  <c r="Q49" i="11" s="1"/>
  <c r="J14" i="11"/>
  <c r="J49" i="11" s="1"/>
  <c r="K14" i="11"/>
  <c r="K49" i="11" s="1"/>
  <c r="U14" i="11"/>
  <c r="U49" i="11" s="1"/>
  <c r="N14" i="11"/>
  <c r="N49" i="11" s="1"/>
  <c r="G14" i="11"/>
  <c r="G49" i="11" s="1"/>
  <c r="O14" i="11"/>
  <c r="O49" i="11" s="1"/>
  <c r="W14" i="11"/>
  <c r="W49" i="11" s="1"/>
  <c r="Y14" i="11"/>
  <c r="Y49" i="11" s="1"/>
  <c r="I14" i="11"/>
  <c r="I49" i="11" s="1"/>
  <c r="H14" i="11"/>
  <c r="H49" i="11" s="1"/>
  <c r="S14" i="11"/>
  <c r="S49" i="11" s="1"/>
  <c r="AA14" i="11"/>
  <c r="AA49" i="11" s="1"/>
  <c r="AC14" i="11"/>
  <c r="AC49" i="11" s="1"/>
  <c r="M14" i="11"/>
  <c r="M49" i="11" s="1"/>
  <c r="F14" i="11"/>
  <c r="F49" i="11" s="1"/>
  <c r="AK36" i="11"/>
  <c r="AL36" i="11" s="1"/>
  <c r="AL38" i="11"/>
  <c r="V14" i="11"/>
  <c r="V49" i="11" s="1"/>
  <c r="AF14" i="11"/>
  <c r="AF49" i="11" s="1"/>
  <c r="P48" i="11"/>
  <c r="P14" i="11" s="1"/>
  <c r="P49" i="11" s="1"/>
  <c r="AK26" i="11"/>
  <c r="R14" i="11"/>
  <c r="R49" i="11" s="1"/>
  <c r="Z14" i="11"/>
  <c r="Z49" i="11" s="1"/>
  <c r="T14" i="11"/>
  <c r="T49" i="11" s="1"/>
  <c r="AD14" i="11"/>
  <c r="AD49" i="11" s="1"/>
  <c r="AG14" i="11"/>
  <c r="AG49" i="11" s="1"/>
  <c r="B14" i="5"/>
  <c r="AK24" i="11" l="1"/>
  <c r="AL24" i="11" s="1"/>
  <c r="AL26" i="11"/>
  <c r="AK14" i="11"/>
  <c r="AL14" i="11" s="1"/>
  <c r="E49" i="11"/>
  <c r="B16" i="5"/>
  <c r="E50" i="11" l="1"/>
  <c r="F50" i="11" s="1"/>
  <c r="G50" i="11" s="1"/>
  <c r="H50" i="11" s="1"/>
  <c r="I50" i="11" s="1"/>
  <c r="J50" i="11" s="1"/>
  <c r="K50" i="11" s="1"/>
  <c r="L50" i="11" s="1"/>
  <c r="M50" i="11" s="1"/>
  <c r="N50" i="11" s="1"/>
  <c r="O50" i="11" s="1"/>
  <c r="P50" i="11" s="1"/>
  <c r="Q50" i="11" s="1"/>
  <c r="R50" i="11" s="1"/>
  <c r="S50" i="11" s="1"/>
  <c r="T50" i="11" s="1"/>
  <c r="U50" i="11" s="1"/>
  <c r="V50" i="11" s="1"/>
  <c r="W50" i="11" s="1"/>
  <c r="X50" i="11" s="1"/>
  <c r="Y50" i="11" s="1"/>
  <c r="Z50" i="11" s="1"/>
  <c r="AA50" i="11" s="1"/>
  <c r="AB50" i="11" s="1"/>
  <c r="AC50" i="11" s="1"/>
  <c r="AD50" i="11" s="1"/>
  <c r="AE50" i="11" s="1"/>
  <c r="AF50" i="11" s="1"/>
  <c r="AG50" i="11" s="1"/>
  <c r="AK49" i="11"/>
  <c r="AL49" i="11" s="1"/>
  <c r="AH50" i="11" l="1"/>
  <c r="AI50" i="11" s="1"/>
  <c r="AJ50" i="11" s="1"/>
</calcChain>
</file>

<file path=xl/sharedStrings.xml><?xml version="1.0" encoding="utf-8"?>
<sst xmlns="http://schemas.openxmlformats.org/spreadsheetml/2006/main" count="563" uniqueCount="315">
  <si>
    <t>MURO 2</t>
  </si>
  <si>
    <t>PREFEITURA DE MAUÁ - SP</t>
  </si>
  <si>
    <t>CONTENÇÃO POR SOLO GRAMPEADO (M²)</t>
  </si>
  <si>
    <t>CONTENÇÃO POR CORTINA ATIRANTADA (M²)</t>
  </si>
  <si>
    <t>ÁREA TOTAL DE CONTENÇÃO (M²)</t>
  </si>
  <si>
    <t>ATUALIZAÇÃO FINANCEIRA - INDICES SINAPI IBGE</t>
  </si>
  <si>
    <t>ÍNDICE SINAPI IBGE</t>
  </si>
  <si>
    <t>MÊS ATUAL</t>
  </si>
  <si>
    <t>MÊS DA ORIGEM</t>
  </si>
  <si>
    <t>FATOR DE CORREÇÃO (%)</t>
  </si>
  <si>
    <t>DATA-BASE</t>
  </si>
  <si>
    <t>CUSTO DA OBRA (R$)</t>
  </si>
  <si>
    <t>CONTENÇÕES (R$)</t>
  </si>
  <si>
    <t>SERVIÇOS PRELIMINARES (R$)</t>
  </si>
  <si>
    <t>CUSTO MÉDIO (POR M²)</t>
  </si>
  <si>
    <t>RECOMPOSIÇÃO E TRATAMENTO VEGETADO</t>
  </si>
  <si>
    <t>MURO 10</t>
  </si>
  <si>
    <t>MURO 8</t>
  </si>
  <si>
    <t>ALBERTO RATTI</t>
  </si>
  <si>
    <t>LUIZ CAMARGO ARANHA</t>
  </si>
  <si>
    <t>MANSUR SADEK</t>
  </si>
  <si>
    <t>ITEM</t>
  </si>
  <si>
    <t>DESCRIÇÃO DOS SERVIÇOS</t>
  </si>
  <si>
    <t>VALOR TOTAL (R$)</t>
  </si>
  <si>
    <t>1.1</t>
  </si>
  <si>
    <t>PROJETOS</t>
  </si>
  <si>
    <t>M</t>
  </si>
  <si>
    <t>% SERVIÇOS PRELIMINARES</t>
  </si>
  <si>
    <t>% CONTENÇÕES</t>
  </si>
  <si>
    <t>% DRENAGEM</t>
  </si>
  <si>
    <t>VALORES MÉDIOS</t>
  </si>
  <si>
    <t>R$ / M²</t>
  </si>
  <si>
    <t>ADMINISTRAÇÃO LOCAL (R$)</t>
  </si>
  <si>
    <t>% ADM LOCAL</t>
  </si>
  <si>
    <t>ADMINISTRAÇÃO LOCAL</t>
  </si>
  <si>
    <t>%</t>
  </si>
  <si>
    <t>VALOR (R$)</t>
  </si>
  <si>
    <t>ÁREA DAS CONTENÇÕES - JARDIM IRENE (M²)</t>
  </si>
  <si>
    <t>CUSTO MÉDIO - OBRAS (R$)</t>
  </si>
  <si>
    <t>OBRAS</t>
  </si>
  <si>
    <t>SERVIÇOS PRELIMINARES</t>
  </si>
  <si>
    <t>CONTENÇÕES</t>
  </si>
  <si>
    <t>TOTAL</t>
  </si>
  <si>
    <t>HEBERT DE SOUZA</t>
  </si>
  <si>
    <t>PREFEITURA DE DIADEMA - SP</t>
  </si>
  <si>
    <t>COSTA E SILVA / VILA NOVA II</t>
  </si>
  <si>
    <t>PREFEITURA DE SÃO BERNARDO DO CAMPO - SP</t>
  </si>
  <si>
    <t>OBRA 12 - VIA SÃO PEDRO</t>
  </si>
  <si>
    <t>OBRA 1 - NOVO HORIZONTE</t>
  </si>
  <si>
    <t>Descrição</t>
  </si>
  <si>
    <t>Unid.</t>
  </si>
  <si>
    <t>Código</t>
  </si>
  <si>
    <t>1.2</t>
  </si>
  <si>
    <t>1.3</t>
  </si>
  <si>
    <t>2.1</t>
  </si>
  <si>
    <t>2.2</t>
  </si>
  <si>
    <t>2.3</t>
  </si>
  <si>
    <t>3.1</t>
  </si>
  <si>
    <t>3.2</t>
  </si>
  <si>
    <t>3.3</t>
  </si>
  <si>
    <t>CP 10.010/2015</t>
  </si>
  <si>
    <t>DRENAGEM E OBRAS COMPLEMENTARES (R$)</t>
  </si>
  <si>
    <t>PREFEITURA DE SANTO ANDRÉ</t>
  </si>
  <si>
    <t>SDUH - SECRETARIA DE DESENVOLVIMENTO URBANO E HABITAÇÃO</t>
  </si>
  <si>
    <t>EXECUÇÃO DE SERVIÇOS DE ELABORAÇÃO DE PROJETO BÁSICO E EXECUTIVO DE ENGENHARIA PARA CONTENÇÃO DE ENCOSTA E ESTABILIZAÇÃO DE SETORES DE RISCO ALTO E MUITO ALTO NO JARDIM IRENE</t>
  </si>
  <si>
    <t>PROJETO BÁSICO</t>
  </si>
  <si>
    <t>PROJETO EXECUTIVO</t>
  </si>
  <si>
    <t>ITEM 2 - PROJETO BÁSICO</t>
  </si>
  <si>
    <t>SUBITEM</t>
  </si>
  <si>
    <t>Referência</t>
  </si>
  <si>
    <t>Custo unitário de referência (COM encargos) (R$)</t>
  </si>
  <si>
    <t>Custo unitário de referência (SEM encargos) (R$)</t>
  </si>
  <si>
    <t>Coeficiente por documento (conforme SIURB)</t>
  </si>
  <si>
    <t>Qtde. Total</t>
  </si>
  <si>
    <t>Urban.</t>
  </si>
  <si>
    <t>Cadastro de remoção</t>
  </si>
  <si>
    <t>Melhoria Habitacional</t>
  </si>
  <si>
    <t>Pavimentação</t>
  </si>
  <si>
    <t>Terraplenagem</t>
  </si>
  <si>
    <t>Paisag.</t>
  </si>
  <si>
    <t>Geotecnia - Estrut.</t>
  </si>
  <si>
    <t>Drenagem</t>
  </si>
  <si>
    <t>Redes de água</t>
  </si>
  <si>
    <t>Redes de esgoto</t>
  </si>
  <si>
    <t>Relatórios técnicos</t>
  </si>
  <si>
    <t>Orçamento</t>
  </si>
  <si>
    <t>Custo Total (R$)</t>
  </si>
  <si>
    <t>Custo total com Fator K (R$)</t>
  </si>
  <si>
    <t>ENGENHEIRO CIVIL/ ARQUITETO CONSULTOR - 20 ANOS DE EXPERIÊNCIA (SGSP)</t>
  </si>
  <si>
    <t>INFRA</t>
  </si>
  <si>
    <t>03-024-000</t>
  </si>
  <si>
    <t>h</t>
  </si>
  <si>
    <t>PROJETISTA - SEM CURSO SUPERIOR, COM MAIS DE 5 ANOS DE EXPERIÊNCIA (SGSP)</t>
  </si>
  <si>
    <t>03-039-000</t>
  </si>
  <si>
    <t>ENGENHEIRO CIVIL/ ARQUITETO COORDENADOR GERAL - MAIS DE 20 ANOS EXPERIÊNCIA (SGSP)</t>
  </si>
  <si>
    <t>03-025-000</t>
  </si>
  <si>
    <t>2.4</t>
  </si>
  <si>
    <t>ENGENHEIRO/ ARQUITETO SÊNIOR - MAIS DE 15 ANOS DE EXPERIÊNCIA (SGSP)</t>
  </si>
  <si>
    <t>03-027-000</t>
  </si>
  <si>
    <t>2.5</t>
  </si>
  <si>
    <t>ENGENHEIRO/ ARQUITETO PLENO - DE 5 A 15 ANOS DE EXPERIÊNCIA (SGSP)</t>
  </si>
  <si>
    <t>03-029-000</t>
  </si>
  <si>
    <t>2.6</t>
  </si>
  <si>
    <t>ENGENHEIRO/ ARQUITETO JÚNIOR - ATÉ 5 ANOS DE EXPERIÊNCIA (SGSP)</t>
  </si>
  <si>
    <t>03-030-000</t>
  </si>
  <si>
    <t>2.7</t>
  </si>
  <si>
    <t>DESENHISTA CADISTA  (SGSP)</t>
  </si>
  <si>
    <t>03-035-000</t>
  </si>
  <si>
    <t>2.8</t>
  </si>
  <si>
    <t>DESENHISTA PROJETISTA (SGSP)</t>
  </si>
  <si>
    <t>03-036-000</t>
  </si>
  <si>
    <t>TOTAIS</t>
  </si>
  <si>
    <t>ITEM 3 - PROJETO EXECUTIVO</t>
  </si>
  <si>
    <t>3.4</t>
  </si>
  <si>
    <t>3.5</t>
  </si>
  <si>
    <t>3.6</t>
  </si>
  <si>
    <t>3.7</t>
  </si>
  <si>
    <t>3.8</t>
  </si>
  <si>
    <t>FONTE</t>
  </si>
  <si>
    <t>CÓDIGO</t>
  </si>
  <si>
    <t>UNIDADE</t>
  </si>
  <si>
    <t>QUANTIDADE</t>
  </si>
  <si>
    <t>PREÇO UNITÁRIO (R$)</t>
  </si>
  <si>
    <t>TOPOGRAFIA</t>
  </si>
  <si>
    <t>SUBTOTAL</t>
  </si>
  <si>
    <t>1.1.1</t>
  </si>
  <si>
    <t>01-010-00</t>
  </si>
  <si>
    <t>LEVANTAMENTO PLANIALTIMÉTRICO CADASTRAL</t>
  </si>
  <si>
    <t>M²</t>
  </si>
  <si>
    <t>1.1.1.2</t>
  </si>
  <si>
    <t>SONDAGENS</t>
  </si>
  <si>
    <t>1.2.1</t>
  </si>
  <si>
    <t>02-002-002</t>
  </si>
  <si>
    <t>MOBILIZAÇÃO E INSTALAÇÃO DE 1 EQUIPAMENTO</t>
  </si>
  <si>
    <t>UNID.</t>
  </si>
  <si>
    <t>1.2.2</t>
  </si>
  <si>
    <t>02-002-008</t>
  </si>
  <si>
    <t>DESLOCAMENTO DE EQUIPAMENTO ENTRE FUROS EM TERRENO ACIDENTADO, CONSIDERANDO DISTÂNCIA ACIMA DE 50M</t>
  </si>
  <si>
    <t>1.2.3</t>
  </si>
  <si>
    <t>02-002-010</t>
  </si>
  <si>
    <t>PERFURAÇÃO E EXECUÇÃO DE ENSAIO PENETROMÉTRICO OU DE LAVAGEM POR TEMPO</t>
  </si>
  <si>
    <t>1.1.1.3</t>
  </si>
  <si>
    <t>ENSAIOS</t>
  </si>
  <si>
    <t>1.3.1</t>
  </si>
  <si>
    <t>02-006-002</t>
  </si>
  <si>
    <t>ENSAIO DE LABORATÓRIO - LIMITE DE LIQUIDEZ</t>
  </si>
  <si>
    <t>ENSAIO</t>
  </si>
  <si>
    <t>1.3.2</t>
  </si>
  <si>
    <t>02-006-003</t>
  </si>
  <si>
    <t>ENSAIO DE LABORATÓRIO - PLASTICIDADE</t>
  </si>
  <si>
    <t>1.3.3</t>
  </si>
  <si>
    <t>02-006-004</t>
  </si>
  <si>
    <t>ENSAIO DE LABORATÓRIO - COMPACTAÇÃO</t>
  </si>
  <si>
    <t>1.3.4</t>
  </si>
  <si>
    <t>02-006-005</t>
  </si>
  <si>
    <t>ENSAIOS DE LABORATÓRIO - GRANULOMETRIA</t>
  </si>
  <si>
    <t>1.3.5</t>
  </si>
  <si>
    <t>02-006-006</t>
  </si>
  <si>
    <t>ENSAIOS DE LABORATÓRIO - PROCTOR SIMPLES</t>
  </si>
  <si>
    <t>1.3.6</t>
  </si>
  <si>
    <t>02-006-009</t>
  </si>
  <si>
    <t>ENSAIOS DE LABORATÓRIO - CBR-5 PONTOS (MOLDADO)</t>
  </si>
  <si>
    <t>DRENAGEM E OBRAS COMPLEMENTARES</t>
  </si>
  <si>
    <t>EXECUÇÃO DE SERVIÇOS DE ELABORAÇÃO DE PROJETO BÁSICO E EXECUTIVO DE ENGENHARIA E EXECUÇÃO DE OBRAS PARA CONTENÇÃO DE ENCOSTA E ESTABILIZAÇÃO DE SETORES DE RISCO ALTO E MUITO ALTO NO JARDIM IRENE</t>
  </si>
  <si>
    <t>ANEXO 5.2 - PLANILHA RESUMO - ESTIMATIVA DE CUSTOS DE PROJETOS</t>
  </si>
  <si>
    <t>ANEXO 5.3 - SERVIÇOS PRELIMINARES DE PROJETO</t>
  </si>
  <si>
    <t>ANEXO 5.5 - ESTUDO PARA PARAMETRIZAÇÃO DE CUSTO DE OBRA</t>
  </si>
  <si>
    <t>ANEXO 5.4 - ESTIMATIVA DE QUANTIDADES PARA PROJETOS, RELATÓRIOS TÉCNICOS E ORÇAMENTOS</t>
  </si>
  <si>
    <t>PROJETOS (Ver NOTA 1)</t>
  </si>
  <si>
    <t>NOTA 1 - Os valores referentes a serviços de PROJETOS, dos contratos consultados, estão apresentados APENAS para efeito de totalização dos mesmos, não particpando dos custos e parâmetros desenvolvidos neste etapa do trabalho. Os custos de projetos de nosso objeto foram calculados de forma estimativa em planilhas específicas (anexos 5.1, 5.2 e 5.3).</t>
  </si>
  <si>
    <t>Áreas (em m², e % de representatividade)</t>
  </si>
  <si>
    <t>Administração Local</t>
  </si>
  <si>
    <t>Serviços Preliminares</t>
  </si>
  <si>
    <t>Contenções</t>
  </si>
  <si>
    <t>Subtotal</t>
  </si>
  <si>
    <t>Drenagem e serviços complementares</t>
  </si>
  <si>
    <t>Projeto</t>
  </si>
  <si>
    <t>Projeto Básico</t>
  </si>
  <si>
    <t>Projeto Executivo</t>
  </si>
  <si>
    <t>Área 1</t>
  </si>
  <si>
    <t>Preliminares e contenções</t>
  </si>
  <si>
    <t>Área 2</t>
  </si>
  <si>
    <t>Área 3</t>
  </si>
  <si>
    <t>Área 4</t>
  </si>
  <si>
    <t>Área 5</t>
  </si>
  <si>
    <t>BANCO DE PREÇO</t>
  </si>
  <si>
    <t>SINAPI</t>
  </si>
  <si>
    <t>Io =</t>
  </si>
  <si>
    <t>Ítem</t>
  </si>
  <si>
    <t>Descrição dos serviços</t>
  </si>
  <si>
    <t>Valor dos serviços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</si>
  <si>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</si>
  <si>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</si>
  <si>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</si>
  <si>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</si>
  <si>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</si>
  <si>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</si>
  <si>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</si>
  <si>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</si>
  <si>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</si>
  <si>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</si>
  <si>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</si>
  <si>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</si>
  <si>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</si>
  <si>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</si>
  <si>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</si>
  <si>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</si>
  <si>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</si>
  <si>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</si>
  <si>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</si>
  <si>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</si>
  <si>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</si>
  <si>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</si>
  <si>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</si>
  <si>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</si>
  <si>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mês 25</t>
  </si>
  <si>
    <t>mês 26</t>
  </si>
  <si>
    <t>mês 27</t>
  </si>
  <si>
    <t>mês 28</t>
  </si>
  <si>
    <t>mês 29</t>
  </si>
  <si>
    <t>mês 30</t>
  </si>
  <si>
    <t>mês 31</t>
  </si>
  <si>
    <t>mês 32</t>
  </si>
  <si>
    <t>mês 33</t>
  </si>
  <si>
    <t>(R$)</t>
  </si>
  <si>
    <t>1.0</t>
  </si>
  <si>
    <t>2.0</t>
  </si>
  <si>
    <t>PERÍODO DE OBSERVAÇÃO</t>
  </si>
  <si>
    <t>3.0</t>
  </si>
  <si>
    <t>SERVIÇOS PRELIMINARES / CONTENÇÕES</t>
  </si>
  <si>
    <t>90 DIAS</t>
  </si>
  <si>
    <t>ÁREA 1</t>
  </si>
  <si>
    <t>ÁREA 2</t>
  </si>
  <si>
    <t>ÁREA 3</t>
  </si>
  <si>
    <t>ÁREA 4</t>
  </si>
  <si>
    <t>ÁREA 5</t>
  </si>
  <si>
    <t>4.0</t>
  </si>
  <si>
    <t>DRENAGEM / SERVIÇOS COMPLEMENTARES</t>
  </si>
  <si>
    <t>TOTAL OBRA</t>
  </si>
  <si>
    <t>TOTAL ACUMULADO</t>
  </si>
  <si>
    <t>ANEXO 5.1 - PLANILHA RESUMO</t>
  </si>
  <si>
    <t>Preço unitário de referência (com aplicação do Fator K) (R$)</t>
  </si>
  <si>
    <t>FATOR K / TRDE</t>
  </si>
  <si>
    <t>Fatores Ks</t>
  </si>
  <si>
    <t>% SINAPI</t>
  </si>
  <si>
    <t>K1</t>
  </si>
  <si>
    <t>Encargos Sociais (K1)</t>
  </si>
  <si>
    <t>K2</t>
  </si>
  <si>
    <t>Administração Central (K2)</t>
  </si>
  <si>
    <t>K3</t>
  </si>
  <si>
    <t>Lucro (K3)</t>
  </si>
  <si>
    <t>K4</t>
  </si>
  <si>
    <t>IMPOSTOS E TRIBUTOS</t>
  </si>
  <si>
    <t>K SINAPI</t>
  </si>
  <si>
    <t>COFINS</t>
  </si>
  <si>
    <t>ISSQN</t>
  </si>
  <si>
    <t>CPRB</t>
  </si>
  <si>
    <t>PIS</t>
  </si>
  <si>
    <t>TRDE</t>
  </si>
  <si>
    <t xml:space="preserve">Fontes: </t>
  </si>
  <si>
    <t xml:space="preserve">SINAPI - Encargos Sociais Sem Desoneração SP </t>
  </si>
  <si>
    <t>Onde:</t>
  </si>
  <si>
    <t>PV = (CD x K) + (DD x TRDE)</t>
  </si>
  <si>
    <t xml:space="preserve">Sendo: </t>
  </si>
  <si>
    <t>PV = Preço de venda total praticado pela empresa</t>
  </si>
  <si>
    <t>CD = custo direto dos salários</t>
  </si>
  <si>
    <t>K = Fator "K"</t>
  </si>
  <si>
    <t>DD = demais custos diretos</t>
  </si>
  <si>
    <t>TRDE = taxa de ressarcimento de despesas e encargos</t>
  </si>
  <si>
    <t>K4 = impostos</t>
  </si>
  <si>
    <t>K1 = encargos sociais incidentes sobre a mão de obra</t>
  </si>
  <si>
    <t>K2= administração central da empresa ou consultoria (ou overhead)</t>
  </si>
  <si>
    <t>K3 = margem bruta da empresa de consultoria</t>
  </si>
  <si>
    <t>mês</t>
  </si>
  <si>
    <t>ARQUITETO SÊNIOR (MENSALISTA)</t>
  </si>
  <si>
    <t>SINAPI-I</t>
  </si>
  <si>
    <t>40817</t>
  </si>
  <si>
    <t>ARQUITETO PLENO (MENSALISTA)</t>
  </si>
  <si>
    <t>40816</t>
  </si>
  <si>
    <t>DESENHISTA PROJETISTA (MENSALISTA) (ver nota 2)</t>
  </si>
  <si>
    <t>40807</t>
  </si>
  <si>
    <t>Nota 1: Considerado mês com 168 horas trabalhadas, para efeito de conversão de unidades (h para mês)</t>
  </si>
  <si>
    <t>Nota 2: Considerando que a composição de referência continha horas trabalhadas de "desenhista cadista" e de "projetista", tais quantidades foram cumuladas às dos itens 2.6 e 3.6</t>
  </si>
  <si>
    <t>Qtde. Total (H)</t>
  </si>
  <si>
    <t>Qtde. Total (Mês) (ver nota 1)</t>
  </si>
  <si>
    <t>SECRETARIA DE DESENVOLVIMENTO URBANO E HABITAÇÃO</t>
  </si>
  <si>
    <t>EVENTOGRAMA - CRONOGRAMA FÍSICO-FINANCEIRO</t>
  </si>
  <si>
    <t>FATORES E COMPONENTES PARA CÁLCULO</t>
  </si>
  <si>
    <t>FATOR K / TRDE - MEMÓRIA DE CÁLCULO</t>
  </si>
  <si>
    <t xml:space="preserve">SECRETARIA DE DESENVOLVIMENTO E HABITAÇÃO </t>
  </si>
  <si>
    <t>TRDE (%) =</t>
  </si>
  <si>
    <t>K = [(1 + K1 + K2) x (1 + K3)] * (1 + K4)</t>
  </si>
  <si>
    <t>ENGENHEIRO PLENO</t>
  </si>
  <si>
    <t>ENGENHEIRO SÊNIOR</t>
  </si>
  <si>
    <t>ENGENHEIRO JUNIOR</t>
  </si>
  <si>
    <t>40813</t>
  </si>
  <si>
    <t>40814</t>
  </si>
  <si>
    <t>40811</t>
  </si>
  <si>
    <t>Drenagem e complementares</t>
  </si>
  <si>
    <t>TRDE = (1 + K3) * (1 + K4)</t>
  </si>
  <si>
    <t>Data-Base: Dezembro/2025</t>
  </si>
  <si>
    <t>DATA-BASE: Dezembro/2025</t>
  </si>
  <si>
    <t>Bancos de Preços: SINAPI (Dezembro/2025), SIURB (Julho/2025)</t>
  </si>
  <si>
    <t>Bancos de Preços: SINAPI (Dezembro/2025) - preços não desonerados, por tratar de serviços de consultoria e projetos</t>
  </si>
  <si>
    <t>Dez/25</t>
  </si>
  <si>
    <t>Data-Base: Dezembro 2025</t>
  </si>
  <si>
    <t>DEPARTAMENTO DE HABITAÇÃO</t>
  </si>
  <si>
    <t>NOTA 2 - Os valores referenciais das obras estão com incidência de BDI's de seus respectivos contratos; dessa forma, não se aplicaria cálculo e incidência de BDI sobre os valores resultantes no parâmetro acima.</t>
  </si>
  <si>
    <t>PREÇO UNITÁRIO (R$) - COM TRDE</t>
  </si>
  <si>
    <t>TRDE (%)</t>
  </si>
  <si>
    <t>PLANILHA DE APOIO PARA O ANEXO 5.5 PARA CÁLCULO DOS COEFICIENTES DE UTILIZAÇÃO DOS RECURSOS HUMANOS</t>
  </si>
  <si>
    <t>OS PREÇOS PÚBLICOS DESTA PLANILHA, ASSIM COMO SEUS CÓDIGOS, DIFEREM DOS APLICADOS NA PLANILHA FINAL</t>
  </si>
  <si>
    <t>PLANILHA DE APOIO PARA CÁLCULO E DISTRIBUIÇÃO DOS EVENTOS</t>
  </si>
  <si>
    <t>Valor de administração local (em considerar Projeto) - R$</t>
  </si>
  <si>
    <t>Valor de administração local (considerando valor Global com Projeto) -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</si>
</sst>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&quot;São Bernardo do Campo,&quot;\ dd\ &quot;de&quot;\ mmmm\ &quot;de&quot;\ yyyy"/>
    <numFmt numFmtId="166" formatCode="#,##0.00_ ;\-#,##0.00\ "/>
    <numFmt numFmtId="167" formatCode="_(* #,##0.00_);_(* \(#,##0.00\);_(* \-??_);_(@_)"/>
    <numFmt numFmtId="168" formatCode="#,##0.0000_ ;\-#,##0.0000\ "/>
    <numFmt numFmtId="169" formatCode="#,##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b/>
      <sz val="6"/>
      <name val="Arial"/>
      <family val="2"/>
    </font>
    <font>
      <b/>
      <sz val="8"/>
      <name val="Arial"/>
      <family val="2"/>
    </font>
    <font>
      <sz val="9"/>
      <color indexed="10"/>
      <name val="Arial"/>
      <family val="2"/>
    </font>
    <font>
      <b/>
      <sz val="14"/>
      <color theme="1"/>
      <name val="Arial"/>
      <family val="2"/>
    </font>
    <font>
      <sz val="16"/>
      <name val="Arial"/>
      <family val="2"/>
    </font>
    <font>
      <b/>
      <sz val="10"/>
      <color theme="3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43" fontId="23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0" fontId="4" fillId="0" borderId="0"/>
  </cellStyleXfs>
  <cellXfs count="337">
    <xf numFmtId="0" fontId="0" fillId="0" borderId="0" xfId="0"/>
    <xf numFmtId="43" fontId="0" fillId="0" borderId="0" xfId="0" applyNumberFormat="1"/>
    <xf numFmtId="0" fontId="0" fillId="0" borderId="1" xfId="0" applyBorder="1"/>
    <xf numFmtId="17" fontId="0" fillId="0" borderId="1" xfId="0" applyNumberFormat="1" applyBorder="1"/>
    <xf numFmtId="10" fontId="0" fillId="0" borderId="1" xfId="2" applyNumberFormat="1" applyFont="1" applyBorder="1"/>
    <xf numFmtId="0" fontId="2" fillId="0" borderId="0" xfId="0" applyFont="1"/>
    <xf numFmtId="4" fontId="0" fillId="0" borderId="0" xfId="0" applyNumberFormat="1"/>
    <xf numFmtId="0" fontId="0" fillId="0" borderId="1" xfId="0" applyBorder="1" applyAlignment="1">
      <alignment vertical="center"/>
    </xf>
    <xf numFmtId="17" fontId="0" fillId="0" borderId="1" xfId="0" applyNumberFormat="1" applyBorder="1" applyAlignment="1">
      <alignment horizontal="center" vertical="center" wrapText="1"/>
    </xf>
    <xf numFmtId="4" fontId="0" fillId="0" borderId="1" xfId="1" applyNumberFormat="1" applyFont="1" applyBorder="1"/>
    <xf numFmtId="0" fontId="2" fillId="0" borderId="1" xfId="0" applyFont="1" applyBorder="1"/>
    <xf numFmtId="4" fontId="0" fillId="0" borderId="1" xfId="0" applyNumberFormat="1" applyBorder="1"/>
    <xf numFmtId="4" fontId="2" fillId="0" borderId="1" xfId="0" applyNumberFormat="1" applyFon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17" fontId="0" fillId="2" borderId="1" xfId="0" applyNumberFormat="1" applyFill="1" applyBorder="1"/>
    <xf numFmtId="4" fontId="2" fillId="0" borderId="1" xfId="0" applyNumberFormat="1" applyFont="1" applyBorder="1" applyAlignment="1">
      <alignment horizontal="center" vertical="center"/>
    </xf>
    <xf numFmtId="4" fontId="0" fillId="0" borderId="1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0" fillId="3" borderId="1" xfId="0" applyNumberFormat="1" applyFill="1" applyBorder="1" applyAlignment="1">
      <alignment horizontal="right" vertical="center" wrapText="1"/>
    </xf>
    <xf numFmtId="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9" xfId="0" applyBorder="1" applyAlignment="1">
      <alignment horizontal="right" wrapText="1"/>
    </xf>
    <xf numFmtId="0" fontId="0" fillId="0" borderId="22" xfId="0" applyBorder="1" applyAlignment="1">
      <alignment wrapText="1"/>
    </xf>
    <xf numFmtId="0" fontId="0" fillId="0" borderId="23" xfId="0" applyBorder="1"/>
    <xf numFmtId="0" fontId="11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4" fillId="0" borderId="0" xfId="4" applyAlignment="1">
      <alignment vertical="center"/>
    </xf>
    <xf numFmtId="0" fontId="8" fillId="0" borderId="0" xfId="4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43" fontId="15" fillId="4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43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4" borderId="1" xfId="0" applyFont="1" applyFill="1" applyBorder="1" applyAlignment="1">
      <alignment horizontal="right" vertical="center" wrapText="1"/>
    </xf>
    <xf numFmtId="0" fontId="16" fillId="0" borderId="0" xfId="3" applyFont="1" applyAlignment="1">
      <alignment horizontal="center" vertical="center"/>
    </xf>
    <xf numFmtId="0" fontId="16" fillId="0" borderId="4" xfId="3" applyFont="1" applyBorder="1" applyAlignment="1">
      <alignment horizontal="center" vertical="center"/>
    </xf>
    <xf numFmtId="43" fontId="5" fillId="6" borderId="11" xfId="5" applyFont="1" applyFill="1" applyBorder="1" applyAlignment="1">
      <alignment horizontal="center" vertical="center" wrapText="1"/>
    </xf>
    <xf numFmtId="43" fontId="5" fillId="6" borderId="11" xfId="5" applyFont="1" applyFill="1" applyBorder="1" applyAlignment="1">
      <alignment horizontal="left" vertical="center" wrapText="1"/>
    </xf>
    <xf numFmtId="43" fontId="5" fillId="6" borderId="14" xfId="5" applyFont="1" applyFill="1" applyBorder="1" applyAlignment="1">
      <alignment horizontal="center" vertical="center" wrapText="1"/>
    </xf>
    <xf numFmtId="43" fontId="5" fillId="6" borderId="12" xfId="5" applyFont="1" applyFill="1" applyBorder="1" applyAlignment="1">
      <alignment horizontal="center" vertical="center" wrapText="1"/>
    </xf>
    <xf numFmtId="43" fontId="5" fillId="5" borderId="12" xfId="5" applyFont="1" applyFill="1" applyBorder="1" applyAlignment="1">
      <alignment horizontal="center" vertical="center" wrapText="1"/>
    </xf>
    <xf numFmtId="43" fontId="5" fillId="5" borderId="13" xfId="5" applyFont="1" applyFill="1" applyBorder="1" applyAlignment="1">
      <alignment horizontal="center" vertical="center" wrapText="1"/>
    </xf>
    <xf numFmtId="43" fontId="5" fillId="0" borderId="15" xfId="5" applyFont="1" applyFill="1" applyBorder="1" applyAlignment="1">
      <alignment horizontal="center" vertical="center" wrapText="1"/>
    </xf>
    <xf numFmtId="43" fontId="5" fillId="6" borderId="27" xfId="5" applyFont="1" applyFill="1" applyBorder="1" applyAlignment="1">
      <alignment horizontal="center" vertical="center" wrapText="1"/>
    </xf>
    <xf numFmtId="43" fontId="5" fillId="5" borderId="5" xfId="5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wrapText="1"/>
    </xf>
    <xf numFmtId="0" fontId="17" fillId="0" borderId="28" xfId="0" applyFont="1" applyBorder="1" applyAlignment="1">
      <alignment horizontal="left" wrapText="1"/>
    </xf>
    <xf numFmtId="43" fontId="7" fillId="0" borderId="28" xfId="5" applyFont="1" applyFill="1" applyBorder="1" applyAlignment="1">
      <alignment horizontal="center" vertical="center" wrapText="1"/>
    </xf>
    <xf numFmtId="49" fontId="7" fillId="0" borderId="28" xfId="5" applyNumberFormat="1" applyFont="1" applyFill="1" applyBorder="1" applyAlignment="1">
      <alignment horizontal="center" vertical="center" wrapText="1"/>
    </xf>
    <xf numFmtId="166" fontId="7" fillId="3" borderId="28" xfId="5" applyNumberFormat="1" applyFont="1" applyFill="1" applyBorder="1" applyAlignment="1">
      <alignment horizontal="center" vertical="center" wrapText="1"/>
    </xf>
    <xf numFmtId="166" fontId="4" fillId="0" borderId="28" xfId="5" applyNumberFormat="1" applyFont="1" applyFill="1" applyBorder="1" applyAlignment="1">
      <alignment horizontal="center" vertical="center" wrapText="1"/>
    </xf>
    <xf numFmtId="166" fontId="7" fillId="0" borderId="28" xfId="5" applyNumberFormat="1" applyFont="1" applyFill="1" applyBorder="1" applyAlignment="1">
      <alignment horizontal="center" vertical="center" wrapText="1"/>
    </xf>
    <xf numFmtId="166" fontId="7" fillId="7" borderId="28" xfId="5" applyNumberFormat="1" applyFont="1" applyFill="1" applyBorder="1" applyAlignment="1">
      <alignment horizontal="center" vertical="center" wrapText="1"/>
    </xf>
    <xf numFmtId="166" fontId="7" fillId="7" borderId="29" xfId="5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7" fillId="0" borderId="30" xfId="0" applyFont="1" applyBorder="1" applyAlignment="1">
      <alignment horizontal="center" wrapText="1"/>
    </xf>
    <xf numFmtId="0" fontId="17" fillId="0" borderId="1" xfId="0" applyFont="1" applyBorder="1" applyAlignment="1">
      <alignment horizontal="left" wrapText="1"/>
    </xf>
    <xf numFmtId="43" fontId="7" fillId="0" borderId="1" xfId="5" applyFont="1" applyFill="1" applyBorder="1" applyAlignment="1">
      <alignment horizontal="center" vertical="center" wrapText="1"/>
    </xf>
    <xf numFmtId="49" fontId="7" fillId="0" borderId="1" xfId="5" applyNumberFormat="1" applyFont="1" applyFill="1" applyBorder="1" applyAlignment="1">
      <alignment horizontal="center" vertical="center" wrapText="1"/>
    </xf>
    <xf numFmtId="166" fontId="7" fillId="3" borderId="1" xfId="5" applyNumberFormat="1" applyFont="1" applyFill="1" applyBorder="1" applyAlignment="1">
      <alignment horizontal="center" vertical="center" wrapText="1"/>
    </xf>
    <xf numFmtId="166" fontId="4" fillId="0" borderId="1" xfId="5" applyNumberFormat="1" applyFont="1" applyFill="1" applyBorder="1" applyAlignment="1">
      <alignment horizontal="center" vertical="center" wrapText="1"/>
    </xf>
    <xf numFmtId="166" fontId="7" fillId="0" borderId="1" xfId="5" applyNumberFormat="1" applyFont="1" applyFill="1" applyBorder="1" applyAlignment="1">
      <alignment horizontal="center" vertical="center" wrapText="1"/>
    </xf>
    <xf numFmtId="166" fontId="7" fillId="7" borderId="1" xfId="5" applyNumberFormat="1" applyFont="1" applyFill="1" applyBorder="1" applyAlignment="1">
      <alignment horizontal="center" vertical="center" wrapText="1"/>
    </xf>
    <xf numFmtId="166" fontId="7" fillId="7" borderId="31" xfId="5" applyNumberFormat="1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wrapText="1"/>
    </xf>
    <xf numFmtId="0" fontId="17" fillId="0" borderId="32" xfId="0" applyFont="1" applyBorder="1" applyAlignment="1">
      <alignment horizontal="left" wrapText="1"/>
    </xf>
    <xf numFmtId="43" fontId="7" fillId="0" borderId="32" xfId="5" applyFont="1" applyFill="1" applyBorder="1" applyAlignment="1">
      <alignment horizontal="center" vertical="center" wrapText="1"/>
    </xf>
    <xf numFmtId="49" fontId="7" fillId="0" borderId="32" xfId="5" applyNumberFormat="1" applyFont="1" applyFill="1" applyBorder="1" applyAlignment="1">
      <alignment horizontal="center" vertical="center" wrapText="1"/>
    </xf>
    <xf numFmtId="166" fontId="7" fillId="3" borderId="32" xfId="5" applyNumberFormat="1" applyFont="1" applyFill="1" applyBorder="1" applyAlignment="1">
      <alignment horizontal="center" vertical="center" wrapText="1"/>
    </xf>
    <xf numFmtId="166" fontId="4" fillId="0" borderId="32" xfId="5" applyNumberFormat="1" applyFont="1" applyFill="1" applyBorder="1" applyAlignment="1">
      <alignment horizontal="center" vertical="center" wrapText="1"/>
    </xf>
    <xf numFmtId="166" fontId="7" fillId="0" borderId="32" xfId="5" applyNumberFormat="1" applyFont="1" applyFill="1" applyBorder="1" applyAlignment="1">
      <alignment horizontal="center" vertical="center" wrapText="1"/>
    </xf>
    <xf numFmtId="166" fontId="7" fillId="7" borderId="32" xfId="5" applyNumberFormat="1" applyFont="1" applyFill="1" applyBorder="1" applyAlignment="1">
      <alignment horizontal="center" vertical="center" wrapText="1"/>
    </xf>
    <xf numFmtId="166" fontId="7" fillId="7" borderId="33" xfId="5" applyNumberFormat="1" applyFont="1" applyFill="1" applyBorder="1" applyAlignment="1">
      <alignment horizontal="center" vertical="center" wrapText="1"/>
    </xf>
    <xf numFmtId="0" fontId="0" fillId="0" borderId="34" xfId="0" applyBorder="1"/>
    <xf numFmtId="0" fontId="18" fillId="0" borderId="34" xfId="3" applyFont="1" applyBorder="1" applyAlignment="1">
      <alignment vertical="center"/>
    </xf>
    <xf numFmtId="0" fontId="18" fillId="0" borderId="34" xfId="3" applyFont="1" applyBorder="1" applyAlignment="1">
      <alignment horizontal="right" vertical="center"/>
    </xf>
    <xf numFmtId="166" fontId="18" fillId="5" borderId="5" xfId="3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0" fontId="1" fillId="0" borderId="0" xfId="2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43" fontId="0" fillId="4" borderId="1" xfId="6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3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43" fontId="0" fillId="0" borderId="1" xfId="6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3" fontId="0" fillId="4" borderId="1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3" fontId="0" fillId="0" borderId="1" xfId="6" applyNumberFormat="1" applyFont="1" applyFill="1" applyBorder="1" applyAlignment="1">
      <alignment horizontal="center" vertical="center"/>
    </xf>
    <xf numFmtId="43" fontId="0" fillId="0" borderId="0" xfId="6" applyNumberFormat="1" applyFont="1"/>
    <xf numFmtId="0" fontId="19" fillId="0" borderId="0" xfId="0" applyFont="1"/>
    <xf numFmtId="0" fontId="13" fillId="0" borderId="0" xfId="3" applyFont="1" applyAlignment="1">
      <alignment vertical="center"/>
    </xf>
    <xf numFmtId="0" fontId="4" fillId="0" borderId="0" xfId="0" applyFont="1" applyAlignment="1">
      <alignment horizontal="left" vertical="center"/>
    </xf>
    <xf numFmtId="0" fontId="18" fillId="0" borderId="0" xfId="3" applyFont="1" applyAlignment="1">
      <alignment vertical="center"/>
    </xf>
    <xf numFmtId="0" fontId="18" fillId="0" borderId="0" xfId="3" applyFont="1" applyAlignment="1">
      <alignment horizontal="right" vertical="center"/>
    </xf>
    <xf numFmtId="166" fontId="18" fillId="0" borderId="0" xfId="3" applyNumberFormat="1" applyFont="1" applyAlignment="1">
      <alignment horizontal="center" vertical="center"/>
    </xf>
    <xf numFmtId="0" fontId="0" fillId="0" borderId="36" xfId="0" applyBorder="1"/>
    <xf numFmtId="0" fontId="0" fillId="2" borderId="1" xfId="0" applyFill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43" fontId="0" fillId="0" borderId="0" xfId="1" applyFont="1"/>
    <xf numFmtId="0" fontId="2" fillId="0" borderId="2" xfId="0" applyFont="1" applyBorder="1"/>
    <xf numFmtId="0" fontId="0" fillId="0" borderId="3" xfId="0" applyBorder="1"/>
    <xf numFmtId="0" fontId="2" fillId="0" borderId="1" xfId="0" applyFont="1" applyBorder="1" applyAlignment="1">
      <alignment horizontal="right"/>
    </xf>
    <xf numFmtId="43" fontId="0" fillId="0" borderId="1" xfId="0" applyNumberFormat="1" applyBorder="1"/>
    <xf numFmtId="2" fontId="0" fillId="0" borderId="1" xfId="0" applyNumberFormat="1" applyBorder="1"/>
    <xf numFmtId="0" fontId="0" fillId="0" borderId="9" xfId="0" applyBorder="1" applyAlignment="1">
      <alignment horizontal="right"/>
    </xf>
    <xf numFmtId="4" fontId="0" fillId="0" borderId="9" xfId="0" applyNumberFormat="1" applyBorder="1"/>
    <xf numFmtId="0" fontId="0" fillId="0" borderId="11" xfId="0" applyBorder="1" applyAlignment="1">
      <alignment horizontal="right"/>
    </xf>
    <xf numFmtId="4" fontId="0" fillId="0" borderId="15" xfId="0" applyNumberFormat="1" applyBorder="1"/>
    <xf numFmtId="0" fontId="2" fillId="0" borderId="2" xfId="0" applyFont="1" applyBorder="1" applyAlignment="1">
      <alignment horizontal="left"/>
    </xf>
    <xf numFmtId="2" fontId="0" fillId="0" borderId="3" xfId="0" applyNumberFormat="1" applyBorder="1"/>
    <xf numFmtId="0" fontId="4" fillId="0" borderId="0" xfId="7"/>
    <xf numFmtId="4" fontId="21" fillId="0" borderId="0" xfId="7" applyNumberFormat="1" applyFont="1"/>
    <xf numFmtId="4" fontId="4" fillId="0" borderId="0" xfId="7" applyNumberFormat="1"/>
    <xf numFmtId="4" fontId="4" fillId="0" borderId="37" xfId="7" applyNumberFormat="1" applyBorder="1"/>
    <xf numFmtId="167" fontId="24" fillId="0" borderId="0" xfId="8" applyNumberFormat="1" applyFont="1" applyFill="1" applyBorder="1" applyAlignment="1" applyProtection="1">
      <alignment horizontal="right" vertical="center"/>
    </xf>
    <xf numFmtId="167" fontId="25" fillId="0" borderId="5" xfId="8" applyNumberFormat="1" applyFont="1" applyFill="1" applyBorder="1" applyAlignment="1" applyProtection="1">
      <alignment horizontal="center" vertical="center"/>
    </xf>
    <xf numFmtId="167" fontId="25" fillId="0" borderId="0" xfId="8" applyNumberFormat="1" applyFont="1" applyFill="1" applyBorder="1" applyAlignment="1" applyProtection="1">
      <alignment horizontal="right" vertical="center"/>
    </xf>
    <xf numFmtId="49" fontId="25" fillId="0" borderId="5" xfId="8" applyNumberFormat="1" applyFont="1" applyFill="1" applyBorder="1" applyAlignment="1" applyProtection="1">
      <alignment horizontal="center" vertical="center"/>
    </xf>
    <xf numFmtId="4" fontId="22" fillId="0" borderId="0" xfId="7" applyNumberFormat="1" applyFont="1" applyAlignment="1">
      <alignment horizontal="center"/>
    </xf>
    <xf numFmtId="4" fontId="21" fillId="0" borderId="0" xfId="7" applyNumberFormat="1" applyFont="1" applyAlignment="1">
      <alignment horizontal="left"/>
    </xf>
    <xf numFmtId="4" fontId="21" fillId="0" borderId="4" xfId="7" applyNumberFormat="1" applyFont="1" applyBorder="1" applyAlignment="1">
      <alignment horizontal="center"/>
    </xf>
    <xf numFmtId="4" fontId="21" fillId="0" borderId="4" xfId="7" applyNumberFormat="1" applyFont="1" applyBorder="1"/>
    <xf numFmtId="4" fontId="4" fillId="0" borderId="4" xfId="7" applyNumberFormat="1" applyBorder="1"/>
    <xf numFmtId="0" fontId="22" fillId="0" borderId="7" xfId="7" applyFont="1" applyBorder="1" applyAlignment="1">
      <alignment horizontal="center"/>
    </xf>
    <xf numFmtId="0" fontId="22" fillId="0" borderId="38" xfId="7" applyFont="1" applyBorder="1" applyAlignment="1">
      <alignment horizontal="center"/>
    </xf>
    <xf numFmtId="4" fontId="22" fillId="0" borderId="39" xfId="7" applyNumberFormat="1" applyFont="1" applyBorder="1" applyAlignment="1">
      <alignment horizontal="center"/>
    </xf>
    <xf numFmtId="4" fontId="22" fillId="0" borderId="40" xfId="7" applyNumberFormat="1" applyFont="1" applyBorder="1" applyAlignment="1">
      <alignment horizontal="center"/>
    </xf>
    <xf numFmtId="4" fontId="22" fillId="0" borderId="41" xfId="7" applyNumberFormat="1" applyFont="1" applyBorder="1" applyAlignment="1">
      <alignment horizontal="center"/>
    </xf>
    <xf numFmtId="0" fontId="22" fillId="0" borderId="6" xfId="7" applyFont="1" applyBorder="1" applyAlignment="1">
      <alignment horizontal="center"/>
    </xf>
    <xf numFmtId="0" fontId="22" fillId="0" borderId="36" xfId="7" applyFont="1" applyBorder="1" applyAlignment="1">
      <alignment horizontal="center"/>
    </xf>
    <xf numFmtId="4" fontId="22" fillId="0" borderId="42" xfId="7" applyNumberFormat="1" applyFont="1" applyBorder="1" applyAlignment="1">
      <alignment horizontal="center"/>
    </xf>
    <xf numFmtId="4" fontId="22" fillId="0" borderId="43" xfId="7" applyNumberFormat="1" applyFont="1" applyBorder="1" applyAlignment="1">
      <alignment horizontal="center"/>
    </xf>
    <xf numFmtId="4" fontId="22" fillId="0" borderId="44" xfId="7" applyNumberFormat="1" applyFont="1" applyBorder="1" applyAlignment="1">
      <alignment horizontal="center"/>
    </xf>
    <xf numFmtId="4" fontId="21" fillId="0" borderId="44" xfId="7" applyNumberFormat="1" applyFont="1" applyBorder="1"/>
    <xf numFmtId="4" fontId="4" fillId="0" borderId="44" xfId="7" applyNumberFormat="1" applyBorder="1"/>
    <xf numFmtId="0" fontId="22" fillId="0" borderId="30" xfId="7" applyFont="1" applyBorder="1" applyAlignment="1">
      <alignment horizontal="center"/>
    </xf>
    <xf numFmtId="0" fontId="22" fillId="0" borderId="1" xfId="7" applyFont="1" applyBorder="1" applyAlignment="1">
      <alignment horizontal="left"/>
    </xf>
    <xf numFmtId="4" fontId="22" fillId="0" borderId="1" xfId="7" applyNumberFormat="1" applyFont="1" applyBorder="1" applyAlignment="1">
      <alignment horizontal="center"/>
    </xf>
    <xf numFmtId="4" fontId="21" fillId="0" borderId="1" xfId="7" applyNumberFormat="1" applyFont="1" applyBorder="1"/>
    <xf numFmtId="4" fontId="4" fillId="0" borderId="1" xfId="7" applyNumberFormat="1" applyBorder="1"/>
    <xf numFmtId="4" fontId="4" fillId="0" borderId="31" xfId="7" applyNumberFormat="1" applyBorder="1"/>
    <xf numFmtId="49" fontId="22" fillId="0" borderId="0" xfId="7" applyNumberFormat="1" applyFont="1" applyAlignment="1">
      <alignment horizontal="left" vertical="justify" wrapText="1"/>
    </xf>
    <xf numFmtId="4" fontId="21" fillId="0" borderId="1" xfId="7" applyNumberFormat="1" applyFont="1" applyBorder="1" applyAlignment="1">
      <alignment horizontal="center"/>
    </xf>
    <xf numFmtId="4" fontId="21" fillId="8" borderId="1" xfId="7" applyNumberFormat="1" applyFont="1" applyFill="1" applyBorder="1" applyAlignment="1">
      <alignment horizontal="center"/>
    </xf>
    <xf numFmtId="4" fontId="21" fillId="8" borderId="1" xfId="7" applyNumberFormat="1" applyFont="1" applyFill="1" applyBorder="1"/>
    <xf numFmtId="4" fontId="21" fillId="8" borderId="31" xfId="7" applyNumberFormat="1" applyFont="1" applyFill="1" applyBorder="1"/>
    <xf numFmtId="49" fontId="22" fillId="0" borderId="1" xfId="7" applyNumberFormat="1" applyFont="1" applyBorder="1" applyAlignment="1">
      <alignment horizontal="left" vertical="justify" wrapText="1"/>
    </xf>
    <xf numFmtId="49" fontId="21" fillId="0" borderId="1" xfId="7" applyNumberFormat="1" applyFont="1" applyBorder="1" applyAlignment="1">
      <alignment horizontal="left" vertical="justify" wrapText="1"/>
    </xf>
    <xf numFmtId="4" fontId="21" fillId="0" borderId="31" xfId="7" applyNumberFormat="1" applyFont="1" applyBorder="1" applyAlignment="1">
      <alignment horizontal="center"/>
    </xf>
    <xf numFmtId="4" fontId="21" fillId="3" borderId="1" xfId="7" applyNumberFormat="1" applyFont="1" applyFill="1" applyBorder="1"/>
    <xf numFmtId="0" fontId="21" fillId="0" borderId="1" xfId="7" applyFont="1" applyBorder="1"/>
    <xf numFmtId="4" fontId="26" fillId="0" borderId="1" xfId="7" applyNumberFormat="1" applyFont="1" applyBorder="1" applyAlignment="1">
      <alignment horizontal="center"/>
    </xf>
    <xf numFmtId="4" fontId="21" fillId="0" borderId="31" xfId="7" applyNumberFormat="1" applyFont="1" applyBorder="1"/>
    <xf numFmtId="4" fontId="21" fillId="0" borderId="2" xfId="7" applyNumberFormat="1" applyFont="1" applyBorder="1"/>
    <xf numFmtId="0" fontId="4" fillId="3" borderId="0" xfId="7" applyFill="1"/>
    <xf numFmtId="4" fontId="21" fillId="3" borderId="2" xfId="7" applyNumberFormat="1" applyFont="1" applyFill="1" applyBorder="1"/>
    <xf numFmtId="0" fontId="4" fillId="0" borderId="1" xfId="7" applyBorder="1"/>
    <xf numFmtId="4" fontId="21" fillId="8" borderId="2" xfId="7" applyNumberFormat="1" applyFont="1" applyFill="1" applyBorder="1"/>
    <xf numFmtId="0" fontId="21" fillId="0" borderId="1" xfId="6" applyNumberFormat="1" applyFont="1" applyFill="1" applyBorder="1" applyAlignment="1" applyProtection="1">
      <alignment horizontal="left" vertical="center" wrapText="1"/>
    </xf>
    <xf numFmtId="0" fontId="21" fillId="0" borderId="45" xfId="7" applyFont="1" applyBorder="1" applyAlignment="1">
      <alignment horizontal="center"/>
    </xf>
    <xf numFmtId="4" fontId="21" fillId="0" borderId="3" xfId="7" applyNumberFormat="1" applyFont="1" applyBorder="1"/>
    <xf numFmtId="0" fontId="22" fillId="0" borderId="1" xfId="7" applyFont="1" applyBorder="1" applyAlignment="1">
      <alignment horizontal="right"/>
    </xf>
    <xf numFmtId="4" fontId="22" fillId="0" borderId="1" xfId="7" applyNumberFormat="1" applyFont="1" applyBorder="1"/>
    <xf numFmtId="4" fontId="21" fillId="0" borderId="32" xfId="7" applyNumberFormat="1" applyFont="1" applyBorder="1"/>
    <xf numFmtId="4" fontId="22" fillId="0" borderId="32" xfId="7" applyNumberFormat="1" applyFont="1" applyBorder="1"/>
    <xf numFmtId="4" fontId="22" fillId="0" borderId="0" xfId="7" applyNumberFormat="1" applyFont="1" applyAlignment="1">
      <alignment horizontal="center" vertical="center"/>
    </xf>
    <xf numFmtId="4" fontId="22" fillId="0" borderId="0" xfId="7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0" fontId="4" fillId="0" borderId="0" xfId="4"/>
    <xf numFmtId="0" fontId="12" fillId="0" borderId="0" xfId="9" applyFont="1" applyAlignment="1">
      <alignment horizontal="center" vertical="center"/>
    </xf>
    <xf numFmtId="0" fontId="7" fillId="0" borderId="0" xfId="4" applyFont="1"/>
    <xf numFmtId="164" fontId="12" fillId="0" borderId="0" xfId="10" applyNumberFormat="1" applyFont="1" applyFill="1" applyBorder="1" applyAlignment="1">
      <alignment horizontal="center" vertical="center"/>
    </xf>
    <xf numFmtId="4" fontId="5" fillId="0" borderId="0" xfId="4" applyNumberFormat="1" applyFont="1"/>
    <xf numFmtId="0" fontId="14" fillId="0" borderId="0" xfId="0" applyFont="1"/>
    <xf numFmtId="0" fontId="4" fillId="0" borderId="0" xfId="11" applyAlignment="1">
      <alignment horizontal="center"/>
    </xf>
    <xf numFmtId="0" fontId="21" fillId="0" borderId="0" xfId="0" applyFont="1"/>
    <xf numFmtId="0" fontId="5" fillId="0" borderId="19" xfId="0" applyFont="1" applyBorder="1" applyAlignment="1">
      <alignment horizontal="left" vertical="center" wrapText="1"/>
    </xf>
    <xf numFmtId="0" fontId="6" fillId="0" borderId="0" xfId="11" applyFont="1" applyAlignment="1">
      <alignment vertical="center"/>
    </xf>
    <xf numFmtId="4" fontId="14" fillId="0" borderId="0" xfId="0" applyNumberFormat="1" applyFont="1"/>
    <xf numFmtId="0" fontId="5" fillId="0" borderId="2" xfId="0" applyFont="1" applyBorder="1" applyAlignment="1">
      <alignment vertical="center"/>
    </xf>
    <xf numFmtId="166" fontId="14" fillId="0" borderId="0" xfId="0" applyNumberFormat="1" applyFont="1"/>
    <xf numFmtId="0" fontId="5" fillId="0" borderId="2" xfId="0" applyFont="1" applyBorder="1" applyAlignment="1">
      <alignment horizontal="right" vertical="center"/>
    </xf>
    <xf numFmtId="10" fontId="4" fillId="3" borderId="0" xfId="0" applyNumberFormat="1" applyFont="1" applyFill="1" applyAlignment="1">
      <alignment horizontal="center" vertical="center" wrapText="1"/>
    </xf>
    <xf numFmtId="0" fontId="4" fillId="3" borderId="0" xfId="11" applyFill="1" applyAlignment="1">
      <alignment vertical="center"/>
    </xf>
    <xf numFmtId="0" fontId="28" fillId="3" borderId="0" xfId="0" applyFont="1" applyFill="1" applyAlignment="1">
      <alignment horizontal="center" vertical="center"/>
    </xf>
    <xf numFmtId="166" fontId="28" fillId="3" borderId="0" xfId="0" applyNumberFormat="1" applyFont="1" applyFill="1" applyAlignment="1">
      <alignment horizontal="center" vertical="center"/>
    </xf>
    <xf numFmtId="0" fontId="4" fillId="3" borderId="0" xfId="11" applyFill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29" fillId="0" borderId="0" xfId="11" applyFont="1" applyAlignment="1">
      <alignment horizontal="center" vertical="center"/>
    </xf>
    <xf numFmtId="0" fontId="17" fillId="0" borderId="22" xfId="0" applyFont="1" applyBorder="1" applyAlignment="1">
      <alignment horizontal="left" wrapText="1"/>
    </xf>
    <xf numFmtId="0" fontId="17" fillId="0" borderId="30" xfId="0" applyFont="1" applyBorder="1" applyAlignment="1">
      <alignment horizontal="left" wrapText="1"/>
    </xf>
    <xf numFmtId="0" fontId="17" fillId="0" borderId="23" xfId="0" applyFont="1" applyBorder="1" applyAlignment="1">
      <alignment horizontal="left" wrapText="1"/>
    </xf>
    <xf numFmtId="0" fontId="30" fillId="0" borderId="0" xfId="0" applyFont="1"/>
    <xf numFmtId="166" fontId="4" fillId="0" borderId="41" xfId="5" applyNumberFormat="1" applyFont="1" applyFill="1" applyBorder="1" applyAlignment="1">
      <alignment horizontal="center" vertical="center" wrapText="1"/>
    </xf>
    <xf numFmtId="166" fontId="4" fillId="0" borderId="17" xfId="5" applyNumberFormat="1" applyFont="1" applyFill="1" applyBorder="1" applyAlignment="1">
      <alignment horizontal="center" vertical="center" wrapText="1"/>
    </xf>
    <xf numFmtId="166" fontId="7" fillId="0" borderId="17" xfId="5" applyNumberFormat="1" applyFont="1" applyFill="1" applyBorder="1" applyAlignment="1">
      <alignment horizontal="center" vertical="center" wrapText="1"/>
    </xf>
    <xf numFmtId="2" fontId="7" fillId="0" borderId="1" xfId="5" applyNumberFormat="1" applyFont="1" applyFill="1" applyBorder="1" applyAlignment="1">
      <alignment horizontal="center" vertical="center" wrapText="1"/>
    </xf>
    <xf numFmtId="166" fontId="7" fillId="0" borderId="41" xfId="5" applyNumberFormat="1" applyFont="1" applyFill="1" applyBorder="1" applyAlignment="1">
      <alignment horizontal="center" vertical="center" wrapText="1"/>
    </xf>
    <xf numFmtId="2" fontId="7" fillId="0" borderId="41" xfId="5" applyNumberFormat="1" applyFont="1" applyFill="1" applyBorder="1" applyAlignment="1">
      <alignment horizontal="center" vertical="center" wrapText="1"/>
    </xf>
    <xf numFmtId="166" fontId="7" fillId="7" borderId="41" xfId="5" applyNumberFormat="1" applyFont="1" applyFill="1" applyBorder="1" applyAlignment="1">
      <alignment horizontal="center" vertical="center" wrapText="1"/>
    </xf>
    <xf numFmtId="2" fontId="7" fillId="0" borderId="17" xfId="5" applyNumberFormat="1" applyFont="1" applyFill="1" applyBorder="1" applyAlignment="1">
      <alignment horizontal="center" vertical="center" wrapText="1"/>
    </xf>
    <xf numFmtId="166" fontId="7" fillId="7" borderId="17" xfId="5" applyNumberFormat="1" applyFont="1" applyFill="1" applyBorder="1" applyAlignment="1">
      <alignment horizontal="center" vertical="center" wrapText="1"/>
    </xf>
    <xf numFmtId="43" fontId="7" fillId="0" borderId="41" xfId="5" applyFont="1" applyFill="1" applyBorder="1" applyAlignment="1">
      <alignment horizontal="center" vertical="center" wrapText="1"/>
    </xf>
    <xf numFmtId="43" fontId="7" fillId="0" borderId="17" xfId="5" applyFont="1" applyFill="1" applyBorder="1" applyAlignment="1">
      <alignment horizontal="center" vertical="center" wrapText="1"/>
    </xf>
    <xf numFmtId="0" fontId="22" fillId="0" borderId="0" xfId="7" applyFont="1" applyAlignment="1">
      <alignment vertical="center"/>
    </xf>
    <xf numFmtId="4" fontId="22" fillId="0" borderId="0" xfId="7" applyNumberFormat="1" applyFont="1"/>
    <xf numFmtId="0" fontId="10" fillId="0" borderId="0" xfId="0" applyFont="1" applyAlignment="1">
      <alignment horizontal="center" vertical="center"/>
    </xf>
    <xf numFmtId="4" fontId="27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166" fontId="9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22" fillId="0" borderId="0" xfId="7" applyFont="1" applyAlignment="1">
      <alignment vertical="center" wrapText="1"/>
    </xf>
    <xf numFmtId="169" fontId="22" fillId="0" borderId="32" xfId="7" applyNumberFormat="1" applyFont="1" applyBorder="1"/>
    <xf numFmtId="0" fontId="1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/>
    <xf numFmtId="0" fontId="9" fillId="10" borderId="1" xfId="0" applyFont="1" applyFill="1" applyBorder="1" applyAlignment="1">
      <alignment horizontal="center" vertical="center"/>
    </xf>
    <xf numFmtId="168" fontId="9" fillId="1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 wrapText="1"/>
    </xf>
    <xf numFmtId="10" fontId="4" fillId="9" borderId="1" xfId="0" applyNumberFormat="1" applyFont="1" applyFill="1" applyBorder="1" applyAlignment="1">
      <alignment horizontal="center" vertical="center" wrapText="1"/>
    </xf>
    <xf numFmtId="10" fontId="4" fillId="11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0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" fontId="2" fillId="0" borderId="25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0" fillId="0" borderId="2" xfId="1" applyNumberFormat="1" applyFont="1" applyBorder="1" applyAlignment="1">
      <alignment horizontal="center" vertical="center"/>
    </xf>
    <xf numFmtId="4" fontId="0" fillId="0" borderId="3" xfId="1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4" fontId="0" fillId="4" borderId="10" xfId="1" applyNumberFormat="1" applyFont="1" applyFill="1" applyBorder="1" applyAlignment="1">
      <alignment horizontal="center" vertical="center"/>
    </xf>
    <xf numFmtId="4" fontId="0" fillId="4" borderId="18" xfId="1" applyNumberFormat="1" applyFont="1" applyFill="1" applyBorder="1" applyAlignment="1">
      <alignment horizontal="center" vertical="center"/>
    </xf>
    <xf numFmtId="4" fontId="0" fillId="4" borderId="19" xfId="1" applyNumberFormat="1" applyFont="1" applyFill="1" applyBorder="1" applyAlignment="1">
      <alignment horizontal="center" vertical="center"/>
    </xf>
    <xf numFmtId="4" fontId="0" fillId="4" borderId="20" xfId="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" fontId="0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3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0" fontId="20" fillId="0" borderId="0" xfId="3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6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0" fontId="22" fillId="0" borderId="46" xfId="7" applyFont="1" applyBorder="1" applyAlignment="1">
      <alignment horizontal="right"/>
    </xf>
    <xf numFmtId="0" fontId="22" fillId="0" borderId="47" xfId="7" applyFont="1" applyBorder="1" applyAlignment="1">
      <alignment horizontal="right"/>
    </xf>
    <xf numFmtId="0" fontId="21" fillId="0" borderId="4" xfId="7" applyFont="1" applyBorder="1" applyAlignment="1">
      <alignment horizontal="center"/>
    </xf>
    <xf numFmtId="4" fontId="21" fillId="0" borderId="4" xfId="7" applyNumberFormat="1" applyFont="1" applyBorder="1" applyAlignment="1">
      <alignment horizontal="center"/>
    </xf>
    <xf numFmtId="0" fontId="22" fillId="0" borderId="0" xfId="7" applyFont="1" applyAlignment="1">
      <alignment horizontal="center" vertical="center"/>
    </xf>
    <xf numFmtId="4" fontId="21" fillId="0" borderId="1" xfId="7" applyNumberFormat="1" applyFont="1" applyBorder="1" applyAlignment="1">
      <alignment horizontal="center"/>
    </xf>
    <xf numFmtId="4" fontId="21" fillId="0" borderId="31" xfId="7" applyNumberFormat="1" applyFont="1" applyBorder="1" applyAlignment="1">
      <alignment horizontal="center"/>
    </xf>
    <xf numFmtId="0" fontId="22" fillId="0" borderId="0" xfId="7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8" fillId="0" borderId="0" xfId="0" applyFont="1" applyAlignment="1">
      <alignment horizontal="center"/>
    </xf>
    <xf numFmtId="0" fontId="3" fillId="0" borderId="0" xfId="9" applyFont="1" applyAlignment="1">
      <alignment horizontal="center" vertical="center"/>
    </xf>
    <xf numFmtId="0" fontId="6" fillId="0" borderId="0" xfId="9" applyFont="1" applyAlignment="1">
      <alignment horizontal="center" vertical="center" wrapText="1"/>
    </xf>
    <xf numFmtId="0" fontId="6" fillId="0" borderId="0" xfId="9" applyFont="1" applyAlignment="1">
      <alignment horizontal="center" vertical="center"/>
    </xf>
    <xf numFmtId="4" fontId="5" fillId="0" borderId="0" xfId="4" applyNumberFormat="1" applyFont="1" applyAlignment="1">
      <alignment horizontal="center" vertical="center" wrapText="1"/>
    </xf>
    <xf numFmtId="4" fontId="6" fillId="0" borderId="0" xfId="4" applyNumberFormat="1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9" borderId="2" xfId="0" applyFont="1" applyFill="1" applyBorder="1" applyAlignment="1">
      <alignment horizontal="left" vertical="center" wrapText="1"/>
    </xf>
    <xf numFmtId="0" fontId="5" fillId="9" borderId="48" xfId="0" applyFont="1" applyFill="1" applyBorder="1" applyAlignment="1">
      <alignment horizontal="left" vertical="center" wrapText="1"/>
    </xf>
    <xf numFmtId="0" fontId="4" fillId="3" borderId="0" xfId="11" applyFill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1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</cellXfs>
  <cellStyles count="12">
    <cellStyle name="Normal" xfId="0" builtinId="0"/>
    <cellStyle name="Normal 2 2" xfId="4" xr:uid="{00000000-0005-0000-0000-000001000000}"/>
    <cellStyle name="Normal 23" xfId="7" xr:uid="{00000000-0005-0000-0000-000002000000}"/>
    <cellStyle name="Normal 3 2" xfId="11" xr:uid="{00000000-0005-0000-0000-000003000000}"/>
    <cellStyle name="Normal 5 10" xfId="3" xr:uid="{00000000-0005-0000-0000-000004000000}"/>
    <cellStyle name="Normal 7 10" xfId="9" xr:uid="{00000000-0005-0000-0000-000005000000}"/>
    <cellStyle name="Porcentagem" xfId="2" builtinId="5"/>
    <cellStyle name="Separador de milhares 2 35" xfId="5" xr:uid="{00000000-0005-0000-0000-000009000000}"/>
    <cellStyle name="Separador de milhares 5" xfId="10" xr:uid="{00000000-0005-0000-0000-00000A000000}"/>
    <cellStyle name="Vírgula" xfId="1" builtinId="3"/>
    <cellStyle name="Vírgula 11 13" xfId="8" xr:uid="{00000000-0005-0000-0000-00000B000000}"/>
    <cellStyle name="Vírgula 2" xfId="6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167121</xdr:rowOff>
    </xdr:from>
    <xdr:to>
      <xdr:col>0</xdr:col>
      <xdr:colOff>1403528</xdr:colOff>
      <xdr:row>3</xdr:row>
      <xdr:rowOff>17318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167121"/>
          <a:ext cx="1317803" cy="4216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123825</xdr:rowOff>
    </xdr:from>
    <xdr:to>
      <xdr:col>1</xdr:col>
      <xdr:colOff>892966</xdr:colOff>
      <xdr:row>2</xdr:row>
      <xdr:rowOff>180974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23825"/>
          <a:ext cx="1369216" cy="4381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2</xdr:col>
      <xdr:colOff>28572</xdr:colOff>
      <xdr:row>2</xdr:row>
      <xdr:rowOff>76199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190622" cy="3809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104774</xdr:rowOff>
    </xdr:from>
    <xdr:to>
      <xdr:col>1</xdr:col>
      <xdr:colOff>1357605</xdr:colOff>
      <xdr:row>3</xdr:row>
      <xdr:rowOff>171450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104774"/>
          <a:ext cx="1767180" cy="6477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87313</xdr:colOff>
      <xdr:row>0</xdr:row>
      <xdr:rowOff>79376</xdr:rowOff>
    </xdr:from>
    <xdr:to>
      <xdr:col>0</xdr:col>
      <xdr:colOff>1605359</xdr:colOff>
      <xdr:row>2</xdr:row>
      <xdr:rowOff>176213</xdr:rowOff>
    </xdr:to>
    <xdr:pic>
      <xdr:nvPicPr>
        <xdr:cNvPr id="2" name="Imagem 1" descr="Logo Prefeitura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313" y="79376"/>
          <a:ext cx="1518046" cy="4857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90054</xdr:colOff>
      <xdr:row>0</xdr:row>
      <xdr:rowOff>80153</xdr:rowOff>
    </xdr:from>
    <xdr:ext cx="1538721" cy="412401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54" y="565928"/>
          <a:ext cx="1538721" cy="41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Troca\Transferegov%20-%20Novo%20PAC%20-%20Jd.%20Irene\Or&#231;amento\Data-base%20Dez-2025\&#193;rea%202_Jd%20Irene_Or&#231;amento%20de%20Projeto_08-10-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EHAB\NOVA%20CENTREVILLE\02_URB\PROJETOS_MEMORIAIS%20LICITA&#199;&#195;O%20CENTREVILLE\OR&#199;AMENTO\Or&#231;amento_HT_Centreville_rev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EHAB\NOVA%20CENTREVILLE\02_URB\PROJETOS_MEMORIAIS%20LICITA&#199;&#195;O%20CENTREVILLE\OR&#199;AMENTO\Nova%20Centreville_Projeto%20executivo_Fator%20K%20-%20resumi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Serviços de campo"/>
      <sheetName val="Projetos - Relatórios"/>
      <sheetName val="Fator K"/>
      <sheetName val="SIURB"/>
      <sheetName val="ÁREA 2"/>
    </sheetNames>
    <sheetDataSet>
      <sheetData sheetId="0"/>
      <sheetData sheetId="1">
        <row r="9">
          <cell r="I9" t="str">
            <v>BDI (%) =</v>
          </cell>
        </row>
      </sheetData>
      <sheetData sheetId="2"/>
      <sheetData sheetId="3"/>
      <sheetData sheetId="4"/>
      <sheetData sheetId="5">
        <row r="15">
          <cell r="F15">
            <v>1</v>
          </cell>
        </row>
        <row r="16">
          <cell r="F16">
            <v>15</v>
          </cell>
        </row>
        <row r="17">
          <cell r="F17">
            <v>300</v>
          </cell>
        </row>
        <row r="19">
          <cell r="F19">
            <v>6</v>
          </cell>
        </row>
        <row r="20">
          <cell r="F20">
            <v>6</v>
          </cell>
        </row>
        <row r="21">
          <cell r="F21">
            <v>10</v>
          </cell>
        </row>
        <row r="22">
          <cell r="F22">
            <v>6</v>
          </cell>
        </row>
        <row r="23">
          <cell r="F23">
            <v>10</v>
          </cell>
        </row>
        <row r="24">
          <cell r="F24">
            <v>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ENTOGRAMA"/>
      <sheetName val="RESUMO"/>
      <sheetName val="orç detalhado Centreville"/>
      <sheetName val="MC CENTREVILLE"/>
      <sheetName val="COTAÇÕES"/>
      <sheetName val="COMPOSICOES CENTREVILLE"/>
      <sheetName val="ADM.LOCAL"/>
      <sheetName val="MELHORIAS HABITACIONAIS - MÉDIA"/>
      <sheetName val="S4| Q1| 330"/>
      <sheetName val="S4| Q1| 331, 332, 333"/>
      <sheetName val="S4| Q1| 294, 295, 296, 297"/>
      <sheetName val="S4| Q1| 288, 289, 290, 291"/>
      <sheetName val="S4| Q1| 287"/>
      <sheetName val="S4| Q1| 285, 286, 409, 496"/>
      <sheetName val="S4| Q1| 271, 272, 558"/>
      <sheetName val="BDI-26,98%"/>
      <sheetName val="BDI-20,25%"/>
      <sheetName val="L.D.I"/>
      <sheetName val=" QUANT. DEMOLIÇÃO CENTREVILLE"/>
      <sheetName val="ÁREA DE DEMOLIÇÃO NOV CENT.(M2)"/>
      <sheetName val="P.A. MÉDIA PONDERADA ESTIMADA"/>
      <sheetName val="P.A. VOLUME I"/>
      <sheetName val="P.A. VOLUME II"/>
      <sheetName val="P.A. VOLUME III"/>
      <sheetName val="P.A. VOLUME IV"/>
      <sheetName val="DET.CANT."/>
      <sheetName val="12.1 "/>
      <sheetName val="12.2"/>
      <sheetName val="FATOR K"/>
      <sheetName val="ÁREAS DE DEMOLIÇÃO CENTREV. M2"/>
    </sheetNames>
    <sheetDataSet>
      <sheetData sheetId="0"/>
      <sheetData sheetId="1">
        <row r="20">
          <cell r="F20" t="str">
            <v>CUSTOS DIRETOS</v>
          </cell>
        </row>
      </sheetData>
      <sheetData sheetId="2">
        <row r="3">
          <cell r="K3">
            <v>23.64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12">
          <cell r="G12">
            <v>2.1</v>
          </cell>
        </row>
      </sheetData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 "/>
      <sheetName val="12.1-SERVIÇOS PRELIMINARES"/>
      <sheetName val="12.2-PROJETOS"/>
      <sheetName val="URBANISMO"/>
      <sheetName val="PAISAGISMO"/>
      <sheetName val="REQUALIFICAÇÕES"/>
      <sheetName val="GEO - ESTR"/>
      <sheetName val="GEOM - PAVIM"/>
      <sheetName val="DREN - AG - ESG"/>
      <sheetName val="REL - PARECER - ORÇ"/>
      <sheetName val="ANÁLISE FATOR K e PREÇO V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9">
          <cell r="D9">
            <v>0.98719999999999997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5:C22"/>
  <sheetViews>
    <sheetView zoomScale="110" zoomScaleNormal="110" workbookViewId="0">
      <selection activeCell="A10" sqref="A10:C22"/>
    </sheetView>
  </sheetViews>
  <sheetFormatPr defaultRowHeight="15" x14ac:dyDescent="0.25"/>
  <cols>
    <col min="1" max="1" width="36.5703125" customWidth="1"/>
    <col min="2" max="2" width="13.42578125" customWidth="1"/>
    <col min="3" max="3" width="23" customWidth="1"/>
  </cols>
  <sheetData>
    <row r="5" spans="1:3" ht="22.5" customHeight="1" x14ac:dyDescent="0.25">
      <c r="A5" s="296" t="s">
        <v>62</v>
      </c>
      <c r="B5" s="296"/>
      <c r="C5" s="296"/>
    </row>
    <row r="6" spans="1:3" ht="20.25" customHeight="1" x14ac:dyDescent="0.25">
      <c r="A6" s="295" t="s">
        <v>285</v>
      </c>
      <c r="B6" s="295"/>
      <c r="C6" s="295"/>
    </row>
    <row r="7" spans="1:3" ht="21" customHeight="1" x14ac:dyDescent="0.25">
      <c r="A7" s="297" t="s">
        <v>306</v>
      </c>
      <c r="B7" s="297"/>
      <c r="C7" s="297"/>
    </row>
    <row r="8" spans="1:3" x14ac:dyDescent="0.25">
      <c r="A8" s="111"/>
      <c r="B8" s="112"/>
      <c r="C8" s="35"/>
    </row>
    <row r="9" spans="1:3" ht="45.75" customHeight="1" x14ac:dyDescent="0.25">
      <c r="A9" s="297" t="s">
        <v>163</v>
      </c>
      <c r="B9" s="297"/>
      <c r="C9" s="297"/>
    </row>
    <row r="10" spans="1:3" x14ac:dyDescent="0.25">
      <c r="A10" s="111"/>
      <c r="B10" s="112"/>
      <c r="C10" s="35"/>
    </row>
    <row r="11" spans="1:3" x14ac:dyDescent="0.25">
      <c r="A11" s="295" t="s">
        <v>240</v>
      </c>
      <c r="B11" s="295"/>
      <c r="C11" s="295"/>
    </row>
    <row r="13" spans="1:3" x14ac:dyDescent="0.25">
      <c r="A13" s="2"/>
      <c r="B13" s="24" t="s">
        <v>35</v>
      </c>
      <c r="C13" s="19" t="s">
        <v>36</v>
      </c>
    </row>
    <row r="14" spans="1:3" ht="19.5" customHeight="1" x14ac:dyDescent="0.25">
      <c r="A14" s="10" t="s">
        <v>25</v>
      </c>
      <c r="B14" s="22">
        <f>C14/C$20</f>
        <v>4.4305788001966134E-2</v>
      </c>
      <c r="C14" s="16">
        <f>'5.2-Projetos_Resumo'!C20</f>
        <v>491501.52999999997</v>
      </c>
    </row>
    <row r="15" spans="1:3" ht="21" customHeight="1" x14ac:dyDescent="0.25">
      <c r="A15" s="10" t="s">
        <v>34</v>
      </c>
      <c r="B15" s="22">
        <f>C15/C$20</f>
        <v>4.2862326148771959E-2</v>
      </c>
      <c r="C15" s="16">
        <f>'5.5-Parametrização_Obras'!X31*C16/(100%-'5.5-Parametrização_Obras'!X31)</f>
        <v>475488.64000670862</v>
      </c>
    </row>
    <row r="16" spans="1:3" ht="24" customHeight="1" x14ac:dyDescent="0.25">
      <c r="A16" s="10" t="s">
        <v>39</v>
      </c>
      <c r="B16" s="22">
        <f t="shared" ref="B16" si="0">C16/C$20</f>
        <v>0.91283188584986663</v>
      </c>
      <c r="C16" s="16">
        <f>ROUND(SUM(C17:C19),2)</f>
        <v>10126403.09</v>
      </c>
    </row>
    <row r="17" spans="1:3" ht="17.25" customHeight="1" x14ac:dyDescent="0.25">
      <c r="A17" s="2" t="s">
        <v>40</v>
      </c>
      <c r="B17" s="2"/>
      <c r="C17" s="23">
        <f>'5.5-Parametrização_Obras'!B34*'5.5-Parametrização_Obras'!X25</f>
        <v>320186.89469065331</v>
      </c>
    </row>
    <row r="18" spans="1:3" ht="18" customHeight="1" x14ac:dyDescent="0.25">
      <c r="A18" s="2" t="s">
        <v>41</v>
      </c>
      <c r="B18" s="2"/>
      <c r="C18" s="23">
        <f>'5.5-Parametrização_Obras'!B34*'5.5-Parametrização_Obras'!X26</f>
        <v>9017109.0308508761</v>
      </c>
    </row>
    <row r="19" spans="1:3" ht="18" customHeight="1" x14ac:dyDescent="0.25">
      <c r="A19" s="13" t="s">
        <v>162</v>
      </c>
      <c r="B19" s="2"/>
      <c r="C19" s="23">
        <f>'5.5-Parametrização_Obras'!B34*'5.5-Parametrização_Obras'!X27</f>
        <v>789107.16753135179</v>
      </c>
    </row>
    <row r="20" spans="1:3" x14ac:dyDescent="0.25">
      <c r="A20" s="2"/>
      <c r="B20" s="20" t="s">
        <v>42</v>
      </c>
      <c r="C20" s="16">
        <f>ROUND(SUM(C14:C16),2)</f>
        <v>11093393.26</v>
      </c>
    </row>
    <row r="22" spans="1:3" x14ac:dyDescent="0.25">
      <c r="A22" t="s">
        <v>300</v>
      </c>
    </row>
  </sheetData>
  <mergeCells count="5">
    <mergeCell ref="A5:C5"/>
    <mergeCell ref="A6:C6"/>
    <mergeCell ref="A7:C7"/>
    <mergeCell ref="A9:C9"/>
    <mergeCell ref="A11:C1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1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4:P22"/>
  <sheetViews>
    <sheetView workbookViewId="0">
      <selection activeCell="A10" sqref="A10:C22"/>
    </sheetView>
  </sheetViews>
  <sheetFormatPr defaultRowHeight="15" x14ac:dyDescent="0.25"/>
  <cols>
    <col min="2" max="2" width="56.7109375" customWidth="1"/>
    <col min="3" max="3" width="22.85546875" customWidth="1"/>
    <col min="4" max="7" width="18.5703125" customWidth="1"/>
  </cols>
  <sheetData>
    <row r="4" spans="1:16" ht="15.75" x14ac:dyDescent="0.25">
      <c r="A4" s="293" t="s">
        <v>62</v>
      </c>
      <c r="B4" s="293"/>
      <c r="C4" s="29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5" spans="1:16" x14ac:dyDescent="0.25">
      <c r="A5" s="294" t="s">
        <v>285</v>
      </c>
      <c r="B5" s="294"/>
      <c r="C5" s="29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</row>
    <row r="6" spans="1:16" x14ac:dyDescent="0.25">
      <c r="A6" s="294" t="str">
        <f>'5.1-RESUMO'!A7:C7</f>
        <v>DEPARTAMENTO DE HABITAÇÃO</v>
      </c>
      <c r="B6" s="294"/>
      <c r="C6" s="29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</row>
    <row r="7" spans="1:16" x14ac:dyDescent="0.25"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1:16" ht="42.75" customHeight="1" x14ac:dyDescent="0.25">
      <c r="A8" s="295" t="s">
        <v>163</v>
      </c>
      <c r="B8" s="295"/>
      <c r="C8" s="295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</row>
    <row r="9" spans="1:16" x14ac:dyDescent="0.25">
      <c r="B9" s="34"/>
      <c r="C9" s="35"/>
      <c r="D9" s="35"/>
      <c r="E9" s="35"/>
      <c r="F9" s="35"/>
      <c r="G9" s="35"/>
      <c r="H9" s="36"/>
      <c r="I9" s="35"/>
      <c r="J9" s="35"/>
      <c r="K9" s="35"/>
      <c r="L9" s="35"/>
      <c r="M9" s="35"/>
      <c r="N9" s="35"/>
    </row>
    <row r="10" spans="1:16" ht="15.75" x14ac:dyDescent="0.25">
      <c r="A10" s="295" t="s">
        <v>164</v>
      </c>
      <c r="B10" s="295"/>
      <c r="C10" s="295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3" spans="1:16" x14ac:dyDescent="0.25">
      <c r="A13" s="37" t="s">
        <v>21</v>
      </c>
      <c r="B13" s="37" t="s">
        <v>22</v>
      </c>
      <c r="C13" s="38" t="s">
        <v>23</v>
      </c>
    </row>
    <row r="14" spans="1:16" x14ac:dyDescent="0.25">
      <c r="A14" s="39">
        <v>1</v>
      </c>
      <c r="B14" s="40" t="s">
        <v>40</v>
      </c>
      <c r="C14" s="41">
        <f>'5.3-Proj_Serv Preliminares'!J12</f>
        <v>104126.59</v>
      </c>
    </row>
    <row r="15" spans="1:16" x14ac:dyDescent="0.25">
      <c r="A15" s="42"/>
      <c r="B15" s="43"/>
      <c r="C15" s="44"/>
    </row>
    <row r="16" spans="1:16" x14ac:dyDescent="0.25">
      <c r="A16" s="39">
        <v>2</v>
      </c>
      <c r="B16" s="40" t="s">
        <v>65</v>
      </c>
      <c r="C16" s="41">
        <f>'5.4-Proj_Bas-Exec'!W18</f>
        <v>207382.39</v>
      </c>
    </row>
    <row r="17" spans="1:3" x14ac:dyDescent="0.25">
      <c r="A17" s="42"/>
      <c r="B17" s="43"/>
      <c r="C17" s="44"/>
    </row>
    <row r="18" spans="1:3" x14ac:dyDescent="0.25">
      <c r="A18" s="39">
        <v>3</v>
      </c>
      <c r="B18" s="40" t="s">
        <v>66</v>
      </c>
      <c r="C18" s="41">
        <f>'5.4-Proj_Bas-Exec'!W28</f>
        <v>179992.55</v>
      </c>
    </row>
    <row r="19" spans="1:3" x14ac:dyDescent="0.25">
      <c r="A19" s="42"/>
      <c r="B19" s="45"/>
      <c r="C19" s="44"/>
    </row>
    <row r="20" spans="1:3" x14ac:dyDescent="0.25">
      <c r="A20" s="39"/>
      <c r="B20" s="46" t="s">
        <v>42</v>
      </c>
      <c r="C20" s="41">
        <f>SUM(C14:C19)</f>
        <v>491501.52999999997</v>
      </c>
    </row>
    <row r="22" spans="1:3" x14ac:dyDescent="0.25">
      <c r="A22" t="s">
        <v>301</v>
      </c>
    </row>
  </sheetData>
  <mergeCells count="5">
    <mergeCell ref="A4:C4"/>
    <mergeCell ref="A5:C5"/>
    <mergeCell ref="A6:C6"/>
    <mergeCell ref="A8:C8"/>
    <mergeCell ref="A10:C10"/>
  </mergeCells>
  <printOptions horizontalCentered="1"/>
  <pageMargins left="0.35433070866141736" right="0.19685039370078741" top="0.6692913385826772" bottom="0.3149606299212598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Q99"/>
  <sheetViews>
    <sheetView topLeftCell="A8" workbookViewId="0">
      <selection activeCell="A7" sqref="A7:J28"/>
    </sheetView>
  </sheetViews>
  <sheetFormatPr defaultRowHeight="15" x14ac:dyDescent="0.25"/>
  <cols>
    <col min="1" max="1" width="9.85546875" bestFit="1" customWidth="1"/>
    <col min="3" max="3" width="10.7109375" bestFit="1" customWidth="1"/>
    <col min="4" max="4" width="65.28515625" customWidth="1"/>
    <col min="5" max="5" width="10.7109375" customWidth="1"/>
    <col min="6" max="6" width="12.5703125" customWidth="1"/>
    <col min="7" max="7" width="10.5703125" customWidth="1"/>
    <col min="8" max="8" width="12.28515625" customWidth="1"/>
    <col min="9" max="9" width="12.7109375" customWidth="1"/>
    <col min="10" max="10" width="13.5703125" customWidth="1"/>
  </cols>
  <sheetData>
    <row r="1" spans="1:17" ht="15.75" x14ac:dyDescent="0.25">
      <c r="A1" s="293" t="s">
        <v>62</v>
      </c>
      <c r="B1" s="293"/>
      <c r="C1" s="293"/>
      <c r="D1" s="293"/>
      <c r="E1" s="293"/>
      <c r="F1" s="293"/>
      <c r="G1" s="293"/>
      <c r="H1" s="293"/>
      <c r="I1" s="293"/>
      <c r="J1" s="293"/>
      <c r="K1" s="33"/>
      <c r="L1" s="33"/>
      <c r="M1" s="33"/>
      <c r="N1" s="33"/>
      <c r="O1" s="33"/>
      <c r="P1" s="33"/>
      <c r="Q1" s="33"/>
    </row>
    <row r="2" spans="1:17" x14ac:dyDescent="0.25">
      <c r="A2" s="299" t="s">
        <v>285</v>
      </c>
      <c r="B2" s="299"/>
      <c r="C2" s="299"/>
      <c r="D2" s="299"/>
      <c r="E2" s="299"/>
      <c r="F2" s="299"/>
      <c r="G2" s="299"/>
      <c r="H2" s="299"/>
      <c r="I2" s="299"/>
      <c r="J2" s="299"/>
    </row>
    <row r="3" spans="1:17" x14ac:dyDescent="0.25">
      <c r="A3" s="299" t="str">
        <f>'5.1-RESUMO'!A7:C7</f>
        <v>DEPARTAMENTO DE HABITAÇÃO</v>
      </c>
      <c r="B3" s="299"/>
      <c r="C3" s="299"/>
      <c r="D3" s="299"/>
      <c r="E3" s="299"/>
      <c r="F3" s="299"/>
      <c r="G3" s="299"/>
      <c r="H3" s="299"/>
      <c r="I3" s="299"/>
      <c r="J3" s="299"/>
    </row>
    <row r="4" spans="1:17" ht="10.5" customHeight="1" x14ac:dyDescent="0.25">
      <c r="A4" s="300"/>
      <c r="B4" s="300"/>
      <c r="C4" s="300"/>
      <c r="D4" s="300"/>
      <c r="E4" s="300"/>
      <c r="F4" s="300"/>
    </row>
    <row r="5" spans="1:17" ht="30" customHeight="1" x14ac:dyDescent="0.25">
      <c r="A5" s="301" t="s">
        <v>163</v>
      </c>
      <c r="B5" s="301"/>
      <c r="C5" s="301"/>
      <c r="D5" s="301"/>
      <c r="E5" s="301"/>
      <c r="F5" s="301"/>
      <c r="G5" s="301"/>
      <c r="H5" s="301"/>
      <c r="I5" s="301"/>
      <c r="J5" s="301"/>
    </row>
    <row r="6" spans="1:17" x14ac:dyDescent="0.25">
      <c r="A6" s="91"/>
      <c r="B6" s="91"/>
      <c r="C6" s="91"/>
      <c r="D6" s="91"/>
      <c r="E6" s="91"/>
      <c r="F6" s="91"/>
    </row>
    <row r="7" spans="1:17" x14ac:dyDescent="0.25">
      <c r="A7" s="302" t="s">
        <v>165</v>
      </c>
      <c r="B7" s="302"/>
      <c r="C7" s="302"/>
      <c r="D7" s="302"/>
      <c r="E7" s="302"/>
      <c r="F7" s="302"/>
      <c r="G7" s="302"/>
      <c r="H7" s="302"/>
      <c r="I7" s="302"/>
      <c r="J7" s="302"/>
    </row>
    <row r="9" spans="1:17" ht="15" customHeight="1" x14ac:dyDescent="0.25">
      <c r="I9" s="29" t="s">
        <v>290</v>
      </c>
      <c r="J9" s="92">
        <f>'Fator K'!G16-100%</f>
        <v>0.14910000000000001</v>
      </c>
    </row>
    <row r="11" spans="1:17" ht="60" x14ac:dyDescent="0.25">
      <c r="A11" s="19" t="s">
        <v>21</v>
      </c>
      <c r="B11" s="19" t="s">
        <v>118</v>
      </c>
      <c r="C11" s="19" t="s">
        <v>119</v>
      </c>
      <c r="D11" s="19" t="s">
        <v>22</v>
      </c>
      <c r="E11" s="19" t="s">
        <v>120</v>
      </c>
      <c r="F11" s="19" t="s">
        <v>121</v>
      </c>
      <c r="G11" s="93" t="s">
        <v>122</v>
      </c>
      <c r="H11" s="19" t="s">
        <v>309</v>
      </c>
      <c r="I11" s="93" t="s">
        <v>308</v>
      </c>
      <c r="J11" s="93" t="s">
        <v>23</v>
      </c>
    </row>
    <row r="12" spans="1:17" x14ac:dyDescent="0.25">
      <c r="A12" s="94">
        <v>1</v>
      </c>
      <c r="B12" s="94"/>
      <c r="C12" s="94"/>
      <c r="D12" s="95" t="s">
        <v>40</v>
      </c>
      <c r="E12" s="94"/>
      <c r="F12" s="96"/>
      <c r="G12" s="97"/>
      <c r="H12" s="97"/>
      <c r="I12" s="97"/>
      <c r="J12" s="98">
        <f>J13+J15+J19</f>
        <v>104126.59</v>
      </c>
      <c r="K12" s="99"/>
    </row>
    <row r="13" spans="1:17" x14ac:dyDescent="0.25">
      <c r="A13" s="20" t="s">
        <v>24</v>
      </c>
      <c r="B13" s="20"/>
      <c r="C13" s="20"/>
      <c r="D13" s="100" t="s">
        <v>123</v>
      </c>
      <c r="E13" s="20"/>
      <c r="F13" s="101"/>
      <c r="G13" s="19"/>
      <c r="H13" s="19"/>
      <c r="I13" s="102" t="s">
        <v>124</v>
      </c>
      <c r="J13" s="103">
        <f>J14</f>
        <v>19348.54</v>
      </c>
      <c r="K13" s="99"/>
    </row>
    <row r="14" spans="1:17" x14ac:dyDescent="0.25">
      <c r="A14" s="104" t="s">
        <v>125</v>
      </c>
      <c r="B14" s="19" t="s">
        <v>89</v>
      </c>
      <c r="C14" s="19" t="s">
        <v>126</v>
      </c>
      <c r="D14" s="7" t="s">
        <v>127</v>
      </c>
      <c r="E14" s="19" t="s">
        <v>128</v>
      </c>
      <c r="F14" s="101">
        <v>19156.97</v>
      </c>
      <c r="G14" s="19">
        <v>0.88</v>
      </c>
      <c r="H14" s="105">
        <f>J$9</f>
        <v>0.14910000000000001</v>
      </c>
      <c r="I14" s="18">
        <f>ROUND(G14*(1+H14),2)</f>
        <v>1.01</v>
      </c>
      <c r="J14" s="106">
        <f>ROUND(I14*F14,2)</f>
        <v>19348.54</v>
      </c>
      <c r="K14" s="99"/>
    </row>
    <row r="15" spans="1:17" x14ac:dyDescent="0.25">
      <c r="A15" s="20" t="s">
        <v>52</v>
      </c>
      <c r="B15" s="20"/>
      <c r="C15" s="20" t="s">
        <v>129</v>
      </c>
      <c r="D15" s="100" t="s">
        <v>130</v>
      </c>
      <c r="E15" s="20"/>
      <c r="F15" s="101"/>
      <c r="G15" s="19"/>
      <c r="H15" s="105"/>
      <c r="I15" s="102" t="s">
        <v>124</v>
      </c>
      <c r="J15" s="103">
        <f>SUM(J16:J18)</f>
        <v>65996.710000000006</v>
      </c>
      <c r="K15" s="99"/>
    </row>
    <row r="16" spans="1:17" x14ac:dyDescent="0.25">
      <c r="A16" s="20" t="s">
        <v>131</v>
      </c>
      <c r="B16" s="19" t="s">
        <v>89</v>
      </c>
      <c r="C16" s="107" t="s">
        <v>132</v>
      </c>
      <c r="D16" s="7" t="s">
        <v>133</v>
      </c>
      <c r="E16" s="19" t="s">
        <v>134</v>
      </c>
      <c r="F16" s="101">
        <f>'[1]ÁREA 2'!F15</f>
        <v>1</v>
      </c>
      <c r="G16" s="19">
        <v>752.16</v>
      </c>
      <c r="H16" s="105">
        <f t="shared" ref="H16:H18" si="0">J$9</f>
        <v>0.14910000000000001</v>
      </c>
      <c r="I16" s="18">
        <f t="shared" ref="I16:I18" si="1">ROUND(G16*(1+H16),2)</f>
        <v>864.31</v>
      </c>
      <c r="J16" s="106">
        <f t="shared" ref="J16:J18" si="2">ROUND(I16*F16,2)</f>
        <v>864.31</v>
      </c>
      <c r="K16" s="99"/>
    </row>
    <row r="17" spans="1:11" ht="30" x14ac:dyDescent="0.25">
      <c r="A17" s="20" t="s">
        <v>135</v>
      </c>
      <c r="B17" s="19" t="s">
        <v>89</v>
      </c>
      <c r="C17" s="107" t="s">
        <v>136</v>
      </c>
      <c r="D17" s="108" t="s">
        <v>137</v>
      </c>
      <c r="E17" s="19" t="s">
        <v>134</v>
      </c>
      <c r="F17" s="101">
        <f>'[1]ÁREA 2'!F16</f>
        <v>15</v>
      </c>
      <c r="G17" s="18">
        <v>183.59</v>
      </c>
      <c r="H17" s="105">
        <f t="shared" si="0"/>
        <v>0.14910000000000001</v>
      </c>
      <c r="I17" s="18">
        <f t="shared" si="1"/>
        <v>210.96</v>
      </c>
      <c r="J17" s="106">
        <f t="shared" si="2"/>
        <v>3164.4</v>
      </c>
      <c r="K17" s="99"/>
    </row>
    <row r="18" spans="1:11" ht="30" x14ac:dyDescent="0.25">
      <c r="A18" s="20" t="s">
        <v>138</v>
      </c>
      <c r="B18" s="19" t="s">
        <v>89</v>
      </c>
      <c r="C18" s="107" t="s">
        <v>139</v>
      </c>
      <c r="D18" s="108" t="s">
        <v>140</v>
      </c>
      <c r="E18" s="19" t="s">
        <v>26</v>
      </c>
      <c r="F18" s="101">
        <f>'[1]ÁREA 2'!F17</f>
        <v>300</v>
      </c>
      <c r="G18" s="19">
        <v>179.76</v>
      </c>
      <c r="H18" s="105">
        <f t="shared" si="0"/>
        <v>0.14910000000000001</v>
      </c>
      <c r="I18" s="18">
        <f t="shared" si="1"/>
        <v>206.56</v>
      </c>
      <c r="J18" s="106">
        <f t="shared" si="2"/>
        <v>61968</v>
      </c>
      <c r="K18" s="99"/>
    </row>
    <row r="19" spans="1:11" x14ac:dyDescent="0.25">
      <c r="A19" s="20" t="s">
        <v>53</v>
      </c>
      <c r="B19" s="20"/>
      <c r="C19" s="20" t="s">
        <v>141</v>
      </c>
      <c r="D19" s="100" t="s">
        <v>142</v>
      </c>
      <c r="E19" s="20"/>
      <c r="F19" s="101"/>
      <c r="G19" s="19"/>
      <c r="H19" s="105"/>
      <c r="I19" s="102" t="s">
        <v>124</v>
      </c>
      <c r="J19" s="103">
        <f>SUM(J20:J25)</f>
        <v>18781.34</v>
      </c>
      <c r="K19" s="99"/>
    </row>
    <row r="20" spans="1:11" x14ac:dyDescent="0.25">
      <c r="A20" s="104" t="s">
        <v>143</v>
      </c>
      <c r="B20" s="19" t="s">
        <v>89</v>
      </c>
      <c r="C20" s="107" t="s">
        <v>144</v>
      </c>
      <c r="D20" s="7" t="s">
        <v>145</v>
      </c>
      <c r="E20" s="19" t="s">
        <v>146</v>
      </c>
      <c r="F20" s="109">
        <f>'[1]ÁREA 2'!F19</f>
        <v>6</v>
      </c>
      <c r="G20" s="18">
        <v>145.49</v>
      </c>
      <c r="H20" s="105">
        <f t="shared" ref="H20:H25" si="3">J$9</f>
        <v>0.14910000000000001</v>
      </c>
      <c r="I20" s="18">
        <f t="shared" ref="I20:I25" si="4">ROUND(G20*(1+H20),2)</f>
        <v>167.18</v>
      </c>
      <c r="J20" s="106">
        <f t="shared" ref="J20:J25" si="5">ROUND(I20*F20,2)</f>
        <v>1003.08</v>
      </c>
      <c r="K20" s="99"/>
    </row>
    <row r="21" spans="1:11" x14ac:dyDescent="0.25">
      <c r="A21" s="104" t="s">
        <v>147</v>
      </c>
      <c r="B21" s="19" t="s">
        <v>89</v>
      </c>
      <c r="C21" s="107" t="s">
        <v>148</v>
      </c>
      <c r="D21" s="7" t="s">
        <v>149</v>
      </c>
      <c r="E21" s="19" t="s">
        <v>146</v>
      </c>
      <c r="F21" s="109">
        <f>'[1]ÁREA 2'!F20</f>
        <v>6</v>
      </c>
      <c r="G21" s="18">
        <v>119.25</v>
      </c>
      <c r="H21" s="105">
        <f t="shared" si="3"/>
        <v>0.14910000000000001</v>
      </c>
      <c r="I21" s="18">
        <f t="shared" si="4"/>
        <v>137.03</v>
      </c>
      <c r="J21" s="106">
        <f t="shared" si="5"/>
        <v>822.18</v>
      </c>
      <c r="K21" s="99"/>
    </row>
    <row r="22" spans="1:11" x14ac:dyDescent="0.25">
      <c r="A22" s="104" t="s">
        <v>150</v>
      </c>
      <c r="B22" s="19" t="s">
        <v>89</v>
      </c>
      <c r="C22" s="107" t="s">
        <v>151</v>
      </c>
      <c r="D22" s="7" t="s">
        <v>152</v>
      </c>
      <c r="E22" s="19" t="s">
        <v>146</v>
      </c>
      <c r="F22" s="109">
        <f>'[1]ÁREA 2'!F21</f>
        <v>10</v>
      </c>
      <c r="G22" s="18">
        <v>368.31</v>
      </c>
      <c r="H22" s="105">
        <f t="shared" si="3"/>
        <v>0.14910000000000001</v>
      </c>
      <c r="I22" s="18">
        <f t="shared" si="4"/>
        <v>423.23</v>
      </c>
      <c r="J22" s="106">
        <f t="shared" si="5"/>
        <v>4232.3</v>
      </c>
      <c r="K22" s="99"/>
    </row>
    <row r="23" spans="1:11" x14ac:dyDescent="0.25">
      <c r="A23" s="104" t="s">
        <v>153</v>
      </c>
      <c r="B23" s="19" t="s">
        <v>89</v>
      </c>
      <c r="C23" s="107" t="s">
        <v>154</v>
      </c>
      <c r="D23" s="7" t="s">
        <v>155</v>
      </c>
      <c r="E23" s="19" t="s">
        <v>146</v>
      </c>
      <c r="F23" s="109">
        <f>'[1]ÁREA 2'!F22</f>
        <v>6</v>
      </c>
      <c r="G23" s="19">
        <v>227.87</v>
      </c>
      <c r="H23" s="105">
        <f t="shared" si="3"/>
        <v>0.14910000000000001</v>
      </c>
      <c r="I23" s="18">
        <f t="shared" si="4"/>
        <v>261.85000000000002</v>
      </c>
      <c r="J23" s="106">
        <f t="shared" si="5"/>
        <v>1571.1</v>
      </c>
      <c r="K23" s="99"/>
    </row>
    <row r="24" spans="1:11" x14ac:dyDescent="0.25">
      <c r="A24" s="104" t="s">
        <v>156</v>
      </c>
      <c r="B24" s="19" t="s">
        <v>89</v>
      </c>
      <c r="C24" s="107" t="s">
        <v>157</v>
      </c>
      <c r="D24" s="7" t="s">
        <v>158</v>
      </c>
      <c r="E24" s="19" t="s">
        <v>146</v>
      </c>
      <c r="F24" s="109">
        <f>'[1]ÁREA 2'!F23</f>
        <v>10</v>
      </c>
      <c r="G24" s="18">
        <v>411.3</v>
      </c>
      <c r="H24" s="105">
        <f t="shared" si="3"/>
        <v>0.14910000000000001</v>
      </c>
      <c r="I24" s="18">
        <f t="shared" si="4"/>
        <v>472.62</v>
      </c>
      <c r="J24" s="106">
        <f t="shared" si="5"/>
        <v>4726.2</v>
      </c>
      <c r="K24" s="99"/>
    </row>
    <row r="25" spans="1:11" x14ac:dyDescent="0.25">
      <c r="A25" s="104" t="s">
        <v>159</v>
      </c>
      <c r="B25" s="19" t="s">
        <v>89</v>
      </c>
      <c r="C25" s="107" t="s">
        <v>160</v>
      </c>
      <c r="D25" s="7" t="s">
        <v>161</v>
      </c>
      <c r="E25" s="19" t="s">
        <v>146</v>
      </c>
      <c r="F25" s="109">
        <f>'[1]ÁREA 2'!F24</f>
        <v>6</v>
      </c>
      <c r="G25" s="18">
        <v>932.1</v>
      </c>
      <c r="H25" s="105">
        <f t="shared" si="3"/>
        <v>0.14910000000000001</v>
      </c>
      <c r="I25" s="18">
        <f t="shared" si="4"/>
        <v>1071.08</v>
      </c>
      <c r="J25" s="106">
        <f t="shared" si="5"/>
        <v>6426.48</v>
      </c>
      <c r="K25" s="99"/>
    </row>
    <row r="26" spans="1:11" x14ac:dyDescent="0.25">
      <c r="F26" s="110"/>
    </row>
    <row r="27" spans="1:11" x14ac:dyDescent="0.25">
      <c r="A27" s="113" t="s">
        <v>301</v>
      </c>
      <c r="F27" s="110"/>
    </row>
    <row r="28" spans="1:11" x14ac:dyDescent="0.25">
      <c r="A28" s="298" t="s">
        <v>302</v>
      </c>
      <c r="B28" s="298"/>
      <c r="C28" s="298"/>
      <c r="D28" s="298"/>
      <c r="E28" s="298"/>
      <c r="F28" s="298"/>
      <c r="G28" s="298"/>
      <c r="H28" s="298"/>
      <c r="I28" s="298"/>
      <c r="J28" s="298"/>
    </row>
    <row r="29" spans="1:11" x14ac:dyDescent="0.25">
      <c r="F29" s="110"/>
    </row>
    <row r="30" spans="1:11" x14ac:dyDescent="0.25">
      <c r="F30" s="110"/>
    </row>
    <row r="31" spans="1:11" x14ac:dyDescent="0.25">
      <c r="F31" s="110"/>
    </row>
    <row r="32" spans="1:11" x14ac:dyDescent="0.25">
      <c r="F32" s="110"/>
    </row>
    <row r="33" spans="6:6" x14ac:dyDescent="0.25">
      <c r="F33" s="110"/>
    </row>
    <row r="34" spans="6:6" x14ac:dyDescent="0.25">
      <c r="F34" s="110"/>
    </row>
    <row r="35" spans="6:6" x14ac:dyDescent="0.25">
      <c r="F35" s="110"/>
    </row>
    <row r="36" spans="6:6" x14ac:dyDescent="0.25">
      <c r="F36" s="110"/>
    </row>
    <row r="37" spans="6:6" x14ac:dyDescent="0.25">
      <c r="F37" s="110"/>
    </row>
    <row r="38" spans="6:6" x14ac:dyDescent="0.25">
      <c r="F38" s="110"/>
    </row>
    <row r="39" spans="6:6" x14ac:dyDescent="0.25">
      <c r="F39" s="110"/>
    </row>
    <row r="40" spans="6:6" x14ac:dyDescent="0.25">
      <c r="F40" s="110"/>
    </row>
    <row r="41" spans="6:6" x14ac:dyDescent="0.25">
      <c r="F41" s="110"/>
    </row>
    <row r="42" spans="6:6" x14ac:dyDescent="0.25">
      <c r="F42" s="110"/>
    </row>
    <row r="43" spans="6:6" x14ac:dyDescent="0.25">
      <c r="F43" s="110"/>
    </row>
    <row r="44" spans="6:6" x14ac:dyDescent="0.25">
      <c r="F44" s="110"/>
    </row>
    <row r="45" spans="6:6" x14ac:dyDescent="0.25">
      <c r="F45" s="110"/>
    </row>
    <row r="46" spans="6:6" x14ac:dyDescent="0.25">
      <c r="F46" s="110"/>
    </row>
    <row r="47" spans="6:6" x14ac:dyDescent="0.25">
      <c r="F47" s="110"/>
    </row>
    <row r="48" spans="6:6" x14ac:dyDescent="0.25">
      <c r="F48" s="110"/>
    </row>
    <row r="49" spans="6:6" x14ac:dyDescent="0.25">
      <c r="F49" s="110"/>
    </row>
    <row r="50" spans="6:6" x14ac:dyDescent="0.25">
      <c r="F50" s="110"/>
    </row>
    <row r="51" spans="6:6" x14ac:dyDescent="0.25">
      <c r="F51" s="110"/>
    </row>
    <row r="52" spans="6:6" x14ac:dyDescent="0.25">
      <c r="F52" s="110"/>
    </row>
    <row r="53" spans="6:6" x14ac:dyDescent="0.25">
      <c r="F53" s="110"/>
    </row>
    <row r="54" spans="6:6" x14ac:dyDescent="0.25">
      <c r="F54" s="110"/>
    </row>
    <row r="55" spans="6:6" x14ac:dyDescent="0.25">
      <c r="F55" s="110"/>
    </row>
    <row r="56" spans="6:6" x14ac:dyDescent="0.25">
      <c r="F56" s="110"/>
    </row>
    <row r="57" spans="6:6" x14ac:dyDescent="0.25">
      <c r="F57" s="110"/>
    </row>
    <row r="58" spans="6:6" x14ac:dyDescent="0.25">
      <c r="F58" s="110"/>
    </row>
    <row r="59" spans="6:6" x14ac:dyDescent="0.25">
      <c r="F59" s="110"/>
    </row>
    <row r="60" spans="6:6" x14ac:dyDescent="0.25">
      <c r="F60" s="110"/>
    </row>
    <row r="61" spans="6:6" x14ac:dyDescent="0.25">
      <c r="F61" s="110"/>
    </row>
    <row r="62" spans="6:6" x14ac:dyDescent="0.25">
      <c r="F62" s="110"/>
    </row>
    <row r="63" spans="6:6" x14ac:dyDescent="0.25">
      <c r="F63" s="110"/>
    </row>
    <row r="64" spans="6:6" x14ac:dyDescent="0.25">
      <c r="F64" s="110"/>
    </row>
    <row r="65" spans="6:6" x14ac:dyDescent="0.25">
      <c r="F65" s="110"/>
    </row>
    <row r="66" spans="6:6" x14ac:dyDescent="0.25">
      <c r="F66" s="110"/>
    </row>
    <row r="67" spans="6:6" x14ac:dyDescent="0.25">
      <c r="F67" s="110"/>
    </row>
    <row r="68" spans="6:6" x14ac:dyDescent="0.25">
      <c r="F68" s="110"/>
    </row>
    <row r="69" spans="6:6" x14ac:dyDescent="0.25">
      <c r="F69" s="110"/>
    </row>
    <row r="70" spans="6:6" x14ac:dyDescent="0.25">
      <c r="F70" s="110"/>
    </row>
    <row r="71" spans="6:6" x14ac:dyDescent="0.25">
      <c r="F71" s="110"/>
    </row>
    <row r="72" spans="6:6" x14ac:dyDescent="0.25">
      <c r="F72" s="110"/>
    </row>
    <row r="73" spans="6:6" x14ac:dyDescent="0.25">
      <c r="F73" s="110"/>
    </row>
    <row r="74" spans="6:6" x14ac:dyDescent="0.25">
      <c r="F74" s="110"/>
    </row>
    <row r="75" spans="6:6" x14ac:dyDescent="0.25">
      <c r="F75" s="110"/>
    </row>
    <row r="76" spans="6:6" x14ac:dyDescent="0.25">
      <c r="F76" s="110"/>
    </row>
    <row r="77" spans="6:6" x14ac:dyDescent="0.25">
      <c r="F77" s="110"/>
    </row>
    <row r="78" spans="6:6" x14ac:dyDescent="0.25">
      <c r="F78" s="110"/>
    </row>
    <row r="79" spans="6:6" x14ac:dyDescent="0.25">
      <c r="F79" s="110"/>
    </row>
    <row r="80" spans="6:6" x14ac:dyDescent="0.25">
      <c r="F80" s="110"/>
    </row>
    <row r="81" spans="6:6" x14ac:dyDescent="0.25">
      <c r="F81" s="110"/>
    </row>
    <row r="82" spans="6:6" x14ac:dyDescent="0.25">
      <c r="F82" s="110"/>
    </row>
    <row r="83" spans="6:6" x14ac:dyDescent="0.25">
      <c r="F83" s="110"/>
    </row>
    <row r="84" spans="6:6" x14ac:dyDescent="0.25">
      <c r="F84" s="110"/>
    </row>
    <row r="85" spans="6:6" x14ac:dyDescent="0.25">
      <c r="F85" s="110"/>
    </row>
    <row r="86" spans="6:6" x14ac:dyDescent="0.25">
      <c r="F86" s="110"/>
    </row>
    <row r="87" spans="6:6" x14ac:dyDescent="0.25">
      <c r="F87" s="110"/>
    </row>
    <row r="88" spans="6:6" x14ac:dyDescent="0.25">
      <c r="F88" s="110"/>
    </row>
    <row r="89" spans="6:6" x14ac:dyDescent="0.25">
      <c r="F89" s="110"/>
    </row>
    <row r="90" spans="6:6" x14ac:dyDescent="0.25">
      <c r="F90" s="110"/>
    </row>
    <row r="91" spans="6:6" x14ac:dyDescent="0.25">
      <c r="F91" s="110"/>
    </row>
    <row r="92" spans="6:6" x14ac:dyDescent="0.25">
      <c r="F92" s="110"/>
    </row>
    <row r="93" spans="6:6" x14ac:dyDescent="0.25">
      <c r="F93" s="110"/>
    </row>
    <row r="94" spans="6:6" x14ac:dyDescent="0.25">
      <c r="F94" s="110"/>
    </row>
    <row r="95" spans="6:6" x14ac:dyDescent="0.25">
      <c r="F95" s="110"/>
    </row>
    <row r="96" spans="6:6" x14ac:dyDescent="0.25">
      <c r="F96" s="110"/>
    </row>
    <row r="97" spans="6:6" x14ac:dyDescent="0.25">
      <c r="F97" s="110"/>
    </row>
    <row r="98" spans="6:6" x14ac:dyDescent="0.25">
      <c r="F98" s="110"/>
    </row>
    <row r="99" spans="6:6" x14ac:dyDescent="0.25">
      <c r="F99" s="110"/>
    </row>
  </sheetData>
  <mergeCells count="7">
    <mergeCell ref="A28:J28"/>
    <mergeCell ref="A1:J1"/>
    <mergeCell ref="A2:J2"/>
    <mergeCell ref="A3:J3"/>
    <mergeCell ref="A4:F4"/>
    <mergeCell ref="A5:J5"/>
    <mergeCell ref="A7:J7"/>
  </mergeCells>
  <printOptions horizontalCentered="1"/>
  <pageMargins left="0.28999999999999998" right="0.31" top="0.78740157480314965" bottom="0.78740157480314965" header="0.31496062992125984" footer="0.31496062992125984"/>
  <pageSetup paperSize="9" scale="8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34"/>
  <sheetViews>
    <sheetView topLeftCell="D14" workbookViewId="0">
      <selection activeCell="A7" sqref="A7:W34"/>
    </sheetView>
  </sheetViews>
  <sheetFormatPr defaultRowHeight="15" x14ac:dyDescent="0.25"/>
  <cols>
    <col min="2" max="2" width="38.42578125" customWidth="1"/>
    <col min="3" max="3" width="13.7109375" customWidth="1"/>
    <col min="4" max="4" width="12.42578125" customWidth="1"/>
    <col min="5" max="5" width="7.7109375" bestFit="1" customWidth="1"/>
    <col min="6" max="6" width="17.28515625" customWidth="1"/>
    <col min="7" max="8" width="16.7109375" customWidth="1"/>
    <col min="9" max="9" width="10.7109375" customWidth="1"/>
    <col min="10" max="10" width="10.85546875" customWidth="1"/>
    <col min="11" max="12" width="11.7109375" customWidth="1"/>
    <col min="13" max="13" width="12.5703125" customWidth="1"/>
    <col min="14" max="14" width="15" customWidth="1"/>
    <col min="15" max="15" width="15.28515625" customWidth="1"/>
    <col min="16" max="19" width="11.7109375" bestFit="1" customWidth="1"/>
    <col min="20" max="20" width="11.28515625" customWidth="1"/>
    <col min="21" max="22" width="11.7109375" customWidth="1"/>
    <col min="23" max="23" width="15.5703125" customWidth="1"/>
  </cols>
  <sheetData>
    <row r="1" spans="1:26" ht="15.75" x14ac:dyDescent="0.25">
      <c r="A1" s="293" t="s">
        <v>62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</row>
    <row r="2" spans="1:26" x14ac:dyDescent="0.25">
      <c r="A2" s="294" t="s">
        <v>285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</row>
    <row r="3" spans="1:26" x14ac:dyDescent="0.25">
      <c r="A3" s="294" t="str">
        <f>'5.1-RESUMO'!A7:C7</f>
        <v>DEPARTAMENTO DE HABITAÇÃO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</row>
    <row r="4" spans="1:26" x14ac:dyDescent="0.25">
      <c r="B4" s="305"/>
      <c r="C4" s="305"/>
      <c r="D4" s="305"/>
      <c r="E4" s="305"/>
      <c r="F4" s="305"/>
      <c r="G4" s="305"/>
      <c r="H4" s="305"/>
      <c r="I4" s="305"/>
      <c r="J4" s="191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</row>
    <row r="5" spans="1:26" x14ac:dyDescent="0.25">
      <c r="A5" s="294" t="s">
        <v>163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</row>
    <row r="6" spans="1:26" x14ac:dyDescent="0.25">
      <c r="B6" s="305"/>
      <c r="C6" s="305"/>
      <c r="D6" s="305"/>
      <c r="E6" s="305"/>
      <c r="F6" s="305"/>
      <c r="G6" s="305"/>
      <c r="H6" s="305"/>
      <c r="I6" s="305"/>
      <c r="J6" s="191"/>
      <c r="K6" s="35"/>
      <c r="L6" s="35"/>
      <c r="M6" s="35"/>
      <c r="N6" s="35"/>
      <c r="O6" s="35"/>
      <c r="P6" s="36"/>
      <c r="Q6" s="35"/>
      <c r="R6" s="35"/>
      <c r="S6" s="35"/>
      <c r="T6" s="35"/>
      <c r="U6" s="35"/>
      <c r="V6" s="35"/>
    </row>
    <row r="7" spans="1:26" ht="15.75" x14ac:dyDescent="0.25">
      <c r="A7" s="293" t="s">
        <v>167</v>
      </c>
      <c r="B7" s="293"/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</row>
    <row r="8" spans="1:26" x14ac:dyDescent="0.25">
      <c r="B8" s="304"/>
      <c r="C8" s="304"/>
      <c r="D8" s="304"/>
      <c r="E8" s="304"/>
      <c r="F8" s="304"/>
      <c r="G8" s="304"/>
      <c r="H8" s="304"/>
      <c r="I8" s="304"/>
      <c r="J8" s="47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</row>
    <row r="9" spans="1:26" x14ac:dyDescent="0.25">
      <c r="A9" s="5" t="s">
        <v>67</v>
      </c>
      <c r="B9" s="47"/>
      <c r="C9" s="47"/>
      <c r="D9" s="47"/>
      <c r="E9" s="47"/>
      <c r="F9" s="47"/>
      <c r="G9" s="47"/>
      <c r="H9" s="47"/>
      <c r="I9" s="47"/>
      <c r="J9" s="47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</row>
    <row r="10" spans="1:26" ht="15.75" thickBot="1" x14ac:dyDescent="0.3">
      <c r="B10" s="48"/>
      <c r="C10" s="48"/>
      <c r="D10" s="48"/>
      <c r="E10" s="48"/>
      <c r="F10" s="48"/>
      <c r="G10" s="48"/>
      <c r="H10" s="48"/>
      <c r="I10" s="48"/>
      <c r="J10" s="47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</row>
    <row r="11" spans="1:26" ht="51.75" thickBot="1" x14ac:dyDescent="0.3">
      <c r="A11" s="49" t="s">
        <v>68</v>
      </c>
      <c r="B11" s="50" t="s">
        <v>49</v>
      </c>
      <c r="C11" s="51" t="s">
        <v>69</v>
      </c>
      <c r="D11" s="51" t="s">
        <v>51</v>
      </c>
      <c r="E11" s="52" t="s">
        <v>50</v>
      </c>
      <c r="F11" s="53" t="s">
        <v>70</v>
      </c>
      <c r="G11" s="53" t="s">
        <v>71</v>
      </c>
      <c r="H11" s="53" t="s">
        <v>241</v>
      </c>
      <c r="I11" s="54" t="s">
        <v>283</v>
      </c>
      <c r="J11" s="54" t="s">
        <v>284</v>
      </c>
      <c r="K11" s="52" t="s">
        <v>74</v>
      </c>
      <c r="L11" s="51" t="s">
        <v>75</v>
      </c>
      <c r="M11" s="51" t="s">
        <v>76</v>
      </c>
      <c r="N11" s="51" t="s">
        <v>77</v>
      </c>
      <c r="O11" s="51" t="s">
        <v>78</v>
      </c>
      <c r="P11" s="51" t="s">
        <v>79</v>
      </c>
      <c r="Q11" s="51" t="s">
        <v>80</v>
      </c>
      <c r="R11" s="51" t="s">
        <v>81</v>
      </c>
      <c r="S11" s="51" t="s">
        <v>82</v>
      </c>
      <c r="T11" s="51" t="s">
        <v>83</v>
      </c>
      <c r="U11" s="51" t="s">
        <v>84</v>
      </c>
      <c r="V11" s="56" t="s">
        <v>85</v>
      </c>
      <c r="W11" s="57" t="s">
        <v>86</v>
      </c>
    </row>
    <row r="12" spans="1:26" x14ac:dyDescent="0.25">
      <c r="A12" s="58" t="s">
        <v>54</v>
      </c>
      <c r="B12" s="218" t="s">
        <v>292</v>
      </c>
      <c r="C12" s="70" t="s">
        <v>275</v>
      </c>
      <c r="D12" s="61" t="s">
        <v>295</v>
      </c>
      <c r="E12" s="62" t="s">
        <v>273</v>
      </c>
      <c r="F12" s="62">
        <v>22515.91</v>
      </c>
      <c r="G12" s="222">
        <f>ROUND(F12/(1+'Fator K'!C$11),2)</f>
        <v>13125.75</v>
      </c>
      <c r="H12" s="63">
        <f>ROUND(G12*'Fator K'!G$14,2)</f>
        <v>26389.32</v>
      </c>
      <c r="I12" s="64">
        <f t="shared" ref="I12:I17" si="0">SUM(K12:V12)</f>
        <v>9.5</v>
      </c>
      <c r="J12" s="226">
        <f t="shared" ref="J12:J17" si="1">ROUND(I12/168,2)</f>
        <v>0.06</v>
      </c>
      <c r="K12" s="227">
        <f>Proj_Ref_SIURB!J13</f>
        <v>0.5</v>
      </c>
      <c r="L12" s="227">
        <f>Proj_Ref_SIURB!K13</f>
        <v>0.25</v>
      </c>
      <c r="M12" s="227">
        <f>Proj_Ref_SIURB!L13</f>
        <v>0</v>
      </c>
      <c r="N12" s="227">
        <f>Proj_Ref_SIURB!M13</f>
        <v>0.25</v>
      </c>
      <c r="O12" s="227">
        <f>Proj_Ref_SIURB!N13</f>
        <v>1.5</v>
      </c>
      <c r="P12" s="227">
        <f>Proj_Ref_SIURB!O13</f>
        <v>0.75</v>
      </c>
      <c r="Q12" s="227">
        <f>Proj_Ref_SIURB!P13</f>
        <v>2</v>
      </c>
      <c r="R12" s="227">
        <f>Proj_Ref_SIURB!Q13</f>
        <v>1.5</v>
      </c>
      <c r="S12" s="227">
        <f>Proj_Ref_SIURB!R13</f>
        <v>0.25</v>
      </c>
      <c r="T12" s="227">
        <f>Proj_Ref_SIURB!S13</f>
        <v>0.25</v>
      </c>
      <c r="U12" s="227">
        <f>Proj_Ref_SIURB!T13</f>
        <v>2</v>
      </c>
      <c r="V12" s="227">
        <f>Proj_Ref_SIURB!U13</f>
        <v>0.25</v>
      </c>
      <c r="W12" s="228">
        <f t="shared" ref="W12:W17" si="2">ROUND(H12*J12,2)</f>
        <v>1583.36</v>
      </c>
      <c r="X12" s="67"/>
      <c r="Z12" s="67"/>
    </row>
    <row r="13" spans="1:26" x14ac:dyDescent="0.25">
      <c r="A13" s="68" t="s">
        <v>55</v>
      </c>
      <c r="B13" s="219" t="s">
        <v>293</v>
      </c>
      <c r="C13" s="70" t="s">
        <v>275</v>
      </c>
      <c r="D13" s="71" t="s">
        <v>296</v>
      </c>
      <c r="E13" s="72" t="s">
        <v>273</v>
      </c>
      <c r="F13" s="72">
        <v>31540.2</v>
      </c>
      <c r="G13" s="73">
        <f>ROUND(F13/(1+'Fator K'!C$11),2)</f>
        <v>18386.5</v>
      </c>
      <c r="H13" s="73">
        <f>ROUND(G13*'Fator K'!G$14,2)</f>
        <v>36966.06</v>
      </c>
      <c r="I13" s="74">
        <f t="shared" si="0"/>
        <v>26.599999999999998</v>
      </c>
      <c r="J13" s="74">
        <f t="shared" si="1"/>
        <v>0.16</v>
      </c>
      <c r="K13" s="225">
        <f>Proj_Ref_SIURB!J15</f>
        <v>1.4</v>
      </c>
      <c r="L13" s="225">
        <f>Proj_Ref_SIURB!K15</f>
        <v>0.7</v>
      </c>
      <c r="M13" s="225">
        <f>Proj_Ref_SIURB!L15</f>
        <v>0</v>
      </c>
      <c r="N13" s="225">
        <f>Proj_Ref_SIURB!M15</f>
        <v>0.7</v>
      </c>
      <c r="O13" s="225">
        <f>Proj_Ref_SIURB!N15</f>
        <v>4.1999999999999993</v>
      </c>
      <c r="P13" s="225">
        <f>Proj_Ref_SIURB!O15</f>
        <v>2.0999999999999996</v>
      </c>
      <c r="Q13" s="225">
        <f>Proj_Ref_SIURB!P15</f>
        <v>5.6</v>
      </c>
      <c r="R13" s="225">
        <f>Proj_Ref_SIURB!Q15</f>
        <v>4.1999999999999993</v>
      </c>
      <c r="S13" s="225">
        <f>Proj_Ref_SIURB!R15</f>
        <v>0.7</v>
      </c>
      <c r="T13" s="225">
        <f>Proj_Ref_SIURB!S15</f>
        <v>0.7</v>
      </c>
      <c r="U13" s="225">
        <f>Proj_Ref_SIURB!T15</f>
        <v>5.6</v>
      </c>
      <c r="V13" s="225">
        <f>Proj_Ref_SIURB!U15</f>
        <v>0.7</v>
      </c>
      <c r="W13" s="75">
        <f t="shared" si="2"/>
        <v>5914.57</v>
      </c>
      <c r="X13" s="67"/>
      <c r="Z13" s="67"/>
    </row>
    <row r="14" spans="1:26" x14ac:dyDescent="0.25">
      <c r="A14" s="68" t="s">
        <v>56</v>
      </c>
      <c r="B14" s="219" t="s">
        <v>274</v>
      </c>
      <c r="C14" s="70" t="s">
        <v>275</v>
      </c>
      <c r="D14" s="71" t="s">
        <v>276</v>
      </c>
      <c r="E14" s="72" t="s">
        <v>273</v>
      </c>
      <c r="F14" s="72">
        <v>24185.83</v>
      </c>
      <c r="G14" s="73">
        <f>ROUND(F14/(1+'Fator K'!C$11),2)</f>
        <v>14099.24</v>
      </c>
      <c r="H14" s="73">
        <f>ROUND(G14*'Fator K'!G$14,2)</f>
        <v>28346.52</v>
      </c>
      <c r="I14" s="74">
        <f t="shared" si="0"/>
        <v>266</v>
      </c>
      <c r="J14" s="74">
        <f t="shared" si="1"/>
        <v>1.58</v>
      </c>
      <c r="K14" s="225">
        <f>Proj_Ref_SIURB!J16</f>
        <v>14</v>
      </c>
      <c r="L14" s="225">
        <f>Proj_Ref_SIURB!K16</f>
        <v>7</v>
      </c>
      <c r="M14" s="225">
        <f>Proj_Ref_SIURB!L16</f>
        <v>0</v>
      </c>
      <c r="N14" s="225">
        <f>Proj_Ref_SIURB!M16</f>
        <v>7</v>
      </c>
      <c r="O14" s="225">
        <f>Proj_Ref_SIURB!N16</f>
        <v>42</v>
      </c>
      <c r="P14" s="225">
        <f>Proj_Ref_SIURB!O16</f>
        <v>21</v>
      </c>
      <c r="Q14" s="225">
        <f>Proj_Ref_SIURB!P16</f>
        <v>56</v>
      </c>
      <c r="R14" s="225">
        <f>Proj_Ref_SIURB!Q16</f>
        <v>42</v>
      </c>
      <c r="S14" s="225">
        <f>Proj_Ref_SIURB!R16</f>
        <v>7</v>
      </c>
      <c r="T14" s="225">
        <f>Proj_Ref_SIURB!S16</f>
        <v>7</v>
      </c>
      <c r="U14" s="225">
        <f>Proj_Ref_SIURB!T16</f>
        <v>56</v>
      </c>
      <c r="V14" s="225">
        <f>Proj_Ref_SIURB!U16</f>
        <v>7</v>
      </c>
      <c r="W14" s="75">
        <f t="shared" si="2"/>
        <v>44787.5</v>
      </c>
      <c r="X14" s="67"/>
      <c r="Z14" s="67"/>
    </row>
    <row r="15" spans="1:26" x14ac:dyDescent="0.25">
      <c r="A15" s="68" t="s">
        <v>96</v>
      </c>
      <c r="B15" s="219" t="s">
        <v>277</v>
      </c>
      <c r="C15" s="70" t="s">
        <v>275</v>
      </c>
      <c r="D15" s="71" t="s">
        <v>278</v>
      </c>
      <c r="E15" s="72" t="s">
        <v>273</v>
      </c>
      <c r="F15" s="72">
        <v>22623.1</v>
      </c>
      <c r="G15" s="73">
        <f>ROUND(F15/(1+'Fator K'!C$11),2)</f>
        <v>13188.24</v>
      </c>
      <c r="H15" s="73">
        <f>ROUND(G15*'Fator K'!G$14,2)</f>
        <v>26514.959999999999</v>
      </c>
      <c r="I15" s="74">
        <f t="shared" si="0"/>
        <v>266</v>
      </c>
      <c r="J15" s="74">
        <f t="shared" si="1"/>
        <v>1.58</v>
      </c>
      <c r="K15" s="225">
        <f>Proj_Ref_SIURB!J17</f>
        <v>14</v>
      </c>
      <c r="L15" s="225">
        <f>Proj_Ref_SIURB!K17</f>
        <v>7</v>
      </c>
      <c r="M15" s="225">
        <f>Proj_Ref_SIURB!L17</f>
        <v>0</v>
      </c>
      <c r="N15" s="225">
        <f>Proj_Ref_SIURB!M17</f>
        <v>7</v>
      </c>
      <c r="O15" s="225">
        <f>Proj_Ref_SIURB!N17</f>
        <v>42</v>
      </c>
      <c r="P15" s="225">
        <f>Proj_Ref_SIURB!O17</f>
        <v>21</v>
      </c>
      <c r="Q15" s="225">
        <f>Proj_Ref_SIURB!P17</f>
        <v>56</v>
      </c>
      <c r="R15" s="225">
        <f>Proj_Ref_SIURB!Q17</f>
        <v>42</v>
      </c>
      <c r="S15" s="225">
        <f>Proj_Ref_SIURB!R17</f>
        <v>7</v>
      </c>
      <c r="T15" s="225">
        <f>Proj_Ref_SIURB!S17</f>
        <v>7</v>
      </c>
      <c r="U15" s="225">
        <f>Proj_Ref_SIURB!T17</f>
        <v>56</v>
      </c>
      <c r="V15" s="225">
        <f>Proj_Ref_SIURB!U17</f>
        <v>7</v>
      </c>
      <c r="W15" s="75">
        <f t="shared" si="2"/>
        <v>41893.64</v>
      </c>
      <c r="X15" s="67"/>
      <c r="Z15" s="67"/>
    </row>
    <row r="16" spans="1:26" x14ac:dyDescent="0.25">
      <c r="A16" s="68" t="s">
        <v>99</v>
      </c>
      <c r="B16" s="219" t="s">
        <v>294</v>
      </c>
      <c r="C16" s="70" t="s">
        <v>275</v>
      </c>
      <c r="D16" s="71" t="s">
        <v>297</v>
      </c>
      <c r="E16" s="72" t="s">
        <v>273</v>
      </c>
      <c r="F16" s="72">
        <v>22133.8</v>
      </c>
      <c r="G16" s="73">
        <f>ROUND(F16/(1+'Fator K'!C$11),2)</f>
        <v>12903</v>
      </c>
      <c r="H16" s="73">
        <f>ROUND(G16*'Fator K'!G$14,2)</f>
        <v>25941.48</v>
      </c>
      <c r="I16" s="74">
        <f t="shared" si="0"/>
        <v>304</v>
      </c>
      <c r="J16" s="74">
        <f t="shared" si="1"/>
        <v>1.81</v>
      </c>
      <c r="K16" s="225">
        <f>Proj_Ref_SIURB!J18</f>
        <v>16</v>
      </c>
      <c r="L16" s="225">
        <f>Proj_Ref_SIURB!K18</f>
        <v>8</v>
      </c>
      <c r="M16" s="225">
        <f>Proj_Ref_SIURB!L18</f>
        <v>0</v>
      </c>
      <c r="N16" s="225">
        <f>Proj_Ref_SIURB!M18</f>
        <v>8</v>
      </c>
      <c r="O16" s="225">
        <f>Proj_Ref_SIURB!N18</f>
        <v>48</v>
      </c>
      <c r="P16" s="225">
        <f>Proj_Ref_SIURB!O18</f>
        <v>24</v>
      </c>
      <c r="Q16" s="225">
        <f>Proj_Ref_SIURB!P18</f>
        <v>64</v>
      </c>
      <c r="R16" s="225">
        <f>Proj_Ref_SIURB!Q18</f>
        <v>48</v>
      </c>
      <c r="S16" s="225">
        <f>Proj_Ref_SIURB!R18</f>
        <v>8</v>
      </c>
      <c r="T16" s="225">
        <f>Proj_Ref_SIURB!S18</f>
        <v>8</v>
      </c>
      <c r="U16" s="225">
        <f>Proj_Ref_SIURB!T18</f>
        <v>64</v>
      </c>
      <c r="V16" s="225">
        <f>Proj_Ref_SIURB!U18</f>
        <v>8</v>
      </c>
      <c r="W16" s="75">
        <f t="shared" si="2"/>
        <v>46954.080000000002</v>
      </c>
      <c r="X16" s="67"/>
      <c r="Z16" s="67"/>
    </row>
    <row r="17" spans="1:26" ht="30" thickBot="1" x14ac:dyDescent="0.3">
      <c r="A17" s="68" t="s">
        <v>102</v>
      </c>
      <c r="B17" s="220" t="s">
        <v>279</v>
      </c>
      <c r="C17" s="79" t="s">
        <v>275</v>
      </c>
      <c r="D17" s="80" t="s">
        <v>280</v>
      </c>
      <c r="E17" s="81" t="s">
        <v>273</v>
      </c>
      <c r="F17" s="81">
        <v>11350.44</v>
      </c>
      <c r="G17" s="223">
        <f>ROUND(F17/(1+'Fator K'!C$11),2)</f>
        <v>6616.79</v>
      </c>
      <c r="H17" s="73">
        <f>ROUND(G17*'Fator K'!G$14,2)</f>
        <v>13303.06</v>
      </c>
      <c r="I17" s="74">
        <f t="shared" si="0"/>
        <v>836</v>
      </c>
      <c r="J17" s="224">
        <f t="shared" si="1"/>
        <v>4.9800000000000004</v>
      </c>
      <c r="K17" s="229">
        <f>Proj_Ref_SIURB!J14+Proj_Ref_SIURB!J19+Proj_Ref_SIURB!J20</f>
        <v>44</v>
      </c>
      <c r="L17" s="229">
        <f>Proj_Ref_SIURB!K14+Proj_Ref_SIURB!K19+Proj_Ref_SIURB!K20</f>
        <v>22</v>
      </c>
      <c r="M17" s="229">
        <f>Proj_Ref_SIURB!L14+Proj_Ref_SIURB!L19+Proj_Ref_SIURB!L20</f>
        <v>0</v>
      </c>
      <c r="N17" s="229">
        <f>Proj_Ref_SIURB!M14+Proj_Ref_SIURB!M19+Proj_Ref_SIURB!M20</f>
        <v>22</v>
      </c>
      <c r="O17" s="229">
        <f>Proj_Ref_SIURB!N14+Proj_Ref_SIURB!N19+Proj_Ref_SIURB!N20</f>
        <v>132</v>
      </c>
      <c r="P17" s="229">
        <f>Proj_Ref_SIURB!O14+Proj_Ref_SIURB!O19+Proj_Ref_SIURB!O20</f>
        <v>66</v>
      </c>
      <c r="Q17" s="229">
        <f>Proj_Ref_SIURB!P14+Proj_Ref_SIURB!P19+Proj_Ref_SIURB!P20</f>
        <v>176</v>
      </c>
      <c r="R17" s="229">
        <f>Proj_Ref_SIURB!Q14+Proj_Ref_SIURB!Q19+Proj_Ref_SIURB!Q20</f>
        <v>132</v>
      </c>
      <c r="S17" s="229">
        <f>Proj_Ref_SIURB!R14+Proj_Ref_SIURB!R19+Proj_Ref_SIURB!R20</f>
        <v>22</v>
      </c>
      <c r="T17" s="229">
        <f>Proj_Ref_SIURB!S14+Proj_Ref_SIURB!S19+Proj_Ref_SIURB!S20</f>
        <v>22</v>
      </c>
      <c r="U17" s="229">
        <f>Proj_Ref_SIURB!T14+Proj_Ref_SIURB!T19+Proj_Ref_SIURB!T20</f>
        <v>176</v>
      </c>
      <c r="V17" s="229">
        <f>Proj_Ref_SIURB!U14+Proj_Ref_SIURB!U19+Proj_Ref_SIURB!U20</f>
        <v>22</v>
      </c>
      <c r="W17" s="230">
        <f t="shared" si="2"/>
        <v>66249.240000000005</v>
      </c>
      <c r="X17" s="67"/>
      <c r="Z17" s="67"/>
    </row>
    <row r="18" spans="1:26" ht="15.75" thickBot="1" x14ac:dyDescent="0.3">
      <c r="A18" s="86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8" t="s">
        <v>111</v>
      </c>
      <c r="V18" s="88"/>
      <c r="W18" s="89">
        <f>SUM(W12:W17)</f>
        <v>207382.39</v>
      </c>
    </row>
    <row r="19" spans="1:26" x14ac:dyDescent="0.25">
      <c r="A19" s="5" t="s">
        <v>112</v>
      </c>
    </row>
    <row r="20" spans="1:26" ht="15.75" thickBot="1" x14ac:dyDescent="0.3"/>
    <row r="21" spans="1:26" ht="51.75" thickBot="1" x14ac:dyDescent="0.3">
      <c r="A21" s="49" t="s">
        <v>68</v>
      </c>
      <c r="B21" s="50" t="s">
        <v>49</v>
      </c>
      <c r="C21" s="51" t="s">
        <v>69</v>
      </c>
      <c r="D21" s="51" t="s">
        <v>51</v>
      </c>
      <c r="E21" s="52" t="s">
        <v>50</v>
      </c>
      <c r="F21" s="53" t="s">
        <v>70</v>
      </c>
      <c r="G21" s="53" t="s">
        <v>71</v>
      </c>
      <c r="H21" s="53" t="s">
        <v>241</v>
      </c>
      <c r="I21" s="54" t="s">
        <v>283</v>
      </c>
      <c r="J21" s="54" t="s">
        <v>284</v>
      </c>
      <c r="K21" s="52" t="s">
        <v>74</v>
      </c>
      <c r="L21" s="51" t="s">
        <v>75</v>
      </c>
      <c r="M21" s="51" t="s">
        <v>76</v>
      </c>
      <c r="N21" s="51" t="s">
        <v>77</v>
      </c>
      <c r="O21" s="51" t="s">
        <v>78</v>
      </c>
      <c r="P21" s="51" t="s">
        <v>79</v>
      </c>
      <c r="Q21" s="51" t="s">
        <v>80</v>
      </c>
      <c r="R21" s="51" t="s">
        <v>81</v>
      </c>
      <c r="S21" s="51" t="s">
        <v>82</v>
      </c>
      <c r="T21" s="51" t="s">
        <v>83</v>
      </c>
      <c r="U21" s="51" t="s">
        <v>84</v>
      </c>
      <c r="V21" s="56" t="s">
        <v>85</v>
      </c>
      <c r="W21" s="57" t="s">
        <v>86</v>
      </c>
    </row>
    <row r="22" spans="1:26" x14ac:dyDescent="0.25">
      <c r="A22" s="58" t="s">
        <v>57</v>
      </c>
      <c r="B22" s="218" t="s">
        <v>292</v>
      </c>
      <c r="C22" s="70" t="s">
        <v>275</v>
      </c>
      <c r="D22" s="61" t="s">
        <v>295</v>
      </c>
      <c r="E22" s="62" t="s">
        <v>273</v>
      </c>
      <c r="F22" s="62">
        <f>F12</f>
        <v>22515.91</v>
      </c>
      <c r="G22" s="63">
        <f>ROUND(F22/(1+'Fator K'!C$11),2)</f>
        <v>13125.75</v>
      </c>
      <c r="H22" s="222">
        <f>ROUND(G22*'Fator K'!G$14,2)</f>
        <v>26389.32</v>
      </c>
      <c r="I22" s="64">
        <f t="shared" ref="I22:I27" si="3">SUM(K22:V22)</f>
        <v>7.8000000000000007</v>
      </c>
      <c r="J22" s="226">
        <f t="shared" ref="J22:J27" si="4">ROUND(I22/168,2)</f>
        <v>0.05</v>
      </c>
      <c r="K22" s="227">
        <f>Proj_Ref_SIURB!J25</f>
        <v>0.4</v>
      </c>
      <c r="L22" s="227">
        <f>Proj_Ref_SIURB!K25</f>
        <v>0</v>
      </c>
      <c r="M22" s="227">
        <f>Proj_Ref_SIURB!L25</f>
        <v>1.2000000000000002</v>
      </c>
      <c r="N22" s="227">
        <f>Proj_Ref_SIURB!M25</f>
        <v>0.4</v>
      </c>
      <c r="O22" s="227">
        <f>Proj_Ref_SIURB!N25</f>
        <v>0.60000000000000009</v>
      </c>
      <c r="P22" s="227">
        <f>Proj_Ref_SIURB!O25</f>
        <v>0.60000000000000009</v>
      </c>
      <c r="Q22" s="227">
        <f>Proj_Ref_SIURB!P25</f>
        <v>2</v>
      </c>
      <c r="R22" s="227">
        <f>Proj_Ref_SIURB!Q25</f>
        <v>1.2000000000000002</v>
      </c>
      <c r="S22" s="227">
        <f>Proj_Ref_SIURB!R25</f>
        <v>0.2</v>
      </c>
      <c r="T22" s="227">
        <f>Proj_Ref_SIURB!S25</f>
        <v>0.2</v>
      </c>
      <c r="U22" s="227">
        <f>Proj_Ref_SIURB!T25</f>
        <v>0.8</v>
      </c>
      <c r="V22" s="227">
        <f>Proj_Ref_SIURB!U25</f>
        <v>0.2</v>
      </c>
      <c r="W22" s="228">
        <f t="shared" ref="W22:W27" si="5">ROUND(H22*J22,2)</f>
        <v>1319.47</v>
      </c>
    </row>
    <row r="23" spans="1:26" x14ac:dyDescent="0.25">
      <c r="A23" s="68" t="s">
        <v>58</v>
      </c>
      <c r="B23" s="219" t="s">
        <v>293</v>
      </c>
      <c r="C23" s="70" t="s">
        <v>275</v>
      </c>
      <c r="D23" s="71" t="s">
        <v>296</v>
      </c>
      <c r="E23" s="72" t="s">
        <v>273</v>
      </c>
      <c r="F23" s="72">
        <f>F13</f>
        <v>31540.2</v>
      </c>
      <c r="G23" s="73">
        <f>ROUND(F23/(1+'Fator K'!C$11),2)</f>
        <v>18386.5</v>
      </c>
      <c r="H23" s="73">
        <f>ROUND(G23*'Fator K'!G$14,2)</f>
        <v>36966.06</v>
      </c>
      <c r="I23" s="74">
        <f t="shared" si="3"/>
        <v>15.600000000000001</v>
      </c>
      <c r="J23" s="74">
        <f t="shared" si="4"/>
        <v>0.09</v>
      </c>
      <c r="K23" s="225">
        <f>Proj_Ref_SIURB!J27</f>
        <v>0.8</v>
      </c>
      <c r="L23" s="225">
        <f>Proj_Ref_SIURB!K27</f>
        <v>0</v>
      </c>
      <c r="M23" s="225">
        <f>Proj_Ref_SIURB!L27</f>
        <v>2.4000000000000004</v>
      </c>
      <c r="N23" s="225">
        <f>Proj_Ref_SIURB!M27</f>
        <v>0.8</v>
      </c>
      <c r="O23" s="225">
        <f>Proj_Ref_SIURB!N27</f>
        <v>1.2000000000000002</v>
      </c>
      <c r="P23" s="225">
        <f>Proj_Ref_SIURB!O27</f>
        <v>1.2000000000000002</v>
      </c>
      <c r="Q23" s="225">
        <f>Proj_Ref_SIURB!P27</f>
        <v>4</v>
      </c>
      <c r="R23" s="225">
        <f>Proj_Ref_SIURB!Q27</f>
        <v>2.4000000000000004</v>
      </c>
      <c r="S23" s="225">
        <f>Proj_Ref_SIURB!R27</f>
        <v>0.4</v>
      </c>
      <c r="T23" s="225">
        <f>Proj_Ref_SIURB!S27</f>
        <v>0.4</v>
      </c>
      <c r="U23" s="225">
        <f>Proj_Ref_SIURB!T27</f>
        <v>1.6</v>
      </c>
      <c r="V23" s="225">
        <f>Proj_Ref_SIURB!U27</f>
        <v>0.4</v>
      </c>
      <c r="W23" s="75">
        <f t="shared" si="5"/>
        <v>3326.95</v>
      </c>
    </row>
    <row r="24" spans="1:26" x14ac:dyDescent="0.25">
      <c r="A24" s="68" t="s">
        <v>59</v>
      </c>
      <c r="B24" s="219" t="s">
        <v>274</v>
      </c>
      <c r="C24" s="70" t="s">
        <v>275</v>
      </c>
      <c r="D24" s="71" t="s">
        <v>276</v>
      </c>
      <c r="E24" s="72" t="s">
        <v>273</v>
      </c>
      <c r="F24" s="72">
        <f t="shared" ref="F24:F26" si="6">F14</f>
        <v>24185.83</v>
      </c>
      <c r="G24" s="73">
        <f>ROUND(F24/(1+'Fator K'!C$11),2)</f>
        <v>14099.24</v>
      </c>
      <c r="H24" s="73">
        <f>ROUND(G24*'Fator K'!G$14,2)</f>
        <v>28346.52</v>
      </c>
      <c r="I24" s="74">
        <f t="shared" si="3"/>
        <v>234</v>
      </c>
      <c r="J24" s="74">
        <f t="shared" si="4"/>
        <v>1.39</v>
      </c>
      <c r="K24" s="225">
        <f>Proj_Ref_SIURB!J28</f>
        <v>12</v>
      </c>
      <c r="L24" s="225">
        <f>Proj_Ref_SIURB!K28</f>
        <v>0</v>
      </c>
      <c r="M24" s="225">
        <f>Proj_Ref_SIURB!L28</f>
        <v>36</v>
      </c>
      <c r="N24" s="225">
        <f>Proj_Ref_SIURB!M28</f>
        <v>12</v>
      </c>
      <c r="O24" s="225">
        <f>Proj_Ref_SIURB!N28</f>
        <v>18</v>
      </c>
      <c r="P24" s="225">
        <f>Proj_Ref_SIURB!O28</f>
        <v>18</v>
      </c>
      <c r="Q24" s="225">
        <f>Proj_Ref_SIURB!P28</f>
        <v>60</v>
      </c>
      <c r="R24" s="225">
        <f>Proj_Ref_SIURB!Q28</f>
        <v>36</v>
      </c>
      <c r="S24" s="225">
        <f>Proj_Ref_SIURB!R28</f>
        <v>6</v>
      </c>
      <c r="T24" s="225">
        <f>Proj_Ref_SIURB!S28</f>
        <v>6</v>
      </c>
      <c r="U24" s="225">
        <f>Proj_Ref_SIURB!T28</f>
        <v>24</v>
      </c>
      <c r="V24" s="225">
        <f>Proj_Ref_SIURB!U28</f>
        <v>6</v>
      </c>
      <c r="W24" s="75">
        <f t="shared" si="5"/>
        <v>39401.660000000003</v>
      </c>
    </row>
    <row r="25" spans="1:26" x14ac:dyDescent="0.25">
      <c r="A25" s="68" t="s">
        <v>113</v>
      </c>
      <c r="B25" s="219" t="s">
        <v>277</v>
      </c>
      <c r="C25" s="70" t="s">
        <v>275</v>
      </c>
      <c r="D25" s="71" t="s">
        <v>278</v>
      </c>
      <c r="E25" s="72" t="s">
        <v>273</v>
      </c>
      <c r="F25" s="72">
        <f t="shared" si="6"/>
        <v>22623.1</v>
      </c>
      <c r="G25" s="73">
        <f>ROUND(F25/(1+'Fator K'!C$11),2)</f>
        <v>13188.24</v>
      </c>
      <c r="H25" s="73">
        <f>ROUND(G25*'Fator K'!G$14,2)</f>
        <v>26514.959999999999</v>
      </c>
      <c r="I25" s="74">
        <f t="shared" si="3"/>
        <v>234</v>
      </c>
      <c r="J25" s="74">
        <f t="shared" si="4"/>
        <v>1.39</v>
      </c>
      <c r="K25" s="225">
        <f>Proj_Ref_SIURB!J29</f>
        <v>12</v>
      </c>
      <c r="L25" s="225">
        <f>Proj_Ref_SIURB!K29</f>
        <v>0</v>
      </c>
      <c r="M25" s="225">
        <f>Proj_Ref_SIURB!L29</f>
        <v>36</v>
      </c>
      <c r="N25" s="225">
        <f>Proj_Ref_SIURB!M29</f>
        <v>12</v>
      </c>
      <c r="O25" s="225">
        <f>Proj_Ref_SIURB!N29</f>
        <v>18</v>
      </c>
      <c r="P25" s="225">
        <f>Proj_Ref_SIURB!O29</f>
        <v>18</v>
      </c>
      <c r="Q25" s="225">
        <f>Proj_Ref_SIURB!P29</f>
        <v>60</v>
      </c>
      <c r="R25" s="225">
        <f>Proj_Ref_SIURB!Q29</f>
        <v>36</v>
      </c>
      <c r="S25" s="225">
        <f>Proj_Ref_SIURB!R29</f>
        <v>6</v>
      </c>
      <c r="T25" s="225">
        <f>Proj_Ref_SIURB!S29</f>
        <v>6</v>
      </c>
      <c r="U25" s="225">
        <f>Proj_Ref_SIURB!T29</f>
        <v>24</v>
      </c>
      <c r="V25" s="225">
        <f>Proj_Ref_SIURB!U29</f>
        <v>6</v>
      </c>
      <c r="W25" s="75">
        <f t="shared" si="5"/>
        <v>36855.79</v>
      </c>
    </row>
    <row r="26" spans="1:26" x14ac:dyDescent="0.25">
      <c r="A26" s="68" t="s">
        <v>114</v>
      </c>
      <c r="B26" s="219" t="s">
        <v>294</v>
      </c>
      <c r="C26" s="70" t="s">
        <v>275</v>
      </c>
      <c r="D26" s="71" t="s">
        <v>297</v>
      </c>
      <c r="E26" s="72" t="s">
        <v>273</v>
      </c>
      <c r="F26" s="72">
        <f t="shared" si="6"/>
        <v>22133.8</v>
      </c>
      <c r="G26" s="73">
        <f>ROUND(F26/(1+'Fator K'!C$11),2)</f>
        <v>12903</v>
      </c>
      <c r="H26" s="73">
        <f>ROUND(G26*'Fator K'!G$14,2)</f>
        <v>25941.48</v>
      </c>
      <c r="I26" s="74">
        <f t="shared" si="3"/>
        <v>273</v>
      </c>
      <c r="J26" s="74">
        <f t="shared" si="4"/>
        <v>1.63</v>
      </c>
      <c r="K26" s="225">
        <f>Proj_Ref_SIURB!J30</f>
        <v>14</v>
      </c>
      <c r="L26" s="225">
        <f>Proj_Ref_SIURB!K30</f>
        <v>0</v>
      </c>
      <c r="M26" s="225">
        <f>Proj_Ref_SIURB!L30</f>
        <v>42</v>
      </c>
      <c r="N26" s="225">
        <f>Proj_Ref_SIURB!M30</f>
        <v>14</v>
      </c>
      <c r="O26" s="225">
        <f>Proj_Ref_SIURB!N30</f>
        <v>21</v>
      </c>
      <c r="P26" s="225">
        <f>Proj_Ref_SIURB!O30</f>
        <v>21</v>
      </c>
      <c r="Q26" s="225">
        <f>Proj_Ref_SIURB!P30</f>
        <v>70</v>
      </c>
      <c r="R26" s="225">
        <f>Proj_Ref_SIURB!Q30</f>
        <v>42</v>
      </c>
      <c r="S26" s="225">
        <f>Proj_Ref_SIURB!R30</f>
        <v>7</v>
      </c>
      <c r="T26" s="225">
        <f>Proj_Ref_SIURB!S30</f>
        <v>7</v>
      </c>
      <c r="U26" s="225">
        <f>Proj_Ref_SIURB!T30</f>
        <v>28</v>
      </c>
      <c r="V26" s="225">
        <f>Proj_Ref_SIURB!U30</f>
        <v>7</v>
      </c>
      <c r="W26" s="75">
        <f t="shared" si="5"/>
        <v>42284.61</v>
      </c>
    </row>
    <row r="27" spans="1:26" ht="30" thickBot="1" x14ac:dyDescent="0.3">
      <c r="A27" s="68" t="s">
        <v>115</v>
      </c>
      <c r="B27" s="220" t="s">
        <v>279</v>
      </c>
      <c r="C27" s="79" t="s">
        <v>275</v>
      </c>
      <c r="D27" s="80" t="s">
        <v>280</v>
      </c>
      <c r="E27" s="81" t="s">
        <v>273</v>
      </c>
      <c r="F27" s="81">
        <f>F17</f>
        <v>11350.44</v>
      </c>
      <c r="G27" s="73">
        <f>ROUND(F27/(1+'Fator K'!C$11),2)</f>
        <v>6616.79</v>
      </c>
      <c r="H27" s="223">
        <f>ROUND(G27*'Fator K'!G$14,2)</f>
        <v>13303.06</v>
      </c>
      <c r="I27" s="74">
        <f t="shared" si="3"/>
        <v>717.59999999999991</v>
      </c>
      <c r="J27" s="224">
        <f t="shared" si="4"/>
        <v>4.2699999999999996</v>
      </c>
      <c r="K27" s="229">
        <f>Proj_Ref_SIURB!J26+Proj_Ref_SIURB!J31+Proj_Ref_SIURB!J32</f>
        <v>36.799999999999997</v>
      </c>
      <c r="L27" s="229">
        <f>Proj_Ref_SIURB!K26+Proj_Ref_SIURB!K31+Proj_Ref_SIURB!K32</f>
        <v>0</v>
      </c>
      <c r="M27" s="229">
        <f>Proj_Ref_SIURB!L26+Proj_Ref_SIURB!L31+Proj_Ref_SIURB!L32</f>
        <v>110.4</v>
      </c>
      <c r="N27" s="229">
        <f>Proj_Ref_SIURB!M26+Proj_Ref_SIURB!M31+Proj_Ref_SIURB!M32</f>
        <v>36.799999999999997</v>
      </c>
      <c r="O27" s="229">
        <f>Proj_Ref_SIURB!N26+Proj_Ref_SIURB!N31+Proj_Ref_SIURB!N32</f>
        <v>55.2</v>
      </c>
      <c r="P27" s="229">
        <f>Proj_Ref_SIURB!O26+Proj_Ref_SIURB!O31+Proj_Ref_SIURB!O32</f>
        <v>55.2</v>
      </c>
      <c r="Q27" s="229">
        <f>Proj_Ref_SIURB!P26+Proj_Ref_SIURB!P31+Proj_Ref_SIURB!P32</f>
        <v>184</v>
      </c>
      <c r="R27" s="229">
        <f>Proj_Ref_SIURB!Q26+Proj_Ref_SIURB!Q31+Proj_Ref_SIURB!Q32</f>
        <v>110.4</v>
      </c>
      <c r="S27" s="229">
        <f>Proj_Ref_SIURB!R26+Proj_Ref_SIURB!R31+Proj_Ref_SIURB!R32</f>
        <v>18.399999999999999</v>
      </c>
      <c r="T27" s="229">
        <f>Proj_Ref_SIURB!S26+Proj_Ref_SIURB!S31+Proj_Ref_SIURB!S32</f>
        <v>18.399999999999999</v>
      </c>
      <c r="U27" s="229">
        <f>Proj_Ref_SIURB!T26+Proj_Ref_SIURB!T31+Proj_Ref_SIURB!T32</f>
        <v>73.599999999999994</v>
      </c>
      <c r="V27" s="229">
        <f>Proj_Ref_SIURB!U26+Proj_Ref_SIURB!U31+Proj_Ref_SIURB!U32</f>
        <v>18.399999999999999</v>
      </c>
      <c r="W27" s="230">
        <f t="shared" si="5"/>
        <v>56804.07</v>
      </c>
    </row>
    <row r="28" spans="1:26" ht="15.75" thickBot="1" x14ac:dyDescent="0.3">
      <c r="A28" s="86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8" t="s">
        <v>111</v>
      </c>
      <c r="V28" s="88"/>
      <c r="W28" s="89">
        <f>SUM(W22:W27)</f>
        <v>179992.55</v>
      </c>
    </row>
    <row r="29" spans="1:26" x14ac:dyDescent="0.25">
      <c r="A29" s="113" t="s">
        <v>301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5"/>
      <c r="V29" s="115"/>
      <c r="W29" s="116"/>
    </row>
    <row r="30" spans="1:26" ht="15" customHeight="1" x14ac:dyDescent="0.25">
      <c r="A30" s="303" t="s">
        <v>303</v>
      </c>
      <c r="B30" s="303"/>
      <c r="C30" s="303"/>
      <c r="D30" s="303"/>
      <c r="E30" s="303"/>
      <c r="F30" s="303"/>
      <c r="G30" s="303"/>
      <c r="H30" s="303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</row>
    <row r="32" spans="1:26" x14ac:dyDescent="0.25">
      <c r="A32" s="221" t="s">
        <v>281</v>
      </c>
    </row>
    <row r="33" spans="1:1" x14ac:dyDescent="0.25">
      <c r="A33" s="221"/>
    </row>
    <row r="34" spans="1:1" x14ac:dyDescent="0.25">
      <c r="A34" s="221" t="s">
        <v>282</v>
      </c>
    </row>
  </sheetData>
  <mergeCells count="9">
    <mergeCell ref="A30:H30"/>
    <mergeCell ref="A7:W7"/>
    <mergeCell ref="B8:I8"/>
    <mergeCell ref="A1:W1"/>
    <mergeCell ref="A2:W2"/>
    <mergeCell ref="A3:W3"/>
    <mergeCell ref="B4:I4"/>
    <mergeCell ref="A5:W5"/>
    <mergeCell ref="B6:I6"/>
  </mergeCells>
  <printOptions horizontalCentered="1"/>
  <pageMargins left="0.1" right="0.1" top="0.78740157480314965" bottom="0.78740157480314965" header="0.31496062992125984" footer="0.31496062992125984"/>
  <pageSetup paperSize="9" scale="4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40"/>
  <sheetViews>
    <sheetView tabSelected="1" zoomScale="120" zoomScaleNormal="120" workbookViewId="0">
      <selection activeCell="A40" sqref="A7:X40"/>
    </sheetView>
  </sheetViews>
  <sheetFormatPr defaultRowHeight="15" x14ac:dyDescent="0.25"/>
  <cols>
    <col min="1" max="1" width="26.42578125" customWidth="1"/>
    <col min="2" max="2" width="16.140625" hidden="1" customWidth="1"/>
    <col min="3" max="3" width="13.28515625" customWidth="1"/>
    <col min="4" max="4" width="12.42578125" hidden="1" customWidth="1"/>
    <col min="5" max="5" width="12.5703125" bestFit="1" customWidth="1"/>
    <col min="6" max="6" width="12.42578125" hidden="1" customWidth="1"/>
    <col min="7" max="7" width="12.5703125" bestFit="1" customWidth="1"/>
    <col min="8" max="8" width="13.42578125" hidden="1" customWidth="1"/>
    <col min="9" max="9" width="13.5703125" bestFit="1" customWidth="1"/>
    <col min="10" max="10" width="12.42578125" hidden="1" customWidth="1"/>
    <col min="11" max="11" width="12.5703125" bestFit="1" customWidth="1"/>
    <col min="12" max="12" width="12.42578125" hidden="1" customWidth="1"/>
    <col min="13" max="13" width="12.5703125" bestFit="1" customWidth="1"/>
    <col min="14" max="14" width="12.42578125" hidden="1" customWidth="1"/>
    <col min="15" max="15" width="14.5703125" customWidth="1"/>
    <col min="16" max="16" width="12.85546875" hidden="1" customWidth="1"/>
    <col min="17" max="17" width="13.140625" customWidth="1"/>
    <col min="18" max="18" width="13.42578125" hidden="1" customWidth="1"/>
    <col min="19" max="19" width="14.5703125" customWidth="1"/>
    <col min="20" max="20" width="12.85546875" hidden="1" customWidth="1"/>
    <col min="21" max="21" width="13.140625" customWidth="1"/>
    <col min="22" max="22" width="14" hidden="1" customWidth="1"/>
    <col min="23" max="24" width="15" customWidth="1"/>
  </cols>
  <sheetData>
    <row r="1" spans="1:24" ht="15.75" x14ac:dyDescent="0.25">
      <c r="A1" s="293" t="s">
        <v>62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</row>
    <row r="2" spans="1:24" x14ac:dyDescent="0.25">
      <c r="A2" s="294" t="s">
        <v>285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</row>
    <row r="3" spans="1:24" x14ac:dyDescent="0.25">
      <c r="A3" s="294" t="str">
        <f>'5.1-RESUMO'!A7:C7</f>
        <v>DEPARTAMENTO DE HABITAÇÃO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  <c r="X3" s="294"/>
    </row>
    <row r="4" spans="1:24" x14ac:dyDescent="0.25">
      <c r="B4" s="34"/>
      <c r="C4" s="35"/>
    </row>
    <row r="5" spans="1:24" ht="29.25" customHeight="1" x14ac:dyDescent="0.25">
      <c r="A5" s="295" t="s">
        <v>163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</row>
    <row r="6" spans="1:24" x14ac:dyDescent="0.25">
      <c r="B6" s="34"/>
      <c r="C6" s="35"/>
    </row>
    <row r="7" spans="1:24" x14ac:dyDescent="0.25">
      <c r="A7" s="292" t="s">
        <v>166</v>
      </c>
      <c r="B7" s="292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  <c r="W7" s="292"/>
      <c r="X7" s="292"/>
    </row>
    <row r="9" spans="1:24" ht="32.25" customHeight="1" x14ac:dyDescent="0.25">
      <c r="A9" s="117"/>
      <c r="B9" s="288" t="s">
        <v>1</v>
      </c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9" t="s">
        <v>44</v>
      </c>
      <c r="O9" s="290"/>
      <c r="P9" s="290"/>
      <c r="Q9" s="291"/>
      <c r="R9" s="267" t="s">
        <v>46</v>
      </c>
      <c r="S9" s="267"/>
      <c r="T9" s="267"/>
      <c r="U9" s="267"/>
      <c r="V9" s="267"/>
      <c r="W9" s="267"/>
      <c r="X9" s="5"/>
    </row>
    <row r="10" spans="1:24" ht="30" x14ac:dyDescent="0.25">
      <c r="B10" s="283" t="s">
        <v>0</v>
      </c>
      <c r="C10" s="284"/>
      <c r="D10" s="283" t="s">
        <v>17</v>
      </c>
      <c r="E10" s="284"/>
      <c r="F10" s="283" t="s">
        <v>16</v>
      </c>
      <c r="G10" s="284"/>
      <c r="H10" s="283" t="s">
        <v>18</v>
      </c>
      <c r="I10" s="284"/>
      <c r="J10" s="283" t="s">
        <v>19</v>
      </c>
      <c r="K10" s="284"/>
      <c r="L10" s="283" t="s">
        <v>20</v>
      </c>
      <c r="M10" s="284"/>
      <c r="N10" s="283" t="s">
        <v>45</v>
      </c>
      <c r="O10" s="284"/>
      <c r="P10" s="283" t="s">
        <v>43</v>
      </c>
      <c r="Q10" s="284"/>
      <c r="R10" s="283" t="s">
        <v>47</v>
      </c>
      <c r="S10" s="284"/>
      <c r="T10" s="283" t="s">
        <v>48</v>
      </c>
      <c r="U10" s="284"/>
      <c r="V10" s="283" t="s">
        <v>60</v>
      </c>
      <c r="W10" s="284"/>
      <c r="X10" s="27" t="s">
        <v>30</v>
      </c>
    </row>
    <row r="11" spans="1:24" x14ac:dyDescent="0.25">
      <c r="A11" s="7" t="s">
        <v>10</v>
      </c>
      <c r="B11" s="8">
        <v>44743</v>
      </c>
      <c r="C11" s="8">
        <v>45992</v>
      </c>
      <c r="D11" s="8">
        <v>44743</v>
      </c>
      <c r="E11" s="8">
        <v>45992</v>
      </c>
      <c r="F11" s="8">
        <v>45992</v>
      </c>
      <c r="G11" s="8">
        <v>45992</v>
      </c>
      <c r="H11" s="8">
        <v>45992</v>
      </c>
      <c r="I11" s="8">
        <v>45992</v>
      </c>
      <c r="J11" s="8">
        <v>45992</v>
      </c>
      <c r="K11" s="8">
        <v>45992</v>
      </c>
      <c r="L11" s="8">
        <v>45992</v>
      </c>
      <c r="M11" s="8">
        <v>45992</v>
      </c>
      <c r="N11" s="8">
        <v>45992</v>
      </c>
      <c r="O11" s="8">
        <v>45992</v>
      </c>
      <c r="P11" s="8">
        <v>45992</v>
      </c>
      <c r="Q11" s="8">
        <v>45992</v>
      </c>
      <c r="R11" s="8">
        <v>45992</v>
      </c>
      <c r="S11" s="8">
        <v>45992</v>
      </c>
      <c r="T11" s="8">
        <v>45992</v>
      </c>
      <c r="U11" s="8">
        <v>45992</v>
      </c>
      <c r="V11" s="8">
        <v>45992</v>
      </c>
      <c r="W11" s="8">
        <v>45992</v>
      </c>
    </row>
    <row r="12" spans="1:24" x14ac:dyDescent="0.25">
      <c r="A12" s="118" t="s">
        <v>168</v>
      </c>
      <c r="B12" s="26"/>
      <c r="C12" s="26"/>
      <c r="D12" s="26"/>
      <c r="E12" s="26"/>
      <c r="F12" s="26"/>
      <c r="G12" s="26"/>
      <c r="H12" s="25"/>
      <c r="I12" s="26"/>
      <c r="J12" s="25"/>
      <c r="K12" s="26"/>
      <c r="L12" s="25"/>
      <c r="M12" s="26"/>
      <c r="N12" s="25"/>
      <c r="O12" s="26"/>
      <c r="P12" s="25"/>
      <c r="Q12" s="26"/>
      <c r="R12" s="25">
        <v>40833.279999999999</v>
      </c>
      <c r="S12" s="9">
        <f>R12*(1+'ÍNDICES SINAPI IBGE'!F$31)</f>
        <v>51256.017945973137</v>
      </c>
      <c r="T12" s="25">
        <v>37212.83</v>
      </c>
      <c r="U12" s="9">
        <f>T12*(1+'ÍNDICES SINAPI IBGE'!F$31)</f>
        <v>46711.444250876928</v>
      </c>
      <c r="V12" s="25" t="e">
        <f>SUM(#REF!)*(1+#REF!)</f>
        <v>#REF!</v>
      </c>
      <c r="W12" s="9">
        <v>1657930.4280045533</v>
      </c>
    </row>
    <row r="13" spans="1:24" x14ac:dyDescent="0.25">
      <c r="A13" s="2" t="s">
        <v>13</v>
      </c>
      <c r="B13" s="9">
        <v>68679.66</v>
      </c>
      <c r="C13" s="9">
        <f>B13*(1+'ÍNDICES SINAPI IBGE'!F$13)</f>
        <v>77155.205059345884</v>
      </c>
      <c r="D13" s="9">
        <v>171688.78</v>
      </c>
      <c r="E13" s="9">
        <f>D13*(1+'ÍNDICES SINAPI IBGE'!F$13)</f>
        <v>192876.36291864174</v>
      </c>
      <c r="F13" s="9">
        <v>358078.33</v>
      </c>
      <c r="G13" s="9">
        <f>F13*(1+'ÍNDICES SINAPI IBGE'!F$13)</f>
        <v>402267.672531549</v>
      </c>
      <c r="H13" s="9">
        <v>125823.11</v>
      </c>
      <c r="I13" s="9">
        <f>H13*(1+'ÍNDICES SINAPI IBGE'!F$19)</f>
        <v>127695.42270402802</v>
      </c>
      <c r="J13" s="9">
        <f>84776.91</f>
        <v>84776.91</v>
      </c>
      <c r="K13" s="9">
        <f>J13*(1+'ÍNDICES SINAPI IBGE'!F$19)</f>
        <v>86038.434099994352</v>
      </c>
      <c r="L13" s="9">
        <v>93519.35</v>
      </c>
      <c r="M13" s="9">
        <f>L13*(1+'ÍNDICES SINAPI IBGE'!F$19)</f>
        <v>94910.966111519127</v>
      </c>
      <c r="N13" s="9">
        <v>234313.15</v>
      </c>
      <c r="O13" s="9">
        <f>N13*(1+'ÍNDICES SINAPI IBGE'!F$25)</f>
        <v>261109.5697397152</v>
      </c>
      <c r="P13" s="9">
        <v>71413.2</v>
      </c>
      <c r="Q13" s="9">
        <f>P13*(1+'ÍNDICES SINAPI IBGE'!F$19)</f>
        <v>72475.865209875148</v>
      </c>
      <c r="R13" s="9">
        <v>379236.52</v>
      </c>
      <c r="S13" s="9">
        <f>R13*(1+'ÍNDICES SINAPI IBGE'!F$31)</f>
        <v>476037.04318850709</v>
      </c>
      <c r="T13" s="9">
        <v>107396.29</v>
      </c>
      <c r="U13" s="9">
        <f>T13*(1+'ÍNDICES SINAPI IBGE'!F$31)</f>
        <v>134809.30671185208</v>
      </c>
      <c r="V13" s="9" t="e">
        <f>SUM(#REF!)*(1+#REF!)</f>
        <v>#REF!</v>
      </c>
      <c r="W13" s="9">
        <v>2791239.7149145543</v>
      </c>
    </row>
    <row r="14" spans="1:24" x14ac:dyDescent="0.25">
      <c r="A14" s="2" t="s">
        <v>12</v>
      </c>
      <c r="B14" s="9">
        <f>2881917.47+20488.15</f>
        <v>2902405.62</v>
      </c>
      <c r="C14" s="9">
        <f>B14*(1+'ÍNDICES SINAPI IBGE'!F$13)</f>
        <v>3260582.5476785693</v>
      </c>
      <c r="D14" s="9">
        <v>4008231.37</v>
      </c>
      <c r="E14" s="9">
        <f>D14*(1+'ÍNDICES SINAPI IBGE'!F$13)</f>
        <v>4502874.8435512474</v>
      </c>
      <c r="F14" s="9">
        <f>7094900.59+20488.15</f>
        <v>7115388.7400000002</v>
      </c>
      <c r="G14" s="9">
        <f>F14*(1+'ÍNDICES SINAPI IBGE'!F$13)</f>
        <v>7993476.9233228695</v>
      </c>
      <c r="H14" s="9">
        <f>9328823.46+2103998.32</f>
        <v>11432821.780000001</v>
      </c>
      <c r="I14" s="9">
        <f>H14*(1+'ÍNDICES SINAPI IBGE'!F$19)</f>
        <v>11602948.058563473</v>
      </c>
      <c r="J14" s="9">
        <f>692480.26+2049637.37</f>
        <v>2742117.63</v>
      </c>
      <c r="K14" s="9">
        <f>J14*(1+'ÍNDICES SINAPI IBGE'!F$19)</f>
        <v>2782921.7531423084</v>
      </c>
      <c r="L14" s="9">
        <f>171991.76+2298333.86</f>
        <v>2470325.62</v>
      </c>
      <c r="M14" s="9">
        <f>L14*(1+'ÍNDICES SINAPI IBGE'!F$19)</f>
        <v>2507085.3379994351</v>
      </c>
      <c r="N14" s="9">
        <v>3672708.79</v>
      </c>
      <c r="O14" s="9">
        <f>N14*(1+'ÍNDICES SINAPI IBGE'!F$25)</f>
        <v>4092725.5339112207</v>
      </c>
      <c r="P14" s="9">
        <v>3426075.59</v>
      </c>
      <c r="Q14" s="9">
        <f>P14*(1+'ÍNDICES SINAPI IBGE'!F$19)</f>
        <v>3477057.3599794363</v>
      </c>
      <c r="R14" s="9">
        <v>13146162.109999999</v>
      </c>
      <c r="S14" s="9">
        <f>R14*(1+'ÍNDICES SINAPI IBGE'!F$31)</f>
        <v>16501733.90506058</v>
      </c>
      <c r="T14" s="9">
        <f>2419250+1249762.29+16824.4</f>
        <v>3685836.69</v>
      </c>
      <c r="U14" s="9">
        <f>T14*(1+'ÍNDICES SINAPI IBGE'!F$31)</f>
        <v>4626650.4069368476</v>
      </c>
      <c r="V14" s="9" t="e">
        <f>SUM(#REF!)*(1+#REF!)</f>
        <v>#REF!</v>
      </c>
      <c r="W14" s="9">
        <v>54025634.642000377</v>
      </c>
    </row>
    <row r="15" spans="1:24" ht="30" x14ac:dyDescent="0.25">
      <c r="A15" s="13" t="s">
        <v>61</v>
      </c>
      <c r="B15" s="9">
        <v>84932.63</v>
      </c>
      <c r="C15" s="9">
        <f>B15*(1+'ÍNDICES SINAPI IBGE'!F$13)</f>
        <v>95413.903969232691</v>
      </c>
      <c r="D15" s="9">
        <v>130467.15</v>
      </c>
      <c r="E15" s="9">
        <f>D15*(1+'ÍNDICES SINAPI IBGE'!F$13)</f>
        <v>146567.69867175285</v>
      </c>
      <c r="F15" s="9">
        <v>325722.8</v>
      </c>
      <c r="G15" s="9">
        <f>F15*(1+'ÍNDICES SINAPI IBGE'!F$13)</f>
        <v>365919.24634606967</v>
      </c>
      <c r="H15" s="9">
        <f>413502.07+15823.81</f>
        <v>429325.88</v>
      </c>
      <c r="I15" s="9">
        <f>H15*(1+'ÍNDICES SINAPI IBGE'!F$19)</f>
        <v>435714.47029388172</v>
      </c>
      <c r="J15" s="9">
        <f>209487.92+396885.29</f>
        <v>606373.21</v>
      </c>
      <c r="K15" s="9">
        <f>J15*(1+'ÍNDICES SINAPI IBGE'!F$19)</f>
        <v>615396.35578351503</v>
      </c>
      <c r="L15" s="9">
        <f>40612.8+52004.3</f>
        <v>92617.1</v>
      </c>
      <c r="M15" s="9">
        <f>L15*(1+'ÍNDICES SINAPI IBGE'!F$19)</f>
        <v>93995.290166657258</v>
      </c>
      <c r="N15" s="9">
        <v>50576.42</v>
      </c>
      <c r="O15" s="9">
        <f>N15*(1+'ÍNDICES SINAPI IBGE'!F$25)</f>
        <v>56360.418803533328</v>
      </c>
      <c r="P15" s="9">
        <f>16528.79+60698.22</f>
        <v>77227.010000000009</v>
      </c>
      <c r="Q15" s="9">
        <f>P15*(1+'ÍNDICES SINAPI IBGE'!F$19)</f>
        <v>78376.187698096168</v>
      </c>
      <c r="R15" s="9">
        <v>3123551.18</v>
      </c>
      <c r="S15" s="9">
        <f>R15*(1+'ÍNDICES SINAPI IBGE'!F$31)</f>
        <v>3920840.9252757942</v>
      </c>
      <c r="T15" s="9">
        <f>850050.71+38319.01</f>
        <v>888369.72</v>
      </c>
      <c r="U15" s="9">
        <f>T15*(1+'ÍNDICES SINAPI IBGE'!F$31)</f>
        <v>1115127.0314552034</v>
      </c>
      <c r="V15" s="9" t="e">
        <f>SUM(#REF!)*(1+#REF!)</f>
        <v>#REF!</v>
      </c>
      <c r="W15" s="9">
        <v>6194732.0237780306</v>
      </c>
    </row>
    <row r="16" spans="1:24" x14ac:dyDescent="0.25">
      <c r="A16" s="10" t="s">
        <v>11</v>
      </c>
      <c r="B16" s="11">
        <f t="shared" ref="B16:G16" si="0">SUM(B13:B15)</f>
        <v>3056017.91</v>
      </c>
      <c r="C16" s="12">
        <f t="shared" si="0"/>
        <v>3433151.6567071481</v>
      </c>
      <c r="D16" s="11">
        <f t="shared" si="0"/>
        <v>4310387.3</v>
      </c>
      <c r="E16" s="12">
        <f t="shared" si="0"/>
        <v>4842318.9051416414</v>
      </c>
      <c r="F16" s="11">
        <f t="shared" si="0"/>
        <v>7799189.8700000001</v>
      </c>
      <c r="G16" s="12">
        <f t="shared" si="0"/>
        <v>8761663.8422004879</v>
      </c>
      <c r="H16" s="11">
        <f t="shared" ref="H16" si="1">SUM(H13:H15)</f>
        <v>11987970.770000001</v>
      </c>
      <c r="I16" s="12">
        <f t="shared" ref="I16" si="2">SUM(I13:I15)</f>
        <v>12166357.951561382</v>
      </c>
      <c r="J16" s="11">
        <f t="shared" ref="J16" si="3">SUM(J13:J15)</f>
        <v>3433267.75</v>
      </c>
      <c r="K16" s="12">
        <f t="shared" ref="K16" si="4">SUM(K13:K15)</f>
        <v>3484356.5430258177</v>
      </c>
      <c r="L16" s="11">
        <f t="shared" ref="L16" si="5">SUM(L13:L15)</f>
        <v>2656462.0700000003</v>
      </c>
      <c r="M16" s="12">
        <f t="shared" ref="M16:Q16" si="6">SUM(M13:M15)</f>
        <v>2695991.5942776115</v>
      </c>
      <c r="N16" s="11">
        <f t="shared" si="6"/>
        <v>3957598.36</v>
      </c>
      <c r="O16" s="12">
        <f t="shared" si="6"/>
        <v>4410195.5224544695</v>
      </c>
      <c r="P16" s="11">
        <f t="shared" si="6"/>
        <v>3574715.8</v>
      </c>
      <c r="Q16" s="12">
        <f t="shared" si="6"/>
        <v>3627909.4128874075</v>
      </c>
      <c r="R16" s="11">
        <f t="shared" ref="R16:V16" si="7">SUM(R13:R15)</f>
        <v>16648949.809999999</v>
      </c>
      <c r="S16" s="12">
        <f t="shared" si="7"/>
        <v>20898611.873524882</v>
      </c>
      <c r="T16" s="11">
        <f t="shared" si="7"/>
        <v>4681602.7</v>
      </c>
      <c r="U16" s="12">
        <f t="shared" si="7"/>
        <v>5876586.7451039031</v>
      </c>
      <c r="V16" s="11" t="e">
        <f t="shared" si="7"/>
        <v>#REF!</v>
      </c>
      <c r="W16" s="12">
        <f t="shared" ref="W16" si="8">SUM(W13:W15)</f>
        <v>63011606.380692959</v>
      </c>
    </row>
    <row r="17" spans="1:24" x14ac:dyDescent="0.25">
      <c r="A17" s="5"/>
      <c r="C17" s="1"/>
      <c r="E17" s="1"/>
      <c r="G17" s="1"/>
      <c r="I17" s="1"/>
      <c r="K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4" ht="30" x14ac:dyDescent="0.25">
      <c r="A18" s="13" t="s">
        <v>15</v>
      </c>
      <c r="B18" s="286">
        <v>0</v>
      </c>
      <c r="C18" s="286"/>
      <c r="D18" s="285">
        <v>926.39</v>
      </c>
      <c r="E18" s="285"/>
      <c r="F18" s="286">
        <v>0</v>
      </c>
      <c r="G18" s="286"/>
      <c r="H18" s="286">
        <v>1445.37</v>
      </c>
      <c r="I18" s="286"/>
      <c r="J18" s="285">
        <v>1341.77</v>
      </c>
      <c r="K18" s="285"/>
      <c r="L18" s="286">
        <v>0</v>
      </c>
      <c r="M18" s="286"/>
      <c r="N18" s="281">
        <v>0</v>
      </c>
      <c r="O18" s="282"/>
      <c r="P18" s="281">
        <v>0</v>
      </c>
      <c r="Q18" s="282"/>
      <c r="R18" s="281">
        <v>0</v>
      </c>
      <c r="S18" s="282"/>
      <c r="T18" s="281">
        <v>0</v>
      </c>
      <c r="U18" s="282"/>
      <c r="V18" s="281">
        <v>7395.3700000000008</v>
      </c>
      <c r="W18" s="282"/>
    </row>
    <row r="19" spans="1:24" ht="30" x14ac:dyDescent="0.25">
      <c r="A19" s="13" t="s">
        <v>2</v>
      </c>
      <c r="B19" s="287">
        <v>1536</v>
      </c>
      <c r="C19" s="287"/>
      <c r="D19" s="287">
        <v>0</v>
      </c>
      <c r="E19" s="287"/>
      <c r="F19" s="287">
        <v>2613.29</v>
      </c>
      <c r="G19" s="287"/>
      <c r="H19" s="287">
        <f>451.79/0.1</f>
        <v>4517.8999999999996</v>
      </c>
      <c r="I19" s="287"/>
      <c r="J19" s="287">
        <f>92.18/0.1</f>
        <v>921.80000000000007</v>
      </c>
      <c r="K19" s="287"/>
      <c r="L19" s="287">
        <f>82.62/0.1</f>
        <v>826.2</v>
      </c>
      <c r="M19" s="287"/>
      <c r="N19" s="272">
        <v>1452.4</v>
      </c>
      <c r="O19" s="273"/>
      <c r="P19" s="272">
        <v>1567</v>
      </c>
      <c r="Q19" s="273"/>
      <c r="R19" s="272">
        <f>1025.58/0.1</f>
        <v>10255.799999999999</v>
      </c>
      <c r="S19" s="273"/>
      <c r="T19" s="272">
        <f>408.83/0.1</f>
        <v>4088.2999999999997</v>
      </c>
      <c r="U19" s="273"/>
      <c r="V19" s="272">
        <v>43222.28</v>
      </c>
      <c r="W19" s="273"/>
    </row>
    <row r="20" spans="1:24" ht="30" x14ac:dyDescent="0.25">
      <c r="A20" s="13" t="s">
        <v>3</v>
      </c>
      <c r="B20" s="287">
        <f>127*2.5</f>
        <v>317.5</v>
      </c>
      <c r="C20" s="287"/>
      <c r="D20" s="287">
        <v>1443</v>
      </c>
      <c r="E20" s="287"/>
      <c r="F20" s="287">
        <f>184.82+147.01+150.91</f>
        <v>482.74</v>
      </c>
      <c r="G20" s="287"/>
      <c r="H20" s="287">
        <v>542.25</v>
      </c>
      <c r="I20" s="287"/>
      <c r="J20" s="287">
        <v>442</v>
      </c>
      <c r="K20" s="287"/>
      <c r="L20" s="287">
        <v>159.43</v>
      </c>
      <c r="M20" s="287"/>
      <c r="N20" s="272">
        <v>516.76</v>
      </c>
      <c r="O20" s="273"/>
      <c r="P20" s="272">
        <v>0</v>
      </c>
      <c r="Q20" s="273"/>
      <c r="R20" s="272">
        <v>0</v>
      </c>
      <c r="S20" s="273"/>
      <c r="T20" s="272">
        <v>0</v>
      </c>
      <c r="U20" s="273"/>
      <c r="V20" s="272">
        <v>995.88499999999999</v>
      </c>
      <c r="W20" s="273"/>
    </row>
    <row r="21" spans="1:24" ht="30" x14ac:dyDescent="0.25">
      <c r="A21" s="14" t="s">
        <v>4</v>
      </c>
      <c r="B21" s="274">
        <f>SUM(B18:B20)</f>
        <v>1853.5</v>
      </c>
      <c r="C21" s="274"/>
      <c r="D21" s="274">
        <f>SUM(D18:D20)</f>
        <v>2369.39</v>
      </c>
      <c r="E21" s="274"/>
      <c r="F21" s="274">
        <f>SUM(F18:F20)</f>
        <v>3096.0299999999997</v>
      </c>
      <c r="G21" s="274"/>
      <c r="H21" s="274">
        <f>SUM(H18:H20)</f>
        <v>6505.5199999999995</v>
      </c>
      <c r="I21" s="274"/>
      <c r="J21" s="274">
        <f>SUM(J18:J20)</f>
        <v>2705.57</v>
      </c>
      <c r="K21" s="274"/>
      <c r="L21" s="274">
        <f>SUM(L18:L20)</f>
        <v>985.63000000000011</v>
      </c>
      <c r="M21" s="274"/>
      <c r="N21" s="274">
        <f t="shared" ref="N21" si="9">SUM(N18:N20)</f>
        <v>1969.16</v>
      </c>
      <c r="O21" s="274"/>
      <c r="P21" s="274">
        <f t="shared" ref="P21" si="10">SUM(P18:P20)</f>
        <v>1567</v>
      </c>
      <c r="Q21" s="274"/>
      <c r="R21" s="274">
        <f t="shared" ref="R21" si="11">SUM(R18:R20)</f>
        <v>10255.799999999999</v>
      </c>
      <c r="S21" s="274"/>
      <c r="T21" s="274">
        <f t="shared" ref="T21:V21" si="12">SUM(T18:T20)</f>
        <v>4088.2999999999997</v>
      </c>
      <c r="U21" s="274"/>
      <c r="V21" s="274">
        <f t="shared" si="12"/>
        <v>51613.535000000003</v>
      </c>
      <c r="W21" s="274"/>
    </row>
    <row r="22" spans="1:24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20" t="s">
        <v>31</v>
      </c>
    </row>
    <row r="23" spans="1:24" x14ac:dyDescent="0.25">
      <c r="A23" s="10" t="s">
        <v>14</v>
      </c>
      <c r="B23" s="275">
        <f>C16/B21</f>
        <v>1852.2533891055559</v>
      </c>
      <c r="C23" s="275"/>
      <c r="D23" s="275">
        <f>E16/D21</f>
        <v>2043.6985490534025</v>
      </c>
      <c r="E23" s="275"/>
      <c r="F23" s="275">
        <f>G16/F21</f>
        <v>2829.9673589081785</v>
      </c>
      <c r="G23" s="275"/>
      <c r="H23" s="275">
        <f>I16/H21</f>
        <v>1870.1591804438974</v>
      </c>
      <c r="I23" s="275"/>
      <c r="J23" s="275">
        <f>K16/J21</f>
        <v>1287.8456454742688</v>
      </c>
      <c r="K23" s="275"/>
      <c r="L23" s="275">
        <f>M16/L21</f>
        <v>2735.297824008615</v>
      </c>
      <c r="M23" s="275"/>
      <c r="N23" s="275">
        <f t="shared" ref="N23" si="13">O16/N21</f>
        <v>2239.6329005537737</v>
      </c>
      <c r="O23" s="275"/>
      <c r="P23" s="275">
        <f t="shared" ref="P23" si="14">Q16/P21</f>
        <v>2315.1942647654164</v>
      </c>
      <c r="Q23" s="275"/>
      <c r="R23" s="275">
        <f t="shared" ref="R23" si="15">S16/R21</f>
        <v>2037.735902954902</v>
      </c>
      <c r="S23" s="275"/>
      <c r="T23" s="275">
        <f t="shared" ref="T23" si="16">U16/T21</f>
        <v>1437.4157339490505</v>
      </c>
      <c r="U23" s="275"/>
      <c r="V23" s="275">
        <f t="shared" ref="V23" si="17">W16/V21</f>
        <v>1220.8349298433629</v>
      </c>
      <c r="W23" s="275"/>
      <c r="X23" s="16">
        <f>SUM(B23:W23)/11</f>
        <v>1988.1850617327661</v>
      </c>
    </row>
    <row r="24" spans="1:24" x14ac:dyDescent="0.25">
      <c r="B24" s="6"/>
      <c r="C24" s="6"/>
    </row>
    <row r="25" spans="1:24" x14ac:dyDescent="0.25">
      <c r="A25" s="2" t="s">
        <v>27</v>
      </c>
      <c r="B25" s="276">
        <f>C13/C$16</f>
        <v>2.2473579024279999E-2</v>
      </c>
      <c r="C25" s="276"/>
      <c r="D25" s="276">
        <f>E13/E$16</f>
        <v>3.9831404477272847E-2</v>
      </c>
      <c r="E25" s="276"/>
      <c r="F25" s="276">
        <f>G13/G$16</f>
        <v>4.5912246780574914E-2</v>
      </c>
      <c r="G25" s="276"/>
      <c r="H25" s="276">
        <f>I13/I$16</f>
        <v>1.0495780513151851E-2</v>
      </c>
      <c r="I25" s="276"/>
      <c r="J25" s="276">
        <f>K13/K$16</f>
        <v>2.4692775563455546E-2</v>
      </c>
      <c r="K25" s="276"/>
      <c r="L25" s="276">
        <f>M13/M$16</f>
        <v>3.5204474046941693E-2</v>
      </c>
      <c r="M25" s="276"/>
      <c r="N25" s="276">
        <f>O13/O$16</f>
        <v>5.9205894253503782E-2</v>
      </c>
      <c r="O25" s="276"/>
      <c r="P25" s="276">
        <f>Q13/Q$16</f>
        <v>1.9977308405887819E-2</v>
      </c>
      <c r="Q25" s="276"/>
      <c r="R25" s="276">
        <f>S13/S$16</f>
        <v>2.2778404904086863E-2</v>
      </c>
      <c r="S25" s="276"/>
      <c r="T25" s="276">
        <f>U13/U$16</f>
        <v>2.2940069220312095E-2</v>
      </c>
      <c r="U25" s="276"/>
      <c r="V25" s="276">
        <f>W13/W$16</f>
        <v>4.4297231498129253E-2</v>
      </c>
      <c r="W25" s="276"/>
      <c r="X25" s="21">
        <f>SUM(B25:V25)/11</f>
        <v>3.1619015335236061E-2</v>
      </c>
    </row>
    <row r="26" spans="1:24" x14ac:dyDescent="0.25">
      <c r="A26" s="2" t="s">
        <v>28</v>
      </c>
      <c r="B26" s="276">
        <f>C14/C$16</f>
        <v>0.94973449288456557</v>
      </c>
      <c r="C26" s="276"/>
      <c r="D26" s="276">
        <f>E14/E$16</f>
        <v>0.92990051497228576</v>
      </c>
      <c r="E26" s="276"/>
      <c r="F26" s="276">
        <f>G14/G$16</f>
        <v>0.91232408219342409</v>
      </c>
      <c r="G26" s="276"/>
      <c r="H26" s="276">
        <f>I14/I$16</f>
        <v>0.95369116252858532</v>
      </c>
      <c r="I26" s="276"/>
      <c r="J26" s="276">
        <f>K14/K$16</f>
        <v>0.79869029439955563</v>
      </c>
      <c r="K26" s="276"/>
      <c r="L26" s="276">
        <f>M14/M$16</f>
        <v>0.92993069537785644</v>
      </c>
      <c r="M26" s="276"/>
      <c r="N26" s="276">
        <f>O14/O$16</f>
        <v>0.92801453202542761</v>
      </c>
      <c r="O26" s="276"/>
      <c r="P26" s="276">
        <f>Q14/Q$16</f>
        <v>0.95841901333806734</v>
      </c>
      <c r="Q26" s="276"/>
      <c r="R26" s="276">
        <f>S14/S$16</f>
        <v>0.78960909006428193</v>
      </c>
      <c r="S26" s="276"/>
      <c r="T26" s="276">
        <f>U14/U$16</f>
        <v>0.78730232490681029</v>
      </c>
      <c r="U26" s="276"/>
      <c r="V26" s="276">
        <f>W14/W$16</f>
        <v>0.85739180041843965</v>
      </c>
      <c r="W26" s="276"/>
      <c r="X26" s="21">
        <f>SUM(B26:V26)/11</f>
        <v>0.89045527300993643</v>
      </c>
    </row>
    <row r="27" spans="1:24" x14ac:dyDescent="0.25">
      <c r="A27" s="2" t="s">
        <v>29</v>
      </c>
      <c r="B27" s="276">
        <f>C15/C$16</f>
        <v>2.7791928091154411E-2</v>
      </c>
      <c r="C27" s="276"/>
      <c r="D27" s="276">
        <f>E15/E$16</f>
        <v>3.026808055044149E-2</v>
      </c>
      <c r="E27" s="276"/>
      <c r="F27" s="276">
        <f>G15/G$16</f>
        <v>4.1763671026001065E-2</v>
      </c>
      <c r="G27" s="276"/>
      <c r="H27" s="276">
        <f>I15/I$16</f>
        <v>3.5813056958262833E-2</v>
      </c>
      <c r="I27" s="276"/>
      <c r="J27" s="276">
        <f>K15/K$16</f>
        <v>0.17661693003698881</v>
      </c>
      <c r="K27" s="276"/>
      <c r="L27" s="276">
        <f>M15/M$16</f>
        <v>3.4864830575201851E-2</v>
      </c>
      <c r="M27" s="276"/>
      <c r="N27" s="276">
        <f>O15/O$16</f>
        <v>1.2779573721068551E-2</v>
      </c>
      <c r="O27" s="276"/>
      <c r="P27" s="276">
        <f>Q15/Q$16</f>
        <v>2.1603678256044864E-2</v>
      </c>
      <c r="Q27" s="276"/>
      <c r="R27" s="276">
        <f>S15/S$16</f>
        <v>0.18761250503163118</v>
      </c>
      <c r="S27" s="276"/>
      <c r="T27" s="276">
        <f>U15/U$16</f>
        <v>0.18975760587287765</v>
      </c>
      <c r="U27" s="276"/>
      <c r="V27" s="276">
        <f>W15/W$16</f>
        <v>9.8310968083431122E-2</v>
      </c>
      <c r="W27" s="276"/>
      <c r="X27" s="21">
        <f>SUM(B27:V27)/11</f>
        <v>7.7925711654827617E-2</v>
      </c>
    </row>
    <row r="30" spans="1:24" x14ac:dyDescent="0.25">
      <c r="A30" s="2" t="s">
        <v>32</v>
      </c>
      <c r="B30" s="19">
        <v>634548.32999999996</v>
      </c>
      <c r="C30" s="17">
        <f>B30*(1+'ÍNDICES SINAPI IBGE'!F$13)</f>
        <v>712855.9827060221</v>
      </c>
      <c r="D30" s="261"/>
      <c r="E30" s="262"/>
      <c r="F30" s="262"/>
      <c r="G30" s="265"/>
      <c r="H30" s="19">
        <v>467030.36</v>
      </c>
      <c r="I30" s="17">
        <f>H30*(1+'ÍNDICES SINAPI IBGE'!F$19)</f>
        <v>473980.01238257729</v>
      </c>
      <c r="J30" s="18">
        <v>164328.1</v>
      </c>
      <c r="K30" s="17">
        <f>J30*(1+'ÍNDICES SINAPI IBGE'!F$19)</f>
        <v>166773.38679396646</v>
      </c>
      <c r="L30" s="19">
        <v>121094.94</v>
      </c>
      <c r="M30" s="17">
        <f>L30*(1+'ÍNDICES SINAPI IBGE'!F$19)</f>
        <v>122896.89509835604</v>
      </c>
      <c r="N30" s="17">
        <v>213665.2</v>
      </c>
      <c r="O30" s="9">
        <f>N30*(1+'ÍNDICES SINAPI IBGE'!F$25)</f>
        <v>238100.28775743145</v>
      </c>
      <c r="P30" s="17">
        <v>191870.56</v>
      </c>
      <c r="Q30" s="9">
        <f>P30*(1+'ÍNDICES SINAPI IBGE'!F$19)</f>
        <v>194725.69278933393</v>
      </c>
      <c r="R30" s="277"/>
      <c r="S30" s="278"/>
      <c r="T30" s="277"/>
      <c r="U30" s="278"/>
      <c r="V30" s="277"/>
      <c r="W30" s="278"/>
      <c r="X30" s="2"/>
    </row>
    <row r="31" spans="1:24" x14ac:dyDescent="0.25">
      <c r="A31" s="2" t="s">
        <v>33</v>
      </c>
      <c r="B31" s="276">
        <f>C30/(C30+C16+E16+G16)</f>
        <v>4.0160922184946171E-2</v>
      </c>
      <c r="C31" s="276"/>
      <c r="D31" s="263"/>
      <c r="E31" s="264"/>
      <c r="F31" s="264"/>
      <c r="G31" s="266"/>
      <c r="H31" s="276">
        <f>I30/(I30+I16)</f>
        <v>3.7497416108223186E-2</v>
      </c>
      <c r="I31" s="276"/>
      <c r="J31" s="276">
        <f>K30/(K30+K16)</f>
        <v>4.5677198565814453E-2</v>
      </c>
      <c r="K31" s="276"/>
      <c r="L31" s="276">
        <f>M30/(M30+M16)</f>
        <v>4.3597643383744625E-2</v>
      </c>
      <c r="M31" s="276"/>
      <c r="N31" s="276">
        <f>O30/(O30+O16)</f>
        <v>5.1223135849991705E-2</v>
      </c>
      <c r="O31" s="276"/>
      <c r="P31" s="276">
        <f>Q30/(Q30+Q16)</f>
        <v>5.0940172788179479E-2</v>
      </c>
      <c r="Q31" s="276"/>
      <c r="R31" s="279"/>
      <c r="S31" s="280"/>
      <c r="T31" s="279"/>
      <c r="U31" s="280"/>
      <c r="V31" s="279"/>
      <c r="W31" s="280"/>
      <c r="X31" s="21">
        <f>(B31+H31+J31+L31+N31+P31)/6</f>
        <v>4.4849414813483264E-2</v>
      </c>
    </row>
    <row r="32" spans="1:24" ht="15.75" thickBot="1" x14ac:dyDescent="0.3"/>
    <row r="33" spans="1:24" ht="30" x14ac:dyDescent="0.25">
      <c r="A33" s="31" t="s">
        <v>37</v>
      </c>
      <c r="B33" s="268">
        <v>5093.29</v>
      </c>
      <c r="C33" s="269"/>
      <c r="N33" s="6"/>
      <c r="P33" s="6"/>
      <c r="Q33" s="335" t="s">
        <v>313</v>
      </c>
      <c r="R33" s="335"/>
      <c r="S33" s="335"/>
      <c r="T33" s="335"/>
      <c r="U33" s="335"/>
      <c r="V33" s="335"/>
      <c r="W33" s="336"/>
      <c r="X33" s="259">
        <f>X31*B34</f>
        <v>454163.25288976554</v>
      </c>
    </row>
    <row r="34" spans="1:24" ht="15.75" thickBot="1" x14ac:dyDescent="0.3">
      <c r="A34" s="32" t="s">
        <v>38</v>
      </c>
      <c r="B34" s="270">
        <f>B33*X23</f>
        <v>10126403.09307288</v>
      </c>
      <c r="C34" s="271"/>
      <c r="O34" s="335" t="s">
        <v>314</v>
      </c>
      <c r="P34" s="335"/>
      <c r="Q34" s="335"/>
      <c r="R34" s="335"/>
      <c r="S34" s="335"/>
      <c r="T34" s="335"/>
      <c r="U34" s="335"/>
      <c r="V34" s="335"/>
      <c r="W34" s="336"/>
      <c r="X34" s="20">
        <f>TRUNC(X33/(100%-X31),2)</f>
        <v>475488.64</v>
      </c>
    </row>
    <row r="36" spans="1:24" x14ac:dyDescent="0.25">
      <c r="A36" s="316" t="s">
        <v>301</v>
      </c>
      <c r="B36" s="316"/>
      <c r="C36" s="316"/>
    </row>
    <row r="38" spans="1:24" ht="30" customHeight="1" x14ac:dyDescent="0.25">
      <c r="A38" s="260" t="s">
        <v>169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</row>
    <row r="40" spans="1:24" x14ac:dyDescent="0.25">
      <c r="A40" s="260" t="s">
        <v>307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</row>
  </sheetData>
  <mergeCells count="125">
    <mergeCell ref="Q33:W33"/>
    <mergeCell ref="O34:W34"/>
    <mergeCell ref="A36:C36"/>
    <mergeCell ref="A38:X38"/>
    <mergeCell ref="A1:X1"/>
    <mergeCell ref="A2:X2"/>
    <mergeCell ref="A3:X3"/>
    <mergeCell ref="A5:X5"/>
    <mergeCell ref="R27:S27"/>
    <mergeCell ref="T27:U27"/>
    <mergeCell ref="R23:S23"/>
    <mergeCell ref="T23:U23"/>
    <mergeCell ref="R25:S25"/>
    <mergeCell ref="T25:U25"/>
    <mergeCell ref="R26:S26"/>
    <mergeCell ref="T26:U26"/>
    <mergeCell ref="R19:S19"/>
    <mergeCell ref="T19:U19"/>
    <mergeCell ref="R20:S20"/>
    <mergeCell ref="T20:U20"/>
    <mergeCell ref="R21:S21"/>
    <mergeCell ref="T21:U21"/>
    <mergeCell ref="T10:U10"/>
    <mergeCell ref="R18:S18"/>
    <mergeCell ref="T18:U18"/>
    <mergeCell ref="F19:G19"/>
    <mergeCell ref="F20:G20"/>
    <mergeCell ref="B9:M9"/>
    <mergeCell ref="N9:Q9"/>
    <mergeCell ref="F18:G18"/>
    <mergeCell ref="H10:I10"/>
    <mergeCell ref="D10:E10"/>
    <mergeCell ref="F10:G10"/>
    <mergeCell ref="A7:X7"/>
    <mergeCell ref="F23:G23"/>
    <mergeCell ref="B23:C23"/>
    <mergeCell ref="D19:E19"/>
    <mergeCell ref="D20:E20"/>
    <mergeCell ref="D21:E21"/>
    <mergeCell ref="D23:E23"/>
    <mergeCell ref="B18:C18"/>
    <mergeCell ref="D18:E18"/>
    <mergeCell ref="B19:C19"/>
    <mergeCell ref="B20:C20"/>
    <mergeCell ref="B21:C21"/>
    <mergeCell ref="B10:C10"/>
    <mergeCell ref="J19:K19"/>
    <mergeCell ref="L19:M19"/>
    <mergeCell ref="H20:I20"/>
    <mergeCell ref="J20:K20"/>
    <mergeCell ref="V10:W10"/>
    <mergeCell ref="V18:W18"/>
    <mergeCell ref="P20:Q20"/>
    <mergeCell ref="R10:S10"/>
    <mergeCell ref="H23:I23"/>
    <mergeCell ref="J23:K23"/>
    <mergeCell ref="L23:M23"/>
    <mergeCell ref="H21:I21"/>
    <mergeCell ref="F21:G21"/>
    <mergeCell ref="N23:O23"/>
    <mergeCell ref="P23:Q23"/>
    <mergeCell ref="J18:K18"/>
    <mergeCell ref="L18:M18"/>
    <mergeCell ref="N10:O10"/>
    <mergeCell ref="P10:Q10"/>
    <mergeCell ref="N18:O18"/>
    <mergeCell ref="P18:Q18"/>
    <mergeCell ref="H19:I19"/>
    <mergeCell ref="J21:K21"/>
    <mergeCell ref="L21:M21"/>
    <mergeCell ref="J10:K10"/>
    <mergeCell ref="L10:M10"/>
    <mergeCell ref="H18:I18"/>
    <mergeCell ref="L20:M20"/>
    <mergeCell ref="P21:Q21"/>
    <mergeCell ref="B26:C26"/>
    <mergeCell ref="B27:C27"/>
    <mergeCell ref="D25:E25"/>
    <mergeCell ref="D26:E26"/>
    <mergeCell ref="D27:E27"/>
    <mergeCell ref="F25:G25"/>
    <mergeCell ref="F26:G26"/>
    <mergeCell ref="F27:G27"/>
    <mergeCell ref="H25:I25"/>
    <mergeCell ref="H26:I26"/>
    <mergeCell ref="H27:I27"/>
    <mergeCell ref="B25:C25"/>
    <mergeCell ref="J26:K26"/>
    <mergeCell ref="J27:K27"/>
    <mergeCell ref="L25:M25"/>
    <mergeCell ref="L26:M26"/>
    <mergeCell ref="L27:M27"/>
    <mergeCell ref="N27:O27"/>
    <mergeCell ref="P27:Q27"/>
    <mergeCell ref="P31:Q31"/>
    <mergeCell ref="N31:O31"/>
    <mergeCell ref="N25:O25"/>
    <mergeCell ref="P25:Q25"/>
    <mergeCell ref="N26:O26"/>
    <mergeCell ref="P26:Q26"/>
    <mergeCell ref="J25:K25"/>
    <mergeCell ref="A40:X40"/>
    <mergeCell ref="D30:E31"/>
    <mergeCell ref="F30:G31"/>
    <mergeCell ref="R9:W9"/>
    <mergeCell ref="B33:C33"/>
    <mergeCell ref="B34:C34"/>
    <mergeCell ref="V19:W19"/>
    <mergeCell ref="V20:W20"/>
    <mergeCell ref="V21:W21"/>
    <mergeCell ref="V23:W23"/>
    <mergeCell ref="V25:W25"/>
    <mergeCell ref="V26:W26"/>
    <mergeCell ref="V27:W27"/>
    <mergeCell ref="R30:S31"/>
    <mergeCell ref="T30:U31"/>
    <mergeCell ref="V30:W31"/>
    <mergeCell ref="B31:C31"/>
    <mergeCell ref="H31:I31"/>
    <mergeCell ref="J31:K31"/>
    <mergeCell ref="L31:M31"/>
    <mergeCell ref="N19:O19"/>
    <mergeCell ref="P19:Q19"/>
    <mergeCell ref="N20:O20"/>
    <mergeCell ref="N21:O21"/>
  </mergeCells>
  <printOptions horizontalCentered="1"/>
  <pageMargins left="0.19685039370078741" right="0.19685039370078741" top="0.6" bottom="0.51" header="0.31496062992125984" footer="0.31496062992125984"/>
  <pageSetup paperSize="9" scale="7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AL55"/>
  <sheetViews>
    <sheetView workbookViewId="0">
      <selection activeCell="C20" sqref="C20"/>
    </sheetView>
  </sheetViews>
  <sheetFormatPr defaultRowHeight="12.75" x14ac:dyDescent="0.2"/>
  <cols>
    <col min="1" max="1" width="4.5703125" style="132" bestFit="1" customWidth="1"/>
    <col min="2" max="2" width="36.85546875" style="132" customWidth="1"/>
    <col min="3" max="3" width="15.42578125" style="132" customWidth="1"/>
    <col min="4" max="15" width="11.5703125" style="132" customWidth="1"/>
    <col min="16" max="16" width="12" style="132" customWidth="1"/>
    <col min="17" max="19" width="11.5703125" style="132" customWidth="1"/>
    <col min="20" max="20" width="12.140625" style="132" customWidth="1"/>
    <col min="21" max="23" width="11.5703125" style="132" customWidth="1"/>
    <col min="24" max="24" width="12.140625" style="132" customWidth="1"/>
    <col min="25" max="27" width="11.5703125" style="132" customWidth="1"/>
    <col min="28" max="28" width="13" style="132" customWidth="1"/>
    <col min="29" max="29" width="11.5703125" style="132" customWidth="1"/>
    <col min="30" max="32" width="12.28515625" style="132" customWidth="1"/>
    <col min="33" max="33" width="14.28515625" style="132" customWidth="1"/>
    <col min="34" max="36" width="12.28515625" style="132" customWidth="1"/>
    <col min="37" max="37" width="14" style="132" customWidth="1"/>
    <col min="38" max="38" width="13.85546875" style="132" customWidth="1"/>
    <col min="39" max="16384" width="9.140625" style="132"/>
  </cols>
  <sheetData>
    <row r="1" spans="1:38" x14ac:dyDescent="0.2">
      <c r="A1" s="310" t="s">
        <v>62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33"/>
      <c r="AI1" s="134"/>
      <c r="AJ1" s="134"/>
    </row>
    <row r="2" spans="1:38" x14ac:dyDescent="0.2">
      <c r="A2" s="310" t="s">
        <v>285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33"/>
      <c r="AI2" s="134"/>
      <c r="AJ2" s="134"/>
    </row>
    <row r="3" spans="1:38" x14ac:dyDescent="0.2">
      <c r="A3" s="310" t="str">
        <f>'5.1-RESUMO'!A7:C7</f>
        <v>DEPARTAMENTO DE HABITAÇÃO</v>
      </c>
      <c r="B3" s="310"/>
      <c r="C3" s="310"/>
      <c r="D3" s="310"/>
      <c r="E3" s="310"/>
      <c r="F3" s="310"/>
      <c r="G3" s="310"/>
      <c r="H3" s="310"/>
      <c r="I3" s="310"/>
      <c r="J3" s="310"/>
      <c r="K3" s="310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33"/>
      <c r="AI3" s="134"/>
      <c r="AJ3" s="134"/>
    </row>
    <row r="4" spans="1:38" x14ac:dyDescent="0.2">
      <c r="A4" s="233"/>
      <c r="B4" s="233"/>
      <c r="C4" s="233"/>
      <c r="D4" s="233"/>
      <c r="E4" s="233"/>
      <c r="F4" s="233"/>
      <c r="G4" s="233"/>
      <c r="H4" s="233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33"/>
      <c r="AI4" s="134"/>
      <c r="AJ4" s="134"/>
    </row>
    <row r="5" spans="1:38" ht="27" customHeight="1" x14ac:dyDescent="0.2">
      <c r="A5" s="313" t="s">
        <v>163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  <c r="AH5" s="133"/>
      <c r="AI5" s="134"/>
      <c r="AJ5" s="134"/>
    </row>
    <row r="6" spans="1:38" ht="13.5" thickBot="1" x14ac:dyDescent="0.25">
      <c r="A6" s="243"/>
      <c r="B6" s="243"/>
      <c r="C6" s="243"/>
      <c r="D6" s="243"/>
      <c r="E6" s="243"/>
      <c r="F6" s="243"/>
      <c r="G6" s="243"/>
      <c r="H6" s="243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33"/>
      <c r="AI6" s="134"/>
      <c r="AJ6" s="134"/>
    </row>
    <row r="7" spans="1:38" ht="12.75" customHeight="1" thickBot="1" x14ac:dyDescent="0.25">
      <c r="A7" s="243"/>
      <c r="B7" s="243"/>
      <c r="C7" s="243"/>
      <c r="D7" s="243"/>
      <c r="E7" s="243"/>
      <c r="F7" s="243"/>
      <c r="G7" s="243"/>
      <c r="H7" s="243"/>
      <c r="I7" s="188"/>
      <c r="J7" s="136" t="s">
        <v>185</v>
      </c>
      <c r="K7" s="137" t="s">
        <v>186</v>
      </c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33"/>
      <c r="AI7" s="134"/>
      <c r="AJ7" s="134"/>
    </row>
    <row r="8" spans="1:38" ht="13.5" thickBot="1" x14ac:dyDescent="0.25">
      <c r="A8" s="243"/>
      <c r="B8" s="243"/>
      <c r="C8" s="243"/>
      <c r="D8" s="243"/>
      <c r="E8" s="243"/>
      <c r="F8" s="243"/>
      <c r="G8" s="243"/>
      <c r="H8" s="243"/>
      <c r="I8" s="188"/>
      <c r="J8" s="138" t="s">
        <v>187</v>
      </c>
      <c r="K8" s="139" t="s">
        <v>304</v>
      </c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8"/>
      <c r="AE8" s="188"/>
      <c r="AF8" s="188"/>
      <c r="AG8" s="188"/>
      <c r="AH8" s="133"/>
      <c r="AI8" s="134"/>
      <c r="AJ8" s="134"/>
    </row>
    <row r="9" spans="1:38" ht="15" customHeight="1" x14ac:dyDescent="0.2">
      <c r="A9" s="310" t="s">
        <v>286</v>
      </c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234"/>
      <c r="M9" s="234"/>
      <c r="N9" s="234"/>
      <c r="O9" s="234"/>
      <c r="P9" s="234"/>
      <c r="Q9" s="234"/>
      <c r="R9" s="234"/>
      <c r="S9" s="234"/>
      <c r="T9" s="234"/>
      <c r="U9" s="234"/>
      <c r="V9" s="234"/>
      <c r="W9" s="234"/>
      <c r="X9" s="234"/>
      <c r="Y9" s="234"/>
      <c r="Z9" s="234"/>
      <c r="AA9" s="234"/>
      <c r="AB9" s="234"/>
      <c r="AC9" s="140"/>
      <c r="AD9" s="140"/>
      <c r="AE9" s="141"/>
      <c r="AF9" s="141"/>
      <c r="AG9" s="141"/>
      <c r="AH9" s="133"/>
      <c r="AI9" s="134"/>
      <c r="AJ9" s="134"/>
    </row>
    <row r="10" spans="1:38" ht="13.5" thickBot="1" x14ac:dyDescent="0.25">
      <c r="A10" s="308"/>
      <c r="B10" s="308"/>
      <c r="C10" s="308"/>
      <c r="D10" s="308"/>
      <c r="E10" s="308"/>
      <c r="F10" s="308"/>
      <c r="G10" s="308"/>
      <c r="H10" s="308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142"/>
      <c r="AD10" s="142"/>
      <c r="AE10" s="143"/>
      <c r="AF10" s="143"/>
      <c r="AG10" s="143"/>
      <c r="AH10" s="143"/>
      <c r="AI10" s="144"/>
      <c r="AJ10" s="144"/>
    </row>
    <row r="11" spans="1:38" x14ac:dyDescent="0.2">
      <c r="A11" s="145" t="s">
        <v>188</v>
      </c>
      <c r="B11" s="146" t="s">
        <v>189</v>
      </c>
      <c r="C11" s="147" t="s">
        <v>190</v>
      </c>
      <c r="D11" s="148" t="s">
        <v>191</v>
      </c>
      <c r="E11" s="149" t="s">
        <v>192</v>
      </c>
      <c r="F11" s="149" t="s">
        <v>193</v>
      </c>
      <c r="G11" s="149" t="s">
        <v>194</v>
      </c>
      <c r="H11" s="149" t="s">
        <v>195</v>
      </c>
      <c r="I11" s="149" t="s">
        <v>196</v>
      </c>
      <c r="J11" s="149" t="s">
        <v>197</v>
      </c>
      <c r="K11" s="149" t="s">
        <v>198</v>
      </c>
      <c r="L11" s="149" t="s">
        <v>199</v>
      </c>
      <c r="M11" s="149" t="s">
        <v>200</v>
      </c>
      <c r="N11" s="149" t="s">
        <v>201</v>
      </c>
      <c r="O11" s="149" t="s">
        <v>202</v>
      </c>
      <c r="P11" s="149" t="s">
        <v>203</v>
      </c>
      <c r="Q11" s="149" t="s">
        <v>204</v>
      </c>
      <c r="R11" s="149" t="s">
        <v>205</v>
      </c>
      <c r="S11" s="149" t="s">
        <v>206</v>
      </c>
      <c r="T11" s="149" t="s">
        <v>207</v>
      </c>
      <c r="U11" s="149" t="s">
        <v>208</v>
      </c>
      <c r="V11" s="149" t="s">
        <v>209</v>
      </c>
      <c r="W11" s="149" t="s">
        <v>210</v>
      </c>
      <c r="X11" s="149" t="s">
        <v>211</v>
      </c>
      <c r="Y11" s="149" t="s">
        <v>212</v>
      </c>
      <c r="Z11" s="149" t="s">
        <v>213</v>
      </c>
      <c r="AA11" s="149" t="s">
        <v>214</v>
      </c>
      <c r="AB11" s="149" t="s">
        <v>215</v>
      </c>
      <c r="AC11" s="149" t="s">
        <v>216</v>
      </c>
      <c r="AD11" s="149" t="s">
        <v>217</v>
      </c>
      <c r="AE11" s="149" t="s">
        <v>218</v>
      </c>
      <c r="AF11" s="149" t="s">
        <v>219</v>
      </c>
      <c r="AG11" s="149" t="s">
        <v>220</v>
      </c>
      <c r="AH11" s="149" t="s">
        <v>221</v>
      </c>
      <c r="AI11" s="149" t="s">
        <v>222</v>
      </c>
      <c r="AJ11" s="149" t="s">
        <v>223</v>
      </c>
    </row>
    <row r="12" spans="1:38" x14ac:dyDescent="0.2">
      <c r="A12" s="150"/>
      <c r="B12" s="151"/>
      <c r="C12" s="152" t="s">
        <v>224</v>
      </c>
      <c r="D12" s="153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5"/>
      <c r="AI12" s="156"/>
      <c r="AJ12" s="135"/>
    </row>
    <row r="13" spans="1:38" x14ac:dyDescent="0.2">
      <c r="A13" s="157"/>
      <c r="B13" s="158" t="str">
        <f>[2]RESUMO!F20</f>
        <v>CUSTOS DIRETOS</v>
      </c>
      <c r="C13" s="159">
        <f>SUM(C14)</f>
        <v>475488.64000670862</v>
      </c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60"/>
      <c r="AI13" s="161"/>
      <c r="AJ13" s="162"/>
    </row>
    <row r="14" spans="1:38" x14ac:dyDescent="0.2">
      <c r="A14" s="157" t="s">
        <v>225</v>
      </c>
      <c r="B14" s="163" t="s">
        <v>34</v>
      </c>
      <c r="C14" s="164">
        <f>'APOIO EVENTOGRAMA'!C9</f>
        <v>475488.64000670862</v>
      </c>
      <c r="D14" s="164"/>
      <c r="E14" s="164">
        <f>(E48/($C$49-$C$14))*$C$14</f>
        <v>4662.9737636188547</v>
      </c>
      <c r="F14" s="164">
        <f t="shared" ref="F14:AG14" si="0">(F48/($C$49-$C$14))*$C$14</f>
        <v>0</v>
      </c>
      <c r="G14" s="164">
        <f t="shared" si="0"/>
        <v>0</v>
      </c>
      <c r="H14" s="164">
        <f t="shared" si="0"/>
        <v>9286.9520033890785</v>
      </c>
      <c r="I14" s="164">
        <f t="shared" si="0"/>
        <v>0</v>
      </c>
      <c r="J14" s="164">
        <f t="shared" si="0"/>
        <v>0</v>
      </c>
      <c r="K14" s="164">
        <f t="shared" si="0"/>
        <v>8060.386288428871</v>
      </c>
      <c r="L14" s="164">
        <f t="shared" si="0"/>
        <v>0</v>
      </c>
      <c r="M14" s="164">
        <f t="shared" si="0"/>
        <v>0</v>
      </c>
      <c r="N14" s="164">
        <f t="shared" si="0"/>
        <v>0</v>
      </c>
      <c r="O14" s="164">
        <f t="shared" si="0"/>
        <v>0</v>
      </c>
      <c r="P14" s="164">
        <f t="shared" si="0"/>
        <v>65925.040642948617</v>
      </c>
      <c r="Q14" s="164">
        <f t="shared" si="0"/>
        <v>0</v>
      </c>
      <c r="R14" s="164">
        <f t="shared" si="0"/>
        <v>5571.4119490252042</v>
      </c>
      <c r="S14" s="164">
        <f t="shared" si="0"/>
        <v>0</v>
      </c>
      <c r="T14" s="164">
        <f t="shared" si="0"/>
        <v>149247.94760685271</v>
      </c>
      <c r="U14" s="164">
        <f t="shared" si="0"/>
        <v>0</v>
      </c>
      <c r="V14" s="164">
        <f t="shared" si="0"/>
        <v>12613.140478256904</v>
      </c>
      <c r="W14" s="164">
        <f t="shared" si="0"/>
        <v>0</v>
      </c>
      <c r="X14" s="164">
        <f t="shared" si="0"/>
        <v>82865.630088631733</v>
      </c>
      <c r="Y14" s="164">
        <f t="shared" si="0"/>
        <v>0</v>
      </c>
      <c r="Z14" s="164">
        <f t="shared" si="0"/>
        <v>7003.0834586779547</v>
      </c>
      <c r="AA14" s="164">
        <f t="shared" si="0"/>
        <v>0</v>
      </c>
      <c r="AB14" s="164">
        <f t="shared" si="0"/>
        <v>81994.587423166755</v>
      </c>
      <c r="AC14" s="164">
        <f t="shared" si="0"/>
        <v>0</v>
      </c>
      <c r="AD14" s="164">
        <f t="shared" si="0"/>
        <v>6929.4704966357167</v>
      </c>
      <c r="AE14" s="164">
        <f t="shared" si="0"/>
        <v>0</v>
      </c>
      <c r="AF14" s="164">
        <f t="shared" si="0"/>
        <v>38107.500891190626</v>
      </c>
      <c r="AG14" s="164">
        <f t="shared" si="0"/>
        <v>3220.5150537950731</v>
      </c>
      <c r="AH14" s="164"/>
      <c r="AI14" s="164"/>
      <c r="AJ14" s="164"/>
      <c r="AK14" s="134">
        <f>SUM(D14:AG14)</f>
        <v>475488.64014461805</v>
      </c>
      <c r="AL14" s="134">
        <f>C14-AK14</f>
        <v>-1.3790943194180727E-4</v>
      </c>
    </row>
    <row r="15" spans="1:38" ht="5.25" customHeight="1" x14ac:dyDescent="0.2">
      <c r="A15" s="157"/>
      <c r="B15" s="158"/>
      <c r="C15" s="164"/>
      <c r="D15" s="165"/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  <c r="AA15" s="165"/>
      <c r="AB15" s="165"/>
      <c r="AC15" s="165"/>
      <c r="AD15" s="165"/>
      <c r="AE15" s="165"/>
      <c r="AF15" s="165"/>
      <c r="AG15" s="165"/>
      <c r="AH15" s="166"/>
      <c r="AI15" s="166"/>
      <c r="AJ15" s="167"/>
      <c r="AK15" s="134"/>
      <c r="AL15" s="134"/>
    </row>
    <row r="16" spans="1:38" ht="12.75" customHeight="1" x14ac:dyDescent="0.2">
      <c r="A16" s="157" t="s">
        <v>226</v>
      </c>
      <c r="B16" s="168" t="s">
        <v>25</v>
      </c>
      <c r="C16" s="159">
        <f>SUM(C18:C22)</f>
        <v>491501.52999999997</v>
      </c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311" t="s">
        <v>227</v>
      </c>
      <c r="AI16" s="311"/>
      <c r="AJ16" s="312"/>
      <c r="AK16" s="134">
        <f>AK18+AK20+AK22</f>
        <v>491501.52999999997</v>
      </c>
      <c r="AL16" s="134">
        <f>C16-AK16</f>
        <v>0</v>
      </c>
    </row>
    <row r="17" spans="1:38" ht="5.25" customHeight="1" x14ac:dyDescent="0.2">
      <c r="A17" s="157"/>
      <c r="B17" s="169"/>
      <c r="C17" s="164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H17" s="164"/>
      <c r="AI17" s="164"/>
      <c r="AJ17" s="170"/>
      <c r="AK17" s="134"/>
      <c r="AL17" s="134"/>
    </row>
    <row r="18" spans="1:38" ht="13.5" customHeight="1" x14ac:dyDescent="0.2">
      <c r="A18" s="157"/>
      <c r="B18" s="169" t="s">
        <v>40</v>
      </c>
      <c r="C18" s="164">
        <f>'APOIO EVENTOGRAMA'!C20</f>
        <v>104126.59</v>
      </c>
      <c r="D18" s="160"/>
      <c r="E18" s="160">
        <f>C18</f>
        <v>104126.59</v>
      </c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4"/>
      <c r="AI18" s="164"/>
      <c r="AJ18" s="170"/>
      <c r="AK18" s="134">
        <f>SUM(D18:AJ18)</f>
        <v>104126.59</v>
      </c>
      <c r="AL18" s="134">
        <f>C18-AK18</f>
        <v>0</v>
      </c>
    </row>
    <row r="19" spans="1:38" ht="5.25" customHeight="1" x14ac:dyDescent="0.2">
      <c r="A19" s="157"/>
      <c r="B19" s="169"/>
      <c r="C19" s="164"/>
      <c r="D19" s="166"/>
      <c r="E19" s="166"/>
      <c r="F19" s="160"/>
      <c r="G19" s="160"/>
      <c r="H19" s="160"/>
      <c r="I19" s="160"/>
      <c r="J19" s="160"/>
      <c r="K19" s="160"/>
      <c r="L19" s="160"/>
      <c r="M19" s="160"/>
      <c r="N19" s="171"/>
      <c r="O19" s="171"/>
      <c r="P19" s="171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4"/>
      <c r="AI19" s="164"/>
      <c r="AJ19" s="170"/>
      <c r="AK19" s="134"/>
      <c r="AL19" s="134"/>
    </row>
    <row r="20" spans="1:38" ht="12.75" customHeight="1" x14ac:dyDescent="0.2">
      <c r="A20" s="157"/>
      <c r="B20" s="169" t="s">
        <v>65</v>
      </c>
      <c r="C20" s="164">
        <f>'APOIO EVENTOGRAMA'!C21</f>
        <v>207382.39</v>
      </c>
      <c r="D20" s="160"/>
      <c r="E20" s="160"/>
      <c r="F20" s="160"/>
      <c r="G20" s="160"/>
      <c r="H20" s="160">
        <f>C20</f>
        <v>207382.39</v>
      </c>
      <c r="I20" s="160"/>
      <c r="J20" s="160"/>
      <c r="K20" s="160"/>
      <c r="L20" s="160"/>
      <c r="M20" s="160"/>
      <c r="N20" s="160"/>
      <c r="O20" s="160"/>
      <c r="P20" s="160"/>
      <c r="Q20" s="171"/>
      <c r="R20" s="171"/>
      <c r="S20" s="171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4"/>
      <c r="AI20" s="164"/>
      <c r="AJ20" s="170"/>
      <c r="AK20" s="134">
        <f>SUM(D20:AJ20)</f>
        <v>207382.39</v>
      </c>
      <c r="AL20" s="134">
        <f>C20-AK20</f>
        <v>0</v>
      </c>
    </row>
    <row r="21" spans="1:38" ht="5.25" customHeight="1" x14ac:dyDescent="0.2">
      <c r="A21" s="157"/>
      <c r="B21" s="169"/>
      <c r="C21" s="164"/>
      <c r="D21" s="160"/>
      <c r="E21" s="171"/>
      <c r="F21" s="166"/>
      <c r="G21" s="166"/>
      <c r="H21" s="166"/>
      <c r="I21" s="160"/>
      <c r="J21" s="160"/>
      <c r="K21" s="160"/>
      <c r="L21" s="160"/>
      <c r="M21" s="160"/>
      <c r="N21" s="160"/>
      <c r="O21" s="160"/>
      <c r="P21" s="160"/>
      <c r="Q21" s="171"/>
      <c r="R21" s="171"/>
      <c r="S21" s="171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4"/>
      <c r="AI21" s="164"/>
      <c r="AJ21" s="170"/>
      <c r="AK21" s="134"/>
      <c r="AL21" s="134"/>
    </row>
    <row r="22" spans="1:38" ht="12.75" customHeight="1" x14ac:dyDescent="0.2">
      <c r="A22" s="157"/>
      <c r="B22" s="169" t="s">
        <v>66</v>
      </c>
      <c r="C22" s="164">
        <f>'APOIO EVENTOGRAMA'!C22</f>
        <v>179992.55</v>
      </c>
      <c r="D22" s="160"/>
      <c r="E22" s="160"/>
      <c r="F22" s="160"/>
      <c r="G22" s="160"/>
      <c r="H22" s="160"/>
      <c r="I22" s="160"/>
      <c r="J22" s="160"/>
      <c r="K22" s="160">
        <f>C22</f>
        <v>179992.55</v>
      </c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H22" s="164"/>
      <c r="AI22" s="164"/>
      <c r="AJ22" s="170"/>
      <c r="AK22" s="134">
        <f>SUM(D22:AJ22)</f>
        <v>179992.55</v>
      </c>
      <c r="AL22" s="134">
        <f>C22-AK22</f>
        <v>0</v>
      </c>
    </row>
    <row r="23" spans="1:38" ht="6" customHeight="1" x14ac:dyDescent="0.2">
      <c r="A23" s="157"/>
      <c r="B23" s="172"/>
      <c r="C23" s="173"/>
      <c r="D23" s="160"/>
      <c r="E23" s="171"/>
      <c r="F23" s="171"/>
      <c r="G23" s="171"/>
      <c r="H23" s="171"/>
      <c r="I23" s="166"/>
      <c r="J23" s="166"/>
      <c r="K23" s="166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1"/>
      <c r="AC23" s="171"/>
      <c r="AD23" s="171"/>
      <c r="AE23" s="160"/>
      <c r="AF23" s="160"/>
      <c r="AG23" s="160"/>
      <c r="AH23" s="160"/>
      <c r="AI23" s="160"/>
      <c r="AJ23" s="174"/>
    </row>
    <row r="24" spans="1:38" ht="12.75" customHeight="1" x14ac:dyDescent="0.2">
      <c r="A24" s="157" t="s">
        <v>228</v>
      </c>
      <c r="B24" s="168" t="s">
        <v>229</v>
      </c>
      <c r="C24" s="159">
        <f>TRUNC(SUM(C26:C34),2)</f>
        <v>9337295.9199999999</v>
      </c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  <c r="AG24" s="160"/>
      <c r="AH24" s="311" t="s">
        <v>230</v>
      </c>
      <c r="AI24" s="311"/>
      <c r="AJ24" s="312"/>
      <c r="AK24" s="134">
        <f>AK26+AK28+AK30+AK32+AK34</f>
        <v>9337295.9255415276</v>
      </c>
      <c r="AL24" s="134">
        <f>C24-AK24</f>
        <v>-5.5415276437997818E-3</v>
      </c>
    </row>
    <row r="25" spans="1:38" ht="5.25" customHeight="1" x14ac:dyDescent="0.2">
      <c r="A25" s="157"/>
      <c r="B25" s="169"/>
      <c r="C25" s="164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75"/>
      <c r="AH25" s="164"/>
      <c r="AI25" s="164"/>
      <c r="AJ25" s="170"/>
      <c r="AK25" s="134"/>
      <c r="AL25" s="134"/>
    </row>
    <row r="26" spans="1:38" ht="12.75" customHeight="1" x14ac:dyDescent="0.2">
      <c r="A26" s="157"/>
      <c r="B26" s="169" t="s">
        <v>231</v>
      </c>
      <c r="C26" s="164">
        <f>'APOIO EVENTOGRAMA'!C25</f>
        <v>1472139.8887807995</v>
      </c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>
        <f>C26</f>
        <v>1472139.8887807995</v>
      </c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75"/>
      <c r="AH26" s="164"/>
      <c r="AI26" s="164"/>
      <c r="AJ26" s="170"/>
      <c r="AK26" s="134">
        <f>SUM(D26:AJ26)</f>
        <v>1472139.8887807995</v>
      </c>
      <c r="AL26" s="134">
        <f>C26-AK26</f>
        <v>0</v>
      </c>
    </row>
    <row r="27" spans="1:38" ht="6" customHeight="1" x14ac:dyDescent="0.2">
      <c r="A27" s="157"/>
      <c r="B27" s="169"/>
      <c r="C27" s="164"/>
      <c r="D27" s="160"/>
      <c r="E27" s="160"/>
      <c r="F27" s="160"/>
      <c r="G27" s="160"/>
      <c r="H27" s="160"/>
      <c r="I27" s="160"/>
      <c r="J27" s="160"/>
      <c r="K27" s="160"/>
      <c r="L27" s="166"/>
      <c r="M27" s="166"/>
      <c r="N27" s="166"/>
      <c r="O27" s="166"/>
      <c r="P27" s="166"/>
      <c r="Q27" s="160"/>
      <c r="R27" s="160"/>
      <c r="S27" s="160"/>
      <c r="T27" s="160"/>
      <c r="U27" s="160"/>
      <c r="V27" s="171"/>
      <c r="W27" s="171"/>
      <c r="X27" s="171"/>
      <c r="Y27" s="171"/>
      <c r="Z27" s="171"/>
      <c r="AA27" s="176"/>
      <c r="AB27" s="160"/>
      <c r="AC27" s="160"/>
      <c r="AD27" s="160"/>
      <c r="AE27" s="160"/>
      <c r="AF27" s="160"/>
      <c r="AG27" s="175"/>
      <c r="AH27" s="164"/>
      <c r="AI27" s="164"/>
      <c r="AJ27" s="170"/>
      <c r="AK27" s="134"/>
      <c r="AL27" s="134"/>
    </row>
    <row r="28" spans="1:38" ht="12.75" customHeight="1" x14ac:dyDescent="0.2">
      <c r="A28" s="157"/>
      <c r="B28" s="169" t="s">
        <v>232</v>
      </c>
      <c r="C28" s="164">
        <f>'APOIO EVENTOGRAMA'!C29</f>
        <v>3332783.0343054249</v>
      </c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>
        <f>C28</f>
        <v>3332783.0343054249</v>
      </c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  <c r="AG28" s="175"/>
      <c r="AH28" s="164"/>
      <c r="AI28" s="164"/>
      <c r="AJ28" s="170"/>
      <c r="AK28" s="134">
        <f>SUM(D28:AJ28)</f>
        <v>3332783.0343054249</v>
      </c>
      <c r="AL28" s="134">
        <f>C28-AK28</f>
        <v>0</v>
      </c>
    </row>
    <row r="29" spans="1:38" ht="6" customHeight="1" x14ac:dyDescent="0.2">
      <c r="A29" s="157"/>
      <c r="B29" s="169"/>
      <c r="C29" s="164"/>
      <c r="D29" s="160"/>
      <c r="E29" s="160"/>
      <c r="F29" s="160"/>
      <c r="G29" s="160"/>
      <c r="H29" s="160"/>
      <c r="I29" s="160"/>
      <c r="J29" s="160"/>
      <c r="K29" s="160"/>
      <c r="L29" s="160"/>
      <c r="M29" s="171"/>
      <c r="N29" s="171"/>
      <c r="O29" s="171"/>
      <c r="P29" s="166"/>
      <c r="Q29" s="166"/>
      <c r="R29" s="166"/>
      <c r="S29" s="166"/>
      <c r="T29" s="166"/>
      <c r="U29" s="160"/>
      <c r="V29" s="160"/>
      <c r="W29" s="160"/>
      <c r="X29" s="160"/>
      <c r="Y29" s="160"/>
      <c r="Z29" s="160"/>
      <c r="AA29" s="160"/>
      <c r="AB29" s="160"/>
      <c r="AC29" s="160"/>
      <c r="AD29" s="171"/>
      <c r="AE29" s="171"/>
      <c r="AF29" s="171"/>
      <c r="AG29" s="175"/>
      <c r="AH29" s="164"/>
      <c r="AI29" s="164"/>
      <c r="AJ29" s="170"/>
      <c r="AK29" s="134"/>
      <c r="AL29" s="134"/>
    </row>
    <row r="30" spans="1:38" ht="12.75" customHeight="1" x14ac:dyDescent="0.2">
      <c r="A30" s="157"/>
      <c r="B30" s="169" t="s">
        <v>233</v>
      </c>
      <c r="C30" s="164">
        <f>'APOIO EVENTOGRAMA'!C33</f>
        <v>1850431.9189293862</v>
      </c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>
        <f>C30</f>
        <v>1850431.9189293862</v>
      </c>
      <c r="Y30" s="160"/>
      <c r="Z30" s="160"/>
      <c r="AA30" s="160"/>
      <c r="AB30" s="160"/>
      <c r="AC30" s="160"/>
      <c r="AD30" s="160"/>
      <c r="AE30" s="160"/>
      <c r="AF30" s="160"/>
      <c r="AG30" s="175"/>
      <c r="AH30" s="164"/>
      <c r="AI30" s="164"/>
      <c r="AJ30" s="170"/>
      <c r="AK30" s="134">
        <f>SUM(D30:AJ30)</f>
        <v>1850431.9189293862</v>
      </c>
      <c r="AL30" s="134">
        <f>C30-AK30</f>
        <v>0</v>
      </c>
    </row>
    <row r="31" spans="1:38" ht="5.25" customHeight="1" x14ac:dyDescent="0.2">
      <c r="A31" s="157"/>
      <c r="B31" s="169"/>
      <c r="C31" s="164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71"/>
      <c r="Q31" s="171"/>
      <c r="R31" s="160"/>
      <c r="S31" s="160"/>
      <c r="T31" s="166"/>
      <c r="U31" s="166"/>
      <c r="V31" s="166"/>
      <c r="W31" s="166"/>
      <c r="X31" s="166"/>
      <c r="Y31" s="160"/>
      <c r="Z31" s="160"/>
      <c r="AA31" s="160"/>
      <c r="AB31" s="160"/>
      <c r="AC31" s="160"/>
      <c r="AD31" s="160"/>
      <c r="AE31" s="160"/>
      <c r="AF31" s="160"/>
      <c r="AG31" s="175"/>
      <c r="AH31" s="164"/>
      <c r="AI31" s="164"/>
      <c r="AJ31" s="170"/>
      <c r="AK31" s="134"/>
      <c r="AL31" s="134"/>
    </row>
    <row r="32" spans="1:38" ht="12.75" customHeight="1" x14ac:dyDescent="0.2">
      <c r="A32" s="157"/>
      <c r="B32" s="169" t="s">
        <v>234</v>
      </c>
      <c r="C32" s="164">
        <f>'APOIO EVENTOGRAMA'!C37</f>
        <v>1830981.0905316323</v>
      </c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  <c r="AB32" s="160">
        <f>C32</f>
        <v>1830981.0905316323</v>
      </c>
      <c r="AC32" s="160"/>
      <c r="AD32" s="160"/>
      <c r="AE32" s="160"/>
      <c r="AF32" s="160"/>
      <c r="AG32" s="175"/>
      <c r="AH32" s="164"/>
      <c r="AI32" s="164"/>
      <c r="AJ32" s="170"/>
      <c r="AK32" s="134">
        <f>SUM(D32:AJ32)</f>
        <v>1830981.0905316323</v>
      </c>
      <c r="AL32" s="134">
        <f>C32-AK32</f>
        <v>0</v>
      </c>
    </row>
    <row r="33" spans="1:38" ht="6" customHeight="1" x14ac:dyDescent="0.2">
      <c r="A33" s="157"/>
      <c r="B33" s="169"/>
      <c r="C33" s="164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71"/>
      <c r="S33" s="171"/>
      <c r="T33" s="160"/>
      <c r="U33" s="160"/>
      <c r="V33" s="160"/>
      <c r="W33" s="160"/>
      <c r="X33" s="166"/>
      <c r="Y33" s="166"/>
      <c r="Z33" s="166"/>
      <c r="AA33" s="166"/>
      <c r="AB33" s="166"/>
      <c r="AC33" s="160"/>
      <c r="AD33" s="160"/>
      <c r="AE33" s="160"/>
      <c r="AF33" s="160"/>
      <c r="AG33" s="175"/>
      <c r="AH33" s="164"/>
      <c r="AI33" s="164"/>
      <c r="AJ33" s="170"/>
      <c r="AK33" s="134"/>
      <c r="AL33" s="134"/>
    </row>
    <row r="34" spans="1:38" ht="12.75" customHeight="1" x14ac:dyDescent="0.2">
      <c r="A34" s="157"/>
      <c r="B34" s="169" t="s">
        <v>235</v>
      </c>
      <c r="C34" s="164">
        <f>'APOIO EVENTOGRAMA'!C41</f>
        <v>850959.99299428612</v>
      </c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71"/>
      <c r="AB34" s="171"/>
      <c r="AC34" s="160"/>
      <c r="AD34" s="160"/>
      <c r="AE34" s="160"/>
      <c r="AF34" s="160">
        <f>C34</f>
        <v>850959.99299428612</v>
      </c>
      <c r="AG34" s="175"/>
      <c r="AH34" s="164"/>
      <c r="AI34" s="164"/>
      <c r="AJ34" s="170"/>
      <c r="AK34" s="134">
        <f>SUM(D34:AJ34)</f>
        <v>850959.99299428612</v>
      </c>
      <c r="AL34" s="134">
        <f>C34-AK34</f>
        <v>0</v>
      </c>
    </row>
    <row r="35" spans="1:38" ht="6" customHeight="1" x14ac:dyDescent="0.2">
      <c r="A35" s="157"/>
      <c r="B35" s="172"/>
      <c r="C35" s="173"/>
      <c r="D35" s="160"/>
      <c r="E35" s="160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171"/>
      <c r="Z35" s="171"/>
      <c r="AA35" s="171"/>
      <c r="AB35" s="166"/>
      <c r="AC35" s="166"/>
      <c r="AD35" s="166"/>
      <c r="AE35" s="166"/>
      <c r="AF35" s="166"/>
      <c r="AG35" s="177"/>
      <c r="AH35" s="160"/>
      <c r="AI35" s="161"/>
      <c r="AJ35" s="162"/>
      <c r="AK35" s="134"/>
    </row>
    <row r="36" spans="1:38" ht="12.75" customHeight="1" x14ac:dyDescent="0.2">
      <c r="A36" s="157" t="s">
        <v>236</v>
      </c>
      <c r="B36" s="168" t="s">
        <v>237</v>
      </c>
      <c r="C36" s="159">
        <f>ROUND(SUM(C38:C46),2)</f>
        <v>789107.17</v>
      </c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1"/>
      <c r="AJ36" s="162"/>
      <c r="AK36" s="134">
        <f>AK38+AK40+AK42+AK44+AK46</f>
        <v>789107.16753135191</v>
      </c>
      <c r="AL36" s="134">
        <f>C36-AK36</f>
        <v>2.4686481337994337E-3</v>
      </c>
    </row>
    <row r="37" spans="1:38" ht="4.5" customHeight="1" x14ac:dyDescent="0.2">
      <c r="A37" s="157"/>
      <c r="B37" s="169"/>
      <c r="C37" s="164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71"/>
      <c r="AG37" s="177"/>
      <c r="AH37" s="160"/>
      <c r="AI37" s="161"/>
      <c r="AJ37" s="162"/>
      <c r="AK37" s="134"/>
      <c r="AL37" s="134"/>
    </row>
    <row r="38" spans="1:38" ht="12.75" customHeight="1" x14ac:dyDescent="0.2">
      <c r="A38" s="157"/>
      <c r="B38" s="169" t="s">
        <v>231</v>
      </c>
      <c r="C38" s="164">
        <f>'APOIO EVENTOGRAMA'!C26</f>
        <v>124412.47949184634</v>
      </c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>
        <f>C38</f>
        <v>124412.47949184634</v>
      </c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71"/>
      <c r="AG38" s="177"/>
      <c r="AH38" s="160"/>
      <c r="AI38" s="161"/>
      <c r="AJ38" s="162"/>
      <c r="AK38" s="134">
        <f>SUM(D38:AJ38)</f>
        <v>124412.47949184634</v>
      </c>
      <c r="AL38" s="134">
        <f>C38-AK38</f>
        <v>0</v>
      </c>
    </row>
    <row r="39" spans="1:38" ht="4.5" customHeight="1" x14ac:dyDescent="0.2">
      <c r="A39" s="157"/>
      <c r="B39" s="169"/>
      <c r="C39" s="164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71"/>
      <c r="O39" s="171"/>
      <c r="P39" s="166"/>
      <c r="Q39" s="166"/>
      <c r="R39" s="166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71"/>
      <c r="AG39" s="177"/>
      <c r="AH39" s="160"/>
      <c r="AI39" s="161"/>
      <c r="AJ39" s="162"/>
      <c r="AK39" s="134"/>
      <c r="AL39" s="134"/>
    </row>
    <row r="40" spans="1:38" x14ac:dyDescent="0.2">
      <c r="A40" s="157"/>
      <c r="B40" s="169" t="s">
        <v>232</v>
      </c>
      <c r="C40" s="164">
        <f>'APOIO EVENTOGRAMA'!C30</f>
        <v>281657.88052227465</v>
      </c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>
        <f>C40</f>
        <v>281657.88052227465</v>
      </c>
      <c r="W40" s="160"/>
      <c r="X40" s="160"/>
      <c r="Y40" s="160"/>
      <c r="Z40" s="160"/>
      <c r="AA40" s="160"/>
      <c r="AB40" s="160"/>
      <c r="AC40" s="160"/>
      <c r="AD40" s="160"/>
      <c r="AE40" s="160"/>
      <c r="AF40" s="171"/>
      <c r="AG40" s="177"/>
      <c r="AH40" s="160"/>
      <c r="AI40" s="161"/>
      <c r="AJ40" s="162"/>
      <c r="AK40" s="134">
        <f>SUM(D40:AJ40)</f>
        <v>281657.88052227465</v>
      </c>
      <c r="AL40" s="134">
        <f>C40-AK40</f>
        <v>0</v>
      </c>
    </row>
    <row r="41" spans="1:38" ht="4.5" customHeight="1" x14ac:dyDescent="0.2">
      <c r="A41" s="157"/>
      <c r="B41" s="169"/>
      <c r="C41" s="164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71"/>
      <c r="Q41" s="171"/>
      <c r="R41" s="171"/>
      <c r="S41" s="171"/>
      <c r="T41" s="166"/>
      <c r="U41" s="166"/>
      <c r="V41" s="166"/>
      <c r="W41" s="160"/>
      <c r="X41" s="160"/>
      <c r="Y41" s="160"/>
      <c r="Z41" s="160"/>
      <c r="AA41" s="160"/>
      <c r="AB41" s="160"/>
      <c r="AC41" s="160"/>
      <c r="AD41" s="160"/>
      <c r="AE41" s="160"/>
      <c r="AF41" s="171"/>
      <c r="AG41" s="177"/>
      <c r="AH41" s="160"/>
      <c r="AI41" s="161"/>
      <c r="AJ41" s="162"/>
      <c r="AK41" s="134"/>
      <c r="AL41" s="134"/>
    </row>
    <row r="42" spans="1:38" ht="12.75" customHeight="1" x14ac:dyDescent="0.2">
      <c r="A42" s="157"/>
      <c r="B42" s="169" t="s">
        <v>233</v>
      </c>
      <c r="C42" s="164">
        <f>'APOIO EVENTOGRAMA'!C34</f>
        <v>156382.4368318161</v>
      </c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>
        <f>C42</f>
        <v>156382.4368318161</v>
      </c>
      <c r="AA42" s="160"/>
      <c r="AB42" s="160"/>
      <c r="AC42" s="160"/>
      <c r="AD42" s="160"/>
      <c r="AE42" s="160"/>
      <c r="AF42" s="171"/>
      <c r="AG42" s="177"/>
      <c r="AH42" s="160"/>
      <c r="AI42" s="161"/>
      <c r="AJ42" s="162"/>
      <c r="AK42" s="134">
        <f>SUM(D42:AJ42)</f>
        <v>156382.4368318161</v>
      </c>
      <c r="AL42" s="134">
        <f>C42-AK42</f>
        <v>0</v>
      </c>
    </row>
    <row r="43" spans="1:38" ht="6" customHeight="1" x14ac:dyDescent="0.2">
      <c r="A43" s="157"/>
      <c r="B43" s="169"/>
      <c r="C43" s="164"/>
      <c r="D43" s="160"/>
      <c r="E43" s="160"/>
      <c r="F43" s="160"/>
      <c r="G43" s="160"/>
      <c r="H43" s="160"/>
      <c r="I43" s="160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66"/>
      <c r="Y43" s="166"/>
      <c r="Z43" s="166"/>
      <c r="AA43" s="171"/>
      <c r="AB43" s="171"/>
      <c r="AC43" s="171"/>
      <c r="AD43" s="171"/>
      <c r="AE43" s="171"/>
      <c r="AF43" s="171"/>
      <c r="AG43" s="177"/>
      <c r="AH43" s="160"/>
      <c r="AI43" s="161"/>
      <c r="AJ43" s="162"/>
      <c r="AK43" s="134"/>
    </row>
    <row r="44" spans="1:38" x14ac:dyDescent="0.2">
      <c r="A44" s="157"/>
      <c r="B44" s="169" t="s">
        <v>234</v>
      </c>
      <c r="C44" s="164">
        <f>'APOIO EVENTOGRAMA'!C38</f>
        <v>154738.62172458527</v>
      </c>
      <c r="D44" s="160"/>
      <c r="E44" s="178"/>
      <c r="F44" s="178"/>
      <c r="G44" s="178"/>
      <c r="H44" s="178"/>
      <c r="I44" s="178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>
        <f>C44</f>
        <v>154738.62172458527</v>
      </c>
      <c r="AE44" s="160"/>
      <c r="AF44" s="160"/>
      <c r="AG44" s="160"/>
      <c r="AH44" s="160"/>
      <c r="AI44" s="161"/>
      <c r="AJ44" s="162"/>
      <c r="AK44" s="134">
        <f t="shared" ref="AK44" si="1">SUM(D44:AJ44)</f>
        <v>154738.62172458527</v>
      </c>
      <c r="AL44" s="134">
        <f>C44-AK44</f>
        <v>0</v>
      </c>
    </row>
    <row r="45" spans="1:38" ht="5.25" customHeight="1" x14ac:dyDescent="0.2">
      <c r="A45" s="157"/>
      <c r="B45" s="169"/>
      <c r="C45" s="164"/>
      <c r="D45" s="160"/>
      <c r="E45" s="178"/>
      <c r="F45" s="178"/>
      <c r="G45" s="178"/>
      <c r="H45" s="178"/>
      <c r="I45" s="178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71"/>
      <c r="U45" s="171"/>
      <c r="V45" s="171"/>
      <c r="W45" s="171"/>
      <c r="X45" s="171"/>
      <c r="Y45" s="171"/>
      <c r="Z45" s="171"/>
      <c r="AA45" s="171"/>
      <c r="AB45" s="166"/>
      <c r="AC45" s="179"/>
      <c r="AD45" s="179"/>
      <c r="AE45" s="175"/>
      <c r="AF45" s="160"/>
      <c r="AG45" s="175"/>
      <c r="AH45" s="160"/>
      <c r="AI45" s="161"/>
      <c r="AJ45" s="162"/>
      <c r="AK45" s="134"/>
      <c r="AL45" s="134"/>
    </row>
    <row r="46" spans="1:38" ht="12.75" customHeight="1" x14ac:dyDescent="0.2">
      <c r="A46" s="157"/>
      <c r="B46" s="169" t="s">
        <v>235</v>
      </c>
      <c r="C46" s="164">
        <f>'APOIO EVENTOGRAMA'!C42</f>
        <v>71915.748960829427</v>
      </c>
      <c r="D46" s="160"/>
      <c r="E46" s="178"/>
      <c r="F46" s="178"/>
      <c r="G46" s="178"/>
      <c r="H46" s="178"/>
      <c r="I46" s="178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75"/>
      <c r="AD46" s="175"/>
      <c r="AE46" s="175"/>
      <c r="AF46" s="160"/>
      <c r="AG46" s="175">
        <f>C46</f>
        <v>71915.748960829427</v>
      </c>
      <c r="AH46" s="160"/>
      <c r="AI46" s="161"/>
      <c r="AJ46" s="162"/>
      <c r="AK46" s="134">
        <f>SUM(D46:AJ46)</f>
        <v>71915.748960829427</v>
      </c>
      <c r="AL46" s="134">
        <f>C46-AK46</f>
        <v>0</v>
      </c>
    </row>
    <row r="47" spans="1:38" ht="4.5" customHeight="1" x14ac:dyDescent="0.2">
      <c r="A47" s="157"/>
      <c r="B47" s="180"/>
      <c r="C47" s="164"/>
      <c r="D47" s="160"/>
      <c r="E47" s="178"/>
      <c r="F47" s="178"/>
      <c r="G47" s="178"/>
      <c r="H47" s="178"/>
      <c r="I47" s="178"/>
      <c r="J47" s="171"/>
      <c r="K47" s="171"/>
      <c r="L47" s="171"/>
      <c r="M47" s="171"/>
      <c r="N47" s="160"/>
      <c r="O47" s="160"/>
      <c r="P47" s="160"/>
      <c r="Q47" s="160"/>
      <c r="R47" s="160"/>
      <c r="S47" s="160"/>
      <c r="T47" s="160"/>
      <c r="U47" s="160"/>
      <c r="V47" s="171"/>
      <c r="W47" s="171"/>
      <c r="X47" s="171"/>
      <c r="Y47" s="160"/>
      <c r="Z47" s="171"/>
      <c r="AA47" s="171"/>
      <c r="AB47" s="171"/>
      <c r="AC47" s="177"/>
      <c r="AD47" s="177"/>
      <c r="AE47" s="179"/>
      <c r="AF47" s="166"/>
      <c r="AG47" s="179"/>
      <c r="AH47" s="160"/>
      <c r="AI47" s="161"/>
      <c r="AJ47" s="162"/>
      <c r="AK47" s="134"/>
      <c r="AL47" s="134"/>
    </row>
    <row r="48" spans="1:38" x14ac:dyDescent="0.2">
      <c r="A48" s="181"/>
      <c r="B48" s="172"/>
      <c r="C48" s="182"/>
      <c r="D48" s="160">
        <f t="shared" ref="D48:AJ48" si="2">SUM(D16:D47)</f>
        <v>0</v>
      </c>
      <c r="E48" s="160">
        <f t="shared" si="2"/>
        <v>104126.59</v>
      </c>
      <c r="F48" s="160">
        <f t="shared" si="2"/>
        <v>0</v>
      </c>
      <c r="G48" s="160">
        <f t="shared" si="2"/>
        <v>0</v>
      </c>
      <c r="H48" s="160">
        <f t="shared" si="2"/>
        <v>207382.39</v>
      </c>
      <c r="I48" s="160">
        <f t="shared" si="2"/>
        <v>0</v>
      </c>
      <c r="J48" s="160">
        <f t="shared" si="2"/>
        <v>0</v>
      </c>
      <c r="K48" s="160">
        <f t="shared" si="2"/>
        <v>179992.55</v>
      </c>
      <c r="L48" s="160">
        <f t="shared" si="2"/>
        <v>0</v>
      </c>
      <c r="M48" s="160">
        <f t="shared" si="2"/>
        <v>0</v>
      </c>
      <c r="N48" s="160">
        <f t="shared" si="2"/>
        <v>0</v>
      </c>
      <c r="O48" s="160">
        <f t="shared" si="2"/>
        <v>0</v>
      </c>
      <c r="P48" s="160">
        <f t="shared" si="2"/>
        <v>1472139.8887807995</v>
      </c>
      <c r="Q48" s="160">
        <f t="shared" si="2"/>
        <v>0</v>
      </c>
      <c r="R48" s="160">
        <f t="shared" si="2"/>
        <v>124412.47949184634</v>
      </c>
      <c r="S48" s="160">
        <f t="shared" si="2"/>
        <v>0</v>
      </c>
      <c r="T48" s="160">
        <f t="shared" si="2"/>
        <v>3332783.0343054249</v>
      </c>
      <c r="U48" s="160">
        <f t="shared" si="2"/>
        <v>0</v>
      </c>
      <c r="V48" s="160">
        <f t="shared" si="2"/>
        <v>281657.88052227465</v>
      </c>
      <c r="W48" s="160">
        <f t="shared" si="2"/>
        <v>0</v>
      </c>
      <c r="X48" s="160">
        <f t="shared" si="2"/>
        <v>1850431.9189293862</v>
      </c>
      <c r="Y48" s="160">
        <f t="shared" si="2"/>
        <v>0</v>
      </c>
      <c r="Z48" s="160">
        <f t="shared" si="2"/>
        <v>156382.4368318161</v>
      </c>
      <c r="AA48" s="160">
        <f t="shared" si="2"/>
        <v>0</v>
      </c>
      <c r="AB48" s="160">
        <f t="shared" si="2"/>
        <v>1830981.0905316323</v>
      </c>
      <c r="AC48" s="160">
        <f t="shared" si="2"/>
        <v>0</v>
      </c>
      <c r="AD48" s="160">
        <f t="shared" si="2"/>
        <v>154738.62172458527</v>
      </c>
      <c r="AE48" s="160">
        <f t="shared" si="2"/>
        <v>0</v>
      </c>
      <c r="AF48" s="160">
        <f t="shared" si="2"/>
        <v>850959.99299428612</v>
      </c>
      <c r="AG48" s="160">
        <f t="shared" si="2"/>
        <v>71915.748960829427</v>
      </c>
      <c r="AH48" s="160">
        <f t="shared" si="2"/>
        <v>0</v>
      </c>
      <c r="AI48" s="160">
        <f t="shared" si="2"/>
        <v>0</v>
      </c>
      <c r="AJ48" s="160">
        <f t="shared" si="2"/>
        <v>0</v>
      </c>
    </row>
    <row r="49" spans="1:38" x14ac:dyDescent="0.2">
      <c r="A49" s="157"/>
      <c r="B49" s="183" t="s">
        <v>238</v>
      </c>
      <c r="C49" s="159">
        <f>TRUNC(C36+C24+C16+C13,2)</f>
        <v>11093393.26</v>
      </c>
      <c r="D49" s="184">
        <f>SUM(D14:D48)</f>
        <v>0</v>
      </c>
      <c r="E49" s="184">
        <f t="shared" ref="E49:AJ49" si="3">SUM(E14:E47)</f>
        <v>108789.56376361885</v>
      </c>
      <c r="F49" s="184">
        <f t="shared" si="3"/>
        <v>0</v>
      </c>
      <c r="G49" s="184">
        <f t="shared" si="3"/>
        <v>0</v>
      </c>
      <c r="H49" s="184">
        <f t="shared" si="3"/>
        <v>216669.34200338909</v>
      </c>
      <c r="I49" s="184">
        <f t="shared" si="3"/>
        <v>0</v>
      </c>
      <c r="J49" s="184">
        <f t="shared" si="3"/>
        <v>0</v>
      </c>
      <c r="K49" s="184">
        <f t="shared" si="3"/>
        <v>188052.93628842887</v>
      </c>
      <c r="L49" s="184">
        <f t="shared" si="3"/>
        <v>0</v>
      </c>
      <c r="M49" s="184">
        <f t="shared" si="3"/>
        <v>0</v>
      </c>
      <c r="N49" s="184">
        <f t="shared" si="3"/>
        <v>0</v>
      </c>
      <c r="O49" s="184">
        <f t="shared" si="3"/>
        <v>0</v>
      </c>
      <c r="P49" s="184">
        <f t="shared" si="3"/>
        <v>1538064.929423748</v>
      </c>
      <c r="Q49" s="184">
        <f t="shared" si="3"/>
        <v>0</v>
      </c>
      <c r="R49" s="184">
        <f t="shared" si="3"/>
        <v>129983.89144087155</v>
      </c>
      <c r="S49" s="184">
        <f t="shared" si="3"/>
        <v>0</v>
      </c>
      <c r="T49" s="184">
        <f t="shared" si="3"/>
        <v>3482030.9819122776</v>
      </c>
      <c r="U49" s="184">
        <f t="shared" si="3"/>
        <v>0</v>
      </c>
      <c r="V49" s="184">
        <f t="shared" si="3"/>
        <v>294271.02100053156</v>
      </c>
      <c r="W49" s="184">
        <f t="shared" si="3"/>
        <v>0</v>
      </c>
      <c r="X49" s="184">
        <f t="shared" si="3"/>
        <v>1933297.5490180179</v>
      </c>
      <c r="Y49" s="184">
        <f t="shared" si="3"/>
        <v>0</v>
      </c>
      <c r="Z49" s="184">
        <f t="shared" si="3"/>
        <v>163385.52029049405</v>
      </c>
      <c r="AA49" s="184">
        <f t="shared" si="3"/>
        <v>0</v>
      </c>
      <c r="AB49" s="184">
        <f t="shared" si="3"/>
        <v>1912975.677954799</v>
      </c>
      <c r="AC49" s="184">
        <f t="shared" si="3"/>
        <v>0</v>
      </c>
      <c r="AD49" s="184">
        <f t="shared" si="3"/>
        <v>161668.09222122098</v>
      </c>
      <c r="AE49" s="184">
        <f t="shared" si="3"/>
        <v>0</v>
      </c>
      <c r="AF49" s="184">
        <f t="shared" si="3"/>
        <v>889067.49388547672</v>
      </c>
      <c r="AG49" s="184">
        <f t="shared" si="3"/>
        <v>75136.264014624496</v>
      </c>
      <c r="AH49" s="184">
        <f t="shared" si="3"/>
        <v>0</v>
      </c>
      <c r="AI49" s="184">
        <f t="shared" si="3"/>
        <v>0</v>
      </c>
      <c r="AJ49" s="184">
        <f t="shared" si="3"/>
        <v>0</v>
      </c>
      <c r="AK49" s="134">
        <f>SUM(D49:AJ49)</f>
        <v>11093393.263217498</v>
      </c>
      <c r="AL49" s="134">
        <f>AK49-C49</f>
        <v>3.2174978405237198E-3</v>
      </c>
    </row>
    <row r="50" spans="1:38" ht="13.5" thickBot="1" x14ac:dyDescent="0.25">
      <c r="A50" s="306" t="s">
        <v>239</v>
      </c>
      <c r="B50" s="307"/>
      <c r="C50" s="185"/>
      <c r="D50" s="186">
        <f>D49</f>
        <v>0</v>
      </c>
      <c r="E50" s="186">
        <f>D50+E49</f>
        <v>108789.56376361885</v>
      </c>
      <c r="F50" s="186">
        <f t="shared" ref="F50:AJ50" si="4">E50+F49</f>
        <v>108789.56376361885</v>
      </c>
      <c r="G50" s="186">
        <f t="shared" si="4"/>
        <v>108789.56376361885</v>
      </c>
      <c r="H50" s="186">
        <f t="shared" si="4"/>
        <v>325458.90576700796</v>
      </c>
      <c r="I50" s="186">
        <f t="shared" si="4"/>
        <v>325458.90576700796</v>
      </c>
      <c r="J50" s="186">
        <f t="shared" si="4"/>
        <v>325458.90576700796</v>
      </c>
      <c r="K50" s="186">
        <f t="shared" si="4"/>
        <v>513511.84205543681</v>
      </c>
      <c r="L50" s="186">
        <f t="shared" si="4"/>
        <v>513511.84205543681</v>
      </c>
      <c r="M50" s="186">
        <f t="shared" si="4"/>
        <v>513511.84205543681</v>
      </c>
      <c r="N50" s="186">
        <f t="shared" si="4"/>
        <v>513511.84205543681</v>
      </c>
      <c r="O50" s="186">
        <f t="shared" si="4"/>
        <v>513511.84205543681</v>
      </c>
      <c r="P50" s="186">
        <f t="shared" si="4"/>
        <v>2051576.7714791847</v>
      </c>
      <c r="Q50" s="186">
        <f t="shared" si="4"/>
        <v>2051576.7714791847</v>
      </c>
      <c r="R50" s="186">
        <f t="shared" si="4"/>
        <v>2181560.6629200564</v>
      </c>
      <c r="S50" s="186">
        <f t="shared" si="4"/>
        <v>2181560.6629200564</v>
      </c>
      <c r="T50" s="186">
        <f t="shared" si="4"/>
        <v>5663591.6448323335</v>
      </c>
      <c r="U50" s="186">
        <f t="shared" si="4"/>
        <v>5663591.6448323335</v>
      </c>
      <c r="V50" s="186">
        <f t="shared" si="4"/>
        <v>5957862.6658328651</v>
      </c>
      <c r="W50" s="186">
        <f t="shared" si="4"/>
        <v>5957862.6658328651</v>
      </c>
      <c r="X50" s="186">
        <f t="shared" si="4"/>
        <v>7891160.214850883</v>
      </c>
      <c r="Y50" s="186">
        <f t="shared" si="4"/>
        <v>7891160.214850883</v>
      </c>
      <c r="Z50" s="186">
        <f t="shared" si="4"/>
        <v>8054545.735141377</v>
      </c>
      <c r="AA50" s="186">
        <f t="shared" si="4"/>
        <v>8054545.735141377</v>
      </c>
      <c r="AB50" s="186">
        <f t="shared" si="4"/>
        <v>9967521.4130961765</v>
      </c>
      <c r="AC50" s="186">
        <f t="shared" si="4"/>
        <v>9967521.4130961765</v>
      </c>
      <c r="AD50" s="186">
        <f t="shared" si="4"/>
        <v>10129189.505317397</v>
      </c>
      <c r="AE50" s="186">
        <f t="shared" si="4"/>
        <v>10129189.505317397</v>
      </c>
      <c r="AF50" s="186">
        <f t="shared" si="4"/>
        <v>11018256.999202874</v>
      </c>
      <c r="AG50" s="244">
        <f t="shared" si="4"/>
        <v>11093393.263217498</v>
      </c>
      <c r="AH50" s="186">
        <f>AG50+AH49+0.01</f>
        <v>11093393.273217497</v>
      </c>
      <c r="AI50" s="186">
        <f t="shared" si="4"/>
        <v>11093393.273217497</v>
      </c>
      <c r="AJ50" s="186">
        <f t="shared" si="4"/>
        <v>11093393.273217497</v>
      </c>
      <c r="AK50" s="134"/>
    </row>
    <row r="51" spans="1:38" x14ac:dyDescent="0.2"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4"/>
    </row>
    <row r="52" spans="1:38" x14ac:dyDescent="0.2"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</row>
    <row r="53" spans="1:38" x14ac:dyDescent="0.2"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4"/>
      <c r="AK53" s="134"/>
    </row>
    <row r="54" spans="1:38" x14ac:dyDescent="0.2">
      <c r="C54" s="134"/>
    </row>
    <row r="55" spans="1:38" x14ac:dyDescent="0.2">
      <c r="C55" s="134"/>
    </row>
  </sheetData>
  <mergeCells count="10">
    <mergeCell ref="A1:K1"/>
    <mergeCell ref="A2:K2"/>
    <mergeCell ref="A3:K3"/>
    <mergeCell ref="A5:K5"/>
    <mergeCell ref="A50:B50"/>
    <mergeCell ref="A10:H10"/>
    <mergeCell ref="I10:AB10"/>
    <mergeCell ref="A9:K9"/>
    <mergeCell ref="AH24:AJ24"/>
    <mergeCell ref="AH16:AJ16"/>
  </mergeCells>
  <printOptions horizontalCentered="1"/>
  <pageMargins left="0.19685039370078741" right="0.19685039370078741" top="0.47244094488188981" bottom="0.35433070866141736" header="0.31496062992125984" footer="0.31496062992125984"/>
  <pageSetup paperSize="9" scale="94" fitToWidth="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2"/>
  <sheetViews>
    <sheetView workbookViewId="0">
      <selection sqref="A1:I1"/>
    </sheetView>
  </sheetViews>
  <sheetFormatPr defaultRowHeight="15" x14ac:dyDescent="0.25"/>
  <cols>
    <col min="2" max="2" width="27.42578125" customWidth="1"/>
    <col min="3" max="3" width="12.7109375" bestFit="1" customWidth="1"/>
    <col min="4" max="4" width="8.7109375" bestFit="1" customWidth="1"/>
    <col min="7" max="7" width="14.28515625" bestFit="1" customWidth="1"/>
  </cols>
  <sheetData>
    <row r="1" spans="1:9" x14ac:dyDescent="0.25">
      <c r="A1" s="315" t="s">
        <v>312</v>
      </c>
      <c r="B1" s="316"/>
      <c r="C1" s="316"/>
      <c r="D1" s="316"/>
      <c r="E1" s="316"/>
      <c r="F1" s="316"/>
      <c r="G1" s="316"/>
      <c r="H1" s="316"/>
      <c r="I1" s="316"/>
    </row>
    <row r="4" spans="1:9" x14ac:dyDescent="0.25">
      <c r="E4" s="314" t="s">
        <v>170</v>
      </c>
      <c r="F4" s="314"/>
      <c r="G4" s="314"/>
      <c r="H4" s="314"/>
      <c r="I4" s="314"/>
    </row>
    <row r="5" spans="1:9" x14ac:dyDescent="0.25">
      <c r="D5" s="19" t="s">
        <v>42</v>
      </c>
      <c r="E5" s="19">
        <v>1</v>
      </c>
      <c r="F5" s="19">
        <v>2</v>
      </c>
      <c r="G5" s="19">
        <v>3</v>
      </c>
      <c r="H5" s="19">
        <v>4</v>
      </c>
      <c r="I5" s="19">
        <v>5</v>
      </c>
    </row>
    <row r="6" spans="1:9" x14ac:dyDescent="0.25">
      <c r="D6" s="23">
        <f>'5.5-Parametrização_Obras'!B33</f>
        <v>5093.29</v>
      </c>
      <c r="E6" s="23">
        <v>803.02</v>
      </c>
      <c r="F6" s="19">
        <v>1817.96</v>
      </c>
      <c r="G6" s="19">
        <v>1009.37</v>
      </c>
      <c r="H6" s="19">
        <v>998.76</v>
      </c>
      <c r="I6" s="19">
        <v>464.18</v>
      </c>
    </row>
    <row r="7" spans="1:9" x14ac:dyDescent="0.25">
      <c r="D7" s="119">
        <v>1</v>
      </c>
      <c r="E7" s="105">
        <f>E6/$D6</f>
        <v>0.15766233613244091</v>
      </c>
      <c r="F7" s="105">
        <f>F6/$D6</f>
        <v>0.35693235609988827</v>
      </c>
      <c r="G7" s="105">
        <f>G6/$D6</f>
        <v>0.19817642427586099</v>
      </c>
      <c r="H7" s="105">
        <f>H6/$D6</f>
        <v>0.19609329136962553</v>
      </c>
      <c r="I7" s="105">
        <f>I6/$D6</f>
        <v>9.1135592122184292E-2</v>
      </c>
    </row>
    <row r="9" spans="1:9" x14ac:dyDescent="0.25">
      <c r="B9" s="28" t="s">
        <v>171</v>
      </c>
      <c r="C9" s="11">
        <f>'5.1-RESUMO'!C15</f>
        <v>475488.64000670862</v>
      </c>
    </row>
    <row r="10" spans="1:9" x14ac:dyDescent="0.25">
      <c r="B10" s="29"/>
      <c r="C10" s="6"/>
    </row>
    <row r="11" spans="1:9" x14ac:dyDescent="0.25">
      <c r="B11" s="28" t="s">
        <v>172</v>
      </c>
      <c r="C11" s="11">
        <f>'5.1-RESUMO'!C17</f>
        <v>320186.89469065331</v>
      </c>
    </row>
    <row r="12" spans="1:9" ht="15.75" thickBot="1" x14ac:dyDescent="0.3">
      <c r="B12" s="126" t="s">
        <v>173</v>
      </c>
      <c r="C12" s="127">
        <f>'5.1-RESUMO'!C18</f>
        <v>9017109.0308508761</v>
      </c>
    </row>
    <row r="13" spans="1:9" ht="15.75" thickBot="1" x14ac:dyDescent="0.3">
      <c r="B13" s="128" t="s">
        <v>174</v>
      </c>
      <c r="C13" s="129">
        <f>C11+C12</f>
        <v>9337295.9255415294</v>
      </c>
    </row>
    <row r="14" spans="1:9" x14ac:dyDescent="0.25">
      <c r="B14" s="29"/>
      <c r="C14" s="6"/>
    </row>
    <row r="15" spans="1:9" ht="30.75" thickBot="1" x14ac:dyDescent="0.3">
      <c r="B15" s="30" t="s">
        <v>175</v>
      </c>
      <c r="C15" s="127">
        <f>'5.1-RESUMO'!C19</f>
        <v>789107.16753135179</v>
      </c>
    </row>
    <row r="16" spans="1:9" ht="15.75" thickBot="1" x14ac:dyDescent="0.3">
      <c r="B16" s="128" t="s">
        <v>174</v>
      </c>
      <c r="C16" s="129">
        <f>C15</f>
        <v>789107.16753135179</v>
      </c>
    </row>
    <row r="17" spans="2:7" x14ac:dyDescent="0.25">
      <c r="C17" s="6"/>
    </row>
    <row r="19" spans="2:7" x14ac:dyDescent="0.25">
      <c r="B19" s="121" t="s">
        <v>176</v>
      </c>
      <c r="C19" s="122"/>
    </row>
    <row r="20" spans="2:7" x14ac:dyDescent="0.25">
      <c r="B20" s="123" t="s">
        <v>172</v>
      </c>
      <c r="C20" s="124">
        <f>'5.3-Proj_Serv Preliminares'!J12</f>
        <v>104126.59</v>
      </c>
    </row>
    <row r="21" spans="2:7" x14ac:dyDescent="0.25">
      <c r="B21" s="123" t="s">
        <v>177</v>
      </c>
      <c r="C21" s="2">
        <f>'5.4-Proj_Bas-Exec'!W18</f>
        <v>207382.39</v>
      </c>
    </row>
    <row r="22" spans="2:7" x14ac:dyDescent="0.25">
      <c r="B22" s="123" t="s">
        <v>178</v>
      </c>
      <c r="C22" s="2">
        <f>'5.4-Proj_Bas-Exec'!W28</f>
        <v>179992.55</v>
      </c>
    </row>
    <row r="24" spans="2:7" x14ac:dyDescent="0.25">
      <c r="B24" s="130" t="s">
        <v>179</v>
      </c>
      <c r="C24" s="122"/>
    </row>
    <row r="25" spans="2:7" x14ac:dyDescent="0.25">
      <c r="B25" s="123" t="s">
        <v>180</v>
      </c>
      <c r="C25" s="125">
        <f>C13*E7</f>
        <v>1472139.8887807995</v>
      </c>
    </row>
    <row r="26" spans="2:7" x14ac:dyDescent="0.25">
      <c r="B26" s="123" t="s">
        <v>298</v>
      </c>
      <c r="C26" s="125">
        <f>C16*E7</f>
        <v>124412.47949184634</v>
      </c>
    </row>
    <row r="27" spans="2:7" x14ac:dyDescent="0.25">
      <c r="C27" s="67"/>
    </row>
    <row r="28" spans="2:7" x14ac:dyDescent="0.25">
      <c r="B28" s="130" t="s">
        <v>181</v>
      </c>
      <c r="C28" s="131"/>
    </row>
    <row r="29" spans="2:7" x14ac:dyDescent="0.25">
      <c r="B29" s="123" t="s">
        <v>180</v>
      </c>
      <c r="C29" s="125">
        <f>C13*F7</f>
        <v>3332783.0343054249</v>
      </c>
      <c r="G29" s="120"/>
    </row>
    <row r="30" spans="2:7" x14ac:dyDescent="0.25">
      <c r="B30" s="123" t="s">
        <v>298</v>
      </c>
      <c r="C30" s="125">
        <f>C16*F7</f>
        <v>281657.88052227465</v>
      </c>
      <c r="G30" s="120"/>
    </row>
    <row r="31" spans="2:7" x14ac:dyDescent="0.25">
      <c r="C31" s="67"/>
      <c r="G31" s="1"/>
    </row>
    <row r="32" spans="2:7" x14ac:dyDescent="0.25">
      <c r="B32" s="130" t="s">
        <v>182</v>
      </c>
      <c r="C32" s="131"/>
    </row>
    <row r="33" spans="2:3" x14ac:dyDescent="0.25">
      <c r="B33" s="123" t="s">
        <v>180</v>
      </c>
      <c r="C33" s="125">
        <f>C13*G7</f>
        <v>1850431.9189293862</v>
      </c>
    </row>
    <row r="34" spans="2:3" x14ac:dyDescent="0.25">
      <c r="B34" s="123" t="s">
        <v>298</v>
      </c>
      <c r="C34" s="125">
        <f>C16*G7</f>
        <v>156382.4368318161</v>
      </c>
    </row>
    <row r="35" spans="2:3" x14ac:dyDescent="0.25">
      <c r="C35" s="67"/>
    </row>
    <row r="36" spans="2:3" x14ac:dyDescent="0.25">
      <c r="B36" s="130" t="s">
        <v>183</v>
      </c>
      <c r="C36" s="131"/>
    </row>
    <row r="37" spans="2:3" x14ac:dyDescent="0.25">
      <c r="B37" s="123" t="s">
        <v>180</v>
      </c>
      <c r="C37" s="125">
        <f>C13*H7</f>
        <v>1830981.0905316323</v>
      </c>
    </row>
    <row r="38" spans="2:3" x14ac:dyDescent="0.25">
      <c r="B38" s="123" t="s">
        <v>298</v>
      </c>
      <c r="C38" s="125">
        <f>C16*H7</f>
        <v>154738.62172458527</v>
      </c>
    </row>
    <row r="39" spans="2:3" x14ac:dyDescent="0.25">
      <c r="C39" s="67"/>
    </row>
    <row r="40" spans="2:3" x14ac:dyDescent="0.25">
      <c r="B40" s="130" t="s">
        <v>184</v>
      </c>
      <c r="C40" s="131"/>
    </row>
    <row r="41" spans="2:3" x14ac:dyDescent="0.25">
      <c r="B41" s="123" t="s">
        <v>180</v>
      </c>
      <c r="C41" s="125">
        <f>C13*I7</f>
        <v>850959.99299428612</v>
      </c>
    </row>
    <row r="42" spans="2:3" x14ac:dyDescent="0.25">
      <c r="B42" s="123" t="s">
        <v>298</v>
      </c>
      <c r="C42" s="125">
        <f>C16*I7</f>
        <v>71915.748960829427</v>
      </c>
    </row>
  </sheetData>
  <mergeCells count="2">
    <mergeCell ref="E4:I4"/>
    <mergeCell ref="A1:I1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6"/>
  <sheetViews>
    <sheetView workbookViewId="0">
      <selection activeCell="A4" sqref="A4"/>
    </sheetView>
  </sheetViews>
  <sheetFormatPr defaultRowHeight="15" x14ac:dyDescent="0.25"/>
  <cols>
    <col min="4" max="4" width="16.28515625" customWidth="1"/>
  </cols>
  <sheetData>
    <row r="1" spans="1:9" ht="15.75" x14ac:dyDescent="0.25">
      <c r="A1" s="293" t="s">
        <v>62</v>
      </c>
      <c r="B1" s="293"/>
      <c r="C1" s="293"/>
      <c r="D1" s="293"/>
      <c r="E1" s="293"/>
      <c r="F1" s="293"/>
      <c r="G1" s="293"/>
      <c r="H1" s="293"/>
      <c r="I1" s="293"/>
    </row>
    <row r="2" spans="1:9" x14ac:dyDescent="0.25">
      <c r="A2" s="294" t="s">
        <v>285</v>
      </c>
      <c r="B2" s="294"/>
      <c r="C2" s="294"/>
      <c r="D2" s="294"/>
      <c r="E2" s="294"/>
      <c r="F2" s="294"/>
      <c r="G2" s="294"/>
      <c r="H2" s="294"/>
      <c r="I2" s="294"/>
    </row>
    <row r="3" spans="1:9" x14ac:dyDescent="0.25">
      <c r="A3" s="294" t="str">
        <f>'5.1-RESUMO'!A7:C7</f>
        <v>DEPARTAMENTO DE HABITAÇÃO</v>
      </c>
      <c r="B3" s="294"/>
      <c r="C3" s="294"/>
      <c r="D3" s="294"/>
      <c r="E3" s="294"/>
      <c r="F3" s="294"/>
      <c r="G3" s="294"/>
      <c r="H3" s="294"/>
      <c r="I3" s="294"/>
    </row>
    <row r="4" spans="1:9" x14ac:dyDescent="0.25">
      <c r="B4" s="34"/>
      <c r="C4" s="35"/>
    </row>
    <row r="5" spans="1:9" ht="43.5" customHeight="1" x14ac:dyDescent="0.25">
      <c r="A5" s="295" t="s">
        <v>64</v>
      </c>
      <c r="B5" s="295"/>
      <c r="C5" s="295"/>
      <c r="D5" s="295"/>
      <c r="E5" s="295"/>
      <c r="F5" s="295"/>
      <c r="G5" s="295"/>
      <c r="H5" s="295"/>
      <c r="I5" s="295"/>
    </row>
    <row r="7" spans="1:9" x14ac:dyDescent="0.25">
      <c r="A7" s="318" t="s">
        <v>5</v>
      </c>
      <c r="B7" s="318"/>
      <c r="C7" s="318"/>
      <c r="D7" s="318"/>
      <c r="E7" s="318"/>
      <c r="F7" s="318"/>
      <c r="G7" s="318"/>
      <c r="H7" s="318"/>
      <c r="I7" s="318"/>
    </row>
    <row r="10" spans="1:9" x14ac:dyDescent="0.25">
      <c r="D10" s="316" t="s">
        <v>6</v>
      </c>
      <c r="E10" s="316"/>
      <c r="F10" s="316"/>
    </row>
    <row r="11" spans="1:9" x14ac:dyDescent="0.25">
      <c r="D11" s="2" t="s">
        <v>7</v>
      </c>
      <c r="E11" s="3">
        <v>45992</v>
      </c>
      <c r="F11" s="2">
        <v>898.22</v>
      </c>
    </row>
    <row r="12" spans="1:9" x14ac:dyDescent="0.25">
      <c r="D12" s="2" t="s">
        <v>8</v>
      </c>
      <c r="E12" s="15">
        <v>44743</v>
      </c>
      <c r="F12" s="2">
        <v>799.55</v>
      </c>
    </row>
    <row r="13" spans="1:9" x14ac:dyDescent="0.25">
      <c r="D13" s="317" t="s">
        <v>9</v>
      </c>
      <c r="E13" s="317"/>
      <c r="F13" s="4">
        <f>(F11-F12)/F12</f>
        <v>0.12340691639046973</v>
      </c>
    </row>
    <row r="16" spans="1:9" x14ac:dyDescent="0.25">
      <c r="D16" s="316" t="s">
        <v>6</v>
      </c>
      <c r="E16" s="316"/>
      <c r="F16" s="316"/>
    </row>
    <row r="17" spans="4:6" x14ac:dyDescent="0.25">
      <c r="D17" s="2" t="s">
        <v>7</v>
      </c>
      <c r="E17" s="3">
        <v>45992</v>
      </c>
      <c r="F17" s="2">
        <v>898.22</v>
      </c>
    </row>
    <row r="18" spans="4:6" x14ac:dyDescent="0.25">
      <c r="D18" s="2" t="s">
        <v>8</v>
      </c>
      <c r="E18" s="15">
        <v>45809</v>
      </c>
      <c r="F18" s="2">
        <v>885.05</v>
      </c>
    </row>
    <row r="19" spans="4:6" x14ac:dyDescent="0.25">
      <c r="D19" s="317" t="s">
        <v>9</v>
      </c>
      <c r="E19" s="317"/>
      <c r="F19" s="4">
        <f>(F17-F18)/F18</f>
        <v>1.4880515225128607E-2</v>
      </c>
    </row>
    <row r="22" spans="4:6" x14ac:dyDescent="0.25">
      <c r="D22" s="316" t="s">
        <v>6</v>
      </c>
      <c r="E22" s="316"/>
      <c r="F22" s="316"/>
    </row>
    <row r="23" spans="4:6" x14ac:dyDescent="0.25">
      <c r="D23" s="2" t="s">
        <v>7</v>
      </c>
      <c r="E23" s="3">
        <v>45992</v>
      </c>
      <c r="F23" s="2">
        <v>898.22</v>
      </c>
    </row>
    <row r="24" spans="4:6" x14ac:dyDescent="0.25">
      <c r="D24" s="2" t="s">
        <v>8</v>
      </c>
      <c r="E24" s="15">
        <v>44896</v>
      </c>
      <c r="F24" s="2">
        <v>806.04</v>
      </c>
    </row>
    <row r="25" spans="4:6" x14ac:dyDescent="0.25">
      <c r="D25" s="317" t="s">
        <v>9</v>
      </c>
      <c r="E25" s="317"/>
      <c r="F25" s="4">
        <f>(F23-F24)/F24</f>
        <v>0.1143615701454023</v>
      </c>
    </row>
    <row r="28" spans="4:6" x14ac:dyDescent="0.25">
      <c r="D28" s="316" t="s">
        <v>6</v>
      </c>
      <c r="E28" s="316"/>
      <c r="F28" s="316"/>
    </row>
    <row r="29" spans="4:6" x14ac:dyDescent="0.25">
      <c r="D29" s="2" t="s">
        <v>7</v>
      </c>
      <c r="E29" s="3">
        <v>45992</v>
      </c>
      <c r="F29" s="2">
        <v>898.22</v>
      </c>
    </row>
    <row r="30" spans="4:6" x14ac:dyDescent="0.25">
      <c r="D30" s="2" t="s">
        <v>8</v>
      </c>
      <c r="E30" s="15">
        <v>44470</v>
      </c>
      <c r="F30" s="2">
        <v>715.57</v>
      </c>
    </row>
    <row r="31" spans="4:6" x14ac:dyDescent="0.25">
      <c r="D31" s="317" t="s">
        <v>9</v>
      </c>
      <c r="E31" s="317"/>
      <c r="F31" s="4">
        <f>(F29-F30)/F30</f>
        <v>0.25525105859664321</v>
      </c>
    </row>
    <row r="33" spans="4:6" x14ac:dyDescent="0.25">
      <c r="D33" s="316" t="s">
        <v>6</v>
      </c>
      <c r="E33" s="316"/>
      <c r="F33" s="316"/>
    </row>
    <row r="34" spans="4:6" x14ac:dyDescent="0.25">
      <c r="D34" s="2" t="s">
        <v>7</v>
      </c>
      <c r="E34" s="3">
        <v>45992</v>
      </c>
      <c r="F34" s="2">
        <v>898.22</v>
      </c>
    </row>
    <row r="35" spans="4:6" x14ac:dyDescent="0.25">
      <c r="D35" s="2" t="s">
        <v>8</v>
      </c>
      <c r="E35" s="15">
        <v>41913</v>
      </c>
      <c r="F35" s="2">
        <v>442.72</v>
      </c>
    </row>
    <row r="36" spans="4:6" x14ac:dyDescent="0.25">
      <c r="D36" s="317" t="s">
        <v>9</v>
      </c>
      <c r="E36" s="317"/>
      <c r="F36" s="4">
        <f>(F34-F35)/F35</f>
        <v>1.0288670039754246</v>
      </c>
    </row>
  </sheetData>
  <mergeCells count="15">
    <mergeCell ref="A1:I1"/>
    <mergeCell ref="A2:I2"/>
    <mergeCell ref="A3:I3"/>
    <mergeCell ref="A5:I5"/>
    <mergeCell ref="D13:E13"/>
    <mergeCell ref="D10:F10"/>
    <mergeCell ref="A7:I7"/>
    <mergeCell ref="D16:F16"/>
    <mergeCell ref="D19:E19"/>
    <mergeCell ref="D22:F22"/>
    <mergeCell ref="D33:F33"/>
    <mergeCell ref="D36:E36"/>
    <mergeCell ref="D28:F28"/>
    <mergeCell ref="D31:E31"/>
    <mergeCell ref="D25:E2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51"/>
  <sheetViews>
    <sheetView topLeftCell="A7" workbookViewId="0">
      <selection activeCell="B21" sqref="B21:D21"/>
    </sheetView>
  </sheetViews>
  <sheetFormatPr defaultRowHeight="15" x14ac:dyDescent="0.25"/>
  <cols>
    <col min="1" max="1" width="9.42578125" customWidth="1"/>
    <col min="2" max="2" width="38.7109375" customWidth="1"/>
    <col min="3" max="3" width="12.28515625" customWidth="1"/>
    <col min="4" max="4" width="9.7109375" customWidth="1"/>
    <col min="5" max="5" width="2.7109375" customWidth="1"/>
    <col min="6" max="6" width="16.5703125" customWidth="1"/>
    <col min="7" max="7" width="16.42578125" customWidth="1"/>
    <col min="9" max="9" width="11.28515625" bestFit="1" customWidth="1"/>
    <col min="10" max="10" width="20.7109375" customWidth="1"/>
  </cols>
  <sheetData>
    <row r="1" spans="1:19" ht="15.75" x14ac:dyDescent="0.25">
      <c r="A1" s="319" t="s">
        <v>62</v>
      </c>
      <c r="B1" s="319"/>
      <c r="C1" s="319"/>
      <c r="D1" s="319"/>
      <c r="E1" s="319"/>
      <c r="F1" s="319"/>
      <c r="G1" s="319"/>
    </row>
    <row r="2" spans="1:19" ht="15" customHeight="1" x14ac:dyDescent="0.25">
      <c r="A2" s="320" t="s">
        <v>289</v>
      </c>
      <c r="B2" s="320"/>
      <c r="C2" s="320"/>
      <c r="D2" s="320"/>
      <c r="E2" s="320"/>
      <c r="F2" s="320"/>
      <c r="G2" s="320"/>
      <c r="H2" s="192"/>
      <c r="I2" s="192"/>
      <c r="J2" s="192"/>
    </row>
    <row r="3" spans="1:19" ht="18.75" customHeight="1" x14ac:dyDescent="0.25">
      <c r="A3" s="321" t="str">
        <f>'5.1-RESUMO'!A7:C7</f>
        <v>DEPARTAMENTO DE HABITAÇÃO</v>
      </c>
      <c r="B3" s="321"/>
      <c r="C3" s="321"/>
      <c r="D3" s="321"/>
      <c r="E3" s="321"/>
      <c r="F3" s="321"/>
      <c r="G3" s="321"/>
      <c r="H3" s="192"/>
      <c r="I3" s="192"/>
      <c r="J3" s="192"/>
    </row>
    <row r="4" spans="1:19" x14ac:dyDescent="0.25">
      <c r="A4" s="193"/>
      <c r="B4" s="193"/>
      <c r="C4" s="193"/>
      <c r="D4" s="193"/>
      <c r="E4" s="194"/>
      <c r="F4" s="195"/>
      <c r="G4" s="195"/>
      <c r="H4" s="192"/>
      <c r="I4" s="192"/>
      <c r="J4" s="192"/>
    </row>
    <row r="5" spans="1:19" ht="43.5" customHeight="1" x14ac:dyDescent="0.25">
      <c r="A5" s="322" t="s">
        <v>163</v>
      </c>
      <c r="B5" s="322"/>
      <c r="C5" s="322"/>
      <c r="D5" s="322"/>
      <c r="E5" s="322"/>
      <c r="F5" s="322"/>
      <c r="G5" s="322"/>
      <c r="H5" s="192"/>
      <c r="I5" s="192"/>
      <c r="J5" s="192"/>
    </row>
    <row r="6" spans="1:19" ht="15" customHeight="1" x14ac:dyDescent="0.25">
      <c r="A6" s="196"/>
      <c r="B6" s="192"/>
      <c r="C6" s="192"/>
      <c r="D6" s="192"/>
      <c r="E6" s="192"/>
      <c r="F6" s="190"/>
      <c r="G6" s="190"/>
      <c r="H6" s="192"/>
      <c r="I6" s="192"/>
      <c r="J6" s="192"/>
    </row>
    <row r="7" spans="1:19" ht="15" customHeight="1" x14ac:dyDescent="0.25">
      <c r="A7" s="323" t="s">
        <v>288</v>
      </c>
      <c r="B7" s="323"/>
      <c r="C7" s="323"/>
      <c r="D7" s="323"/>
      <c r="E7" s="323"/>
      <c r="F7" s="323"/>
      <c r="G7" s="323"/>
      <c r="H7" s="192"/>
      <c r="I7" s="192"/>
      <c r="J7" s="192"/>
    </row>
    <row r="8" spans="1:19" ht="15" customHeight="1" x14ac:dyDescent="0.25">
      <c r="A8" s="196"/>
      <c r="B8" s="192"/>
      <c r="C8" s="192"/>
      <c r="D8" s="192"/>
      <c r="E8" s="192"/>
      <c r="F8" s="190"/>
      <c r="G8" s="190"/>
      <c r="H8" s="192"/>
      <c r="I8" s="192"/>
      <c r="J8" s="192"/>
    </row>
    <row r="9" spans="1:19" x14ac:dyDescent="0.25">
      <c r="A9" s="324" t="s">
        <v>287</v>
      </c>
      <c r="B9" s="325"/>
      <c r="C9" s="326"/>
      <c r="D9" s="245"/>
      <c r="F9" s="189"/>
      <c r="G9" s="189"/>
      <c r="H9" s="197"/>
      <c r="I9" s="197"/>
      <c r="J9" s="197"/>
    </row>
    <row r="10" spans="1:19" ht="23.25" customHeight="1" x14ac:dyDescent="0.25">
      <c r="A10" s="328" t="s">
        <v>243</v>
      </c>
      <c r="B10" s="329"/>
      <c r="C10" s="256" t="s">
        <v>244</v>
      </c>
      <c r="D10" s="246"/>
      <c r="E10" s="198"/>
      <c r="F10" s="235"/>
      <c r="G10" s="236"/>
      <c r="H10" s="197"/>
      <c r="I10" s="197"/>
      <c r="J10" s="197"/>
      <c r="S10" s="199"/>
    </row>
    <row r="11" spans="1:19" ht="23.25" customHeight="1" x14ac:dyDescent="0.25">
      <c r="A11" s="250" t="s">
        <v>245</v>
      </c>
      <c r="B11" s="200" t="s">
        <v>246</v>
      </c>
      <c r="C11" s="257">
        <v>0.71540000000000004</v>
      </c>
      <c r="D11" s="247"/>
      <c r="E11" s="201"/>
      <c r="F11" s="237"/>
      <c r="G11" s="238"/>
      <c r="H11" s="197"/>
      <c r="I11" s="202"/>
      <c r="J11" s="197"/>
    </row>
    <row r="12" spans="1:19" ht="23.25" customHeight="1" x14ac:dyDescent="0.25">
      <c r="A12" s="104" t="s">
        <v>247</v>
      </c>
      <c r="B12" s="203" t="s">
        <v>248</v>
      </c>
      <c r="C12" s="257">
        <v>3.4299999999999997E-2</v>
      </c>
      <c r="D12" s="247"/>
      <c r="E12" s="201"/>
      <c r="F12" s="237"/>
      <c r="G12" s="238"/>
      <c r="H12" s="197"/>
      <c r="I12" s="202"/>
      <c r="J12" s="204"/>
    </row>
    <row r="13" spans="1:19" ht="23.25" customHeight="1" x14ac:dyDescent="0.25">
      <c r="A13" s="104" t="s">
        <v>249</v>
      </c>
      <c r="B13" s="203" t="s">
        <v>250</v>
      </c>
      <c r="C13" s="258">
        <v>6.7400000000000002E-2</v>
      </c>
      <c r="D13" s="247"/>
      <c r="E13" s="201"/>
      <c r="F13" s="332" t="s">
        <v>242</v>
      </c>
      <c r="G13" s="333"/>
      <c r="H13" s="242"/>
      <c r="I13" s="202"/>
      <c r="J13" s="197"/>
    </row>
    <row r="14" spans="1:19" ht="23.25" customHeight="1" x14ac:dyDescent="0.25">
      <c r="A14" s="104" t="s">
        <v>251</v>
      </c>
      <c r="B14" s="203" t="s">
        <v>252</v>
      </c>
      <c r="C14" s="258">
        <f>SUM(C15:C18)</f>
        <v>7.6500000000000012E-2</v>
      </c>
      <c r="D14" s="247"/>
      <c r="E14" s="201"/>
      <c r="F14" s="252" t="s">
        <v>253</v>
      </c>
      <c r="G14" s="253">
        <f>ROUND(((1+C11+C12)*(1+C13))*(1+C14),4)</f>
        <v>2.0105</v>
      </c>
      <c r="H14" s="197"/>
      <c r="I14" s="202"/>
      <c r="J14" s="197"/>
    </row>
    <row r="15" spans="1:19" ht="23.25" customHeight="1" x14ac:dyDescent="0.25">
      <c r="A15" s="251"/>
      <c r="B15" s="205" t="s">
        <v>254</v>
      </c>
      <c r="C15" s="257">
        <v>0.03</v>
      </c>
      <c r="D15" s="247"/>
      <c r="E15" s="201"/>
      <c r="F15" s="254"/>
      <c r="G15" s="255"/>
      <c r="H15" s="197"/>
      <c r="I15" s="202"/>
      <c r="J15" s="197"/>
    </row>
    <row r="16" spans="1:19" ht="18" x14ac:dyDescent="0.25">
      <c r="A16" s="251"/>
      <c r="B16" s="205" t="s">
        <v>255</v>
      </c>
      <c r="C16" s="257">
        <v>0.04</v>
      </c>
      <c r="D16" s="247"/>
      <c r="E16" s="201"/>
      <c r="F16" s="252" t="s">
        <v>258</v>
      </c>
      <c r="G16" s="253">
        <f>ROUND((1+C13)*(1+C14),4)</f>
        <v>1.1491</v>
      </c>
      <c r="H16" s="197"/>
      <c r="I16" s="202"/>
      <c r="J16" s="197"/>
    </row>
    <row r="17" spans="1:10" ht="18" x14ac:dyDescent="0.25">
      <c r="A17" s="251"/>
      <c r="B17" s="205" t="s">
        <v>256</v>
      </c>
      <c r="C17" s="257">
        <v>0</v>
      </c>
      <c r="D17" s="247"/>
      <c r="E17" s="201"/>
      <c r="F17" s="239"/>
      <c r="G17" s="240"/>
      <c r="H17" s="197"/>
      <c r="I17" s="202"/>
      <c r="J17" s="197"/>
    </row>
    <row r="18" spans="1:10" ht="18" x14ac:dyDescent="0.25">
      <c r="A18" s="251"/>
      <c r="B18" s="205" t="s">
        <v>257</v>
      </c>
      <c r="C18" s="257">
        <v>6.4999999999999997E-3</v>
      </c>
      <c r="D18" s="247"/>
      <c r="E18" s="201"/>
      <c r="F18" s="235"/>
      <c r="G18" s="241"/>
      <c r="H18" s="197"/>
      <c r="I18" s="202"/>
      <c r="J18" s="197"/>
    </row>
    <row r="19" spans="1:10" x14ac:dyDescent="0.25">
      <c r="A19" s="248"/>
      <c r="B19" s="249"/>
      <c r="C19" s="206"/>
      <c r="D19" s="206"/>
      <c r="E19" s="201"/>
      <c r="H19" s="197"/>
      <c r="I19" s="202"/>
      <c r="J19" s="197"/>
    </row>
    <row r="20" spans="1:10" ht="20.25" x14ac:dyDescent="0.25">
      <c r="A20" s="207" t="s">
        <v>259</v>
      </c>
      <c r="B20" s="330" t="s">
        <v>260</v>
      </c>
      <c r="C20" s="330"/>
      <c r="D20" s="330"/>
      <c r="F20" s="208"/>
      <c r="G20" s="209"/>
      <c r="I20" s="6"/>
    </row>
    <row r="21" spans="1:10" ht="14.25" customHeight="1" x14ac:dyDescent="0.25">
      <c r="B21" s="330" t="s">
        <v>305</v>
      </c>
      <c r="C21" s="330"/>
      <c r="D21" s="330"/>
      <c r="F21" s="208"/>
      <c r="G21" s="209"/>
      <c r="I21" s="6"/>
    </row>
    <row r="22" spans="1:10" ht="20.25" x14ac:dyDescent="0.25">
      <c r="B22" s="210"/>
      <c r="C22" s="210"/>
      <c r="D22" s="210"/>
      <c r="F22" s="208"/>
      <c r="G22" s="209"/>
      <c r="I22" s="6"/>
    </row>
    <row r="23" spans="1:10" x14ac:dyDescent="0.25">
      <c r="B23" s="211" t="s">
        <v>261</v>
      </c>
    </row>
    <row r="25" spans="1:10" x14ac:dyDescent="0.25">
      <c r="B25" s="212" t="s">
        <v>262</v>
      </c>
    </row>
    <row r="26" spans="1:10" x14ac:dyDescent="0.25">
      <c r="A26" s="99"/>
      <c r="B26" s="213"/>
    </row>
    <row r="27" spans="1:10" x14ac:dyDescent="0.25">
      <c r="A27" s="99"/>
      <c r="B27" s="214" t="s">
        <v>291</v>
      </c>
    </row>
    <row r="28" spans="1:10" x14ac:dyDescent="0.25">
      <c r="A28" s="99"/>
      <c r="B28" s="213"/>
    </row>
    <row r="29" spans="1:10" x14ac:dyDescent="0.25">
      <c r="A29" s="99"/>
      <c r="B29" s="212" t="s">
        <v>299</v>
      </c>
    </row>
    <row r="30" spans="1:10" x14ac:dyDescent="0.25">
      <c r="A30" s="99"/>
      <c r="B30" s="213"/>
    </row>
    <row r="31" spans="1:10" x14ac:dyDescent="0.25">
      <c r="A31" s="99"/>
      <c r="B31" s="215" t="s">
        <v>263</v>
      </c>
      <c r="C31" s="216"/>
      <c r="D31" s="216"/>
      <c r="E31" s="216"/>
      <c r="F31" s="216"/>
    </row>
    <row r="32" spans="1:10" x14ac:dyDescent="0.25">
      <c r="A32" s="99"/>
      <c r="B32" s="213"/>
      <c r="C32" s="216"/>
      <c r="D32" s="216"/>
      <c r="E32" s="216"/>
      <c r="F32" s="216"/>
    </row>
    <row r="33" spans="1:7" x14ac:dyDescent="0.25">
      <c r="A33" s="99"/>
      <c r="B33" s="331" t="s">
        <v>264</v>
      </c>
      <c r="C33" s="331"/>
      <c r="D33" s="331"/>
      <c r="E33" s="331"/>
      <c r="F33" s="213"/>
      <c r="G33" s="99"/>
    </row>
    <row r="34" spans="1:7" x14ac:dyDescent="0.25">
      <c r="A34" s="99"/>
      <c r="B34" s="213"/>
      <c r="C34" s="213"/>
      <c r="D34" s="213"/>
      <c r="E34" s="213"/>
      <c r="F34" s="213"/>
      <c r="G34" s="99"/>
    </row>
    <row r="35" spans="1:7" x14ac:dyDescent="0.25">
      <c r="A35" s="99"/>
      <c r="B35" s="213" t="s">
        <v>265</v>
      </c>
      <c r="C35" s="213"/>
      <c r="D35" s="213"/>
      <c r="E35" s="213"/>
      <c r="F35" s="213"/>
      <c r="G35" s="99"/>
    </row>
    <row r="36" spans="1:7" x14ac:dyDescent="0.25">
      <c r="A36" s="99"/>
      <c r="B36" s="213"/>
      <c r="C36" s="213"/>
      <c r="D36" s="213"/>
      <c r="E36" s="213"/>
      <c r="F36" s="213"/>
      <c r="G36" s="99"/>
    </row>
    <row r="37" spans="1:7" x14ac:dyDescent="0.25">
      <c r="A37" s="99"/>
      <c r="B37" s="213" t="s">
        <v>266</v>
      </c>
      <c r="C37" s="213"/>
      <c r="D37" s="213"/>
      <c r="E37" s="213"/>
      <c r="F37" s="213"/>
      <c r="G37" s="99"/>
    </row>
    <row r="38" spans="1:7" x14ac:dyDescent="0.25">
      <c r="A38" s="99"/>
      <c r="B38" s="213"/>
      <c r="C38" s="213"/>
      <c r="D38" s="213"/>
      <c r="E38" s="213"/>
      <c r="F38" s="213"/>
      <c r="G38" s="99"/>
    </row>
    <row r="39" spans="1:7" x14ac:dyDescent="0.25">
      <c r="A39" s="99"/>
      <c r="B39" s="213" t="s">
        <v>267</v>
      </c>
      <c r="C39" s="213"/>
      <c r="D39" s="213"/>
      <c r="E39" s="213"/>
      <c r="F39" s="213"/>
      <c r="G39" s="99"/>
    </row>
    <row r="40" spans="1:7" x14ac:dyDescent="0.25">
      <c r="A40" s="99"/>
      <c r="B40" s="213"/>
      <c r="C40" s="213"/>
      <c r="D40" s="213"/>
      <c r="E40" s="213"/>
      <c r="F40" s="213"/>
      <c r="G40" s="99"/>
    </row>
    <row r="41" spans="1:7" x14ac:dyDescent="0.25">
      <c r="A41" s="217"/>
      <c r="B41" s="327" t="s">
        <v>268</v>
      </c>
      <c r="C41" s="327"/>
      <c r="D41" s="327"/>
      <c r="E41" s="327"/>
      <c r="F41" s="213"/>
      <c r="G41" s="99"/>
    </row>
    <row r="42" spans="1:7" x14ac:dyDescent="0.25">
      <c r="A42" s="99"/>
      <c r="B42" s="213"/>
      <c r="C42" s="213"/>
      <c r="D42" s="213"/>
      <c r="E42" s="213"/>
      <c r="F42" s="213"/>
      <c r="G42" s="99"/>
    </row>
    <row r="43" spans="1:7" x14ac:dyDescent="0.25">
      <c r="A43" s="99"/>
      <c r="B43" s="327" t="s">
        <v>270</v>
      </c>
      <c r="C43" s="327"/>
      <c r="D43" s="327"/>
      <c r="E43" s="327"/>
      <c r="F43" s="327"/>
      <c r="G43" s="327"/>
    </row>
    <row r="44" spans="1:7" x14ac:dyDescent="0.25">
      <c r="A44" s="99"/>
      <c r="B44" s="213"/>
      <c r="C44" s="213"/>
      <c r="D44" s="213"/>
      <c r="E44" s="213"/>
      <c r="F44" s="213"/>
      <c r="G44" s="99"/>
    </row>
    <row r="45" spans="1:7" x14ac:dyDescent="0.25">
      <c r="A45" s="99"/>
      <c r="B45" s="327" t="s">
        <v>271</v>
      </c>
      <c r="C45" s="327"/>
      <c r="D45" s="327"/>
      <c r="E45" s="327"/>
      <c r="F45" s="327"/>
      <c r="G45" s="99"/>
    </row>
    <row r="46" spans="1:7" x14ac:dyDescent="0.25">
      <c r="B46" s="213"/>
      <c r="C46" s="213"/>
      <c r="D46" s="213"/>
      <c r="E46" s="213"/>
      <c r="F46" s="213"/>
      <c r="G46" s="99"/>
    </row>
    <row r="47" spans="1:7" x14ac:dyDescent="0.25">
      <c r="B47" s="327" t="s">
        <v>272</v>
      </c>
      <c r="C47" s="327"/>
      <c r="D47" s="327"/>
      <c r="E47" s="327"/>
      <c r="F47" s="213"/>
      <c r="G47" s="99"/>
    </row>
    <row r="48" spans="1:7" x14ac:dyDescent="0.25">
      <c r="B48" s="213"/>
      <c r="C48" s="213"/>
      <c r="D48" s="213"/>
      <c r="E48" s="213"/>
      <c r="F48" s="213"/>
      <c r="G48" s="99"/>
    </row>
    <row r="49" spans="2:7" x14ac:dyDescent="0.25">
      <c r="B49" s="213" t="s">
        <v>269</v>
      </c>
      <c r="C49" s="213"/>
      <c r="D49" s="213"/>
      <c r="E49" s="213"/>
      <c r="F49" s="213"/>
      <c r="G49" s="99"/>
    </row>
    <row r="50" spans="2:7" x14ac:dyDescent="0.25">
      <c r="B50" s="216"/>
      <c r="C50" s="216"/>
      <c r="D50" s="216"/>
      <c r="E50" s="216"/>
      <c r="F50" s="216"/>
    </row>
    <row r="51" spans="2:7" x14ac:dyDescent="0.25">
      <c r="B51" s="216"/>
      <c r="C51" s="216"/>
      <c r="D51" s="216"/>
      <c r="E51" s="216"/>
      <c r="F51" s="216"/>
    </row>
  </sheetData>
  <mergeCells count="15">
    <mergeCell ref="A9:C9"/>
    <mergeCell ref="B41:E41"/>
    <mergeCell ref="B43:G43"/>
    <mergeCell ref="B45:F45"/>
    <mergeCell ref="B47:E47"/>
    <mergeCell ref="A10:B10"/>
    <mergeCell ref="B20:D20"/>
    <mergeCell ref="B21:D21"/>
    <mergeCell ref="B33:E33"/>
    <mergeCell ref="F13:G13"/>
    <mergeCell ref="A1:G1"/>
    <mergeCell ref="A2:G2"/>
    <mergeCell ref="A3:G3"/>
    <mergeCell ref="A5:G5"/>
    <mergeCell ref="A7:G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33"/>
  <sheetViews>
    <sheetView zoomScale="80" zoomScaleNormal="80" workbookViewId="0">
      <selection activeCell="A7" sqref="A7:W7"/>
    </sheetView>
  </sheetViews>
  <sheetFormatPr defaultRowHeight="15" x14ac:dyDescent="0.25"/>
  <cols>
    <col min="2" max="2" width="38.42578125" customWidth="1"/>
    <col min="3" max="3" width="14.7109375" customWidth="1"/>
    <col min="4" max="4" width="13.42578125" customWidth="1"/>
    <col min="5" max="5" width="7.7109375" bestFit="1" customWidth="1"/>
    <col min="6" max="6" width="17.28515625" customWidth="1"/>
    <col min="7" max="8" width="16.7109375" customWidth="1"/>
    <col min="9" max="9" width="10.7109375" customWidth="1"/>
    <col min="10" max="11" width="11.7109375" customWidth="1"/>
    <col min="12" max="12" width="12.5703125" customWidth="1"/>
    <col min="13" max="14" width="15.28515625" customWidth="1"/>
    <col min="15" max="18" width="11.7109375" bestFit="1" customWidth="1"/>
    <col min="19" max="19" width="11.28515625" customWidth="1"/>
    <col min="20" max="21" width="11.7109375" customWidth="1"/>
    <col min="22" max="23" width="12.85546875" bestFit="1" customWidth="1"/>
  </cols>
  <sheetData>
    <row r="1" spans="1:26" ht="15.75" x14ac:dyDescent="0.25">
      <c r="A1" s="293" t="s">
        <v>62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</row>
    <row r="2" spans="1:26" x14ac:dyDescent="0.25">
      <c r="A2" s="294" t="s">
        <v>63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</row>
    <row r="3" spans="1:26" x14ac:dyDescent="0.25">
      <c r="A3" s="294" t="str">
        <f>'5.1-RESUMO'!A7:C7</f>
        <v>DEPARTAMENTO DE HABITAÇÃO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</row>
    <row r="4" spans="1:26" x14ac:dyDescent="0.25">
      <c r="B4" s="305"/>
      <c r="C4" s="305"/>
      <c r="D4" s="305"/>
      <c r="E4" s="305"/>
      <c r="F4" s="305"/>
      <c r="G4" s="305"/>
      <c r="H4" s="305"/>
      <c r="I4" s="30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1:26" x14ac:dyDescent="0.25">
      <c r="A5" s="294" t="s">
        <v>163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</row>
    <row r="6" spans="1:26" x14ac:dyDescent="0.25">
      <c r="B6" s="305"/>
      <c r="C6" s="305"/>
      <c r="D6" s="305"/>
      <c r="E6" s="305"/>
      <c r="F6" s="305"/>
      <c r="G6" s="305"/>
      <c r="H6" s="305"/>
      <c r="I6" s="305"/>
      <c r="J6" s="35"/>
      <c r="K6" s="35"/>
      <c r="L6" s="35"/>
      <c r="M6" s="35"/>
      <c r="N6" s="35"/>
      <c r="O6" s="36"/>
      <c r="P6" s="35"/>
      <c r="Q6" s="35"/>
      <c r="R6" s="35"/>
      <c r="S6" s="35"/>
      <c r="T6" s="35"/>
      <c r="U6" s="35"/>
    </row>
    <row r="7" spans="1:26" ht="15.75" x14ac:dyDescent="0.25">
      <c r="A7" s="334" t="s">
        <v>310</v>
      </c>
      <c r="B7" s="293"/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</row>
    <row r="8" spans="1:26" ht="15.75" x14ac:dyDescent="0.25">
      <c r="A8" s="334" t="s">
        <v>311</v>
      </c>
      <c r="B8" s="293"/>
      <c r="C8" s="293"/>
      <c r="D8" s="29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93"/>
      <c r="T8" s="293"/>
      <c r="U8" s="293"/>
      <c r="V8" s="293"/>
      <c r="W8" s="293"/>
    </row>
    <row r="9" spans="1:26" x14ac:dyDescent="0.25">
      <c r="B9" s="304"/>
      <c r="C9" s="304"/>
      <c r="D9" s="304"/>
      <c r="E9" s="304"/>
      <c r="F9" s="304"/>
      <c r="G9" s="304"/>
      <c r="H9" s="304"/>
      <c r="I9" s="304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</row>
    <row r="10" spans="1:26" x14ac:dyDescent="0.25">
      <c r="A10" s="5" t="s">
        <v>67</v>
      </c>
      <c r="B10" s="47"/>
      <c r="C10" s="47"/>
      <c r="D10" s="47"/>
      <c r="E10" s="47"/>
      <c r="F10" s="47"/>
      <c r="G10" s="47"/>
      <c r="H10" s="47"/>
      <c r="I10" s="47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</row>
    <row r="11" spans="1:26" ht="15.75" thickBot="1" x14ac:dyDescent="0.3">
      <c r="B11" s="48"/>
      <c r="C11" s="48"/>
      <c r="D11" s="48"/>
      <c r="E11" s="48"/>
      <c r="F11" s="48"/>
      <c r="G11" s="48"/>
      <c r="H11" s="48"/>
      <c r="I11" s="48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</row>
    <row r="12" spans="1:26" ht="51.75" thickBot="1" x14ac:dyDescent="0.3">
      <c r="A12" s="49" t="s">
        <v>68</v>
      </c>
      <c r="B12" s="50" t="s">
        <v>49</v>
      </c>
      <c r="C12" s="51" t="s">
        <v>69</v>
      </c>
      <c r="D12" s="51" t="s">
        <v>51</v>
      </c>
      <c r="E12" s="52" t="s">
        <v>50</v>
      </c>
      <c r="F12" s="53" t="s">
        <v>70</v>
      </c>
      <c r="G12" s="53" t="s">
        <v>71</v>
      </c>
      <c r="H12" s="54" t="s">
        <v>72</v>
      </c>
      <c r="I12" s="55" t="s">
        <v>73</v>
      </c>
      <c r="J12" s="51" t="s">
        <v>74</v>
      </c>
      <c r="K12" s="51" t="s">
        <v>75</v>
      </c>
      <c r="L12" s="51" t="s">
        <v>76</v>
      </c>
      <c r="M12" s="51" t="s">
        <v>77</v>
      </c>
      <c r="N12" s="51" t="s">
        <v>78</v>
      </c>
      <c r="O12" s="51" t="s">
        <v>79</v>
      </c>
      <c r="P12" s="51" t="s">
        <v>80</v>
      </c>
      <c r="Q12" s="51" t="s">
        <v>81</v>
      </c>
      <c r="R12" s="51" t="s">
        <v>82</v>
      </c>
      <c r="S12" s="51" t="s">
        <v>83</v>
      </c>
      <c r="T12" s="51" t="s">
        <v>84</v>
      </c>
      <c r="U12" s="56" t="s">
        <v>85</v>
      </c>
      <c r="V12" s="57" t="s">
        <v>86</v>
      </c>
      <c r="W12" s="57" t="s">
        <v>87</v>
      </c>
    </row>
    <row r="13" spans="1:26" ht="43.5" x14ac:dyDescent="0.25">
      <c r="A13" s="58" t="s">
        <v>54</v>
      </c>
      <c r="B13" s="59" t="s">
        <v>88</v>
      </c>
      <c r="C13" s="60" t="s">
        <v>89</v>
      </c>
      <c r="D13" s="61" t="s">
        <v>90</v>
      </c>
      <c r="E13" s="62" t="s">
        <v>91</v>
      </c>
      <c r="F13" s="62">
        <v>500.25</v>
      </c>
      <c r="G13" s="63">
        <f>F13/(1+'[3]ANÁLISE FATOR K e PREÇO VENDA'!D$9)</f>
        <v>251.73611111111111</v>
      </c>
      <c r="H13" s="63">
        <v>0.25</v>
      </c>
      <c r="I13" s="64">
        <f>SUM(J13:U13)</f>
        <v>9.5</v>
      </c>
      <c r="J13" s="60">
        <v>0.5</v>
      </c>
      <c r="K13" s="60">
        <v>0.25</v>
      </c>
      <c r="L13" s="60">
        <v>0</v>
      </c>
      <c r="M13" s="60">
        <v>0.25</v>
      </c>
      <c r="N13" s="60">
        <v>1.5</v>
      </c>
      <c r="O13" s="60">
        <v>0.75</v>
      </c>
      <c r="P13" s="60">
        <v>2</v>
      </c>
      <c r="Q13" s="60">
        <v>1.5</v>
      </c>
      <c r="R13" s="60">
        <v>0.25</v>
      </c>
      <c r="S13" s="60">
        <v>0.25</v>
      </c>
      <c r="T13" s="60">
        <v>2</v>
      </c>
      <c r="U13" s="60">
        <v>0.25</v>
      </c>
      <c r="V13" s="65">
        <f t="shared" ref="V13:V20" si="0">ROUND(G13*I13,2)</f>
        <v>2391.4899999999998</v>
      </c>
      <c r="W13" s="66">
        <f>ROUND((G13*'[2]FATOR K'!G$12)*I13,2)</f>
        <v>5022.1400000000003</v>
      </c>
      <c r="X13" s="67"/>
      <c r="Z13" s="67"/>
    </row>
    <row r="14" spans="1:26" ht="43.5" x14ac:dyDescent="0.25">
      <c r="A14" s="68" t="s">
        <v>55</v>
      </c>
      <c r="B14" s="69" t="s">
        <v>92</v>
      </c>
      <c r="C14" s="70" t="s">
        <v>89</v>
      </c>
      <c r="D14" s="71" t="s">
        <v>93</v>
      </c>
      <c r="E14" s="72" t="s">
        <v>91</v>
      </c>
      <c r="F14" s="72">
        <v>145.26</v>
      </c>
      <c r="G14" s="73">
        <f>F14/(1+'[3]ANÁLISE FATOR K e PREÇO VENDA'!D$9)</f>
        <v>73.097826086956516</v>
      </c>
      <c r="H14" s="73">
        <v>5</v>
      </c>
      <c r="I14" s="74">
        <f t="shared" ref="I14:I20" si="1">SUM(J14:U14)</f>
        <v>190</v>
      </c>
      <c r="J14" s="70">
        <v>10</v>
      </c>
      <c r="K14" s="70">
        <v>5</v>
      </c>
      <c r="L14" s="70">
        <v>0</v>
      </c>
      <c r="M14" s="70">
        <v>5</v>
      </c>
      <c r="N14" s="70">
        <v>30</v>
      </c>
      <c r="O14" s="70">
        <v>15</v>
      </c>
      <c r="P14" s="70">
        <v>40</v>
      </c>
      <c r="Q14" s="70">
        <v>30</v>
      </c>
      <c r="R14" s="70">
        <v>5</v>
      </c>
      <c r="S14" s="70">
        <v>5</v>
      </c>
      <c r="T14" s="70">
        <v>40</v>
      </c>
      <c r="U14" s="70">
        <v>5</v>
      </c>
      <c r="V14" s="75">
        <f t="shared" si="0"/>
        <v>13888.59</v>
      </c>
      <c r="W14" s="76">
        <f>ROUND((G14*'[2]FATOR K'!G$12)*I14,2)</f>
        <v>29166.03</v>
      </c>
      <c r="X14" s="67"/>
      <c r="Z14" s="67"/>
    </row>
    <row r="15" spans="1:26" ht="43.5" x14ac:dyDescent="0.25">
      <c r="A15" s="68" t="s">
        <v>56</v>
      </c>
      <c r="B15" s="69" t="s">
        <v>94</v>
      </c>
      <c r="C15" s="70" t="s">
        <v>89</v>
      </c>
      <c r="D15" s="71" t="s">
        <v>95</v>
      </c>
      <c r="E15" s="72" t="s">
        <v>91</v>
      </c>
      <c r="F15" s="72">
        <v>500.25</v>
      </c>
      <c r="G15" s="73">
        <f>F15/(1+'[3]ANÁLISE FATOR K e PREÇO VENDA'!D$9)</f>
        <v>251.73611111111111</v>
      </c>
      <c r="H15" s="73">
        <v>0.7</v>
      </c>
      <c r="I15" s="74">
        <f t="shared" si="1"/>
        <v>26.599999999999998</v>
      </c>
      <c r="J15" s="70">
        <v>1.4</v>
      </c>
      <c r="K15" s="70">
        <v>0.7</v>
      </c>
      <c r="L15" s="70">
        <v>0</v>
      </c>
      <c r="M15" s="70">
        <v>0.7</v>
      </c>
      <c r="N15" s="70">
        <v>4.1999999999999993</v>
      </c>
      <c r="O15" s="70">
        <v>2.0999999999999996</v>
      </c>
      <c r="P15" s="70">
        <v>5.6</v>
      </c>
      <c r="Q15" s="70">
        <v>4.1999999999999993</v>
      </c>
      <c r="R15" s="70">
        <v>0.7</v>
      </c>
      <c r="S15" s="70">
        <v>0.7</v>
      </c>
      <c r="T15" s="70">
        <v>5.6</v>
      </c>
      <c r="U15" s="70">
        <v>0.7</v>
      </c>
      <c r="V15" s="75">
        <f t="shared" si="0"/>
        <v>6696.18</v>
      </c>
      <c r="W15" s="76">
        <f>ROUND((G15*'[2]FATOR K'!G$12)*I15,2)</f>
        <v>14061.98</v>
      </c>
      <c r="X15" s="67"/>
      <c r="Z15" s="67"/>
    </row>
    <row r="16" spans="1:26" ht="43.5" x14ac:dyDescent="0.25">
      <c r="A16" s="68" t="s">
        <v>96</v>
      </c>
      <c r="B16" s="69" t="s">
        <v>97</v>
      </c>
      <c r="C16" s="70" t="s">
        <v>89</v>
      </c>
      <c r="D16" s="71" t="s">
        <v>98</v>
      </c>
      <c r="E16" s="72" t="s">
        <v>91</v>
      </c>
      <c r="F16" s="72">
        <v>283.79000000000002</v>
      </c>
      <c r="G16" s="73">
        <f>F16/(1+'[3]ANÁLISE FATOR K e PREÇO VENDA'!D$9)</f>
        <v>142.80897745571659</v>
      </c>
      <c r="H16" s="73">
        <v>7</v>
      </c>
      <c r="I16" s="74">
        <f t="shared" si="1"/>
        <v>266</v>
      </c>
      <c r="J16" s="70">
        <v>14</v>
      </c>
      <c r="K16" s="70">
        <v>7</v>
      </c>
      <c r="L16" s="70">
        <v>0</v>
      </c>
      <c r="M16" s="70">
        <v>7</v>
      </c>
      <c r="N16" s="70">
        <v>42</v>
      </c>
      <c r="O16" s="70">
        <v>21</v>
      </c>
      <c r="P16" s="70">
        <v>56</v>
      </c>
      <c r="Q16" s="70">
        <v>42</v>
      </c>
      <c r="R16" s="70">
        <v>7</v>
      </c>
      <c r="S16" s="70">
        <v>7</v>
      </c>
      <c r="T16" s="70">
        <v>56</v>
      </c>
      <c r="U16" s="70">
        <v>7</v>
      </c>
      <c r="V16" s="75">
        <f t="shared" si="0"/>
        <v>37987.19</v>
      </c>
      <c r="W16" s="76">
        <f>ROUND((G16*'[2]FATOR K'!G$12)*I16,2)</f>
        <v>79773.09</v>
      </c>
      <c r="X16" s="67"/>
      <c r="Z16" s="67"/>
    </row>
    <row r="17" spans="1:26" ht="43.5" x14ac:dyDescent="0.25">
      <c r="A17" s="68" t="s">
        <v>99</v>
      </c>
      <c r="B17" s="69" t="s">
        <v>100</v>
      </c>
      <c r="C17" s="70" t="s">
        <v>89</v>
      </c>
      <c r="D17" s="71" t="s">
        <v>101</v>
      </c>
      <c r="E17" s="72" t="s">
        <v>91</v>
      </c>
      <c r="F17" s="72">
        <v>179.28</v>
      </c>
      <c r="G17" s="73">
        <f>F17/(1+'[3]ANÁLISE FATOR K e PREÇO VENDA'!D$9)</f>
        <v>90.217391304347828</v>
      </c>
      <c r="H17" s="73">
        <v>7</v>
      </c>
      <c r="I17" s="74">
        <f t="shared" si="1"/>
        <v>266</v>
      </c>
      <c r="J17" s="70">
        <v>14</v>
      </c>
      <c r="K17" s="70">
        <v>7</v>
      </c>
      <c r="L17" s="70">
        <v>0</v>
      </c>
      <c r="M17" s="70">
        <v>7</v>
      </c>
      <c r="N17" s="70">
        <v>42</v>
      </c>
      <c r="O17" s="70">
        <v>21</v>
      </c>
      <c r="P17" s="70">
        <v>56</v>
      </c>
      <c r="Q17" s="70">
        <v>42</v>
      </c>
      <c r="R17" s="70">
        <v>7</v>
      </c>
      <c r="S17" s="70">
        <v>7</v>
      </c>
      <c r="T17" s="70">
        <v>56</v>
      </c>
      <c r="U17" s="70">
        <v>7</v>
      </c>
      <c r="V17" s="75">
        <f t="shared" si="0"/>
        <v>23997.83</v>
      </c>
      <c r="W17" s="76">
        <f>ROUND((G17*'[2]FATOR K'!G$12)*I17,2)</f>
        <v>50395.43</v>
      </c>
      <c r="X17" s="67"/>
      <c r="Z17" s="67"/>
    </row>
    <row r="18" spans="1:26" ht="43.5" x14ac:dyDescent="0.25">
      <c r="A18" s="68" t="s">
        <v>102</v>
      </c>
      <c r="B18" s="69" t="s">
        <v>103</v>
      </c>
      <c r="C18" s="70" t="s">
        <v>89</v>
      </c>
      <c r="D18" s="71" t="s">
        <v>104</v>
      </c>
      <c r="E18" s="72" t="s">
        <v>91</v>
      </c>
      <c r="F18" s="72">
        <v>133.18</v>
      </c>
      <c r="G18" s="73">
        <f>F18/(1+'[3]ANÁLISE FATOR K e PREÇO VENDA'!D$9)</f>
        <v>67.018921095008054</v>
      </c>
      <c r="H18" s="73">
        <v>8</v>
      </c>
      <c r="I18" s="74">
        <f t="shared" si="1"/>
        <v>304</v>
      </c>
      <c r="J18" s="70">
        <v>16</v>
      </c>
      <c r="K18" s="70">
        <v>8</v>
      </c>
      <c r="L18" s="70">
        <v>0</v>
      </c>
      <c r="M18" s="70">
        <v>8</v>
      </c>
      <c r="N18" s="70">
        <v>48</v>
      </c>
      <c r="O18" s="70">
        <v>24</v>
      </c>
      <c r="P18" s="70">
        <v>64</v>
      </c>
      <c r="Q18" s="70">
        <v>48</v>
      </c>
      <c r="R18" s="70">
        <v>8</v>
      </c>
      <c r="S18" s="70">
        <v>8</v>
      </c>
      <c r="T18" s="70">
        <v>64</v>
      </c>
      <c r="U18" s="70">
        <v>8</v>
      </c>
      <c r="V18" s="75">
        <f t="shared" si="0"/>
        <v>20373.75</v>
      </c>
      <c r="W18" s="76">
        <f>ROUND((G18*'[2]FATOR K'!G$12)*I18,2)</f>
        <v>42784.88</v>
      </c>
      <c r="X18" s="67"/>
      <c r="Z18" s="67"/>
    </row>
    <row r="19" spans="1:26" x14ac:dyDescent="0.25">
      <c r="A19" s="68" t="s">
        <v>105</v>
      </c>
      <c r="B19" s="69" t="s">
        <v>106</v>
      </c>
      <c r="C19" s="70" t="s">
        <v>89</v>
      </c>
      <c r="D19" s="71" t="s">
        <v>107</v>
      </c>
      <c r="E19" s="72" t="s">
        <v>91</v>
      </c>
      <c r="F19" s="72">
        <v>57.8</v>
      </c>
      <c r="G19" s="73">
        <f>F19/(1+'[3]ANÁLISE FATOR K e PREÇO VENDA'!D$9)</f>
        <v>29.086151368760063</v>
      </c>
      <c r="H19" s="73">
        <v>10</v>
      </c>
      <c r="I19" s="74">
        <f t="shared" si="1"/>
        <v>380</v>
      </c>
      <c r="J19" s="70">
        <v>20</v>
      </c>
      <c r="K19" s="70">
        <v>10</v>
      </c>
      <c r="L19" s="70">
        <v>0</v>
      </c>
      <c r="M19" s="70">
        <v>10</v>
      </c>
      <c r="N19" s="70">
        <v>60</v>
      </c>
      <c r="O19" s="70">
        <v>30</v>
      </c>
      <c r="P19" s="70">
        <v>80</v>
      </c>
      <c r="Q19" s="70">
        <v>60</v>
      </c>
      <c r="R19" s="70">
        <v>10</v>
      </c>
      <c r="S19" s="70">
        <v>10</v>
      </c>
      <c r="T19" s="70">
        <v>80</v>
      </c>
      <c r="U19" s="70">
        <v>10</v>
      </c>
      <c r="V19" s="75">
        <f t="shared" si="0"/>
        <v>11052.74</v>
      </c>
      <c r="W19" s="76">
        <f>ROUND((G19*'[2]FATOR K'!G$12)*I19,2)</f>
        <v>23210.75</v>
      </c>
      <c r="X19" s="67"/>
      <c r="Z19" s="67"/>
    </row>
    <row r="20" spans="1:26" ht="15.75" thickBot="1" x14ac:dyDescent="0.3">
      <c r="A20" s="77" t="s">
        <v>108</v>
      </c>
      <c r="B20" s="78" t="s">
        <v>109</v>
      </c>
      <c r="C20" s="79" t="s">
        <v>89</v>
      </c>
      <c r="D20" s="80" t="s">
        <v>110</v>
      </c>
      <c r="E20" s="81" t="s">
        <v>91</v>
      </c>
      <c r="F20" s="81">
        <v>61.94</v>
      </c>
      <c r="G20" s="82">
        <f>F20/(1+'[3]ANÁLISE FATOR K e PREÇO VENDA'!D$9)</f>
        <v>31.169484702093396</v>
      </c>
      <c r="H20" s="82">
        <v>7</v>
      </c>
      <c r="I20" s="83">
        <f t="shared" si="1"/>
        <v>266</v>
      </c>
      <c r="J20" s="79">
        <v>14</v>
      </c>
      <c r="K20" s="79">
        <v>7</v>
      </c>
      <c r="L20" s="79">
        <v>0</v>
      </c>
      <c r="M20" s="79">
        <v>7</v>
      </c>
      <c r="N20" s="79">
        <v>42</v>
      </c>
      <c r="O20" s="79">
        <v>21</v>
      </c>
      <c r="P20" s="79">
        <v>56</v>
      </c>
      <c r="Q20" s="79">
        <v>42</v>
      </c>
      <c r="R20" s="79">
        <v>7</v>
      </c>
      <c r="S20" s="79">
        <v>7</v>
      </c>
      <c r="T20" s="79">
        <v>56</v>
      </c>
      <c r="U20" s="79">
        <v>7</v>
      </c>
      <c r="V20" s="84">
        <f t="shared" si="0"/>
        <v>8291.08</v>
      </c>
      <c r="W20" s="85">
        <f>ROUND((G20*'[2]FATOR K'!G$12)*I20,2)</f>
        <v>17411.27</v>
      </c>
      <c r="X20" s="67"/>
      <c r="Z20" s="67"/>
    </row>
    <row r="21" spans="1:26" ht="15.75" thickBot="1" x14ac:dyDescent="0.3">
      <c r="A21" s="86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8" t="s">
        <v>111</v>
      </c>
      <c r="U21" s="88"/>
      <c r="V21" s="89">
        <f>SUM(V13:V20)</f>
        <v>124678.85</v>
      </c>
      <c r="W21" s="89">
        <f>SUM(W13:W20)</f>
        <v>261825.56999999998</v>
      </c>
    </row>
    <row r="22" spans="1:26" x14ac:dyDescent="0.25">
      <c r="A22" s="5" t="s">
        <v>112</v>
      </c>
    </row>
    <row r="23" spans="1:26" ht="15.75" thickBot="1" x14ac:dyDescent="0.3"/>
    <row r="24" spans="1:26" ht="51.75" thickBot="1" x14ac:dyDescent="0.3">
      <c r="A24" s="49" t="s">
        <v>68</v>
      </c>
      <c r="B24" s="50" t="s">
        <v>49</v>
      </c>
      <c r="C24" s="51" t="s">
        <v>69</v>
      </c>
      <c r="D24" s="51" t="s">
        <v>51</v>
      </c>
      <c r="E24" s="52" t="s">
        <v>50</v>
      </c>
      <c r="F24" s="53" t="s">
        <v>70</v>
      </c>
      <c r="G24" s="53" t="s">
        <v>71</v>
      </c>
      <c r="H24" s="54" t="s">
        <v>72</v>
      </c>
      <c r="I24" s="55" t="s">
        <v>73</v>
      </c>
      <c r="J24" s="51" t="s">
        <v>74</v>
      </c>
      <c r="K24" s="51" t="s">
        <v>75</v>
      </c>
      <c r="L24" s="51" t="s">
        <v>76</v>
      </c>
      <c r="M24" s="51" t="s">
        <v>77</v>
      </c>
      <c r="N24" s="51" t="s">
        <v>78</v>
      </c>
      <c r="O24" s="51" t="s">
        <v>79</v>
      </c>
      <c r="P24" s="51" t="s">
        <v>80</v>
      </c>
      <c r="Q24" s="51" t="s">
        <v>81</v>
      </c>
      <c r="R24" s="51" t="s">
        <v>82</v>
      </c>
      <c r="S24" s="51" t="s">
        <v>83</v>
      </c>
      <c r="T24" s="51" t="s">
        <v>84</v>
      </c>
      <c r="U24" s="56" t="s">
        <v>85</v>
      </c>
      <c r="V24" s="57" t="s">
        <v>86</v>
      </c>
      <c r="W24" s="57" t="s">
        <v>87</v>
      </c>
    </row>
    <row r="25" spans="1:26" ht="43.5" x14ac:dyDescent="0.25">
      <c r="A25" s="58" t="s">
        <v>57</v>
      </c>
      <c r="B25" s="59" t="s">
        <v>88</v>
      </c>
      <c r="C25" s="60" t="s">
        <v>89</v>
      </c>
      <c r="D25" s="61" t="s">
        <v>90</v>
      </c>
      <c r="E25" s="62" t="s">
        <v>91</v>
      </c>
      <c r="F25" s="62">
        <v>500.25</v>
      </c>
      <c r="G25" s="63">
        <f>F25/(1+'[3]ANÁLISE FATOR K e PREÇO VENDA'!D$9)</f>
        <v>251.73611111111111</v>
      </c>
      <c r="H25" s="63">
        <v>0.2</v>
      </c>
      <c r="I25" s="64">
        <f>SUM(J25:U25)</f>
        <v>7.8000000000000007</v>
      </c>
      <c r="J25" s="231">
        <v>0.4</v>
      </c>
      <c r="K25" s="231">
        <v>0</v>
      </c>
      <c r="L25" s="231">
        <v>1.2000000000000002</v>
      </c>
      <c r="M25" s="231">
        <v>0.4</v>
      </c>
      <c r="N25" s="231">
        <v>0.60000000000000009</v>
      </c>
      <c r="O25" s="231">
        <v>0.60000000000000009</v>
      </c>
      <c r="P25" s="231">
        <v>2</v>
      </c>
      <c r="Q25" s="231">
        <v>1.2000000000000002</v>
      </c>
      <c r="R25" s="231">
        <v>0.2</v>
      </c>
      <c r="S25" s="231">
        <v>0.2</v>
      </c>
      <c r="T25" s="231">
        <v>0.8</v>
      </c>
      <c r="U25" s="231">
        <v>0.2</v>
      </c>
      <c r="V25" s="65">
        <f t="shared" ref="V25:V32" si="2">ROUND(G25*I25,2)</f>
        <v>1963.54</v>
      </c>
      <c r="W25" s="66">
        <f>ROUND((G25*'[2]FATOR K'!G$12)*I25,2)</f>
        <v>4123.4399999999996</v>
      </c>
    </row>
    <row r="26" spans="1:26" ht="43.5" x14ac:dyDescent="0.25">
      <c r="A26" s="68" t="s">
        <v>58</v>
      </c>
      <c r="B26" s="69" t="s">
        <v>92</v>
      </c>
      <c r="C26" s="70" t="s">
        <v>89</v>
      </c>
      <c r="D26" s="71" t="s">
        <v>93</v>
      </c>
      <c r="E26" s="72" t="s">
        <v>91</v>
      </c>
      <c r="F26" s="72">
        <v>145.26</v>
      </c>
      <c r="G26" s="73">
        <f>F26/(1+'[3]ANÁLISE FATOR K e PREÇO VENDA'!D$9)</f>
        <v>73.097826086956516</v>
      </c>
      <c r="H26" s="73">
        <v>4</v>
      </c>
      <c r="I26" s="74">
        <f t="shared" ref="I26:I32" si="3">SUM(J26:U26)</f>
        <v>156</v>
      </c>
      <c r="J26" s="70">
        <v>8</v>
      </c>
      <c r="K26" s="70">
        <v>0</v>
      </c>
      <c r="L26" s="70">
        <v>24</v>
      </c>
      <c r="M26" s="70">
        <v>8</v>
      </c>
      <c r="N26" s="70">
        <v>12</v>
      </c>
      <c r="O26" s="70">
        <v>12</v>
      </c>
      <c r="P26" s="70">
        <v>40</v>
      </c>
      <c r="Q26" s="70">
        <v>24</v>
      </c>
      <c r="R26" s="70">
        <v>4</v>
      </c>
      <c r="S26" s="70">
        <v>4</v>
      </c>
      <c r="T26" s="70">
        <v>16</v>
      </c>
      <c r="U26" s="70">
        <v>4</v>
      </c>
      <c r="V26" s="75">
        <f t="shared" si="2"/>
        <v>11403.26</v>
      </c>
      <c r="W26" s="76">
        <f>ROUND((G26*'[2]FATOR K'!G$12)*I26,2)</f>
        <v>23946.85</v>
      </c>
    </row>
    <row r="27" spans="1:26" ht="43.5" x14ac:dyDescent="0.25">
      <c r="A27" s="68" t="s">
        <v>59</v>
      </c>
      <c r="B27" s="69" t="s">
        <v>94</v>
      </c>
      <c r="C27" s="70" t="s">
        <v>89</v>
      </c>
      <c r="D27" s="71" t="s">
        <v>95</v>
      </c>
      <c r="E27" s="72" t="s">
        <v>91</v>
      </c>
      <c r="F27" s="72">
        <v>500.25</v>
      </c>
      <c r="G27" s="73">
        <f>F27/(1+'[3]ANÁLISE FATOR K e PREÇO VENDA'!D$9)</f>
        <v>251.73611111111111</v>
      </c>
      <c r="H27" s="73">
        <v>0.4</v>
      </c>
      <c r="I27" s="74">
        <f t="shared" si="3"/>
        <v>15.600000000000001</v>
      </c>
      <c r="J27" s="70">
        <v>0.8</v>
      </c>
      <c r="K27" s="70">
        <v>0</v>
      </c>
      <c r="L27" s="70">
        <v>2.4000000000000004</v>
      </c>
      <c r="M27" s="70">
        <v>0.8</v>
      </c>
      <c r="N27" s="70">
        <v>1.2000000000000002</v>
      </c>
      <c r="O27" s="70">
        <v>1.2000000000000002</v>
      </c>
      <c r="P27" s="70">
        <v>4</v>
      </c>
      <c r="Q27" s="70">
        <v>2.4000000000000004</v>
      </c>
      <c r="R27" s="70">
        <v>0.4</v>
      </c>
      <c r="S27" s="70">
        <v>0.4</v>
      </c>
      <c r="T27" s="70">
        <v>1.6</v>
      </c>
      <c r="U27" s="70">
        <v>0.4</v>
      </c>
      <c r="V27" s="75">
        <f t="shared" si="2"/>
        <v>3927.08</v>
      </c>
      <c r="W27" s="76">
        <f>ROUND((G27*'[2]FATOR K'!G$12)*I27,2)</f>
        <v>8246.8799999999992</v>
      </c>
    </row>
    <row r="28" spans="1:26" ht="43.5" x14ac:dyDescent="0.25">
      <c r="A28" s="68" t="s">
        <v>113</v>
      </c>
      <c r="B28" s="69" t="s">
        <v>97</v>
      </c>
      <c r="C28" s="70" t="s">
        <v>89</v>
      </c>
      <c r="D28" s="71" t="s">
        <v>98</v>
      </c>
      <c r="E28" s="72" t="s">
        <v>91</v>
      </c>
      <c r="F28" s="72">
        <v>283.79000000000002</v>
      </c>
      <c r="G28" s="73">
        <f>F28/(1+'[3]ANÁLISE FATOR K e PREÇO VENDA'!D$9)</f>
        <v>142.80897745571659</v>
      </c>
      <c r="H28" s="73">
        <v>6</v>
      </c>
      <c r="I28" s="74">
        <f t="shared" si="3"/>
        <v>234</v>
      </c>
      <c r="J28" s="70">
        <v>12</v>
      </c>
      <c r="K28" s="70">
        <v>0</v>
      </c>
      <c r="L28" s="70">
        <v>36</v>
      </c>
      <c r="M28" s="70">
        <v>12</v>
      </c>
      <c r="N28" s="70">
        <v>18</v>
      </c>
      <c r="O28" s="70">
        <v>18</v>
      </c>
      <c r="P28" s="70">
        <v>60</v>
      </c>
      <c r="Q28" s="70">
        <v>36</v>
      </c>
      <c r="R28" s="70">
        <v>6</v>
      </c>
      <c r="S28" s="70">
        <v>6</v>
      </c>
      <c r="T28" s="70">
        <v>24</v>
      </c>
      <c r="U28" s="70">
        <v>6</v>
      </c>
      <c r="V28" s="75">
        <f t="shared" si="2"/>
        <v>33417.300000000003</v>
      </c>
      <c r="W28" s="76">
        <f>ROUND((G28*'[2]FATOR K'!G$12)*I28,2)</f>
        <v>70176.33</v>
      </c>
    </row>
    <row r="29" spans="1:26" ht="43.5" x14ac:dyDescent="0.25">
      <c r="A29" s="68" t="s">
        <v>114</v>
      </c>
      <c r="B29" s="69" t="s">
        <v>100</v>
      </c>
      <c r="C29" s="70" t="s">
        <v>89</v>
      </c>
      <c r="D29" s="71" t="s">
        <v>101</v>
      </c>
      <c r="E29" s="72" t="s">
        <v>91</v>
      </c>
      <c r="F29" s="72">
        <v>179.28</v>
      </c>
      <c r="G29" s="73">
        <f>F29/(1+'[3]ANÁLISE FATOR K e PREÇO VENDA'!D$9)</f>
        <v>90.217391304347828</v>
      </c>
      <c r="H29" s="73">
        <v>6</v>
      </c>
      <c r="I29" s="74">
        <f t="shared" si="3"/>
        <v>234</v>
      </c>
      <c r="J29" s="70">
        <v>12</v>
      </c>
      <c r="K29" s="70">
        <v>0</v>
      </c>
      <c r="L29" s="70">
        <v>36</v>
      </c>
      <c r="M29" s="70">
        <v>12</v>
      </c>
      <c r="N29" s="70">
        <v>18</v>
      </c>
      <c r="O29" s="70">
        <v>18</v>
      </c>
      <c r="P29" s="70">
        <v>60</v>
      </c>
      <c r="Q29" s="70">
        <v>36</v>
      </c>
      <c r="R29" s="70">
        <v>6</v>
      </c>
      <c r="S29" s="70">
        <v>6</v>
      </c>
      <c r="T29" s="70">
        <v>24</v>
      </c>
      <c r="U29" s="70">
        <v>6</v>
      </c>
      <c r="V29" s="75">
        <f t="shared" si="2"/>
        <v>21110.87</v>
      </c>
      <c r="W29" s="76">
        <f>ROUND((G29*'[2]FATOR K'!G$12)*I29,2)</f>
        <v>44332.83</v>
      </c>
    </row>
    <row r="30" spans="1:26" ht="43.5" x14ac:dyDescent="0.25">
      <c r="A30" s="68" t="s">
        <v>115</v>
      </c>
      <c r="B30" s="69" t="s">
        <v>103</v>
      </c>
      <c r="C30" s="70" t="s">
        <v>89</v>
      </c>
      <c r="D30" s="71" t="s">
        <v>104</v>
      </c>
      <c r="E30" s="72" t="s">
        <v>91</v>
      </c>
      <c r="F30" s="72">
        <v>133.18</v>
      </c>
      <c r="G30" s="73">
        <f>F30/(1+'[3]ANÁLISE FATOR K e PREÇO VENDA'!D$9)</f>
        <v>67.018921095008054</v>
      </c>
      <c r="H30" s="73">
        <v>7</v>
      </c>
      <c r="I30" s="74">
        <f t="shared" si="3"/>
        <v>273</v>
      </c>
      <c r="J30" s="70">
        <v>14</v>
      </c>
      <c r="K30" s="70">
        <v>0</v>
      </c>
      <c r="L30" s="70">
        <v>42</v>
      </c>
      <c r="M30" s="70">
        <v>14</v>
      </c>
      <c r="N30" s="70">
        <v>21</v>
      </c>
      <c r="O30" s="70">
        <v>21</v>
      </c>
      <c r="P30" s="70">
        <v>70</v>
      </c>
      <c r="Q30" s="70">
        <v>42</v>
      </c>
      <c r="R30" s="70">
        <v>7</v>
      </c>
      <c r="S30" s="70">
        <v>7</v>
      </c>
      <c r="T30" s="70">
        <v>28</v>
      </c>
      <c r="U30" s="70">
        <v>7</v>
      </c>
      <c r="V30" s="75">
        <f t="shared" si="2"/>
        <v>18296.169999999998</v>
      </c>
      <c r="W30" s="76">
        <f>ROUND((G30*'[2]FATOR K'!G$12)*I30,2)</f>
        <v>38421.949999999997</v>
      </c>
    </row>
    <row r="31" spans="1:26" x14ac:dyDescent="0.25">
      <c r="A31" s="68" t="s">
        <v>116</v>
      </c>
      <c r="B31" s="69" t="s">
        <v>106</v>
      </c>
      <c r="C31" s="70" t="s">
        <v>89</v>
      </c>
      <c r="D31" s="71" t="s">
        <v>107</v>
      </c>
      <c r="E31" s="72" t="s">
        <v>91</v>
      </c>
      <c r="F31" s="72">
        <v>57.8</v>
      </c>
      <c r="G31" s="73">
        <f>F31/(1+'[3]ANÁLISE FATOR K e PREÇO VENDA'!D$9)</f>
        <v>29.086151368760063</v>
      </c>
      <c r="H31" s="73">
        <v>9.4</v>
      </c>
      <c r="I31" s="74">
        <f t="shared" si="3"/>
        <v>366.59999999999997</v>
      </c>
      <c r="J31" s="70">
        <v>18.8</v>
      </c>
      <c r="K31" s="70">
        <v>0</v>
      </c>
      <c r="L31" s="70">
        <v>56.400000000000006</v>
      </c>
      <c r="M31" s="70">
        <v>18.8</v>
      </c>
      <c r="N31" s="70">
        <v>28.200000000000003</v>
      </c>
      <c r="O31" s="70">
        <v>28.200000000000003</v>
      </c>
      <c r="P31" s="70">
        <v>94</v>
      </c>
      <c r="Q31" s="70">
        <v>56.400000000000006</v>
      </c>
      <c r="R31" s="70">
        <v>9.4</v>
      </c>
      <c r="S31" s="70">
        <v>9.4</v>
      </c>
      <c r="T31" s="70">
        <v>37.6</v>
      </c>
      <c r="U31" s="70">
        <v>9.4</v>
      </c>
      <c r="V31" s="75">
        <f t="shared" si="2"/>
        <v>10662.98</v>
      </c>
      <c r="W31" s="76">
        <f>ROUND((G31*'[2]FATOR K'!G$12)*I31,2)</f>
        <v>22392.26</v>
      </c>
    </row>
    <row r="32" spans="1:26" ht="15.75" thickBot="1" x14ac:dyDescent="0.3">
      <c r="A32" s="77" t="s">
        <v>117</v>
      </c>
      <c r="B32" s="78" t="s">
        <v>109</v>
      </c>
      <c r="C32" s="79" t="s">
        <v>89</v>
      </c>
      <c r="D32" s="80" t="s">
        <v>110</v>
      </c>
      <c r="E32" s="81" t="s">
        <v>91</v>
      </c>
      <c r="F32" s="81">
        <v>61.94</v>
      </c>
      <c r="G32" s="82">
        <f>F32/(1+'[3]ANÁLISE FATOR K e PREÇO VENDA'!D$9)</f>
        <v>31.169484702093396</v>
      </c>
      <c r="H32" s="82">
        <v>5</v>
      </c>
      <c r="I32" s="83">
        <f t="shared" si="3"/>
        <v>195</v>
      </c>
      <c r="J32" s="232">
        <v>10</v>
      </c>
      <c r="K32" s="232">
        <v>0</v>
      </c>
      <c r="L32" s="232">
        <v>30</v>
      </c>
      <c r="M32" s="232">
        <v>10</v>
      </c>
      <c r="N32" s="232">
        <v>15</v>
      </c>
      <c r="O32" s="232">
        <v>15</v>
      </c>
      <c r="P32" s="232">
        <v>50</v>
      </c>
      <c r="Q32" s="232">
        <v>30</v>
      </c>
      <c r="R32" s="232">
        <v>5</v>
      </c>
      <c r="S32" s="232">
        <v>5</v>
      </c>
      <c r="T32" s="232">
        <v>20</v>
      </c>
      <c r="U32" s="232">
        <v>5</v>
      </c>
      <c r="V32" s="84">
        <f t="shared" si="2"/>
        <v>6078.05</v>
      </c>
      <c r="W32" s="85">
        <f>ROUND((G32*'[2]FATOR K'!G$12)*I32,2)</f>
        <v>12763.9</v>
      </c>
    </row>
    <row r="33" spans="1:23" ht="15.75" thickBot="1" x14ac:dyDescent="0.3">
      <c r="A33" s="86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8" t="s">
        <v>111</v>
      </c>
      <c r="U33" s="88"/>
      <c r="V33" s="89">
        <f>SUM(V25:V32)</f>
        <v>106859.25</v>
      </c>
      <c r="W33" s="89">
        <f>SUM(W25:W32)</f>
        <v>224404.44000000003</v>
      </c>
    </row>
  </sheetData>
  <mergeCells count="9">
    <mergeCell ref="A7:W7"/>
    <mergeCell ref="B9:I9"/>
    <mergeCell ref="A1:W1"/>
    <mergeCell ref="A2:W2"/>
    <mergeCell ref="A3:W3"/>
    <mergeCell ref="B4:I4"/>
    <mergeCell ref="A5:W5"/>
    <mergeCell ref="B6:I6"/>
    <mergeCell ref="A8:W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8</vt:i4>
      </vt:variant>
    </vt:vector>
  </HeadingPairs>
  <TitlesOfParts>
    <vt:vector size="18" baseType="lpstr">
      <vt:lpstr>5.1-RESUMO</vt:lpstr>
      <vt:lpstr>5.2-Projetos_Resumo</vt:lpstr>
      <vt:lpstr>5.3-Proj_Serv Preliminares</vt:lpstr>
      <vt:lpstr>5.4-Proj_Bas-Exec</vt:lpstr>
      <vt:lpstr>5.5-Parametrização_Obras</vt:lpstr>
      <vt:lpstr>EVENTOGRAMA</vt:lpstr>
      <vt:lpstr>APOIO EVENTOGRAMA</vt:lpstr>
      <vt:lpstr>ÍNDICES SINAPI IBGE</vt:lpstr>
      <vt:lpstr>Fator K</vt:lpstr>
      <vt:lpstr>Proj_Ref_SIURB</vt:lpstr>
      <vt:lpstr>'5.1-RESUMO'!Area_de_impressao</vt:lpstr>
      <vt:lpstr>'5.2-Projetos_Resumo'!Area_de_impressao</vt:lpstr>
      <vt:lpstr>'5.3-Proj_Serv Preliminares'!Area_de_impressao</vt:lpstr>
      <vt:lpstr>'5.4-Proj_Bas-Exec'!Area_de_impressao</vt:lpstr>
      <vt:lpstr>'5.5-Parametrização_Obras'!Area_de_impressao</vt:lpstr>
      <vt:lpstr>EVENTOGRAMA!Area_de_impressao</vt:lpstr>
      <vt:lpstr>'Fator K'!Area_de_impressao</vt:lpstr>
      <vt:lpstr>'ÍNDICES SINAPI IBGE'!Area_de_impressao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fscasarini</dc:creator>
  <cp:lastModifiedBy>Renata Gracio de Oliveira</cp:lastModifiedBy>
  <cp:lastPrinted>2026-03-05T13:59:58Z</cp:lastPrinted>
  <dcterms:created xsi:type="dcterms:W3CDTF">2025-08-26T13:02:19Z</dcterms:created>
  <dcterms:modified xsi:type="dcterms:W3CDTF">2026-03-05T19:06:41Z</dcterms:modified>
</cp:coreProperties>
</file>