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defaultThemeVersion="124226"/>
  <mc:AlternateContent xmlns:mc="http://schemas.openxmlformats.org/markup-compatibility/2006">
    <mc:Choice Requires="x15">
      <x15ac:absPath xmlns:x15ac="http://schemas.microsoft.com/office/spreadsheetml/2010/11/ac" url="E:\Zona Azul\"/>
    </mc:Choice>
  </mc:AlternateContent>
  <xr:revisionPtr revIDLastSave="0" documentId="13_ncr:1_{18556DD3-8AF2-470A-BFF9-A05D47530C24}" xr6:coauthVersionLast="47" xr6:coauthVersionMax="47" xr10:uidLastSave="{00000000-0000-0000-0000-000000000000}"/>
  <workbookProtection lockStructure="1"/>
  <bookViews>
    <workbookView xWindow="-120" yWindow="-120" windowWidth="20730" windowHeight="11040" tabRatio="858" firstSheet="3" activeTab="8" xr2:uid="{00000000-000D-0000-FFFF-FFFF00000000}"/>
  </bookViews>
  <sheets>
    <sheet name="I - Capa" sheetId="8" r:id="rId1"/>
    <sheet name="II - Premissas" sheetId="9" r:id="rId2"/>
    <sheet name="III - Instruções" sheetId="11" r:id="rId3"/>
    <sheet name="IV - Insumos e Mão de Obra" sheetId="1" r:id="rId4"/>
    <sheet name="V - Proposta - Outorga" sheetId="5" r:id="rId5"/>
    <sheet name="VI - DRE - Fluxo de Caixa" sheetId="4" r:id="rId6"/>
    <sheet name="VII - WACC" sheetId="6" r:id="rId7"/>
    <sheet name="VIII - Encargos Sociais" sheetId="7" r:id="rId8"/>
    <sheet name="IX - Arrecadação" sheetId="12" r:id="rId9"/>
  </sheets>
  <externalReferences>
    <externalReference r:id="rId10"/>
  </externalReferences>
  <definedNames>
    <definedName name="_xlnm.Print_Area" localSheetId="4">'V - Proposta - Outorga'!$A$1:$K$16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7" i="1" l="1"/>
  <c r="G48" i="1"/>
  <c r="G46" i="1"/>
  <c r="G44" i="1"/>
  <c r="D20" i="9"/>
  <c r="G87" i="1"/>
  <c r="F88" i="1"/>
  <c r="G88" i="1" s="1"/>
  <c r="F86" i="1"/>
  <c r="G86" i="1" s="1"/>
  <c r="G85" i="1"/>
  <c r="F81" i="1"/>
  <c r="F83" i="1"/>
  <c r="G24" i="1" l="1"/>
  <c r="F92" i="4"/>
  <c r="G10" i="1" l="1"/>
  <c r="D22" i="9" l="1"/>
  <c r="H10" i="4" s="1"/>
  <c r="D18" i="9"/>
  <c r="H6" i="4" s="1"/>
  <c r="F94" i="4"/>
  <c r="F93" i="4"/>
  <c r="F90" i="4" s="1"/>
  <c r="L81" i="4"/>
  <c r="K81" i="4"/>
  <c r="J81" i="4"/>
  <c r="I81" i="4"/>
  <c r="L23" i="4"/>
  <c r="K23" i="4"/>
  <c r="J23" i="4"/>
  <c r="I23" i="4"/>
  <c r="H23" i="4"/>
  <c r="H2" i="4"/>
  <c r="I2" i="4" s="1"/>
  <c r="E19" i="12"/>
  <c r="F19" i="12" s="1"/>
  <c r="G19" i="12" s="1"/>
  <c r="H19" i="12" s="1"/>
  <c r="I19" i="12" s="1"/>
  <c r="G8" i="12"/>
  <c r="D30" i="9"/>
  <c r="H8" i="4"/>
  <c r="G51" i="6"/>
  <c r="G49" i="6"/>
  <c r="G48" i="6"/>
  <c r="B48" i="6"/>
  <c r="G47" i="6"/>
  <c r="B47" i="6"/>
  <c r="G46" i="6"/>
  <c r="B46" i="6"/>
  <c r="G45" i="6"/>
  <c r="G50" i="6" s="1"/>
  <c r="G52" i="6" s="1"/>
  <c r="D70" i="6" s="1"/>
  <c r="B45" i="6"/>
  <c r="H44" i="6"/>
  <c r="B43" i="6"/>
  <c r="G42" i="6"/>
  <c r="B42" i="6"/>
  <c r="G33" i="6"/>
  <c r="D64" i="6" s="1"/>
  <c r="B33" i="6"/>
  <c r="G32" i="6"/>
  <c r="D71" i="6" s="1"/>
  <c r="B32" i="6"/>
  <c r="G30" i="6"/>
  <c r="D68" i="6" s="1"/>
  <c r="G29" i="6"/>
  <c r="D67" i="6" s="1"/>
  <c r="G28" i="6"/>
  <c r="B28" i="6"/>
  <c r="G26" i="6"/>
  <c r="B26" i="6"/>
  <c r="G25" i="6"/>
  <c r="D60" i="6" s="1"/>
  <c r="B25" i="6"/>
  <c r="D19" i="6"/>
  <c r="B49" i="6" s="1"/>
  <c r="G27" i="6" l="1"/>
  <c r="D24" i="9"/>
  <c r="H12" i="4" s="1"/>
  <c r="J8" i="12"/>
  <c r="K8" i="12" s="1"/>
  <c r="E13" i="12" s="1"/>
  <c r="J19" i="12"/>
  <c r="K19" i="12" s="1"/>
  <c r="L19" i="12" s="1"/>
  <c r="M19" i="12" s="1"/>
  <c r="E20" i="12" s="1"/>
  <c r="K10" i="4"/>
  <c r="J10" i="4"/>
  <c r="L10" i="4"/>
  <c r="I10" i="4"/>
  <c r="I1" i="4"/>
  <c r="J2" i="4"/>
  <c r="D63" i="6"/>
  <c r="D62" i="6"/>
  <c r="D20" i="6"/>
  <c r="G31" i="6"/>
  <c r="G34" i="6" s="1"/>
  <c r="E14" i="12" l="1"/>
  <c r="F13" i="12"/>
  <c r="I8" i="4"/>
  <c r="I6" i="4"/>
  <c r="K2" i="4"/>
  <c r="J1" i="4"/>
  <c r="D61" i="6"/>
  <c r="D65" i="6" s="1"/>
  <c r="D66" i="6" s="1"/>
  <c r="D69" i="6" s="1"/>
  <c r="D72" i="6" s="1"/>
  <c r="D73" i="6" s="1"/>
  <c r="G38" i="6"/>
  <c r="G44" i="6" s="1"/>
  <c r="G56" i="6" s="1"/>
  <c r="G57" i="6" s="1"/>
  <c r="B51" i="6"/>
  <c r="D21" i="6"/>
  <c r="D22" i="6" s="1"/>
  <c r="H14" i="4" l="1"/>
  <c r="G13" i="12"/>
  <c r="F14" i="12"/>
  <c r="J6" i="4"/>
  <c r="J8" i="4"/>
  <c r="K1" i="4"/>
  <c r="L2" i="4"/>
  <c r="G70" i="1"/>
  <c r="G49" i="1"/>
  <c r="G25" i="1"/>
  <c r="G11" i="1"/>
  <c r="M7" i="7"/>
  <c r="I14" i="4" l="1"/>
  <c r="H13" i="12"/>
  <c r="G14" i="12"/>
  <c r="K6" i="4"/>
  <c r="L1" i="4"/>
  <c r="K8" i="4"/>
  <c r="J15" i="1"/>
  <c r="J14" i="4" l="1"/>
  <c r="I13" i="12"/>
  <c r="H14" i="12"/>
  <c r="L8" i="4"/>
  <c r="L6" i="4"/>
  <c r="G80" i="1"/>
  <c r="G93" i="1"/>
  <c r="G92" i="1"/>
  <c r="G91" i="1"/>
  <c r="G90" i="1"/>
  <c r="G76" i="1"/>
  <c r="G75" i="1"/>
  <c r="G74" i="1"/>
  <c r="G73" i="1"/>
  <c r="G72" i="1"/>
  <c r="G71" i="1"/>
  <c r="G54" i="1"/>
  <c r="G53" i="1"/>
  <c r="G52" i="1"/>
  <c r="G51" i="1"/>
  <c r="G50" i="1"/>
  <c r="G30" i="1"/>
  <c r="G29" i="1"/>
  <c r="G28" i="1"/>
  <c r="G27" i="1"/>
  <c r="G26" i="1"/>
  <c r="G14" i="1"/>
  <c r="G62" i="1"/>
  <c r="G89" i="1"/>
  <c r="G84" i="1"/>
  <c r="G82" i="1"/>
  <c r="I14" i="12" l="1"/>
  <c r="L14" i="4" s="1"/>
  <c r="K14" i="4"/>
  <c r="G61" i="1"/>
  <c r="G63" i="1" l="1"/>
  <c r="G64" i="1"/>
  <c r="G65" i="1"/>
  <c r="G66" i="1"/>
  <c r="G67" i="1"/>
  <c r="G68" i="1"/>
  <c r="G69" i="1"/>
  <c r="G45" i="1"/>
  <c r="G43" i="1"/>
  <c r="G42" i="1"/>
  <c r="G41" i="1"/>
  <c r="G40" i="1"/>
  <c r="G39" i="1"/>
  <c r="G38" i="1"/>
  <c r="G37" i="1"/>
  <c r="G8" i="1"/>
  <c r="G9" i="1"/>
  <c r="L13" i="1"/>
  <c r="L15" i="1" s="1"/>
  <c r="G12" i="1"/>
  <c r="G13" i="1"/>
  <c r="G15" i="1"/>
  <c r="M13" i="1" s="1"/>
  <c r="M15" i="1" s="1"/>
  <c r="G16" i="1"/>
  <c r="G17" i="1"/>
  <c r="G18" i="1"/>
  <c r="G19" i="1"/>
  <c r="G21" i="1"/>
  <c r="G22" i="1"/>
  <c r="G23" i="1"/>
  <c r="G58" i="1" l="1"/>
  <c r="H33" i="4" s="1"/>
  <c r="N13" i="1"/>
  <c r="N15" i="1" s="1"/>
  <c r="K13" i="1"/>
  <c r="K15" i="1" s="1"/>
  <c r="O13" i="1"/>
  <c r="O15" i="1" s="1"/>
  <c r="G34" i="1"/>
  <c r="H34" i="4" s="1"/>
  <c r="I34" i="4" s="1"/>
  <c r="J34" i="4" s="1"/>
  <c r="K34" i="4" s="1"/>
  <c r="L34" i="4" s="1"/>
  <c r="G6" i="1"/>
  <c r="H42" i="4" l="1"/>
  <c r="I42" i="4" s="1"/>
  <c r="H32" i="4"/>
  <c r="I33" i="4"/>
  <c r="J8" i="1"/>
  <c r="H75" i="4" s="1"/>
  <c r="H40" i="4" l="1"/>
  <c r="J33" i="4"/>
  <c r="I32" i="4"/>
  <c r="E15" i="12"/>
  <c r="F91" i="4"/>
  <c r="G79" i="4"/>
  <c r="H81" i="4"/>
  <c r="I40" i="4"/>
  <c r="J42" i="4"/>
  <c r="L41" i="7"/>
  <c r="I28" i="7"/>
  <c r="M28" i="7" s="1"/>
  <c r="E27" i="7"/>
  <c r="E23" i="7"/>
  <c r="E24" i="7" s="1"/>
  <c r="K22" i="7"/>
  <c r="I21" i="7"/>
  <c r="M17" i="7"/>
  <c r="E17" i="7"/>
  <c r="D17" i="7"/>
  <c r="I16" i="7"/>
  <c r="M16" i="7" s="1"/>
  <c r="I15" i="7"/>
  <c r="I22" i="7" s="1"/>
  <c r="I14" i="7"/>
  <c r="M8" i="7"/>
  <c r="K33" i="4" l="1"/>
  <c r="J32" i="4"/>
  <c r="K42" i="4"/>
  <c r="J40" i="4"/>
  <c r="M22" i="7"/>
  <c r="M9" i="7"/>
  <c r="M15" i="7"/>
  <c r="M18" i="7" s="1"/>
  <c r="D22" i="7" s="1"/>
  <c r="L33" i="4" l="1"/>
  <c r="L32" i="4" s="1"/>
  <c r="K32" i="4"/>
  <c r="L42" i="4"/>
  <c r="K40" i="4"/>
  <c r="D28" i="7"/>
  <c r="D25" i="7"/>
  <c r="D23" i="7"/>
  <c r="E38" i="7"/>
  <c r="E29" i="7"/>
  <c r="E28" i="7"/>
  <c r="E26" i="7"/>
  <c r="D24" i="7"/>
  <c r="D27" i="7"/>
  <c r="D29" i="7"/>
  <c r="D26" i="7"/>
  <c r="E37" i="7"/>
  <c r="L40" i="4" l="1"/>
  <c r="D41" i="7"/>
  <c r="E31" i="7"/>
  <c r="D31" i="7"/>
  <c r="D50" i="7" s="1"/>
  <c r="E50" i="7"/>
  <c r="E39" i="7"/>
  <c r="D40" i="7" l="1"/>
  <c r="D47" i="7" s="1"/>
  <c r="D52" i="7" s="1"/>
  <c r="E41" i="7"/>
  <c r="E47" i="7" s="1"/>
  <c r="E52" i="7" s="1"/>
  <c r="G83" i="1" l="1"/>
  <c r="G81" i="1"/>
  <c r="G79" i="1" l="1"/>
  <c r="H30" i="4" s="1"/>
  <c r="H28" i="4" l="1"/>
  <c r="I30" i="4"/>
  <c r="I12" i="4"/>
  <c r="J12" i="4" s="1"/>
  <c r="K12" i="4" s="1"/>
  <c r="L12" i="4" s="1"/>
  <c r="J30" i="4" l="1"/>
  <c r="I28" i="4"/>
  <c r="H48" i="4"/>
  <c r="H16" i="4"/>
  <c r="H24" i="4" s="1"/>
  <c r="H49" i="4"/>
  <c r="I49" i="4" s="1"/>
  <c r="J49" i="4" s="1"/>
  <c r="K49" i="4" s="1"/>
  <c r="L49" i="4" s="1"/>
  <c r="I16" i="4"/>
  <c r="I24" i="4" s="1"/>
  <c r="J28" i="4" l="1"/>
  <c r="K30" i="4"/>
  <c r="H50" i="4"/>
  <c r="I50" i="4" s="1"/>
  <c r="J50" i="4" s="1"/>
  <c r="K50" i="4" s="1"/>
  <c r="L50" i="4" s="1"/>
  <c r="I20" i="4"/>
  <c r="I22" i="4"/>
  <c r="I21" i="4"/>
  <c r="J16" i="4"/>
  <c r="J24" i="4" s="1"/>
  <c r="I48" i="4"/>
  <c r="H21" i="4"/>
  <c r="H20" i="4"/>
  <c r="H22" i="4"/>
  <c r="L30" i="4" l="1"/>
  <c r="L28" i="4" s="1"/>
  <c r="K28" i="4"/>
  <c r="H46" i="4"/>
  <c r="L16" i="4"/>
  <c r="L24" i="4" s="1"/>
  <c r="J20" i="4"/>
  <c r="J22" i="4"/>
  <c r="J21" i="4"/>
  <c r="K16" i="4"/>
  <c r="K24" i="4" s="1"/>
  <c r="H26" i="4"/>
  <c r="H36" i="4" s="1"/>
  <c r="I46" i="4"/>
  <c r="J48" i="4"/>
  <c r="I26" i="4"/>
  <c r="I36" i="4" s="1"/>
  <c r="I38" i="4" l="1"/>
  <c r="I44" i="4"/>
  <c r="I52" i="4" s="1"/>
  <c r="J26" i="4"/>
  <c r="J36" i="4" s="1"/>
  <c r="J46" i="4"/>
  <c r="K48" i="4"/>
  <c r="K22" i="4"/>
  <c r="K20" i="4"/>
  <c r="K21" i="4"/>
  <c r="L22" i="4"/>
  <c r="L21" i="4"/>
  <c r="L20" i="4"/>
  <c r="H38" i="4"/>
  <c r="H44" i="4"/>
  <c r="H52" i="4" s="1"/>
  <c r="J44" i="4" l="1"/>
  <c r="J52" i="4" s="1"/>
  <c r="J38" i="4"/>
  <c r="I57" i="4"/>
  <c r="I56" i="4"/>
  <c r="I58" i="4"/>
  <c r="K26" i="4"/>
  <c r="K36" i="4" s="1"/>
  <c r="H58" i="4"/>
  <c r="H57" i="4"/>
  <c r="H56" i="4"/>
  <c r="L26" i="4"/>
  <c r="L36" i="4" s="1"/>
  <c r="K46" i="4"/>
  <c r="L48" i="4"/>
  <c r="L46" i="4" l="1"/>
  <c r="L38" i="4"/>
  <c r="L44" i="4"/>
  <c r="I54" i="4"/>
  <c r="I60" i="4" s="1"/>
  <c r="K38" i="4"/>
  <c r="K44" i="4"/>
  <c r="K52" i="4" s="1"/>
  <c r="H54" i="4"/>
  <c r="H60" i="4" s="1"/>
  <c r="J56" i="4"/>
  <c r="J58" i="4"/>
  <c r="J57" i="4"/>
  <c r="L52" i="4" l="1"/>
  <c r="L58" i="4" s="1"/>
  <c r="H62" i="4"/>
  <c r="H69" i="4"/>
  <c r="J54" i="4"/>
  <c r="J60" i="4" s="1"/>
  <c r="K58" i="4"/>
  <c r="K56" i="4"/>
  <c r="K57" i="4"/>
  <c r="I62" i="4"/>
  <c r="I69" i="4"/>
  <c r="L56" i="4" l="1"/>
  <c r="L57" i="4"/>
  <c r="H77" i="4"/>
  <c r="H79" i="4" s="1"/>
  <c r="H71" i="4"/>
  <c r="I77" i="4"/>
  <c r="I71" i="4"/>
  <c r="J69" i="4"/>
  <c r="J62" i="4"/>
  <c r="K54" i="4"/>
  <c r="K60" i="4" s="1"/>
  <c r="I79" i="4" l="1"/>
  <c r="L54" i="4"/>
  <c r="L60" i="4" s="1"/>
  <c r="L69" i="4" s="1"/>
  <c r="K62" i="4"/>
  <c r="K69" i="4"/>
  <c r="J71" i="4"/>
  <c r="J77" i="4"/>
  <c r="L71" i="4" l="1"/>
  <c r="L77" i="4"/>
  <c r="L62" i="4"/>
  <c r="J79" i="4"/>
  <c r="K77" i="4"/>
  <c r="K71" i="4"/>
  <c r="K79" i="4" l="1"/>
  <c r="L79" i="4" s="1"/>
  <c r="F88" i="4" s="1"/>
  <c r="F89" i="4" l="1"/>
</calcChain>
</file>

<file path=xl/sharedStrings.xml><?xml version="1.0" encoding="utf-8"?>
<sst xmlns="http://schemas.openxmlformats.org/spreadsheetml/2006/main" count="726" uniqueCount="454">
  <si>
    <t>Item</t>
  </si>
  <si>
    <t>Unidade</t>
  </si>
  <si>
    <t>Quantidade</t>
  </si>
  <si>
    <t>Valor Unitário</t>
  </si>
  <si>
    <t>Valor Total</t>
  </si>
  <si>
    <t>Uniformes</t>
  </si>
  <si>
    <t>Custo Fixo</t>
  </si>
  <si>
    <t>Custo Variável</t>
  </si>
  <si>
    <t>Histórico</t>
  </si>
  <si>
    <t>Ano 01</t>
  </si>
  <si>
    <t>Ano 02</t>
  </si>
  <si>
    <t>Ano 03</t>
  </si>
  <si>
    <t>Meses</t>
  </si>
  <si>
    <t>Receita Bruta</t>
  </si>
  <si>
    <t>Receita Prestação de Serviços</t>
  </si>
  <si>
    <t>Receita Líquida</t>
  </si>
  <si>
    <t>Taxa de Lucratividade sobre a Receita</t>
  </si>
  <si>
    <t>% OFERTADO SOBRE O FATURAMENTO</t>
  </si>
  <si>
    <t>Entradas - Fluxo Operacional</t>
  </si>
  <si>
    <t>Resultado Líquido Contábil da Planilha</t>
  </si>
  <si>
    <t>Saídas Fluxo Operacional</t>
  </si>
  <si>
    <t>Investimento Inicial</t>
  </si>
  <si>
    <t>Fluxo de Caixa = (Entradas - Saídas)</t>
  </si>
  <si>
    <t>Saldo Fluxo de Caixa</t>
  </si>
  <si>
    <t>INSS</t>
  </si>
  <si>
    <t>FGTS</t>
  </si>
  <si>
    <t>SEBRAE</t>
  </si>
  <si>
    <t>Unit.</t>
  </si>
  <si>
    <t>Mês</t>
  </si>
  <si>
    <t>Serviço</t>
  </si>
  <si>
    <t>Premissas para o cálculo:</t>
  </si>
  <si>
    <t>Descrição</t>
  </si>
  <si>
    <t>Base</t>
  </si>
  <si>
    <t>Índice</t>
  </si>
  <si>
    <t>Und.</t>
  </si>
  <si>
    <t>EMBI+Risco-Brasil</t>
  </si>
  <si>
    <t>pontos</t>
  </si>
  <si>
    <t>a.a.</t>
  </si>
  <si>
    <t>http://ipeadata.gov.br/ExibeSerie.aspx?serid=40940&amp;module=Mhttp://ipeadata.gov.br/ExibeSerie.aspx?serid=40940&amp;module=M</t>
  </si>
  <si>
    <t>SELIC</t>
  </si>
  <si>
    <t>https://www.bcb.gov.br/controleinflacao/historicotaxasjuros</t>
  </si>
  <si>
    <t>Taxa do Banco Central do Brasil</t>
  </si>
  <si>
    <t>https://www.bcb.gov.br/acessoinformacao/legado?url=https:%2F%2Fwww4.bcb.gov.br%2Fpec%2Ftaxas%2Fport%2Fptaxnpesq.asp%3Fid%3Dtxcotacao</t>
  </si>
  <si>
    <t>Brazilian 10Y - Government Bond</t>
  </si>
  <si>
    <t>https://tradingeconomics.com/brazil/government-bond-yield</t>
  </si>
  <si>
    <t>US 10Y - Government Bond</t>
  </si>
  <si>
    <t>https://www.bloomberg.com/quote/USGG10YR:IND</t>
  </si>
  <si>
    <t>Taxa do Banco Central - USA</t>
  </si>
  <si>
    <t>https://www1.folha.uol.com.br/mercado/2019/05/banco-central-dos-eua-mantem-juros-entre-225-e-25-ao-ano.shtml</t>
  </si>
  <si>
    <t>Inflação - EUA</t>
  </si>
  <si>
    <t>https://pt.inflation.eu/taxas-de-inflacao/estados-unidos/inflacao-historica/ipc-inflacao-estados-unidos.aspx</t>
  </si>
  <si>
    <t>Inflação - BRA</t>
  </si>
  <si>
    <t>https://pt.global-rates.com/estatisticas-economicas/inflacao/indice-de-precos-ao-consumidor/ipc/brasil.aspx</t>
  </si>
  <si>
    <t>BNDES (Custo Financeiro)</t>
  </si>
  <si>
    <t>https://www.bndes.gov.br/wps/portal/site/home/financiamento/guia/taxa-de-juros</t>
  </si>
  <si>
    <t>Beta não alavancado</t>
  </si>
  <si>
    <t>http://pages.stern.nyu.edu/~adamodar/</t>
  </si>
  <si>
    <t>CSLL e IR</t>
  </si>
  <si>
    <t>Remuneração básica BNDES (Taxa do BNDES)</t>
  </si>
  <si>
    <t>Taxa de intermediação financeira (Taxa do Agente)</t>
  </si>
  <si>
    <t>Remuneração instituição credenciada</t>
  </si>
  <si>
    <t>Benefício tributário</t>
  </si>
  <si>
    <t>Capital Próprio</t>
  </si>
  <si>
    <t>Capital de Terceiro</t>
  </si>
  <si>
    <t>A. Cálculo:</t>
  </si>
  <si>
    <t>Fonte</t>
  </si>
  <si>
    <t>Sigla</t>
  </si>
  <si>
    <t>Como encontrá-lo</t>
  </si>
  <si>
    <t>Valor</t>
  </si>
  <si>
    <t>U.S. Tr Bond - 10Y</t>
  </si>
  <si>
    <t>Rf</t>
  </si>
  <si>
    <t>Taxa livre de risco
(Risk free)</t>
  </si>
  <si>
    <t>É o retorno que o investidor pode esperar de um investimento sem risco. O prêmio de risco de mercado é uma função da oferta e demanda. Quando em equilíbrio, não há necessidade de pagar um prêmio, isto é, a oferta está alinhada à demanda. Se a demanda aumenta e a oferta não a supre, o preço daquele ativo sobre. A diferença de preço é o prêmio. O prêmio de risco de mercado é a diferença de preço em relação ao risco de equilíbrio</t>
  </si>
  <si>
    <t>Defina o risco de equilíbrio ou a taxa livre de risco. O investimento com menor risco são os títulos da dívida do governo dos EUA, isto é, há uma chance muito remota de que o governo americano dê um calote. Por essa razão, a taxa de retorno desses títulos é sempre usada como uma aproximação para a taxa de retorno livre de risco. Outra aproximação é a LIBOR ("London interbank offer rate" - Taxa interbancária de Londres).
Determine a taxa livre de risco. Novamente, como os títulos possuem a confiança e o crédito do governo dos EUA, usaremos os títulos do governo de 10 anos como uma aproximação para a taxa livre de risco. Essa é a taxa básica.</t>
  </si>
  <si>
    <t>a.a</t>
  </si>
  <si>
    <t>Rm</t>
  </si>
  <si>
    <t>Risco de mercado</t>
  </si>
  <si>
    <t>Utilizar a taxa SELIC</t>
  </si>
  <si>
    <t>S&amp;P 500
(30 anos)</t>
  </si>
  <si>
    <t>-</t>
  </si>
  <si>
    <t>(Rm-Rf)</t>
  </si>
  <si>
    <t>Prêmio de risco de mercado (Rm-Rf)</t>
  </si>
  <si>
    <t>Refere-se a um adicional sobre o rendimento em um ativo livre de risco que é requerido por investidores daquele mercado e obtém-se a partir de uma série histórica longa de rendimentos médios anuais históricos de um portfólio de mercado de referência.</t>
  </si>
  <si>
    <t>Determine a taxa de retorno de mercado.
Encontre o prêmio de risco de mercado. Encontre a diferença entre a taxa média de retorno de mercado e a taxa livre de risco.
Diferença entre a taxa SELIC e a taxa livre de risco (U.S. Tr.Bond).</t>
  </si>
  <si>
    <t>Website Damodaran
Online</t>
  </si>
  <si>
    <t>Bu</t>
  </si>
  <si>
    <t>Reflete a sensibilidade, volatilidade do investimento em relação aos movimentos do mercado como um todo e pode ser definido como o grau de incerteza em relação à projeção do retorno sobre o ativo inerente ao negócio que não pode ser eliminado pela diversificação.</t>
  </si>
  <si>
    <t>Adotando como referência a base de dados de Aswath Damodaran que contempla empresas internacionais de transporte público, identificou-se os respectivos Betas, o perfil de endividamento e os impostos cobrados em seus respectivos países.</t>
  </si>
  <si>
    <t>Balanço Social Empresas de Ônibus</t>
  </si>
  <si>
    <t>E</t>
  </si>
  <si>
    <t>Capital próprio (Equity)</t>
  </si>
  <si>
    <t>Considerando o equilíbrio entre capital próprio (Equity, E) e capital de terceiros (Dívida, D), estima-se que a estrutura de capital alvo da Concessão contempla estrutura alavancada. Esta estrutura representa a média de alavancagem da vida do projeto tendo em vista o horizonte de 20 anos da Concessão.</t>
  </si>
  <si>
    <t>D</t>
  </si>
  <si>
    <t>Capital de terceiros</t>
  </si>
  <si>
    <t>Empresa (D=25%)</t>
  </si>
  <si>
    <t>D/E</t>
  </si>
  <si>
    <t>Estrutura de capital</t>
  </si>
  <si>
    <t>Website Damodaran Online</t>
  </si>
  <si>
    <t>T</t>
  </si>
  <si>
    <t>Impostos</t>
  </si>
  <si>
    <t>Corresponde a soma da CSLL (Contribuição Social sobre Lucro Líquido, equivalente a 9% a.a., o IR de 15% a.a. e o Adicional de IR, de 10% a.a.</t>
  </si>
  <si>
    <t>IPEADATA</t>
  </si>
  <si>
    <t>Rb</t>
  </si>
  <si>
    <t>Risco país</t>
  </si>
  <si>
    <t>Conceito que considera a possibilidade de alterações no cenário econômico-financeiro de determinado país com reflexos nos ativos de empresas estrangeiras a partir dos investimentos realizados. Esse indicador representa o risco percebido pela comunidade internacional de investidores a investimentos feitos no Brasil.</t>
  </si>
  <si>
    <t>Média  anual do índice EMBI+- Emerging Markets Bond. Corresponde ao spread entre os títulos da dívida externa brasileira e os títulos da dívida pública americana.</t>
  </si>
  <si>
    <t>BL</t>
  </si>
  <si>
    <t>Beta Alavancado (BL)</t>
  </si>
  <si>
    <t>Custo de capital próprio nominal (Re)</t>
  </si>
  <si>
    <t>FED</t>
  </si>
  <si>
    <t>Inflação US</t>
  </si>
  <si>
    <t>Considera-se a taxa de inflação de longo prazo projetada dos Estados Unidos¹ e a projeção de inflação de longo prazo do Banco Central do Brasil (BACEN) na data de outubro de 2017 para obtenção do custo de capital próprio em moeda nacional.</t>
  </si>
  <si>
    <t>BACEN</t>
  </si>
  <si>
    <t>Inflação Br</t>
  </si>
  <si>
    <t>Re (Br, nominal)</t>
  </si>
  <si>
    <t>BNDES</t>
  </si>
  <si>
    <t>TJLP</t>
  </si>
  <si>
    <t>FINAME</t>
  </si>
  <si>
    <t>70% TJLP (7% aa) + 30% TJ462 (TJLP + 1%)</t>
  </si>
  <si>
    <t>Remuneração básica BNDES</t>
  </si>
  <si>
    <t>Máximo de 3% a.a.</t>
  </si>
  <si>
    <t>Taxa de intermediação financeira</t>
  </si>
  <si>
    <t>Risco de crédito</t>
  </si>
  <si>
    <t>Rd nominal</t>
  </si>
  <si>
    <t>Rd nominal pós IR</t>
  </si>
  <si>
    <t>Custo médio ponderado capital (WACC)</t>
  </si>
  <si>
    <t>Resumo WACC</t>
  </si>
  <si>
    <t>rf</t>
  </si>
  <si>
    <t>B</t>
  </si>
  <si>
    <t>rm</t>
  </si>
  <si>
    <t>rb</t>
  </si>
  <si>
    <t>re nominal</t>
  </si>
  <si>
    <t>re real</t>
  </si>
  <si>
    <t>re</t>
  </si>
  <si>
    <t>rd</t>
  </si>
  <si>
    <t>r WACC</t>
  </si>
  <si>
    <t>r WACC real</t>
  </si>
  <si>
    <t>Referências:</t>
  </si>
  <si>
    <t>ENCARGOS SOBRE A REMUNERAÇÃO NORMAL DIURNA DO EMPREGADO</t>
  </si>
  <si>
    <t>Cálculo do Número de Dias Úteis no Ano</t>
  </si>
  <si>
    <t>GERAL</t>
  </si>
  <si>
    <t>Dias</t>
  </si>
  <si>
    <t>Ref.</t>
  </si>
  <si>
    <t>=</t>
  </si>
  <si>
    <t>[A]</t>
  </si>
  <si>
    <t xml:space="preserve">Obrigações incidentes diretamente sobre a folha de pagamento: </t>
  </si>
  <si>
    <t>Horista</t>
  </si>
  <si>
    <t>Mensalista</t>
  </si>
  <si>
    <t>Domingo</t>
  </si>
  <si>
    <t>x</t>
  </si>
  <si>
    <t>Encargos (1)</t>
  </si>
  <si>
    <t>%</t>
  </si>
  <si>
    <t>Feriados</t>
  </si>
  <si>
    <t>Dias Úteis (*)</t>
  </si>
  <si>
    <t>SESI / SESC / SEST</t>
  </si>
  <si>
    <t>(*) Sem considerar o período aquisitivo de férias.</t>
  </si>
  <si>
    <t>SENAI / SENAC / SENAT</t>
  </si>
  <si>
    <t>INCRA</t>
  </si>
  <si>
    <t>Cálculo do Número de Dias Produtivos no Ano</t>
  </si>
  <si>
    <t>SALÁRIO EDUCAÇÃO</t>
  </si>
  <si>
    <t>SAT (Seguro Acidente Trabalho)</t>
  </si>
  <si>
    <t/>
  </si>
  <si>
    <t>TOTAL</t>
  </si>
  <si>
    <t>Férias</t>
  </si>
  <si>
    <t>Dias Produtivos/Úteis</t>
  </si>
  <si>
    <t>[B]</t>
  </si>
  <si>
    <t>Parcelas agregadas a remuneração e pagas diretamente ao empregado:</t>
  </si>
  <si>
    <t>Parâmetros de Cálculo</t>
  </si>
  <si>
    <t>Parcela agregadas (1) e (3)</t>
  </si>
  <si>
    <t>Domingo em Férias</t>
  </si>
  <si>
    <t>DSR (Descanso Semanal Remunerado = 52 dom: 275 dias/ano) (*)</t>
  </si>
  <si>
    <t>Domingos DSR</t>
  </si>
  <si>
    <t>Férias (1 mês : 11 meses)</t>
  </si>
  <si>
    <t>Adicional de Férias</t>
  </si>
  <si>
    <t>/</t>
  </si>
  <si>
    <t>Adicional de 1/3 Férias (9,09% : 3)</t>
  </si>
  <si>
    <t>Meses Produtivos</t>
  </si>
  <si>
    <t>mês</t>
  </si>
  <si>
    <t>no ano</t>
  </si>
  <si>
    <t>Feriados (11 dias por ano : 276 dias/ano) (**)</t>
  </si>
  <si>
    <t>Mês de Férias</t>
  </si>
  <si>
    <t>ao ano</t>
  </si>
  <si>
    <t xml:space="preserve">Auxílio Doença [(15 dias : 332 dias/ano)xPercentual de Participação </t>
  </si>
  <si>
    <t>Auxílio Doença</t>
  </si>
  <si>
    <t>dias</t>
  </si>
  <si>
    <t>Décimo Terceiro Salário (1 mês : 12 meses)</t>
  </si>
  <si>
    <t>Jornada Semanal</t>
  </si>
  <si>
    <t>horas</t>
  </si>
  <si>
    <t>Licença Remunerada (4 dias : 4 anos de 276 dias/ano)</t>
  </si>
  <si>
    <t>Jornada Diária</t>
  </si>
  <si>
    <t>Licença Paternidade (5 dias : 4 anos de 276 dias/ano)</t>
  </si>
  <si>
    <t>Horas diária não trabalhada</t>
  </si>
  <si>
    <t>hora</t>
  </si>
  <si>
    <t>Licença Maternidade (120 dias : 4 anos de 276 dias/ano 3%)</t>
  </si>
  <si>
    <t>Aviso Prévio Trabalhando</t>
  </si>
  <si>
    <t>Percentual de Participação</t>
  </si>
  <si>
    <t>Aviso Prévio Não Trabalhando</t>
  </si>
  <si>
    <t>h/m</t>
  </si>
  <si>
    <t>(365 dias do ano – 52 domingos – 26 dias de férias  – 11 dias feriados: 276 dias úteis ano)</t>
  </si>
  <si>
    <t>Turn Over</t>
  </si>
  <si>
    <t>[C]</t>
  </si>
  <si>
    <t>Benefícios e encargos que não incidem sobre os demais encargos:</t>
  </si>
  <si>
    <t>Licença Paternidade</t>
  </si>
  <si>
    <t>dia</t>
  </si>
  <si>
    <t>anos</t>
  </si>
  <si>
    <t>Benefícios e encargos (1)</t>
  </si>
  <si>
    <t>Licenças Remuneradas</t>
  </si>
  <si>
    <t xml:space="preserve">Aviso Prévio Trabalhando (1% de 2h dia em 25 dias : 7,33h em 276 dias)  </t>
  </si>
  <si>
    <t>Dispensa Sem Justa Causa</t>
  </si>
  <si>
    <t>Aviso Prévio Não Trabalhando (25 dias : 276 dias/ano x 98%)</t>
  </si>
  <si>
    <t>Aviso Prévio indenizado (Trabalhando e Não Trabalhando)</t>
  </si>
  <si>
    <t>Multa FGTS</t>
  </si>
  <si>
    <t>Multa 50% do FGTS nas rescisões (50% x 8,5% FGTS x 95% dos empregados demitidos x (1+ total do grupo B)</t>
  </si>
  <si>
    <t>Auxilio Doença</t>
  </si>
  <si>
    <t>mês (Percentual de Partic.)</t>
  </si>
  <si>
    <t>Lei 6.708  art 9 ( 8,0% do Aviso Prévio Indenizado)</t>
  </si>
  <si>
    <t>Reversão de Reajuste Sindical</t>
  </si>
  <si>
    <t>ano</t>
  </si>
  <si>
    <t>Contribuição do Sindicato - Reversão de Reajuste Salarial</t>
  </si>
  <si>
    <t>Previsão de Reajuste (*)</t>
  </si>
  <si>
    <t>Seguro de Vida (parte do custo absorvido pela empresa)</t>
  </si>
  <si>
    <t>Licença Maternidade</t>
  </si>
  <si>
    <t>Alimentação (parte do custo absorvido pela empresa)</t>
  </si>
  <si>
    <t>Colaboradores do Sexo Feminino</t>
  </si>
  <si>
    <t>Transporte (parte do custo absorvido pela empresa)</t>
  </si>
  <si>
    <t>(*) Para cálculo da Reversão de Reajuste Salarial</t>
  </si>
  <si>
    <t>Outros custos (parte absorvida pela empresa)</t>
  </si>
  <si>
    <t>[D]</t>
  </si>
  <si>
    <t>Incidências Cumulativas [A x B]</t>
  </si>
  <si>
    <t>TOTAL GERAL DOS ENCARGOS</t>
  </si>
  <si>
    <t>(1) = ajustado segundo a realidade das empresas.</t>
  </si>
  <si>
    <t>(2) = estimativa decorrente do fato que a cada 4 anos ocorre o evento.</t>
  </si>
  <si>
    <t>(3) = ajustar também as % considerando a previsão de reajustes da remun. durante o ano.</t>
  </si>
  <si>
    <t>Sumário:</t>
  </si>
  <si>
    <t>Ordem</t>
  </si>
  <si>
    <t>Dados</t>
  </si>
  <si>
    <t>Ano Base</t>
  </si>
  <si>
    <t>Despesa com Pessoal</t>
  </si>
  <si>
    <t>Custos formulados em função da demanda e ajustados aos parâmetros e coeficientes de consumo previstos no Projeto Básico.</t>
  </si>
  <si>
    <t>Despesas Operacional</t>
  </si>
  <si>
    <t>Investimentos</t>
  </si>
  <si>
    <t>Gerenciamento</t>
  </si>
  <si>
    <t>Os custos operacionais e demais gastos incorridos na execução dos serviços serão de competência da Concessionária, assim como o gerenciamento dos serviços, cabendo à Concessionária recolher aos cofres públicos municipais o valor da outorga onerosa, assim como, os demais tributos.</t>
  </si>
  <si>
    <t>Valor de Outorga</t>
  </si>
  <si>
    <t>Proposta Comercial</t>
  </si>
  <si>
    <t>A. Demonstrativo de Resultado Econômico - DRE</t>
  </si>
  <si>
    <t>Número Anual de Vagas Pagantes Equivalentes</t>
  </si>
  <si>
    <t>1.</t>
  </si>
  <si>
    <t>2.</t>
  </si>
  <si>
    <t>Projeção de Crescimento</t>
  </si>
  <si>
    <t>3.</t>
  </si>
  <si>
    <t>4.</t>
  </si>
  <si>
    <t>5.</t>
  </si>
  <si>
    <t>5.1</t>
  </si>
  <si>
    <t>6.</t>
  </si>
  <si>
    <t>Tributos e Repasses sobre o Faturamento</t>
  </si>
  <si>
    <t>6.1</t>
  </si>
  <si>
    <t>6.2</t>
  </si>
  <si>
    <t>6.3</t>
  </si>
  <si>
    <t>6.4</t>
  </si>
  <si>
    <t>6.5</t>
  </si>
  <si>
    <t>Valor de Outorga (% Ofertado)</t>
  </si>
  <si>
    <t>7.</t>
  </si>
  <si>
    <t>8.</t>
  </si>
  <si>
    <t>Custos Operacionais</t>
  </si>
  <si>
    <t>8.1</t>
  </si>
  <si>
    <t>8.2</t>
  </si>
  <si>
    <t>8.2.1</t>
  </si>
  <si>
    <t>8.2.2</t>
  </si>
  <si>
    <t>Despesas Gerais</t>
  </si>
  <si>
    <t>9.</t>
  </si>
  <si>
    <t>EBITDA (Lucro antes de juros, impostos, depreciação e amortização)</t>
  </si>
  <si>
    <t>9.1</t>
  </si>
  <si>
    <t>Ganho efetivo da Operação</t>
  </si>
  <si>
    <t>10.</t>
  </si>
  <si>
    <t>Depreciação</t>
  </si>
  <si>
    <t>10.1</t>
  </si>
  <si>
    <t>Depreciação de Máquinas e Equipamentos (Computador, Impressoras etc)</t>
  </si>
  <si>
    <t>11.</t>
  </si>
  <si>
    <t>EBIT (Lucro antes de juros e imposto de renda)</t>
  </si>
  <si>
    <t>12.</t>
  </si>
  <si>
    <t>Despesas com Arrecadação</t>
  </si>
  <si>
    <t>12.1</t>
  </si>
  <si>
    <t>12.2</t>
  </si>
  <si>
    <t>12.3</t>
  </si>
  <si>
    <t>Comissão de Posto de Venda - PDV</t>
  </si>
  <si>
    <t>EBT (Lucro antes de imposto de renda)</t>
  </si>
  <si>
    <t>13.</t>
  </si>
  <si>
    <t>14.</t>
  </si>
  <si>
    <t>Imposto de Renda e CSLL</t>
  </si>
  <si>
    <t>14.1</t>
  </si>
  <si>
    <t>14.2</t>
  </si>
  <si>
    <t>14.3</t>
  </si>
  <si>
    <t>15.</t>
  </si>
  <si>
    <t>Lucro Líquido do Exercício</t>
  </si>
  <si>
    <t>15.1</t>
  </si>
  <si>
    <t>Indicadores do Fluxo de Caixa</t>
  </si>
  <si>
    <t>VPL - Valor Presente Líquido em R$</t>
  </si>
  <si>
    <t>TIR - Taxa Interna de Retorno do Capital</t>
  </si>
  <si>
    <t>TRC - Taxa de Remuneração do Capital</t>
  </si>
  <si>
    <t>Investimentos na Concessão</t>
  </si>
  <si>
    <t xml:space="preserve"> </t>
  </si>
  <si>
    <t>Taxa de Desconto - WACC (% a.a.)</t>
  </si>
  <si>
    <t>Valor de Outorga (% Mensal)</t>
  </si>
  <si>
    <t>Contribuição Social sobre o Faturamento - COFINS (3,00%)</t>
  </si>
  <si>
    <t>Programa de Integração Social - PIS (0,65%)</t>
  </si>
  <si>
    <t>Contribuição Previdenciária sobre a Receita Bruta - CPRB (0,00%)</t>
  </si>
  <si>
    <t>% Uso</t>
  </si>
  <si>
    <t>Contribuição Social Sobre Lucro - CSLL (9%)</t>
  </si>
  <si>
    <t>Imposto de Renda - IR (15%)</t>
  </si>
  <si>
    <t>Adicional de Imposto de Renda (10%)</t>
  </si>
  <si>
    <t>Fluxo de Caixa dos Investimentos</t>
  </si>
  <si>
    <t>3.1</t>
  </si>
  <si>
    <t>Anos da Concessão</t>
  </si>
  <si>
    <t>Insumos e Mão de Obra</t>
  </si>
  <si>
    <t>Premissas Básicas para Determinação do Custo do Serviço</t>
  </si>
  <si>
    <t>Encargos Sociais</t>
  </si>
  <si>
    <t>Previsão de investimentos em equipamentos, dispositivos eletrônicos, aplicativos e infraestrutura operacional, considerando o período de operação</t>
  </si>
  <si>
    <t>Tarifa fixada no Edital</t>
  </si>
  <si>
    <t>https://g1.globo.com/economia/noticia/2021/12/15/banco-central-dos-eua-preve-tres-altas-de-juros-em-2022.ghtml</t>
  </si>
  <si>
    <t>Razão Social da Licitante</t>
  </si>
  <si>
    <t>Instruções de Preenchimento</t>
  </si>
  <si>
    <t>IV - Insumos e Mão de Obra</t>
  </si>
  <si>
    <t>São os investimentos necessários para a operação, os quantitativos foram estimados de acordo com o Projeto Básico e os valores Unitários deverão ser preenchidos pela Empresa Licitante. Divide-se em três grupos, Investimento Inicial, sendo o valor inicial estimado obrigatório para desempenho da operação, custo fixo são as despesas recorrentes que não sofrem variação de valor no decorrer do período, custo variável são as despesas recorrentes que sofrem variação de valor de acordo com a prestação dos serviços</t>
  </si>
  <si>
    <t>V - Proposta - Outorga</t>
  </si>
  <si>
    <t>VI - DRE - Fluxo de Caixa</t>
  </si>
  <si>
    <t>Planilhas editáveis (Céluas em amarelo à preencher)</t>
  </si>
  <si>
    <t>Planilhas não editáveis</t>
  </si>
  <si>
    <t>VII - Cálculo da WACC (Weighted Average Capital Cost)</t>
  </si>
  <si>
    <t>Custo médio ponderado do capital - WACC é um instrumento de gestão financeira que revela muito sobre a saúde de uma empresa.</t>
  </si>
  <si>
    <t>A Demonstração do Resultado do Exercício – DRE – é um relatório contábil que evidencia se as operações de uma empresa estão gerando um lucro ou prejuízo, considerando um determinado período de tempo. Fluxo de Caixa é o movimento de entradas e saídas de dinheiro com o cálculo de retorno sobre o investimento e análise do risco do negócio</t>
  </si>
  <si>
    <t>VIII - Encagos Sociais e Trabalhistas</t>
  </si>
  <si>
    <t>Os encargos sociais são compreendidos como aqueles impostos que são pagos pela empresa a fim de serem revertidos em benefícios indiretos e a longo prazo aos trabalhadores. Por encargos trabalhistas, contudo, entende-se os tributos que representam um benefício direto ao colaborador.</t>
  </si>
  <si>
    <t>I - Capa</t>
  </si>
  <si>
    <t>II - Premissas</t>
  </si>
  <si>
    <t>III - Instruções de Preenchimento</t>
  </si>
  <si>
    <t>VII - WACC</t>
  </si>
  <si>
    <t>VIII - Encargos sociais e trabalhistas</t>
  </si>
  <si>
    <t>Período da Concessão (em meses)</t>
  </si>
  <si>
    <t>Ano 04</t>
  </si>
  <si>
    <t>Ano 05</t>
  </si>
  <si>
    <t>Premissas Básicas para Composição do Plano de Negócios</t>
  </si>
  <si>
    <t>Prazo de Concessão (em meses)</t>
  </si>
  <si>
    <t>Tarifa Fixada no Edital e Projeto Básico, a iniciar a partir da Ordem de Inicio dos Serviços, bem como outras tarifas remuneratórias</t>
  </si>
  <si>
    <t>Número de Vagas</t>
  </si>
  <si>
    <t>Setup de Plataforma</t>
  </si>
  <si>
    <t>Sinalização Giroflex Veículo OCR</t>
  </si>
  <si>
    <t>Plotagem Veículo OCR</t>
  </si>
  <si>
    <t>Instalações e Equipamentos OCR Veículo</t>
  </si>
  <si>
    <t>Instalações/Mobiliário e Reformas da Filial</t>
  </si>
  <si>
    <t>Campanha de Divulgação</t>
  </si>
  <si>
    <t>Projeto Executivo - Levantamento Cadastral das Vagas</t>
  </si>
  <si>
    <t>Viagens Iniciais</t>
  </si>
  <si>
    <t>Ser. m²</t>
  </si>
  <si>
    <t>Sinalização Vertical</t>
  </si>
  <si>
    <t>Computador / Impressora - Escritório</t>
  </si>
  <si>
    <t>Bobinas (Agentes + PDV)</t>
  </si>
  <si>
    <t>Combustível</t>
  </si>
  <si>
    <t>Manutenção de Terminais Agentes/Monitor</t>
  </si>
  <si>
    <t>Manutenção Sinalização Horizontal / Vertical</t>
  </si>
  <si>
    <t>Links de Dados (Veículos OCR)</t>
  </si>
  <si>
    <t>Manutenção de Uniformes</t>
  </si>
  <si>
    <t>Plataforma</t>
  </si>
  <si>
    <t>Site (WEB) (Gestão , Atualização Tecnológica, manutenção e suporte a operação</t>
  </si>
  <si>
    <t>Aplicativo de Usuário para dispositivos moveis (APP)</t>
  </si>
  <si>
    <t>Aplicativo para PDV</t>
  </si>
  <si>
    <t>Aplicativo de Fiscalização para Agentes de Trânsito</t>
  </si>
  <si>
    <t>Licença de Módulo de Fiscalização de Trânsito</t>
  </si>
  <si>
    <t>Serviço em Nuvem (Cloud)</t>
  </si>
  <si>
    <t>Soluções para Pagamentos com Cartões de Débito, Crédito, PIX e para Website</t>
  </si>
  <si>
    <t>Manutenção de Sistema / Veículo OCR</t>
  </si>
  <si>
    <t>Custo Pessoal</t>
  </si>
  <si>
    <t>Vagas</t>
  </si>
  <si>
    <t>Horas</t>
  </si>
  <si>
    <t>IX - Arrecadação</t>
  </si>
  <si>
    <t>Monitores</t>
  </si>
  <si>
    <t>Supervisor</t>
  </si>
  <si>
    <t>Encargos Monitores</t>
  </si>
  <si>
    <t>Vale Refeição (22 dias uteis)</t>
  </si>
  <si>
    <t>Vale Alimentação</t>
  </si>
  <si>
    <t>Encargos Supervisor</t>
  </si>
  <si>
    <t>Smartphone AIT  (Agentes + Monitores)</t>
  </si>
  <si>
    <t>Impressora (Agentes + Monitores)</t>
  </si>
  <si>
    <t>Variáveis</t>
  </si>
  <si>
    <t>Fixos</t>
  </si>
  <si>
    <t>Ferramentas</t>
  </si>
  <si>
    <t>Máq. Equipamentos</t>
  </si>
  <si>
    <t>Instalações</t>
  </si>
  <si>
    <t>Moveis /utensilios</t>
  </si>
  <si>
    <t>veículos</t>
  </si>
  <si>
    <t>computadores</t>
  </si>
  <si>
    <t>Outros (especificar)</t>
  </si>
  <si>
    <t>Computador para Concedente</t>
  </si>
  <si>
    <t>Depreciações</t>
  </si>
  <si>
    <t xml:space="preserve">Itens </t>
  </si>
  <si>
    <t>Manutenção Veículos Operacional</t>
  </si>
  <si>
    <t>EPI's</t>
  </si>
  <si>
    <t>Conj.</t>
  </si>
  <si>
    <t>Aluguel de Imóvel + IPTU</t>
  </si>
  <si>
    <r>
      <rPr>
        <b/>
        <sz val="18"/>
        <color theme="1" tint="4.9989318521683403E-2"/>
        <rFont val="Calibri"/>
        <family val="2"/>
      </rPr>
      <t>ANEXO II - Plano de Negócios</t>
    </r>
    <r>
      <rPr>
        <b/>
        <sz val="20"/>
        <color theme="1" tint="4.9989318521683403E-2"/>
        <rFont val="Calibri"/>
        <family val="2"/>
      </rPr>
      <t xml:space="preserve">
</t>
    </r>
  </si>
  <si>
    <t>Sinalização Horizontal - Extrudado</t>
  </si>
  <si>
    <t>Veículo para Operações (PDV) - modelo Kwid zero km</t>
  </si>
  <si>
    <t>Água e Luz</t>
  </si>
  <si>
    <t>Referência anual é o ano de 2024, para a estimativa dos preços dos insumos e base de cálculo.
Valores estão baseados nos dados e informações do Projeto Básico.</t>
  </si>
  <si>
    <r>
      <t>Do</t>
    </r>
    <r>
      <rPr>
        <b/>
        <sz val="9"/>
        <color rgb="FF000000"/>
        <rFont val="Calibri"/>
        <family val="2"/>
        <scheme val="minor"/>
      </rPr>
      <t xml:space="preserve"> Anexo II do Edital </t>
    </r>
    <r>
      <rPr>
        <sz val="9"/>
        <color rgb="FF000000"/>
        <rFont val="Calibri"/>
        <family val="2"/>
        <scheme val="minor"/>
      </rPr>
      <t xml:space="preserve">contam as orientações para o preenchimento uniformizado da </t>
    </r>
    <r>
      <rPr>
        <b/>
        <sz val="9"/>
        <color rgb="FF000000"/>
        <rFont val="Calibri"/>
        <family val="2"/>
        <scheme val="minor"/>
      </rPr>
      <t>Proposta Comercial</t>
    </r>
    <r>
      <rPr>
        <sz val="9"/>
        <color rgb="FF000000"/>
        <rFont val="Calibri"/>
        <family val="2"/>
        <scheme val="minor"/>
      </rPr>
      <t>, bem como, a composição dos investimentos, dos custos e despesas, para composição do Fluxo de Caixa Projetado.</t>
    </r>
  </si>
  <si>
    <r>
      <t xml:space="preserve">Cálculo da WACC </t>
    </r>
    <r>
      <rPr>
        <i/>
        <sz val="9"/>
        <color theme="1"/>
        <rFont val="Arial"/>
        <family val="2"/>
      </rPr>
      <t>(Weighted Average Capital Cost)</t>
    </r>
  </si>
  <si>
    <r>
      <t xml:space="preserve">Re </t>
    </r>
    <r>
      <rPr>
        <i/>
        <sz val="8"/>
        <color theme="1"/>
        <rFont val="Arial"/>
        <family val="2"/>
      </rPr>
      <t>(US, nominal)</t>
    </r>
  </si>
  <si>
    <r>
      <t xml:space="preserve">WACC Real </t>
    </r>
    <r>
      <rPr>
        <i/>
        <sz val="11"/>
        <color theme="0"/>
        <rFont val="Arial"/>
        <family val="2"/>
      </rPr>
      <t>(Weighted Average Capital Cost)</t>
    </r>
  </si>
  <si>
    <t>Projeção Mèdia de Crescimento Anual</t>
  </si>
  <si>
    <t>Taxa Média de Respeito no Período</t>
  </si>
  <si>
    <t>Taxa Média de Ocupação Efetiva no Período</t>
  </si>
  <si>
    <t>Aumento Salarial Médio (Anual) - Considerado Média Inflação (IPCA) + 1,5% de aumento real</t>
  </si>
  <si>
    <t>Inflação média no Período (IPCA)</t>
  </si>
  <si>
    <t>Tipo</t>
  </si>
  <si>
    <t>Tarifa/Hora</t>
  </si>
  <si>
    <t>Semanas/</t>
  </si>
  <si>
    <t>Taxa Média</t>
  </si>
  <si>
    <t>Arrecadação Mensal</t>
  </si>
  <si>
    <t>Semanais</t>
  </si>
  <si>
    <t>Mensais</t>
  </si>
  <si>
    <t>Ocupação</t>
  </si>
  <si>
    <t>Obediência</t>
  </si>
  <si>
    <t>Eficazes</t>
  </si>
  <si>
    <t>Veículos</t>
  </si>
  <si>
    <t>1º Ano</t>
  </si>
  <si>
    <t>2º Ano</t>
  </si>
  <si>
    <t>3º Ano</t>
  </si>
  <si>
    <t>4º Ano</t>
  </si>
  <si>
    <t>5º Ano</t>
  </si>
  <si>
    <t>Arrecadação Estimada Mês:</t>
  </si>
  <si>
    <t>Arrecadação Estimada Ano:</t>
  </si>
  <si>
    <t>Arrecadação Estimada Contrato:</t>
  </si>
  <si>
    <t>Crescimento Médio Anual</t>
  </si>
  <si>
    <t>Zona Azul - Francisco Morato - SP</t>
  </si>
  <si>
    <t>Projeção de IPCA (Reajuste Tarifa)</t>
  </si>
  <si>
    <t>Taxa Média de Respeito</t>
  </si>
  <si>
    <t>Taxa Mèdia de Ocupação Efetiva</t>
  </si>
  <si>
    <t>Imposto sobre Serviço de qualquer natureza - ISS (5%)</t>
  </si>
  <si>
    <t>Cartão de Crédito/Débito</t>
  </si>
  <si>
    <t>PIX</t>
  </si>
  <si>
    <t>B. Fluxo de Caixa</t>
  </si>
  <si>
    <t>Considerado para o estudo o valor de 1 (uma) hora : R$ 2,50 - Veículos</t>
  </si>
  <si>
    <t>Sistema de videomonitoramento e alarme</t>
  </si>
  <si>
    <t>Motorista</t>
  </si>
  <si>
    <t>Auxiliar administrativo</t>
  </si>
  <si>
    <t>Encargos motorista</t>
  </si>
  <si>
    <t>Encargos Auxiliar administrativo</t>
  </si>
  <si>
    <t>% De outorga a ser repassado ao municipio, sendo o percentual mínimo de 12% (doze) sobre o valor bruto arrecadado mensalmente.</t>
  </si>
  <si>
    <t>É o percentual ofertado de outorga sobre o valor bruto arrecadado mensalmente. Para o certame o valor mínimo considerado é de 12 % (doze) estando desclassificada as propostas inferior a este.</t>
  </si>
  <si>
    <t>Insumos</t>
  </si>
  <si>
    <t>Seguro de veículo</t>
  </si>
  <si>
    <t>Contabilidade</t>
  </si>
  <si>
    <t>Telefonia e internet</t>
  </si>
  <si>
    <t>Serviços jurídicos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</si>
</sst>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R$&quot;\ #,##0.00;[Red]\-&quot;R$&quot;\ #,##0.00"/>
    <numFmt numFmtId="44" formatCode="_-&quot;R$&quot;\ * #,##0.00_-;\-&quot;R$&quot;\ * #,##0.00_-;_-&quot;R$&quot;\ * &quot;-&quot;??_-;_-@_-"/>
    <numFmt numFmtId="43" formatCode="_-* #,##0.00_-;\-* #,##0.00_-;_-* &quot;-&quot;??_-;_-@_-"/>
    <numFmt numFmtId="164" formatCode="0.000%"/>
    <numFmt numFmtId="165" formatCode="[$-416]mmm\-yy;@"/>
    <numFmt numFmtId="166" formatCode="_(* #,##0.00_);_(* \(#,##0.00\);_(* &quot;-&quot;??_);_(@_)"/>
    <numFmt numFmtId="167" formatCode="#,##0.0000;\-#,##0.0000"/>
    <numFmt numFmtId="168" formatCode="0.0%"/>
    <numFmt numFmtId="169" formatCode="[$R$-416]\ #,##0.00;\-[$R$-416]\ #,##0.00"/>
    <numFmt numFmtId="170" formatCode="0.0000%"/>
  </numFmts>
  <fonts count="63" x14ac:knownFonts="1">
    <font>
      <sz val="11"/>
      <color theme="1"/>
      <name val="Calibri"/>
      <family val="2"/>
      <scheme val="minor"/>
    </font>
    <font>
      <sz val="11"/>
      <color theme="1"/>
      <name val="Calibri"/>
      <family val="2"/>
      <scheme val="minor"/>
    </font>
    <font>
      <b/>
      <sz val="11"/>
      <color theme="1"/>
      <name val="Calibri"/>
      <family val="2"/>
      <scheme val="minor"/>
    </font>
    <font>
      <b/>
      <sz val="11"/>
      <color rgb="FF000000"/>
      <name val="Arial"/>
      <family val="2"/>
    </font>
    <font>
      <sz val="11"/>
      <color rgb="FF000000"/>
      <name val="Arial"/>
      <family val="2"/>
    </font>
    <font>
      <b/>
      <sz val="14"/>
      <color theme="1"/>
      <name val="Calibri"/>
      <family val="2"/>
      <scheme val="minor"/>
    </font>
    <font>
      <i/>
      <sz val="11"/>
      <color theme="1"/>
      <name val="Calibri"/>
      <family val="2"/>
      <scheme val="minor"/>
    </font>
    <font>
      <b/>
      <sz val="11"/>
      <color theme="0"/>
      <name val="Calibri"/>
      <family val="2"/>
      <scheme val="minor"/>
    </font>
    <font>
      <sz val="9"/>
      <color theme="1"/>
      <name val="Calibri"/>
      <family val="2"/>
      <scheme val="minor"/>
    </font>
    <font>
      <sz val="10"/>
      <name val="Arial"/>
      <family val="2"/>
    </font>
    <font>
      <b/>
      <sz val="9"/>
      <color theme="1"/>
      <name val="Calibri"/>
      <family val="2"/>
      <scheme val="minor"/>
    </font>
    <font>
      <i/>
      <sz val="8"/>
      <color theme="1"/>
      <name val="Calibri"/>
      <family val="2"/>
      <scheme val="minor"/>
    </font>
    <font>
      <sz val="10"/>
      <color indexed="8"/>
      <name val="Arial"/>
      <family val="2"/>
    </font>
    <font>
      <u/>
      <sz val="10"/>
      <color theme="10"/>
      <name val="Arial"/>
      <family val="2"/>
    </font>
    <font>
      <i/>
      <u/>
      <sz val="8"/>
      <color theme="10"/>
      <name val="Arial"/>
      <family val="2"/>
    </font>
    <font>
      <i/>
      <u/>
      <sz val="8"/>
      <color theme="10"/>
      <name val="Calibri"/>
      <family val="2"/>
      <scheme val="minor"/>
    </font>
    <font>
      <sz val="10"/>
      <color rgb="FF000000"/>
      <name val="Arial"/>
      <family val="2"/>
    </font>
    <font>
      <sz val="11"/>
      <name val="Calibri"/>
      <family val="2"/>
      <scheme val="minor"/>
    </font>
    <font>
      <sz val="9"/>
      <name val="Calibri"/>
      <family val="2"/>
      <scheme val="minor"/>
    </font>
    <font>
      <b/>
      <sz val="9"/>
      <name val="Calibri"/>
      <family val="2"/>
      <scheme val="minor"/>
    </font>
    <font>
      <i/>
      <sz val="8"/>
      <name val="Calibri"/>
      <family val="2"/>
      <scheme val="minor"/>
    </font>
    <font>
      <b/>
      <sz val="11"/>
      <name val="Calibri"/>
      <family val="2"/>
      <scheme val="minor"/>
    </font>
    <font>
      <sz val="9"/>
      <name val="Calibri"/>
      <family val="2"/>
    </font>
    <font>
      <b/>
      <sz val="9"/>
      <color indexed="9"/>
      <name val="Calibri"/>
      <family val="2"/>
    </font>
    <font>
      <b/>
      <sz val="9"/>
      <name val="Calibri"/>
      <family val="2"/>
    </font>
    <font>
      <i/>
      <sz val="8"/>
      <name val="Calibri"/>
      <family val="2"/>
    </font>
    <font>
      <b/>
      <sz val="11"/>
      <color indexed="17"/>
      <name val="Calibri"/>
      <family val="2"/>
    </font>
    <font>
      <sz val="9"/>
      <color rgb="FF000000"/>
      <name val="Calibri"/>
      <family val="2"/>
      <scheme val="minor"/>
    </font>
    <font>
      <b/>
      <sz val="9"/>
      <color rgb="FF000000"/>
      <name val="Calibri"/>
      <family val="2"/>
      <scheme val="minor"/>
    </font>
    <font>
      <b/>
      <i/>
      <sz val="8"/>
      <color rgb="FF000000"/>
      <name val="Calibri"/>
      <family val="2"/>
      <scheme val="minor"/>
    </font>
    <font>
      <sz val="11"/>
      <color theme="1" tint="0.14999847407452621"/>
      <name val="Calibri"/>
      <family val="2"/>
      <scheme val="minor"/>
    </font>
    <font>
      <b/>
      <i/>
      <sz val="11"/>
      <color theme="1"/>
      <name val="Calibri"/>
      <family val="2"/>
      <scheme val="minor"/>
    </font>
    <font>
      <b/>
      <sz val="14"/>
      <color theme="0"/>
      <name val="Calibri"/>
      <family val="2"/>
      <scheme val="minor"/>
    </font>
    <font>
      <sz val="10"/>
      <color theme="1" tint="0.14999847407452621"/>
      <name val="Calibri"/>
      <family val="2"/>
      <scheme val="minor"/>
    </font>
    <font>
      <b/>
      <sz val="11"/>
      <color theme="1" tint="0.14999847407452621"/>
      <name val="Calibri"/>
      <family val="2"/>
      <scheme val="minor"/>
    </font>
    <font>
      <i/>
      <sz val="11"/>
      <color theme="1" tint="0.14999847407452621"/>
      <name val="Calibri"/>
      <family val="2"/>
      <scheme val="minor"/>
    </font>
    <font>
      <i/>
      <sz val="9"/>
      <name val="Calibri"/>
      <family val="2"/>
    </font>
    <font>
      <b/>
      <i/>
      <sz val="10"/>
      <color rgb="FF000000"/>
      <name val="Calibri"/>
      <family val="2"/>
      <scheme val="minor"/>
    </font>
    <font>
      <sz val="10"/>
      <color theme="1"/>
      <name val="Calibri"/>
      <family val="2"/>
      <scheme val="minor"/>
    </font>
    <font>
      <b/>
      <sz val="10"/>
      <color theme="1"/>
      <name val="Calibri"/>
      <family val="2"/>
      <scheme val="minor"/>
    </font>
    <font>
      <sz val="10"/>
      <name val="Calibri"/>
      <family val="2"/>
    </font>
    <font>
      <b/>
      <sz val="11"/>
      <name val="Calibri"/>
      <family val="2"/>
    </font>
    <font>
      <sz val="8"/>
      <name val="Calibri"/>
      <family val="2"/>
      <scheme val="minor"/>
    </font>
    <font>
      <b/>
      <sz val="18"/>
      <color theme="1"/>
      <name val="Bahnschrift Light"/>
      <family val="2"/>
    </font>
    <font>
      <b/>
      <sz val="11"/>
      <color theme="3" tint="0.39997558519241921"/>
      <name val="Calibri"/>
      <family val="2"/>
      <scheme val="minor"/>
    </font>
    <font>
      <b/>
      <sz val="12"/>
      <name val="Calibri"/>
      <family val="2"/>
      <scheme val="minor"/>
    </font>
    <font>
      <b/>
      <u/>
      <sz val="11"/>
      <color theme="1"/>
      <name val="Calibri"/>
      <family val="2"/>
      <scheme val="minor"/>
    </font>
    <font>
      <b/>
      <sz val="11"/>
      <color theme="8" tint="0.39997558519241921"/>
      <name val="Calibri"/>
      <family val="2"/>
      <scheme val="minor"/>
    </font>
    <font>
      <b/>
      <sz val="20"/>
      <color theme="1" tint="4.9989318521683403E-2"/>
      <name val="Calibri"/>
      <family val="2"/>
    </font>
    <font>
      <b/>
      <sz val="18"/>
      <color theme="1" tint="4.9989318521683403E-2"/>
      <name val="Calibri"/>
      <family val="2"/>
    </font>
    <font>
      <b/>
      <sz val="14"/>
      <name val="Calibri"/>
      <family val="2"/>
      <scheme val="minor"/>
    </font>
    <font>
      <b/>
      <sz val="11"/>
      <color theme="1"/>
      <name val="Arial"/>
      <family val="2"/>
    </font>
    <font>
      <i/>
      <sz val="9"/>
      <color theme="1"/>
      <name val="Arial"/>
      <family val="2"/>
    </font>
    <font>
      <b/>
      <sz val="9"/>
      <color theme="1"/>
      <name val="Arial"/>
      <family val="2"/>
    </font>
    <font>
      <sz val="9"/>
      <color theme="1"/>
      <name val="Arial"/>
      <family val="2"/>
    </font>
    <font>
      <i/>
      <sz val="8"/>
      <color theme="1"/>
      <name val="Arial"/>
      <family val="2"/>
    </font>
    <font>
      <b/>
      <i/>
      <sz val="8"/>
      <color theme="1"/>
      <name val="Arial"/>
      <family val="2"/>
    </font>
    <font>
      <b/>
      <i/>
      <sz val="9"/>
      <color theme="1"/>
      <name val="Arial"/>
      <family val="2"/>
    </font>
    <font>
      <b/>
      <sz val="11"/>
      <color theme="0"/>
      <name val="Arial"/>
      <family val="2"/>
    </font>
    <font>
      <i/>
      <sz val="11"/>
      <color theme="0"/>
      <name val="Arial"/>
      <family val="2"/>
    </font>
    <font>
      <b/>
      <i/>
      <sz val="11"/>
      <color theme="0"/>
      <name val="Arial"/>
      <family val="2"/>
    </font>
    <font>
      <sz val="9"/>
      <color theme="0"/>
      <name val="Calibri"/>
      <family val="2"/>
      <scheme val="minor"/>
    </font>
    <font>
      <b/>
      <sz val="9"/>
      <color theme="0"/>
      <name val="Calibri"/>
      <family val="2"/>
      <scheme val="minor"/>
    </font>
  </fonts>
  <fills count="19">
    <fill>
      <patternFill patternType="none"/>
    </fill>
    <fill>
      <patternFill patternType="gray125"/>
    </fill>
    <fill>
      <patternFill patternType="solid">
        <fgColor theme="8" tint="0.59999389629810485"/>
        <bgColor indexed="64"/>
      </patternFill>
    </fill>
    <fill>
      <patternFill patternType="solid">
        <fgColor theme="0" tint="-0.14999847407452621"/>
        <bgColor indexed="64"/>
      </patternFill>
    </fill>
    <fill>
      <patternFill patternType="solid">
        <fgColor theme="9" tint="-0.249977111117893"/>
        <bgColor indexed="64"/>
      </patternFill>
    </fill>
    <fill>
      <patternFill patternType="solid">
        <fgColor indexed="9"/>
        <bgColor indexed="26"/>
      </patternFill>
    </fill>
    <fill>
      <patternFill patternType="solid">
        <fgColor indexed="13"/>
        <bgColor indexed="64"/>
      </patternFill>
    </fill>
    <fill>
      <patternFill patternType="solid">
        <fgColor theme="1" tint="0.34998626667073579"/>
        <bgColor indexed="26"/>
      </patternFill>
    </fill>
    <fill>
      <patternFill patternType="solid">
        <fgColor rgb="FF92D050"/>
        <bgColor indexed="64"/>
      </patternFill>
    </fill>
    <fill>
      <patternFill patternType="solid">
        <fgColor theme="1" tint="0.499984740745262"/>
        <bgColor indexed="64"/>
      </patternFill>
    </fill>
    <fill>
      <patternFill patternType="solid">
        <fgColor theme="8" tint="0.39997558519241921"/>
        <bgColor indexed="64"/>
      </patternFill>
    </fill>
    <fill>
      <patternFill patternType="solid">
        <fgColor theme="0"/>
        <bgColor indexed="64"/>
      </patternFill>
    </fill>
    <fill>
      <patternFill patternType="solid">
        <fgColor rgb="FFFFFF99"/>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rgb="FFFFFFFF"/>
        <bgColor indexed="64"/>
      </patternFill>
    </fill>
  </fills>
  <borders count="71">
    <border>
      <left/>
      <right/>
      <top/>
      <bottom/>
      <diagonal/>
    </border>
    <border>
      <left style="medium">
        <color indexed="64"/>
      </left>
      <right/>
      <top/>
      <bottom style="medium">
        <color indexed="64"/>
      </bottom>
      <diagonal/>
    </border>
    <border>
      <left style="medium">
        <color indexed="64"/>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top/>
      <bottom style="hair">
        <color indexed="8"/>
      </bottom>
      <diagonal/>
    </border>
    <border>
      <left/>
      <right/>
      <top/>
      <bottom style="hair">
        <color indexed="8"/>
      </bottom>
      <diagonal/>
    </border>
    <border>
      <left/>
      <right style="thin">
        <color indexed="8"/>
      </right>
      <top/>
      <bottom style="hair">
        <color indexed="8"/>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style="thin">
        <color indexed="8"/>
      </right>
      <top style="thin">
        <color indexed="8"/>
      </top>
      <bottom style="hair">
        <color indexed="8"/>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thin">
        <color indexed="8"/>
      </right>
      <top style="hair">
        <color indexed="8"/>
      </top>
      <bottom style="thin">
        <color indexed="64"/>
      </bottom>
      <diagonal/>
    </border>
    <border>
      <left style="thin">
        <color indexed="8"/>
      </left>
      <right style="thin">
        <color indexed="8"/>
      </right>
      <top style="hair">
        <color indexed="8"/>
      </top>
      <bottom style="hair">
        <color indexed="8"/>
      </bottom>
      <diagonal/>
    </border>
    <border>
      <left style="thin">
        <color indexed="8"/>
      </left>
      <right/>
      <top style="thin">
        <color indexed="8"/>
      </top>
      <bottom style="hair">
        <color indexed="8"/>
      </bottom>
      <diagonal/>
    </border>
    <border>
      <left/>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style="thin">
        <color indexed="8"/>
      </right>
      <top style="hair">
        <color indexed="8"/>
      </top>
      <bottom/>
      <diagonal/>
    </border>
    <border>
      <left/>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right style="thin">
        <color indexed="64"/>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thin">
        <color indexed="8"/>
      </right>
      <top style="hair">
        <color indexed="8"/>
      </top>
      <bottom style="thin">
        <color indexed="8"/>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5">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9" fillId="0" borderId="0"/>
    <xf numFmtId="0" fontId="12" fillId="0" borderId="0"/>
    <xf numFmtId="9" fontId="9" fillId="0" borderId="0" applyFont="0" applyFill="0" applyBorder="0" applyAlignment="0" applyProtection="0"/>
    <xf numFmtId="0" fontId="13" fillId="0" borderId="0" applyNumberFormat="0" applyFill="0" applyBorder="0" applyAlignment="0" applyProtection="0"/>
    <xf numFmtId="37" fontId="9" fillId="0" borderId="0"/>
    <xf numFmtId="166" fontId="9" fillId="0" borderId="0" applyFont="0" applyFill="0" applyBorder="0" applyAlignment="0" applyProtection="0"/>
    <xf numFmtId="0" fontId="16" fillId="0" borderId="0"/>
    <xf numFmtId="0" fontId="1" fillId="0" borderId="0"/>
    <xf numFmtId="0" fontId="1" fillId="0" borderId="0"/>
    <xf numFmtId="0" fontId="9" fillId="0" borderId="0"/>
    <xf numFmtId="43" fontId="1" fillId="0" borderId="0" applyFont="0" applyFill="0" applyBorder="0" applyAlignment="0" applyProtection="0"/>
  </cellStyleXfs>
  <cellXfs count="540">
    <xf numFmtId="0" fontId="0" fillId="0" borderId="0" xfId="0"/>
    <xf numFmtId="0" fontId="2" fillId="0" borderId="0" xfId="0" applyFont="1"/>
    <xf numFmtId="0" fontId="0" fillId="2" borderId="0" xfId="0" applyFill="1"/>
    <xf numFmtId="0" fontId="4" fillId="2" borderId="0" xfId="0" applyFont="1" applyFill="1" applyAlignment="1">
      <alignment horizontal="center" vertical="center"/>
    </xf>
    <xf numFmtId="0" fontId="3" fillId="2" borderId="0" xfId="0" applyFont="1" applyFill="1" applyAlignment="1">
      <alignment horizontal="center" vertical="center"/>
    </xf>
    <xf numFmtId="0" fontId="0" fillId="0" borderId="0" xfId="0" applyAlignment="1">
      <alignment horizontal="center"/>
    </xf>
    <xf numFmtId="44" fontId="2" fillId="0" borderId="0" xfId="0" applyNumberFormat="1" applyFont="1"/>
    <xf numFmtId="0" fontId="2" fillId="0" borderId="0" xfId="0" applyFont="1" applyAlignment="1">
      <alignment horizontal="center"/>
    </xf>
    <xf numFmtId="0" fontId="6" fillId="0" borderId="0" xfId="0" applyFont="1" applyAlignment="1">
      <alignment horizontal="center"/>
    </xf>
    <xf numFmtId="0" fontId="8" fillId="0" borderId="0" xfId="3" applyFont="1" applyAlignment="1">
      <alignment vertical="center"/>
    </xf>
    <xf numFmtId="0" fontId="8" fillId="0" borderId="0" xfId="4" applyFont="1" applyAlignment="1">
      <alignment vertical="center"/>
    </xf>
    <xf numFmtId="0" fontId="8" fillId="0" borderId="0" xfId="5" applyFont="1" applyAlignment="1">
      <alignment vertical="center"/>
    </xf>
    <xf numFmtId="0" fontId="11" fillId="0" borderId="0" xfId="3" applyFont="1" applyAlignment="1">
      <alignment vertical="center"/>
    </xf>
    <xf numFmtId="0" fontId="14" fillId="0" borderId="0" xfId="7" applyFont="1" applyAlignment="1" applyProtection="1">
      <alignment vertical="center"/>
    </xf>
    <xf numFmtId="10" fontId="13" fillId="0" borderId="0" xfId="7" applyNumberFormat="1" applyAlignment="1" applyProtection="1">
      <alignment vertical="center"/>
    </xf>
    <xf numFmtId="0" fontId="13" fillId="0" borderId="0" xfId="7" applyAlignment="1" applyProtection="1">
      <alignment vertical="center"/>
    </xf>
    <xf numFmtId="0" fontId="8" fillId="0" borderId="0" xfId="5" applyFont="1" applyAlignment="1">
      <alignment horizontal="center" vertical="center"/>
    </xf>
    <xf numFmtId="0" fontId="10" fillId="0" borderId="0" xfId="5" applyFont="1" applyAlignment="1">
      <alignment vertical="center"/>
    </xf>
    <xf numFmtId="10" fontId="8" fillId="0" borderId="0" xfId="5" applyNumberFormat="1" applyFont="1" applyAlignment="1">
      <alignment vertical="center"/>
    </xf>
    <xf numFmtId="17" fontId="8" fillId="0" borderId="0" xfId="5" applyNumberFormat="1" applyFont="1" applyAlignment="1">
      <alignment vertical="center"/>
    </xf>
    <xf numFmtId="0" fontId="1" fillId="0" borderId="0" xfId="5" applyFont="1" applyAlignment="1">
      <alignment vertical="center"/>
    </xf>
    <xf numFmtId="17" fontId="1" fillId="0" borderId="0" xfId="5" applyNumberFormat="1" applyFont="1" applyAlignment="1">
      <alignment vertical="center"/>
    </xf>
    <xf numFmtId="0" fontId="11" fillId="0" borderId="0" xfId="5" applyFont="1" applyAlignment="1">
      <alignment horizontal="center" vertical="center"/>
    </xf>
    <xf numFmtId="0" fontId="15" fillId="0" borderId="0" xfId="7" applyFont="1" applyAlignment="1" applyProtection="1">
      <alignment horizontal="left" vertical="center"/>
    </xf>
    <xf numFmtId="0" fontId="11" fillId="0" borderId="0" xfId="5" applyFont="1" applyAlignment="1">
      <alignment horizontal="left" vertical="center"/>
    </xf>
    <xf numFmtId="0" fontId="17" fillId="0" borderId="0" xfId="11" applyFont="1" applyAlignment="1">
      <alignment vertical="center"/>
    </xf>
    <xf numFmtId="0" fontId="18" fillId="0" borderId="0" xfId="11" applyFont="1" applyAlignment="1">
      <alignment vertical="center"/>
    </xf>
    <xf numFmtId="0" fontId="18" fillId="0" borderId="0" xfId="11" applyFont="1" applyAlignment="1">
      <alignment horizontal="center" vertical="center"/>
    </xf>
    <xf numFmtId="0" fontId="18" fillId="0" borderId="12" xfId="11" applyFont="1" applyBorder="1" applyAlignment="1">
      <alignment vertical="center"/>
    </xf>
    <xf numFmtId="0" fontId="18" fillId="0" borderId="13" xfId="11" applyFont="1" applyBorder="1" applyAlignment="1">
      <alignment horizontal="center" vertical="center"/>
    </xf>
    <xf numFmtId="0" fontId="19" fillId="0" borderId="13" xfId="11" applyFont="1" applyBorder="1" applyAlignment="1">
      <alignment horizontal="center" vertical="center"/>
    </xf>
    <xf numFmtId="0" fontId="19" fillId="0" borderId="14" xfId="11" applyFont="1" applyBorder="1" applyAlignment="1">
      <alignment horizontal="center" vertical="center"/>
    </xf>
    <xf numFmtId="0" fontId="18" fillId="0" borderId="15" xfId="11" applyFont="1" applyBorder="1" applyAlignment="1">
      <alignment vertical="center"/>
    </xf>
    <xf numFmtId="0" fontId="18" fillId="0" borderId="16" xfId="11" applyFont="1" applyBorder="1" applyAlignment="1">
      <alignment horizontal="center" vertical="center"/>
    </xf>
    <xf numFmtId="0" fontId="18" fillId="0" borderId="16" xfId="11" applyFont="1" applyBorder="1" applyAlignment="1">
      <alignment vertical="center"/>
    </xf>
    <xf numFmtId="0" fontId="18" fillId="0" borderId="17" xfId="11" applyFont="1" applyBorder="1" applyAlignment="1">
      <alignment horizontal="center" vertical="center"/>
    </xf>
    <xf numFmtId="0" fontId="19" fillId="0" borderId="11" xfId="11" applyFont="1" applyBorder="1" applyAlignment="1">
      <alignment horizontal="center" vertical="center" wrapText="1"/>
    </xf>
    <xf numFmtId="0" fontId="18" fillId="0" borderId="18" xfId="11" applyFont="1" applyBorder="1" applyAlignment="1">
      <alignment horizontal="center" vertical="center" wrapText="1"/>
    </xf>
    <xf numFmtId="0" fontId="18" fillId="0" borderId="18" xfId="11" applyFont="1" applyBorder="1" applyAlignment="1">
      <alignment vertical="center" wrapText="1"/>
    </xf>
    <xf numFmtId="10" fontId="18" fillId="0" borderId="18" xfId="11" applyNumberFormat="1" applyFont="1" applyBorder="1" applyAlignment="1">
      <alignment horizontal="center" vertical="center" wrapText="1"/>
    </xf>
    <xf numFmtId="0" fontId="18" fillId="0" borderId="19" xfId="11" applyFont="1" applyBorder="1" applyAlignment="1">
      <alignment vertical="center"/>
    </xf>
    <xf numFmtId="0" fontId="18" fillId="0" borderId="20" xfId="11" applyFont="1" applyBorder="1" applyAlignment="1">
      <alignment horizontal="center" vertical="center"/>
    </xf>
    <xf numFmtId="0" fontId="18" fillId="0" borderId="20" xfId="11" applyFont="1" applyBorder="1" applyAlignment="1">
      <alignment vertical="center"/>
    </xf>
    <xf numFmtId="0" fontId="19" fillId="0" borderId="21" xfId="11" applyFont="1" applyBorder="1" applyAlignment="1">
      <alignment horizontal="center" vertical="center"/>
    </xf>
    <xf numFmtId="0" fontId="18" fillId="0" borderId="22" xfId="11" applyFont="1" applyBorder="1" applyAlignment="1">
      <alignment horizontal="center" vertical="center" wrapText="1"/>
    </xf>
    <xf numFmtId="0" fontId="18" fillId="0" borderId="22" xfId="11" applyFont="1" applyBorder="1" applyAlignment="1">
      <alignment vertical="center" wrapText="1"/>
    </xf>
    <xf numFmtId="10" fontId="18" fillId="0" borderId="22" xfId="11" applyNumberFormat="1" applyFont="1" applyBorder="1" applyAlignment="1">
      <alignment horizontal="center" vertical="center" wrapText="1"/>
    </xf>
    <xf numFmtId="0" fontId="20" fillId="0" borderId="0" xfId="11" applyFont="1" applyAlignment="1">
      <alignment vertical="center"/>
    </xf>
    <xf numFmtId="0" fontId="18" fillId="0" borderId="23" xfId="11" applyFont="1" applyBorder="1" applyAlignment="1">
      <alignment vertical="center"/>
    </xf>
    <xf numFmtId="0" fontId="18" fillId="0" borderId="24" xfId="11" applyFont="1" applyBorder="1" applyAlignment="1">
      <alignment horizontal="center" vertical="center"/>
    </xf>
    <xf numFmtId="0" fontId="18" fillId="0" borderId="25" xfId="11" applyFont="1" applyBorder="1" applyAlignment="1">
      <alignment horizontal="center" vertical="center"/>
    </xf>
    <xf numFmtId="0" fontId="18" fillId="0" borderId="26" xfId="11" applyFont="1" applyBorder="1" applyAlignment="1">
      <alignment horizontal="center" vertical="center" wrapText="1"/>
    </xf>
    <xf numFmtId="0" fontId="18" fillId="0" borderId="26" xfId="11" applyFont="1" applyBorder="1" applyAlignment="1">
      <alignment vertical="center" wrapText="1"/>
    </xf>
    <xf numFmtId="10" fontId="18" fillId="0" borderId="26" xfId="11" applyNumberFormat="1" applyFont="1" applyBorder="1" applyAlignment="1">
      <alignment horizontal="center" vertical="center" wrapText="1"/>
    </xf>
    <xf numFmtId="0" fontId="18" fillId="0" borderId="0" xfId="11" quotePrefix="1" applyFont="1" applyAlignment="1">
      <alignment vertical="center"/>
    </xf>
    <xf numFmtId="10" fontId="19" fillId="0" borderId="11" xfId="11" applyNumberFormat="1" applyFont="1" applyBorder="1" applyAlignment="1">
      <alignment horizontal="center" vertical="center" wrapText="1"/>
    </xf>
    <xf numFmtId="0" fontId="18" fillId="0" borderId="27" xfId="11" applyFont="1" applyBorder="1" applyAlignment="1">
      <alignment vertical="center" wrapText="1"/>
    </xf>
    <xf numFmtId="0" fontId="18" fillId="0" borderId="21" xfId="11" applyFont="1" applyBorder="1" applyAlignment="1">
      <alignment horizontal="center" vertical="center"/>
    </xf>
    <xf numFmtId="0" fontId="19" fillId="0" borderId="28" xfId="11" applyFont="1" applyBorder="1" applyAlignment="1">
      <alignment horizontal="center" vertical="center" wrapText="1"/>
    </xf>
    <xf numFmtId="0" fontId="18" fillId="0" borderId="28" xfId="11" applyFont="1" applyBorder="1" applyAlignment="1">
      <alignment vertical="center"/>
    </xf>
    <xf numFmtId="0" fontId="19" fillId="0" borderId="29" xfId="11" applyFont="1" applyBorder="1" applyAlignment="1">
      <alignment horizontal="center" vertical="center" wrapText="1"/>
    </xf>
    <xf numFmtId="10" fontId="18" fillId="0" borderId="22" xfId="12" applyNumberFormat="1" applyFont="1" applyBorder="1" applyAlignment="1">
      <alignment horizontal="center" vertical="center" wrapText="1"/>
    </xf>
    <xf numFmtId="0" fontId="18" fillId="0" borderId="16" xfId="11" applyFont="1" applyBorder="1" applyAlignment="1">
      <alignment horizontal="left" vertical="center"/>
    </xf>
    <xf numFmtId="0" fontId="18" fillId="0" borderId="17" xfId="11" applyFont="1" applyBorder="1" applyAlignment="1">
      <alignment vertical="center"/>
    </xf>
    <xf numFmtId="10" fontId="18" fillId="6" borderId="22" xfId="11" applyNumberFormat="1" applyFont="1" applyFill="1" applyBorder="1" applyAlignment="1">
      <alignment horizontal="center" vertical="center" wrapText="1"/>
    </xf>
    <xf numFmtId="0" fontId="18" fillId="3" borderId="16" xfId="11" applyFont="1" applyFill="1" applyBorder="1" applyAlignment="1">
      <alignment horizontal="center" vertical="center"/>
    </xf>
    <xf numFmtId="2" fontId="18" fillId="0" borderId="17" xfId="11" applyNumberFormat="1" applyFont="1" applyBorder="1" applyAlignment="1">
      <alignment horizontal="center" vertical="center"/>
    </xf>
    <xf numFmtId="9" fontId="18" fillId="3" borderId="16" xfId="11" applyNumberFormat="1" applyFont="1" applyFill="1" applyBorder="1" applyAlignment="1">
      <alignment horizontal="center" vertical="center"/>
    </xf>
    <xf numFmtId="0" fontId="19" fillId="0" borderId="27" xfId="11" applyFont="1" applyBorder="1" applyAlignment="1">
      <alignment vertical="center" wrapText="1"/>
    </xf>
    <xf numFmtId="0" fontId="18" fillId="0" borderId="27" xfId="11" applyFont="1" applyBorder="1" applyAlignment="1">
      <alignment vertical="center"/>
    </xf>
    <xf numFmtId="10" fontId="18" fillId="0" borderId="27" xfId="11" applyNumberFormat="1" applyFont="1" applyBorder="1" applyAlignment="1">
      <alignment horizontal="right" vertical="center" wrapText="1"/>
    </xf>
    <xf numFmtId="10" fontId="18" fillId="3" borderId="16" xfId="11" applyNumberFormat="1" applyFont="1" applyFill="1" applyBorder="1" applyAlignment="1">
      <alignment horizontal="center" vertical="center"/>
    </xf>
    <xf numFmtId="0" fontId="18" fillId="0" borderId="30" xfId="11" applyFont="1" applyBorder="1" applyAlignment="1">
      <alignment vertical="center" wrapText="1"/>
    </xf>
    <xf numFmtId="0" fontId="18" fillId="0" borderId="32" xfId="11" applyFont="1" applyBorder="1" applyAlignment="1">
      <alignment vertical="center" wrapText="1"/>
    </xf>
    <xf numFmtId="0" fontId="18" fillId="0" borderId="31" xfId="11" applyFont="1" applyBorder="1" applyAlignment="1">
      <alignment vertical="center" wrapText="1"/>
    </xf>
    <xf numFmtId="10" fontId="18" fillId="3" borderId="22" xfId="11" applyNumberFormat="1" applyFont="1" applyFill="1" applyBorder="1" applyAlignment="1">
      <alignment horizontal="center" vertical="center" wrapText="1"/>
    </xf>
    <xf numFmtId="9" fontId="18" fillId="0" borderId="16" xfId="11" applyNumberFormat="1" applyFont="1" applyBorder="1" applyAlignment="1">
      <alignment horizontal="center" vertical="center"/>
    </xf>
    <xf numFmtId="168" fontId="18" fillId="3" borderId="16" xfId="11" applyNumberFormat="1" applyFont="1" applyFill="1" applyBorder="1" applyAlignment="1">
      <alignment horizontal="center" vertical="center"/>
    </xf>
    <xf numFmtId="164" fontId="18" fillId="3" borderId="16" xfId="11" applyNumberFormat="1" applyFont="1" applyFill="1" applyBorder="1" applyAlignment="1">
      <alignment horizontal="center" vertical="center"/>
    </xf>
    <xf numFmtId="0" fontId="18" fillId="0" borderId="33" xfId="11" applyFont="1" applyBorder="1" applyAlignment="1">
      <alignment horizontal="center" vertical="center"/>
    </xf>
    <xf numFmtId="164" fontId="18" fillId="0" borderId="22" xfId="11" applyNumberFormat="1" applyFont="1" applyBorder="1" applyAlignment="1">
      <alignment horizontal="center" vertical="center" wrapText="1"/>
    </xf>
    <xf numFmtId="10" fontId="18" fillId="3" borderId="20" xfId="11" applyNumberFormat="1" applyFont="1" applyFill="1" applyBorder="1" applyAlignment="1">
      <alignment horizontal="center" vertical="center"/>
    </xf>
    <xf numFmtId="0" fontId="18" fillId="0" borderId="20" xfId="11" applyFont="1" applyBorder="1" applyAlignment="1">
      <alignment horizontal="left" vertical="center"/>
    </xf>
    <xf numFmtId="0" fontId="18" fillId="0" borderId="21" xfId="11" applyFont="1" applyBorder="1" applyAlignment="1">
      <alignment vertical="center"/>
    </xf>
    <xf numFmtId="0" fontId="20" fillId="0" borderId="0" xfId="11" applyFont="1" applyAlignment="1">
      <alignment horizontal="left" vertical="top"/>
    </xf>
    <xf numFmtId="0" fontId="18" fillId="0" borderId="34" xfId="11" applyFont="1" applyBorder="1" applyAlignment="1">
      <alignment horizontal="center" vertical="center" wrapText="1"/>
    </xf>
    <xf numFmtId="0" fontId="18" fillId="0" borderId="34" xfId="11" applyFont="1" applyBorder="1" applyAlignment="1">
      <alignment vertical="center" wrapText="1"/>
    </xf>
    <xf numFmtId="10" fontId="18" fillId="0" borderId="34" xfId="11" applyNumberFormat="1" applyFont="1" applyBorder="1" applyAlignment="1">
      <alignment horizontal="center" vertical="center" wrapText="1"/>
    </xf>
    <xf numFmtId="0" fontId="18" fillId="0" borderId="32" xfId="11" applyFont="1" applyBorder="1" applyAlignment="1">
      <alignment vertical="center"/>
    </xf>
    <xf numFmtId="0" fontId="18" fillId="0" borderId="11" xfId="11" applyFont="1" applyBorder="1" applyAlignment="1">
      <alignment horizontal="center" vertical="center" wrapText="1"/>
    </xf>
    <xf numFmtId="0" fontId="18" fillId="0" borderId="11" xfId="11" applyFont="1" applyBorder="1" applyAlignment="1">
      <alignment vertical="center" wrapText="1"/>
    </xf>
    <xf numFmtId="10" fontId="18" fillId="0" borderId="11" xfId="11" applyNumberFormat="1" applyFont="1" applyBorder="1" applyAlignment="1">
      <alignment horizontal="center" vertical="center" wrapText="1"/>
    </xf>
    <xf numFmtId="0" fontId="19" fillId="0" borderId="0" xfId="11" applyFont="1" applyAlignment="1">
      <alignment vertical="center"/>
    </xf>
    <xf numFmtId="10" fontId="21" fillId="5" borderId="11" xfId="11" applyNumberFormat="1" applyFont="1" applyFill="1" applyBorder="1" applyAlignment="1">
      <alignment horizontal="center" vertical="center" wrapText="1"/>
    </xf>
    <xf numFmtId="10" fontId="7" fillId="7" borderId="11" xfId="11" applyNumberFormat="1" applyFont="1" applyFill="1" applyBorder="1" applyAlignment="1">
      <alignment horizontal="center" vertical="center" wrapText="1"/>
    </xf>
    <xf numFmtId="0" fontId="21" fillId="0" borderId="0" xfId="11" applyFont="1" applyAlignment="1">
      <alignment vertical="center"/>
    </xf>
    <xf numFmtId="0" fontId="17" fillId="0" borderId="0" xfId="11" applyFont="1" applyAlignment="1">
      <alignment horizontal="center" vertical="center"/>
    </xf>
    <xf numFmtId="0" fontId="27" fillId="0" borderId="0" xfId="10" applyFont="1" applyAlignment="1">
      <alignment vertical="center"/>
    </xf>
    <xf numFmtId="0" fontId="27" fillId="0" borderId="0" xfId="10" applyFont="1" applyAlignment="1">
      <alignment horizontal="center" vertical="center"/>
    </xf>
    <xf numFmtId="0" fontId="27" fillId="0" borderId="38" xfId="10" applyFont="1" applyBorder="1" applyAlignment="1">
      <alignment horizontal="center" vertical="center"/>
    </xf>
    <xf numFmtId="0" fontId="27" fillId="0" borderId="38" xfId="10" applyFont="1" applyBorder="1" applyAlignment="1">
      <alignment horizontal="center" vertical="center" wrapText="1"/>
    </xf>
    <xf numFmtId="0" fontId="27" fillId="0" borderId="38" xfId="10" applyFont="1" applyBorder="1" applyAlignment="1">
      <alignment horizontal="left" vertical="center" wrapText="1"/>
    </xf>
    <xf numFmtId="169" fontId="27" fillId="0" borderId="38" xfId="10" applyNumberFormat="1" applyFont="1" applyBorder="1" applyAlignment="1">
      <alignment horizontal="left" vertical="center" wrapText="1"/>
    </xf>
    <xf numFmtId="0" fontId="29" fillId="0" borderId="0" xfId="10" applyFont="1" applyAlignment="1">
      <alignment horizontal="left" vertical="center"/>
    </xf>
    <xf numFmtId="0" fontId="0" fillId="0" borderId="0" xfId="0" applyAlignment="1">
      <alignment horizontal="left"/>
    </xf>
    <xf numFmtId="44" fontId="0" fillId="0" borderId="0" xfId="0" applyNumberFormat="1" applyAlignment="1">
      <alignment horizontal="center"/>
    </xf>
    <xf numFmtId="0" fontId="0" fillId="0" borderId="40" xfId="0" applyBorder="1"/>
    <xf numFmtId="0" fontId="6" fillId="0" borderId="40" xfId="0" applyFont="1" applyBorder="1" applyAlignment="1">
      <alignment horizontal="center"/>
    </xf>
    <xf numFmtId="44" fontId="0" fillId="0" borderId="40" xfId="0" applyNumberFormat="1" applyBorder="1" applyAlignment="1">
      <alignment horizontal="center"/>
    </xf>
    <xf numFmtId="0" fontId="0" fillId="0" borderId="41" xfId="0" applyBorder="1" applyAlignment="1">
      <alignment horizontal="left"/>
    </xf>
    <xf numFmtId="0" fontId="0" fillId="0" borderId="41" xfId="0" applyBorder="1" applyAlignment="1">
      <alignment horizontal="center"/>
    </xf>
    <xf numFmtId="44" fontId="0" fillId="0" borderId="41" xfId="0" applyNumberFormat="1" applyBorder="1" applyAlignment="1">
      <alignment horizontal="center"/>
    </xf>
    <xf numFmtId="0" fontId="0" fillId="0" borderId="42" xfId="0" applyBorder="1"/>
    <xf numFmtId="0" fontId="0" fillId="0" borderId="41" xfId="0" applyBorder="1"/>
    <xf numFmtId="16" fontId="0" fillId="0" borderId="0" xfId="0" applyNumberFormat="1" applyAlignment="1">
      <alignment horizontal="center"/>
    </xf>
    <xf numFmtId="0" fontId="2" fillId="8" borderId="40" xfId="0" applyFont="1" applyFill="1" applyBorder="1" applyAlignment="1">
      <alignment horizontal="center"/>
    </xf>
    <xf numFmtId="0" fontId="2" fillId="8" borderId="40" xfId="0" applyFont="1" applyFill="1" applyBorder="1" applyAlignment="1">
      <alignment horizontal="left"/>
    </xf>
    <xf numFmtId="44" fontId="2" fillId="8" borderId="40" xfId="0" applyNumberFormat="1" applyFont="1" applyFill="1" applyBorder="1" applyAlignment="1">
      <alignment horizontal="center"/>
    </xf>
    <xf numFmtId="0" fontId="6" fillId="0" borderId="42" xfId="0" applyFont="1" applyBorder="1" applyAlignment="1">
      <alignment horizontal="center"/>
    </xf>
    <xf numFmtId="0" fontId="6" fillId="0" borderId="42" xfId="0" applyFont="1" applyBorder="1" applyAlignment="1">
      <alignment horizontal="left"/>
    </xf>
    <xf numFmtId="44" fontId="6" fillId="0" borderId="42" xfId="0" applyNumberFormat="1" applyFont="1" applyBorder="1" applyAlignment="1">
      <alignment horizontal="center"/>
    </xf>
    <xf numFmtId="44" fontId="6" fillId="0" borderId="42" xfId="1" applyFont="1" applyBorder="1"/>
    <xf numFmtId="44" fontId="6" fillId="0" borderId="42" xfId="0" applyNumberFormat="1" applyFont="1" applyBorder="1"/>
    <xf numFmtId="0" fontId="6" fillId="0" borderId="43" xfId="0" applyFont="1" applyBorder="1" applyAlignment="1">
      <alignment horizontal="center"/>
    </xf>
    <xf numFmtId="10" fontId="6" fillId="0" borderId="42" xfId="2" applyNumberFormat="1" applyFont="1" applyBorder="1" applyAlignment="1">
      <alignment horizontal="center"/>
    </xf>
    <xf numFmtId="44" fontId="6" fillId="0" borderId="42" xfId="1" applyFont="1" applyBorder="1" applyAlignment="1">
      <alignment horizontal="center"/>
    </xf>
    <xf numFmtId="9" fontId="6" fillId="0" borderId="42" xfId="0" applyNumberFormat="1" applyFont="1" applyBorder="1" applyAlignment="1">
      <alignment horizontal="center"/>
    </xf>
    <xf numFmtId="0" fontId="0" fillId="0" borderId="40" xfId="0" applyBorder="1" applyAlignment="1">
      <alignment horizontal="left"/>
    </xf>
    <xf numFmtId="0" fontId="6" fillId="0" borderId="45" xfId="0" applyFont="1" applyBorder="1" applyAlignment="1">
      <alignment horizontal="left"/>
    </xf>
    <xf numFmtId="0" fontId="6" fillId="0" borderId="45" xfId="0" applyFont="1" applyBorder="1" applyAlignment="1">
      <alignment horizontal="right"/>
    </xf>
    <xf numFmtId="9" fontId="6" fillId="0" borderId="45" xfId="0" applyNumberFormat="1" applyFont="1" applyBorder="1" applyAlignment="1">
      <alignment horizontal="center"/>
    </xf>
    <xf numFmtId="44" fontId="6" fillId="0" borderId="45" xfId="0" applyNumberFormat="1" applyFont="1" applyBorder="1" applyAlignment="1">
      <alignment horizontal="center"/>
    </xf>
    <xf numFmtId="0" fontId="6" fillId="0" borderId="45" xfId="0" applyFont="1" applyBorder="1" applyAlignment="1">
      <alignment horizontal="center"/>
    </xf>
    <xf numFmtId="0" fontId="2" fillId="0" borderId="41" xfId="0" applyFont="1" applyBorder="1" applyAlignment="1">
      <alignment horizontal="left"/>
    </xf>
    <xf numFmtId="0" fontId="2" fillId="0" borderId="41" xfId="0" applyFont="1" applyBorder="1" applyAlignment="1">
      <alignment horizontal="center"/>
    </xf>
    <xf numFmtId="44" fontId="2" fillId="0" borderId="41" xfId="0" applyNumberFormat="1" applyFont="1" applyBorder="1" applyAlignment="1">
      <alignment horizontal="center"/>
    </xf>
    <xf numFmtId="0" fontId="2" fillId="0" borderId="45" xfId="0" applyFont="1" applyBorder="1" applyAlignment="1">
      <alignment horizontal="left"/>
    </xf>
    <xf numFmtId="0" fontId="2" fillId="0" borderId="45" xfId="0" applyFont="1" applyBorder="1" applyAlignment="1">
      <alignment horizontal="center"/>
    </xf>
    <xf numFmtId="44" fontId="2" fillId="0" borderId="45" xfId="0" applyNumberFormat="1" applyFont="1" applyBorder="1" applyAlignment="1">
      <alignment horizontal="center"/>
    </xf>
    <xf numFmtId="16" fontId="6" fillId="0" borderId="42" xfId="0" applyNumberFormat="1" applyFont="1" applyBorder="1" applyAlignment="1">
      <alignment horizontal="center"/>
    </xf>
    <xf numFmtId="0" fontId="6" fillId="0" borderId="42" xfId="0" applyFont="1" applyBorder="1"/>
    <xf numFmtId="16" fontId="6" fillId="0" borderId="0" xfId="0" applyNumberFormat="1" applyFont="1" applyAlignment="1">
      <alignment horizontal="center"/>
    </xf>
    <xf numFmtId="0" fontId="6" fillId="0" borderId="0" xfId="0" applyFont="1" applyAlignment="1">
      <alignment horizontal="left"/>
    </xf>
    <xf numFmtId="10" fontId="6" fillId="0" borderId="0" xfId="2" applyNumberFormat="1" applyFont="1" applyAlignment="1">
      <alignment horizontal="center"/>
    </xf>
    <xf numFmtId="0" fontId="2" fillId="0" borderId="45" xfId="0" applyFont="1" applyBorder="1"/>
    <xf numFmtId="0" fontId="2" fillId="10" borderId="40" xfId="0" applyFont="1" applyFill="1" applyBorder="1" applyAlignment="1">
      <alignment horizontal="center"/>
    </xf>
    <xf numFmtId="0" fontId="2" fillId="10" borderId="40" xfId="0" applyFont="1" applyFill="1" applyBorder="1" applyAlignment="1">
      <alignment horizontal="left"/>
    </xf>
    <xf numFmtId="0" fontId="2" fillId="10" borderId="40" xfId="0" applyFont="1" applyFill="1" applyBorder="1"/>
    <xf numFmtId="44" fontId="2" fillId="10" borderId="40" xfId="0" applyNumberFormat="1" applyFont="1" applyFill="1" applyBorder="1"/>
    <xf numFmtId="0" fontId="2" fillId="0" borderId="40" xfId="0" applyFont="1" applyBorder="1" applyAlignment="1">
      <alignment horizontal="center"/>
    </xf>
    <xf numFmtId="0" fontId="2" fillId="0" borderId="40" xfId="0" applyFont="1" applyBorder="1"/>
    <xf numFmtId="44" fontId="2" fillId="0" borderId="40" xfId="0" applyNumberFormat="1" applyFont="1" applyBorder="1"/>
    <xf numFmtId="44" fontId="2" fillId="10" borderId="40" xfId="1" applyFont="1" applyFill="1" applyBorder="1"/>
    <xf numFmtId="0" fontId="34" fillId="0" borderId="28" xfId="0" applyFont="1" applyBorder="1" applyAlignment="1">
      <alignment horizontal="center"/>
    </xf>
    <xf numFmtId="0" fontId="35" fillId="0" borderId="28" xfId="0" applyFont="1" applyBorder="1" applyAlignment="1">
      <alignment horizontal="center"/>
    </xf>
    <xf numFmtId="0" fontId="30" fillId="0" borderId="28" xfId="0" applyFont="1" applyBorder="1" applyAlignment="1">
      <alignment horizontal="center"/>
    </xf>
    <xf numFmtId="0" fontId="22" fillId="11" borderId="0" xfId="4" applyFont="1" applyFill="1" applyAlignment="1">
      <alignment vertical="center"/>
    </xf>
    <xf numFmtId="0" fontId="23" fillId="11" borderId="0" xfId="4" applyFont="1" applyFill="1" applyAlignment="1">
      <alignment vertical="center"/>
    </xf>
    <xf numFmtId="0" fontId="25" fillId="11" borderId="0" xfId="13" applyFont="1" applyFill="1" applyAlignment="1">
      <alignment vertical="center"/>
    </xf>
    <xf numFmtId="0" fontId="36" fillId="11" borderId="0" xfId="4" applyFont="1" applyFill="1" applyAlignment="1">
      <alignment vertical="center"/>
    </xf>
    <xf numFmtId="0" fontId="26" fillId="11" borderId="0" xfId="4" applyFont="1" applyFill="1" applyAlignment="1">
      <alignment vertical="center"/>
    </xf>
    <xf numFmtId="0" fontId="0" fillId="0" borderId="45" xfId="0" applyBorder="1"/>
    <xf numFmtId="0" fontId="2" fillId="0" borderId="41" xfId="0" applyFont="1" applyBorder="1"/>
    <xf numFmtId="0" fontId="37" fillId="0" borderId="0" xfId="10" applyFont="1" applyAlignment="1">
      <alignment horizontal="left" vertical="center"/>
    </xf>
    <xf numFmtId="0" fontId="37" fillId="11" borderId="46" xfId="10" applyFont="1" applyFill="1" applyBorder="1" applyAlignment="1">
      <alignment horizontal="left" vertical="center"/>
    </xf>
    <xf numFmtId="0" fontId="0" fillId="11" borderId="47" xfId="0" applyFill="1" applyBorder="1"/>
    <xf numFmtId="0" fontId="0" fillId="11" borderId="48" xfId="0" applyFill="1" applyBorder="1"/>
    <xf numFmtId="0" fontId="0" fillId="11" borderId="6" xfId="0" applyFill="1" applyBorder="1"/>
    <xf numFmtId="0" fontId="0" fillId="11" borderId="7" xfId="0" applyFill="1" applyBorder="1"/>
    <xf numFmtId="0" fontId="0" fillId="11" borderId="39" xfId="0" applyFill="1" applyBorder="1"/>
    <xf numFmtId="0" fontId="24" fillId="11" borderId="0" xfId="4" applyFont="1" applyFill="1" applyAlignment="1">
      <alignment vertical="center"/>
    </xf>
    <xf numFmtId="44" fontId="2" fillId="12" borderId="28" xfId="1" applyFont="1" applyFill="1" applyBorder="1"/>
    <xf numFmtId="0" fontId="41" fillId="11" borderId="0" xfId="4" applyFont="1" applyFill="1" applyAlignment="1">
      <alignment horizontal="left" vertical="center"/>
    </xf>
    <xf numFmtId="0" fontId="0" fillId="11" borderId="0" xfId="0" applyFill="1"/>
    <xf numFmtId="0" fontId="39" fillId="11" borderId="0" xfId="0" applyFont="1" applyFill="1"/>
    <xf numFmtId="0" fontId="0" fillId="11" borderId="40" xfId="0" applyFill="1" applyBorder="1"/>
    <xf numFmtId="0" fontId="38" fillId="11" borderId="0" xfId="0" applyFont="1" applyFill="1" applyAlignment="1">
      <alignment horizontal="left" vertical="top" wrapText="1"/>
    </xf>
    <xf numFmtId="0" fontId="0" fillId="11" borderId="28" xfId="0" applyFill="1" applyBorder="1"/>
    <xf numFmtId="0" fontId="38" fillId="11" borderId="0" xfId="0" applyFont="1" applyFill="1" applyAlignment="1">
      <alignment vertical="top" wrapText="1"/>
    </xf>
    <xf numFmtId="0" fontId="31" fillId="0" borderId="0" xfId="0" applyFont="1" applyAlignment="1">
      <alignment horizontal="center"/>
    </xf>
    <xf numFmtId="0" fontId="2" fillId="0" borderId="42" xfId="0" applyFont="1" applyBorder="1" applyAlignment="1">
      <alignment horizontal="center"/>
    </xf>
    <xf numFmtId="0" fontId="2" fillId="0" borderId="42" xfId="0" applyFont="1" applyBorder="1" applyAlignment="1">
      <alignment horizontal="left"/>
    </xf>
    <xf numFmtId="0" fontId="0" fillId="0" borderId="42" xfId="0" applyBorder="1" applyAlignment="1">
      <alignment horizontal="center"/>
    </xf>
    <xf numFmtId="0" fontId="31" fillId="0" borderId="42" xfId="0" applyFont="1" applyBorder="1" applyAlignment="1">
      <alignment horizontal="center"/>
    </xf>
    <xf numFmtId="0" fontId="0" fillId="0" borderId="45" xfId="0" applyBorder="1" applyAlignment="1">
      <alignment horizontal="center"/>
    </xf>
    <xf numFmtId="0" fontId="2" fillId="0" borderId="42" xfId="0" applyFont="1" applyBorder="1"/>
    <xf numFmtId="9" fontId="2" fillId="0" borderId="42" xfId="0" applyNumberFormat="1" applyFont="1" applyBorder="1" applyAlignment="1">
      <alignment horizontal="center"/>
    </xf>
    <xf numFmtId="0" fontId="31" fillId="0" borderId="42" xfId="0" applyFont="1" applyBorder="1" applyAlignment="1">
      <alignment horizontal="left"/>
    </xf>
    <xf numFmtId="44" fontId="31" fillId="0" borderId="42" xfId="0" applyNumberFormat="1" applyFont="1" applyBorder="1" applyAlignment="1">
      <alignment horizontal="center"/>
    </xf>
    <xf numFmtId="0" fontId="6" fillId="0" borderId="45" xfId="0" applyFont="1" applyBorder="1"/>
    <xf numFmtId="0" fontId="41" fillId="11" borderId="0" xfId="13" applyFont="1" applyFill="1" applyAlignment="1">
      <alignment horizontal="left" vertical="center"/>
    </xf>
    <xf numFmtId="0" fontId="2" fillId="13" borderId="40" xfId="0" applyFont="1" applyFill="1" applyBorder="1" applyAlignment="1">
      <alignment horizontal="center"/>
    </xf>
    <xf numFmtId="0" fontId="2" fillId="13" borderId="40" xfId="0" applyFont="1" applyFill="1" applyBorder="1" applyAlignment="1">
      <alignment horizontal="left"/>
    </xf>
    <xf numFmtId="0" fontId="31" fillId="13" borderId="40" xfId="14" applyNumberFormat="1" applyFont="1" applyFill="1" applyBorder="1" applyAlignment="1">
      <alignment horizontal="center"/>
    </xf>
    <xf numFmtId="44" fontId="2" fillId="13" borderId="40" xfId="0" applyNumberFormat="1" applyFont="1" applyFill="1" applyBorder="1" applyAlignment="1">
      <alignment horizontal="center"/>
    </xf>
    <xf numFmtId="16" fontId="2" fillId="13" borderId="40" xfId="0" applyNumberFormat="1" applyFont="1" applyFill="1" applyBorder="1" applyAlignment="1">
      <alignment horizontal="left"/>
    </xf>
    <xf numFmtId="0" fontId="0" fillId="14" borderId="0" xfId="0" applyFill="1"/>
    <xf numFmtId="0" fontId="33" fillId="15" borderId="2" xfId="0" applyFont="1" applyFill="1" applyBorder="1"/>
    <xf numFmtId="0" fontId="33" fillId="15" borderId="1" xfId="0" applyFont="1" applyFill="1" applyBorder="1"/>
    <xf numFmtId="9" fontId="0" fillId="0" borderId="0" xfId="0" applyNumberFormat="1"/>
    <xf numFmtId="44" fontId="2" fillId="10" borderId="40" xfId="0" applyNumberFormat="1" applyFont="1" applyFill="1" applyBorder="1" applyAlignment="1">
      <alignment horizontal="center"/>
    </xf>
    <xf numFmtId="44" fontId="47" fillId="10" borderId="40" xfId="0" applyNumberFormat="1" applyFont="1" applyFill="1" applyBorder="1" applyAlignment="1">
      <alignment horizontal="center"/>
    </xf>
    <xf numFmtId="10" fontId="2" fillId="0" borderId="42" xfId="0" applyNumberFormat="1" applyFont="1" applyBorder="1" applyAlignment="1">
      <alignment horizontal="center"/>
    </xf>
    <xf numFmtId="10" fontId="31" fillId="13" borderId="40" xfId="0" applyNumberFormat="1" applyFont="1" applyFill="1" applyBorder="1" applyAlignment="1">
      <alignment horizontal="center"/>
    </xf>
    <xf numFmtId="0" fontId="0" fillId="0" borderId="0" xfId="0" applyProtection="1">
      <protection locked="0"/>
    </xf>
    <xf numFmtId="44" fontId="0" fillId="0" borderId="0" xfId="1" applyFont="1" applyProtection="1">
      <protection locked="0"/>
    </xf>
    <xf numFmtId="0" fontId="32" fillId="0" borderId="0" xfId="0" applyFont="1" applyAlignment="1" applyProtection="1">
      <alignment horizontal="center"/>
      <protection locked="0"/>
    </xf>
    <xf numFmtId="0" fontId="32" fillId="0" borderId="39" xfId="0" applyFont="1" applyBorder="1" applyAlignment="1" applyProtection="1">
      <alignment horizontal="center" vertical="center"/>
      <protection locked="0"/>
    </xf>
    <xf numFmtId="0" fontId="32" fillId="0" borderId="40" xfId="0" applyFont="1" applyBorder="1" applyAlignment="1" applyProtection="1">
      <alignment horizontal="center" vertical="center"/>
      <protection locked="0"/>
    </xf>
    <xf numFmtId="44" fontId="0" fillId="0" borderId="0" xfId="1" applyFont="1" applyFill="1" applyProtection="1">
      <protection locked="0"/>
    </xf>
    <xf numFmtId="0" fontId="0" fillId="0" borderId="40" xfId="0" applyBorder="1" applyProtection="1">
      <protection locked="0"/>
    </xf>
    <xf numFmtId="0" fontId="2" fillId="0" borderId="41" xfId="0" applyFont="1" applyBorder="1" applyProtection="1">
      <protection locked="0"/>
    </xf>
    <xf numFmtId="0" fontId="0" fillId="0" borderId="41" xfId="0" applyBorder="1" applyProtection="1">
      <protection locked="0"/>
    </xf>
    <xf numFmtId="0" fontId="0" fillId="0" borderId="45" xfId="0" applyBorder="1" applyProtection="1">
      <protection locked="0"/>
    </xf>
    <xf numFmtId="44" fontId="0" fillId="0" borderId="45" xfId="1" applyFont="1" applyFill="1" applyBorder="1" applyProtection="1">
      <protection locked="0"/>
    </xf>
    <xf numFmtId="44" fontId="0" fillId="0" borderId="0" xfId="1" applyFont="1" applyFill="1" applyBorder="1" applyProtection="1">
      <protection locked="0"/>
    </xf>
    <xf numFmtId="44" fontId="2" fillId="0" borderId="0" xfId="0" applyNumberFormat="1" applyFont="1" applyProtection="1">
      <protection locked="0"/>
    </xf>
    <xf numFmtId="0" fontId="0" fillId="0" borderId="42" xfId="0" applyBorder="1" applyProtection="1">
      <protection locked="0"/>
    </xf>
    <xf numFmtId="44" fontId="0" fillId="0" borderId="0" xfId="0" applyNumberFormat="1" applyProtection="1">
      <protection locked="0"/>
    </xf>
    <xf numFmtId="44" fontId="2" fillId="0" borderId="9" xfId="1" applyFont="1" applyFill="1" applyBorder="1" applyProtection="1">
      <protection locked="0"/>
    </xf>
    <xf numFmtId="0" fontId="2" fillId="0" borderId="9" xfId="0" applyFont="1" applyBorder="1" applyAlignment="1" applyProtection="1">
      <alignment horizontal="center"/>
      <protection locked="0"/>
    </xf>
    <xf numFmtId="44" fontId="2" fillId="0" borderId="9" xfId="1" applyFont="1" applyBorder="1" applyAlignment="1" applyProtection="1">
      <alignment horizontal="center"/>
      <protection locked="0"/>
    </xf>
    <xf numFmtId="43" fontId="0" fillId="0" borderId="0" xfId="14" applyFont="1" applyProtection="1">
      <protection locked="0"/>
    </xf>
    <xf numFmtId="0" fontId="0" fillId="12" borderId="42" xfId="0" applyFill="1" applyBorder="1" applyProtection="1">
      <protection locked="0"/>
    </xf>
    <xf numFmtId="0" fontId="0" fillId="12" borderId="67" xfId="0" applyFill="1" applyBorder="1" applyProtection="1">
      <protection locked="0"/>
    </xf>
    <xf numFmtId="2" fontId="0" fillId="12" borderId="45" xfId="14" applyNumberFormat="1" applyFont="1" applyFill="1" applyBorder="1" applyAlignment="1" applyProtection="1">
      <alignment horizontal="center"/>
      <protection locked="0"/>
    </xf>
    <xf numFmtId="44" fontId="0" fillId="12" borderId="42" xfId="1" applyFont="1" applyFill="1" applyBorder="1" applyAlignment="1" applyProtection="1">
      <alignment horizontal="center"/>
      <protection locked="0"/>
    </xf>
    <xf numFmtId="0" fontId="0" fillId="12" borderId="68" xfId="0" applyFill="1" applyBorder="1" applyProtection="1">
      <protection locked="0"/>
    </xf>
    <xf numFmtId="2" fontId="0" fillId="12" borderId="42" xfId="14" applyNumberFormat="1" applyFont="1" applyFill="1" applyBorder="1" applyAlignment="1" applyProtection="1">
      <alignment horizontal="center"/>
      <protection locked="0"/>
    </xf>
    <xf numFmtId="0" fontId="2" fillId="0" borderId="45" xfId="0" applyFont="1" applyBorder="1" applyProtection="1">
      <protection locked="0"/>
    </xf>
    <xf numFmtId="0" fontId="0" fillId="11" borderId="42" xfId="0" applyFill="1" applyBorder="1" applyAlignment="1" applyProtection="1">
      <alignment horizontal="center"/>
      <protection locked="0"/>
    </xf>
    <xf numFmtId="0" fontId="0" fillId="11" borderId="45" xfId="0" applyFill="1" applyBorder="1" applyAlignment="1" applyProtection="1">
      <alignment horizontal="center"/>
      <protection locked="0"/>
    </xf>
    <xf numFmtId="44" fontId="0" fillId="11" borderId="42" xfId="1" applyFont="1" applyFill="1" applyBorder="1" applyProtection="1">
      <protection locked="0"/>
    </xf>
    <xf numFmtId="44" fontId="0" fillId="0" borderId="42" xfId="1" applyFont="1" applyFill="1" applyBorder="1" applyProtection="1">
      <protection locked="0"/>
    </xf>
    <xf numFmtId="44" fontId="0" fillId="12" borderId="42" xfId="1" applyFont="1" applyFill="1" applyBorder="1" applyProtection="1">
      <protection locked="0"/>
    </xf>
    <xf numFmtId="0" fontId="0" fillId="12" borderId="42" xfId="0" applyFill="1" applyBorder="1" applyAlignment="1" applyProtection="1">
      <alignment horizontal="center"/>
      <protection locked="0"/>
    </xf>
    <xf numFmtId="0" fontId="0" fillId="12" borderId="45" xfId="0" applyFill="1" applyBorder="1" applyAlignment="1" applyProtection="1">
      <alignment horizontal="center"/>
      <protection locked="0"/>
    </xf>
    <xf numFmtId="0" fontId="0" fillId="0" borderId="0" xfId="0" applyAlignment="1" applyProtection="1">
      <alignment horizontal="center"/>
      <protection locked="0"/>
    </xf>
    <xf numFmtId="0" fontId="2" fillId="0" borderId="0" xfId="0" applyFont="1" applyProtection="1">
      <protection locked="0"/>
    </xf>
    <xf numFmtId="44" fontId="0" fillId="0" borderId="45" xfId="1" applyFont="1" applyBorder="1" applyProtection="1">
      <protection locked="0"/>
    </xf>
    <xf numFmtId="44" fontId="0" fillId="0" borderId="0" xfId="0" applyNumberFormat="1" applyAlignment="1" applyProtection="1">
      <alignment vertical="center"/>
      <protection locked="0"/>
    </xf>
    <xf numFmtId="0" fontId="0" fillId="0" borderId="0" xfId="0" applyAlignment="1" applyProtection="1">
      <alignment vertical="center"/>
      <protection locked="0"/>
    </xf>
    <xf numFmtId="0" fontId="0" fillId="12" borderId="44" xfId="0" applyFill="1" applyBorder="1" applyProtection="1">
      <protection locked="0"/>
    </xf>
    <xf numFmtId="44" fontId="0" fillId="12" borderId="0" xfId="1" applyFont="1" applyFill="1" applyBorder="1" applyProtection="1">
      <protection locked="0"/>
    </xf>
    <xf numFmtId="0" fontId="37" fillId="12" borderId="0" xfId="10" applyFont="1" applyFill="1" applyAlignment="1" applyProtection="1">
      <alignment horizontal="left" vertical="center"/>
      <protection locked="0"/>
    </xf>
    <xf numFmtId="0" fontId="0" fillId="12" borderId="0" xfId="0" applyFill="1" applyProtection="1">
      <protection locked="0"/>
    </xf>
    <xf numFmtId="44" fontId="0" fillId="0" borderId="0" xfId="1" applyFont="1" applyFill="1" applyBorder="1" applyProtection="1"/>
    <xf numFmtId="2" fontId="0" fillId="11" borderId="45" xfId="14" applyNumberFormat="1" applyFont="1" applyFill="1" applyBorder="1" applyAlignment="1" applyProtection="1">
      <alignment horizontal="center"/>
    </xf>
    <xf numFmtId="2" fontId="0" fillId="11" borderId="42" xfId="14" applyNumberFormat="1" applyFont="1" applyFill="1" applyBorder="1" applyAlignment="1" applyProtection="1">
      <alignment horizontal="center"/>
    </xf>
    <xf numFmtId="44" fontId="0" fillId="0" borderId="45" xfId="1" applyFont="1" applyFill="1" applyBorder="1" applyProtection="1"/>
    <xf numFmtId="0" fontId="0" fillId="11" borderId="42" xfId="0" applyFill="1" applyBorder="1" applyAlignment="1">
      <alignment horizontal="center"/>
    </xf>
    <xf numFmtId="0" fontId="0" fillId="11" borderId="45" xfId="0" applyFill="1" applyBorder="1" applyAlignment="1">
      <alignment horizontal="center"/>
    </xf>
    <xf numFmtId="44" fontId="0" fillId="0" borderId="42" xfId="1" applyFont="1" applyFill="1" applyBorder="1" applyProtection="1"/>
    <xf numFmtId="0" fontId="0" fillId="0" borderId="43" xfId="0" applyBorder="1"/>
    <xf numFmtId="0" fontId="28" fillId="16" borderId="38" xfId="10" applyFont="1" applyFill="1" applyBorder="1" applyAlignment="1">
      <alignment horizontal="center" vertical="center"/>
    </xf>
    <xf numFmtId="0" fontId="24" fillId="16" borderId="46" xfId="4" applyFont="1" applyFill="1" applyBorder="1" applyAlignment="1">
      <alignment vertical="center"/>
    </xf>
    <xf numFmtId="0" fontId="0" fillId="16" borderId="47" xfId="0" applyFill="1" applyBorder="1"/>
    <xf numFmtId="0" fontId="0" fillId="16" borderId="48" xfId="0" applyFill="1" applyBorder="1"/>
    <xf numFmtId="0" fontId="0" fillId="16" borderId="39" xfId="0" applyFill="1" applyBorder="1" applyProtection="1">
      <protection locked="0"/>
    </xf>
    <xf numFmtId="0" fontId="2" fillId="16" borderId="40" xfId="0" applyFont="1" applyFill="1" applyBorder="1" applyAlignment="1" applyProtection="1">
      <alignment horizontal="center"/>
      <protection locked="0"/>
    </xf>
    <xf numFmtId="0" fontId="0" fillId="0" borderId="40" xfId="0" applyBorder="1" applyAlignment="1">
      <alignment horizontal="center"/>
    </xf>
    <xf numFmtId="0" fontId="54" fillId="0" borderId="0" xfId="3" applyFont="1" applyAlignment="1">
      <alignment vertical="center"/>
    </xf>
    <xf numFmtId="0" fontId="55" fillId="0" borderId="0" xfId="3" applyFont="1" applyAlignment="1">
      <alignment horizontal="center" vertical="center"/>
    </xf>
    <xf numFmtId="0" fontId="53" fillId="17" borderId="59" xfId="5" applyFont="1" applyFill="1" applyBorder="1" applyAlignment="1">
      <alignment vertical="center"/>
    </xf>
    <xf numFmtId="0" fontId="53" fillId="17" borderId="40" xfId="5" applyFont="1" applyFill="1" applyBorder="1" applyAlignment="1">
      <alignment vertical="center"/>
    </xf>
    <xf numFmtId="0" fontId="53" fillId="17" borderId="60" xfId="5" applyFont="1" applyFill="1" applyBorder="1" applyAlignment="1">
      <alignment horizontal="center" vertical="center"/>
    </xf>
    <xf numFmtId="0" fontId="53" fillId="0" borderId="47" xfId="3" applyFont="1" applyBorder="1" applyAlignment="1">
      <alignment horizontal="center" vertical="center"/>
    </xf>
    <xf numFmtId="0" fontId="54" fillId="0" borderId="47" xfId="3" applyFont="1" applyBorder="1" applyAlignment="1">
      <alignment vertical="center"/>
    </xf>
    <xf numFmtId="0" fontId="53" fillId="0" borderId="48" xfId="3" applyFont="1" applyBorder="1" applyAlignment="1">
      <alignment horizontal="center" vertical="center"/>
    </xf>
    <xf numFmtId="0" fontId="55" fillId="0" borderId="6" xfId="3" applyFont="1" applyBorder="1" applyAlignment="1">
      <alignment horizontal="left" vertical="center" indent="1"/>
    </xf>
    <xf numFmtId="0" fontId="55" fillId="0" borderId="0" xfId="3" applyFont="1" applyAlignment="1">
      <alignment vertical="center"/>
    </xf>
    <xf numFmtId="17" fontId="55" fillId="0" borderId="0" xfId="3" applyNumberFormat="1" applyFont="1" applyAlignment="1">
      <alignment horizontal="center" vertical="center"/>
    </xf>
    <xf numFmtId="164" fontId="55" fillId="0" borderId="0" xfId="6" applyNumberFormat="1" applyFont="1" applyFill="1" applyBorder="1" applyAlignment="1" applyProtection="1">
      <alignment vertical="center"/>
    </xf>
    <xf numFmtId="0" fontId="55" fillId="0" borderId="7" xfId="3" applyFont="1" applyBorder="1" applyAlignment="1">
      <alignment horizontal="center" vertical="center"/>
    </xf>
    <xf numFmtId="164" fontId="55" fillId="0" borderId="0" xfId="3" applyNumberFormat="1" applyFont="1" applyAlignment="1">
      <alignment vertical="center"/>
    </xf>
    <xf numFmtId="10" fontId="55" fillId="0" borderId="0" xfId="3" applyNumberFormat="1" applyFont="1" applyAlignment="1">
      <alignment vertical="center"/>
    </xf>
    <xf numFmtId="0" fontId="55" fillId="0" borderId="8" xfId="3" applyFont="1" applyBorder="1" applyAlignment="1">
      <alignment horizontal="left" vertical="center" indent="1"/>
    </xf>
    <xf numFmtId="0" fontId="55" fillId="0" borderId="9" xfId="3" applyFont="1" applyBorder="1" applyAlignment="1">
      <alignment vertical="center"/>
    </xf>
    <xf numFmtId="17" fontId="55" fillId="0" borderId="9" xfId="3" applyNumberFormat="1" applyFont="1" applyBorder="1" applyAlignment="1">
      <alignment horizontal="center" vertical="center"/>
    </xf>
    <xf numFmtId="0" fontId="54" fillId="0" borderId="9" xfId="3" applyFont="1" applyBorder="1" applyAlignment="1">
      <alignment vertical="center"/>
    </xf>
    <xf numFmtId="10" fontId="55" fillId="0" borderId="9" xfId="3" applyNumberFormat="1" applyFont="1" applyBorder="1" applyAlignment="1">
      <alignment vertical="center"/>
    </xf>
    <xf numFmtId="0" fontId="55" fillId="0" borderId="10" xfId="3" applyFont="1" applyBorder="1" applyAlignment="1">
      <alignment horizontal="center" vertical="center"/>
    </xf>
    <xf numFmtId="0" fontId="53" fillId="0" borderId="0" xfId="3" applyFont="1" applyAlignment="1">
      <alignment vertical="center"/>
    </xf>
    <xf numFmtId="0" fontId="54" fillId="0" borderId="0" xfId="3" applyFont="1" applyAlignment="1">
      <alignment horizontal="center" vertical="center"/>
    </xf>
    <xf numFmtId="0" fontId="53" fillId="17" borderId="59" xfId="5" applyFont="1" applyFill="1" applyBorder="1" applyAlignment="1">
      <alignment horizontal="center" vertical="center"/>
    </xf>
    <xf numFmtId="0" fontId="53" fillId="17" borderId="40" xfId="5" applyFont="1" applyFill="1" applyBorder="1" applyAlignment="1">
      <alignment horizontal="center" vertical="center"/>
    </xf>
    <xf numFmtId="0" fontId="56" fillId="17" borderId="60" xfId="5" applyFont="1" applyFill="1" applyBorder="1" applyAlignment="1">
      <alignment horizontal="center" vertical="center"/>
    </xf>
    <xf numFmtId="37" fontId="54" fillId="0" borderId="59" xfId="8" applyFont="1" applyBorder="1" applyAlignment="1">
      <alignment horizontal="center" vertical="center" wrapText="1"/>
    </xf>
    <xf numFmtId="165" fontId="54" fillId="0" borderId="40" xfId="8" applyNumberFormat="1" applyFont="1" applyBorder="1" applyAlignment="1">
      <alignment horizontal="center" vertical="center"/>
    </xf>
    <xf numFmtId="0" fontId="54" fillId="0" borderId="40" xfId="5" applyFont="1" applyBorder="1" applyAlignment="1">
      <alignment horizontal="center" vertical="center"/>
    </xf>
    <xf numFmtId="37" fontId="54" fillId="0" borderId="40" xfId="8" applyFont="1" applyBorder="1" applyAlignment="1">
      <alignment horizontal="center" vertical="center" wrapText="1"/>
    </xf>
    <xf numFmtId="37" fontId="54" fillId="0" borderId="40" xfId="8" applyFont="1" applyBorder="1" applyAlignment="1">
      <alignment horizontal="left" vertical="center" wrapText="1"/>
    </xf>
    <xf numFmtId="10" fontId="54" fillId="0" borderId="40" xfId="6" applyNumberFormat="1" applyFont="1" applyFill="1" applyBorder="1" applyAlignment="1" applyProtection="1">
      <alignment horizontal="center" vertical="center"/>
    </xf>
    <xf numFmtId="10" fontId="55" fillId="0" borderId="60" xfId="6" applyNumberFormat="1" applyFont="1" applyFill="1" applyBorder="1" applyAlignment="1" applyProtection="1">
      <alignment horizontal="center" vertical="center"/>
    </xf>
    <xf numFmtId="0" fontId="54" fillId="0" borderId="59" xfId="5" applyFont="1" applyBorder="1" applyAlignment="1">
      <alignment horizontal="center" vertical="center" wrapText="1"/>
    </xf>
    <xf numFmtId="165" fontId="54" fillId="0" borderId="40" xfId="5" applyNumberFormat="1" applyFont="1" applyBorder="1" applyAlignment="1">
      <alignment horizontal="center" vertical="center" wrapText="1"/>
    </xf>
    <xf numFmtId="166" fontId="55" fillId="0" borderId="60" xfId="9" applyFont="1" applyFill="1" applyBorder="1" applyAlignment="1" applyProtection="1">
      <alignment horizontal="center" vertical="center"/>
    </xf>
    <xf numFmtId="0" fontId="54" fillId="0" borderId="47" xfId="5" applyFont="1" applyBorder="1" applyAlignment="1">
      <alignment horizontal="center" vertical="center" wrapText="1"/>
    </xf>
    <xf numFmtId="0" fontId="54" fillId="0" borderId="47" xfId="5" applyFont="1" applyBorder="1" applyAlignment="1">
      <alignment horizontal="center" vertical="center"/>
    </xf>
    <xf numFmtId="37" fontId="54" fillId="0" borderId="47" xfId="8" applyFont="1" applyBorder="1" applyAlignment="1">
      <alignment horizontal="center" vertical="center" wrapText="1"/>
    </xf>
    <xf numFmtId="0" fontId="54" fillId="0" borderId="47" xfId="5" applyFont="1" applyBorder="1" applyAlignment="1">
      <alignment vertical="center"/>
    </xf>
    <xf numFmtId="10" fontId="54" fillId="0" borderId="47" xfId="6" applyNumberFormat="1" applyFont="1" applyFill="1" applyBorder="1" applyAlignment="1" applyProtection="1">
      <alignment horizontal="center" vertical="center"/>
    </xf>
    <xf numFmtId="10" fontId="55" fillId="0" borderId="48" xfId="6" applyNumberFormat="1" applyFont="1" applyFill="1" applyBorder="1" applyAlignment="1" applyProtection="1">
      <alignment horizontal="center" vertical="center"/>
    </xf>
    <xf numFmtId="0" fontId="54" fillId="0" borderId="0" xfId="5" applyFont="1" applyAlignment="1">
      <alignment horizontal="center" vertical="center" wrapText="1"/>
    </xf>
    <xf numFmtId="0" fontId="54" fillId="0" borderId="0" xfId="5" applyFont="1" applyAlignment="1">
      <alignment horizontal="center" vertical="center"/>
    </xf>
    <xf numFmtId="164" fontId="54" fillId="0" borderId="0" xfId="6" applyNumberFormat="1" applyFont="1" applyFill="1" applyBorder="1" applyAlignment="1" applyProtection="1">
      <alignment horizontal="center" vertical="center" wrapText="1"/>
    </xf>
    <xf numFmtId="37" fontId="54" fillId="0" borderId="0" xfId="8" applyFont="1" applyAlignment="1">
      <alignment vertical="center"/>
    </xf>
    <xf numFmtId="10" fontId="54" fillId="0" borderId="0" xfId="6" applyNumberFormat="1" applyFont="1" applyFill="1" applyBorder="1" applyAlignment="1" applyProtection="1">
      <alignment horizontal="center" vertical="center"/>
    </xf>
    <xf numFmtId="10" fontId="55" fillId="0" borderId="7" xfId="6" applyNumberFormat="1" applyFont="1" applyFill="1" applyBorder="1" applyAlignment="1" applyProtection="1">
      <alignment horizontal="center" vertical="center"/>
    </xf>
    <xf numFmtId="0" fontId="54" fillId="0" borderId="9" xfId="5" applyFont="1" applyBorder="1" applyAlignment="1">
      <alignment horizontal="center" vertical="center" wrapText="1"/>
    </xf>
    <xf numFmtId="0" fontId="54" fillId="0" borderId="9" xfId="5" applyFont="1" applyBorder="1" applyAlignment="1">
      <alignment horizontal="center" vertical="center"/>
    </xf>
    <xf numFmtId="167" fontId="54" fillId="0" borderId="9" xfId="8" applyNumberFormat="1" applyFont="1" applyBorder="1" applyAlignment="1">
      <alignment horizontal="center" vertical="center" wrapText="1"/>
    </xf>
    <xf numFmtId="37" fontId="54" fillId="0" borderId="9" xfId="8" applyFont="1" applyBorder="1" applyAlignment="1">
      <alignment vertical="center"/>
    </xf>
    <xf numFmtId="9" fontId="54" fillId="0" borderId="9" xfId="6" applyFont="1" applyFill="1" applyBorder="1" applyAlignment="1" applyProtection="1">
      <alignment horizontal="center" vertical="center"/>
    </xf>
    <xf numFmtId="10" fontId="55" fillId="0" borderId="10" xfId="6" applyNumberFormat="1" applyFont="1" applyFill="1" applyBorder="1" applyAlignment="1" applyProtection="1">
      <alignment horizontal="center" vertical="center"/>
    </xf>
    <xf numFmtId="37" fontId="54" fillId="0" borderId="40" xfId="8" applyFont="1" applyBorder="1" applyAlignment="1">
      <alignment horizontal="center" vertical="center"/>
    </xf>
    <xf numFmtId="37" fontId="54" fillId="0" borderId="40" xfId="8" applyFont="1" applyBorder="1" applyAlignment="1">
      <alignment horizontal="left" vertical="center"/>
    </xf>
    <xf numFmtId="10" fontId="55" fillId="0" borderId="60" xfId="8" applyNumberFormat="1" applyFont="1" applyBorder="1" applyAlignment="1">
      <alignment horizontal="center" vertical="center"/>
    </xf>
    <xf numFmtId="0" fontId="53" fillId="3" borderId="59" xfId="5" applyFont="1" applyFill="1" applyBorder="1" applyAlignment="1">
      <alignment vertical="center"/>
    </xf>
    <xf numFmtId="0" fontId="53" fillId="3" borderId="40" xfId="5" applyFont="1" applyFill="1" applyBorder="1" applyAlignment="1">
      <alignment vertical="center" wrapText="1"/>
    </xf>
    <xf numFmtId="0" fontId="53" fillId="3" borderId="40" xfId="5" applyFont="1" applyFill="1" applyBorder="1" applyAlignment="1">
      <alignment horizontal="center" vertical="center"/>
    </xf>
    <xf numFmtId="37" fontId="53" fillId="3" borderId="40" xfId="8" applyFont="1" applyFill="1" applyBorder="1" applyAlignment="1">
      <alignment horizontal="left" vertical="center"/>
    </xf>
    <xf numFmtId="37" fontId="53" fillId="3" borderId="40" xfId="8" applyFont="1" applyFill="1" applyBorder="1" applyAlignment="1">
      <alignment horizontal="center" vertical="center"/>
    </xf>
    <xf numFmtId="166" fontId="53" fillId="3" borderId="40" xfId="9" applyFont="1" applyFill="1" applyBorder="1" applyAlignment="1" applyProtection="1">
      <alignment horizontal="center" vertical="center"/>
    </xf>
    <xf numFmtId="10" fontId="56" fillId="3" borderId="60" xfId="8" applyNumberFormat="1" applyFont="1" applyFill="1" applyBorder="1" applyAlignment="1">
      <alignment horizontal="center" vertical="center"/>
    </xf>
    <xf numFmtId="0" fontId="53" fillId="0" borderId="59" xfId="5" applyFont="1" applyBorder="1" applyAlignment="1">
      <alignment vertical="center"/>
    </xf>
    <xf numFmtId="0" fontId="53" fillId="0" borderId="40" xfId="5" applyFont="1" applyBorder="1" applyAlignment="1">
      <alignment vertical="center"/>
    </xf>
    <xf numFmtId="0" fontId="53" fillId="0" borderId="40" xfId="5" applyFont="1" applyBorder="1" applyAlignment="1">
      <alignment horizontal="center" vertical="center" wrapText="1"/>
    </xf>
    <xf numFmtId="37" fontId="53" fillId="0" borderId="40" xfId="8" applyFont="1" applyBorder="1" applyAlignment="1">
      <alignment horizontal="left" vertical="center"/>
    </xf>
    <xf numFmtId="10" fontId="53" fillId="0" borderId="40" xfId="6" applyNumberFormat="1" applyFont="1" applyFill="1" applyBorder="1" applyAlignment="1" applyProtection="1">
      <alignment horizontal="center" vertical="center"/>
    </xf>
    <xf numFmtId="10" fontId="56" fillId="0" borderId="60" xfId="6" applyNumberFormat="1" applyFont="1" applyFill="1" applyBorder="1" applyAlignment="1" applyProtection="1">
      <alignment horizontal="center" vertical="center"/>
    </xf>
    <xf numFmtId="0" fontId="54" fillId="0" borderId="46" xfId="5" applyFont="1" applyBorder="1" applyAlignment="1">
      <alignment horizontal="center" vertical="center"/>
    </xf>
    <xf numFmtId="17" fontId="54" fillId="0" borderId="47" xfId="5" applyNumberFormat="1" applyFont="1" applyBorder="1" applyAlignment="1">
      <alignment horizontal="center" vertical="center"/>
    </xf>
    <xf numFmtId="37" fontId="54" fillId="0" borderId="47" xfId="8" applyFont="1" applyBorder="1" applyAlignment="1">
      <alignment horizontal="left" vertical="center"/>
    </xf>
    <xf numFmtId="0" fontId="54" fillId="0" borderId="8" xfId="5" applyFont="1" applyBorder="1" applyAlignment="1">
      <alignment horizontal="center" vertical="center"/>
    </xf>
    <xf numFmtId="17" fontId="54" fillId="0" borderId="9" xfId="5" applyNumberFormat="1" applyFont="1" applyBorder="1" applyAlignment="1">
      <alignment horizontal="center" vertical="center"/>
    </xf>
    <xf numFmtId="37" fontId="54" fillId="0" borderId="9" xfId="8" applyFont="1" applyBorder="1" applyAlignment="1">
      <alignment horizontal="left" vertical="center"/>
    </xf>
    <xf numFmtId="10" fontId="54" fillId="0" borderId="9" xfId="6" applyNumberFormat="1" applyFont="1" applyFill="1" applyBorder="1" applyAlignment="1" applyProtection="1">
      <alignment horizontal="center" vertical="center"/>
    </xf>
    <xf numFmtId="0" fontId="54" fillId="0" borderId="6" xfId="5" applyFont="1" applyBorder="1" applyAlignment="1">
      <alignment horizontal="center" vertical="center"/>
    </xf>
    <xf numFmtId="17" fontId="54" fillId="0" borderId="0" xfId="5" applyNumberFormat="1" applyFont="1" applyAlignment="1">
      <alignment horizontal="center" vertical="center"/>
    </xf>
    <xf numFmtId="37" fontId="54" fillId="0" borderId="0" xfId="8" applyFont="1" applyAlignment="1">
      <alignment horizontal="left" vertical="center"/>
    </xf>
    <xf numFmtId="10" fontId="55" fillId="0" borderId="0" xfId="6" applyNumberFormat="1" applyFont="1" applyFill="1" applyBorder="1" applyAlignment="1" applyProtection="1">
      <alignment horizontal="center" vertical="center"/>
    </xf>
    <xf numFmtId="37" fontId="55" fillId="0" borderId="0" xfId="8" applyFont="1" applyAlignment="1">
      <alignment horizontal="center" vertical="center"/>
    </xf>
    <xf numFmtId="0" fontId="54" fillId="0" borderId="6" xfId="5" applyFont="1" applyBorder="1" applyAlignment="1">
      <alignment vertical="center"/>
    </xf>
    <xf numFmtId="37" fontId="53" fillId="0" borderId="0" xfId="8" applyFont="1" applyAlignment="1">
      <alignment horizontal="right" vertical="center"/>
    </xf>
    <xf numFmtId="0" fontId="54" fillId="0" borderId="0" xfId="5" applyFont="1" applyAlignment="1">
      <alignment vertical="center"/>
    </xf>
    <xf numFmtId="37" fontId="53" fillId="0" borderId="0" xfId="8" applyFont="1" applyAlignment="1">
      <alignment horizontal="left" vertical="center"/>
    </xf>
    <xf numFmtId="37" fontId="56" fillId="0" borderId="0" xfId="8" applyFont="1" applyAlignment="1">
      <alignment horizontal="center" vertical="center"/>
    </xf>
    <xf numFmtId="10" fontId="53" fillId="0" borderId="0" xfId="6" applyNumberFormat="1" applyFont="1" applyFill="1" applyBorder="1" applyAlignment="1" applyProtection="1">
      <alignment horizontal="center" vertical="center"/>
    </xf>
    <xf numFmtId="10" fontId="56" fillId="0" borderId="7" xfId="8" applyNumberFormat="1" applyFont="1" applyBorder="1" applyAlignment="1">
      <alignment horizontal="center" vertical="center"/>
    </xf>
    <xf numFmtId="10" fontId="56" fillId="0" borderId="7" xfId="6" applyNumberFormat="1" applyFont="1" applyFill="1" applyBorder="1" applyAlignment="1" applyProtection="1">
      <alignment horizontal="center" vertical="center"/>
    </xf>
    <xf numFmtId="10" fontId="58" fillId="4" borderId="40" xfId="6" applyNumberFormat="1" applyFont="1" applyFill="1" applyBorder="1" applyAlignment="1" applyProtection="1">
      <alignment horizontal="center" vertical="center"/>
    </xf>
    <xf numFmtId="10" fontId="60" fillId="4" borderId="60" xfId="6" applyNumberFormat="1" applyFont="1" applyFill="1" applyBorder="1" applyAlignment="1" applyProtection="1">
      <alignment horizontal="center" vertical="center"/>
    </xf>
    <xf numFmtId="167" fontId="54" fillId="0" borderId="0" xfId="8" applyNumberFormat="1" applyFont="1" applyAlignment="1">
      <alignment horizontal="left" vertical="center"/>
    </xf>
    <xf numFmtId="10" fontId="54" fillId="0" borderId="0" xfId="8" applyNumberFormat="1" applyFont="1" applyAlignment="1">
      <alignment horizontal="center" vertical="center"/>
    </xf>
    <xf numFmtId="10" fontId="54" fillId="0" borderId="7" xfId="5" applyNumberFormat="1" applyFont="1" applyBorder="1" applyAlignment="1">
      <alignment horizontal="center" vertical="center"/>
    </xf>
    <xf numFmtId="0" fontId="55" fillId="0" borderId="0" xfId="5" applyFont="1" applyAlignment="1">
      <alignment horizontal="center" vertical="center"/>
    </xf>
    <xf numFmtId="0" fontId="53" fillId="0" borderId="59" xfId="5" applyFont="1" applyBorder="1" applyAlignment="1">
      <alignment horizontal="center" vertical="center"/>
    </xf>
    <xf numFmtId="10" fontId="53" fillId="0" borderId="60" xfId="6" applyNumberFormat="1" applyFont="1" applyBorder="1" applyAlignment="1" applyProtection="1">
      <alignment horizontal="center" vertical="center"/>
    </xf>
    <xf numFmtId="10" fontId="53" fillId="0" borderId="60" xfId="5" applyNumberFormat="1" applyFont="1" applyBorder="1" applyAlignment="1">
      <alignment horizontal="center" vertical="center"/>
    </xf>
    <xf numFmtId="168" fontId="2" fillId="0" borderId="42" xfId="0" applyNumberFormat="1" applyFont="1" applyBorder="1" applyAlignment="1">
      <alignment horizontal="center"/>
    </xf>
    <xf numFmtId="0" fontId="46" fillId="0" borderId="0" xfId="0" applyFont="1"/>
    <xf numFmtId="0" fontId="27" fillId="18" borderId="28" xfId="0" applyFont="1" applyFill="1" applyBorder="1" applyAlignment="1">
      <alignment horizontal="center" vertical="center" wrapText="1"/>
    </xf>
    <xf numFmtId="0" fontId="8" fillId="0" borderId="28" xfId="0" applyFont="1" applyBorder="1" applyAlignment="1">
      <alignment horizontal="center"/>
    </xf>
    <xf numFmtId="0" fontId="27" fillId="18" borderId="28" xfId="0" applyFont="1" applyFill="1" applyBorder="1" applyAlignment="1">
      <alignment horizontal="center" vertical="center"/>
    </xf>
    <xf numFmtId="8" fontId="27" fillId="18" borderId="28" xfId="0" applyNumberFormat="1" applyFont="1" applyFill="1" applyBorder="1" applyAlignment="1">
      <alignment horizontal="center" vertical="center"/>
    </xf>
    <xf numFmtId="9" fontId="27" fillId="18" borderId="28" xfId="0" applyNumberFormat="1" applyFont="1" applyFill="1" applyBorder="1" applyAlignment="1">
      <alignment horizontal="center" vertical="center"/>
    </xf>
    <xf numFmtId="3" fontId="27" fillId="18" borderId="28" xfId="0" applyNumberFormat="1" applyFont="1" applyFill="1" applyBorder="1" applyAlignment="1">
      <alignment horizontal="center" vertical="center"/>
    </xf>
    <xf numFmtId="0" fontId="8" fillId="0" borderId="0" xfId="0" applyFont="1" applyAlignment="1">
      <alignment horizontal="center"/>
    </xf>
    <xf numFmtId="0" fontId="27" fillId="18" borderId="0" xfId="0" applyFont="1" applyFill="1" applyAlignment="1">
      <alignment horizontal="center" vertical="center"/>
    </xf>
    <xf numFmtId="0" fontId="27" fillId="18" borderId="0" xfId="0" applyFont="1" applyFill="1" applyAlignment="1">
      <alignment vertical="center"/>
    </xf>
    <xf numFmtId="8" fontId="10" fillId="0" borderId="60" xfId="0" applyNumberFormat="1" applyFont="1" applyBorder="1"/>
    <xf numFmtId="8" fontId="10" fillId="0" borderId="46" xfId="0" applyNumberFormat="1" applyFont="1" applyBorder="1"/>
    <xf numFmtId="10" fontId="8" fillId="0" borderId="28" xfId="2" applyNumberFormat="1" applyFont="1" applyBorder="1" applyAlignment="1">
      <alignment horizontal="center"/>
    </xf>
    <xf numFmtId="10" fontId="0" fillId="0" borderId="0" xfId="0" applyNumberFormat="1"/>
    <xf numFmtId="170" fontId="0" fillId="0" borderId="0" xfId="0" applyNumberFormat="1"/>
    <xf numFmtId="0" fontId="8" fillId="16" borderId="28" xfId="0" applyFont="1" applyFill="1" applyBorder="1" applyAlignment="1">
      <alignment horizontal="center"/>
    </xf>
    <xf numFmtId="0" fontId="10" fillId="16" borderId="28" xfId="0" applyFont="1" applyFill="1" applyBorder="1"/>
    <xf numFmtId="0" fontId="10" fillId="16" borderId="59" xfId="0" applyFont="1" applyFill="1" applyBorder="1"/>
    <xf numFmtId="0" fontId="0" fillId="16" borderId="60" xfId="0" applyFill="1" applyBorder="1"/>
    <xf numFmtId="0" fontId="0" fillId="0" borderId="9" xfId="0" applyBorder="1" applyAlignment="1">
      <alignment horizontal="center"/>
    </xf>
    <xf numFmtId="0" fontId="5" fillId="0" borderId="9" xfId="0" applyFont="1" applyBorder="1" applyAlignment="1">
      <alignment horizontal="center" vertical="center"/>
    </xf>
    <xf numFmtId="0" fontId="0" fillId="0" borderId="9" xfId="0" applyBorder="1"/>
    <xf numFmtId="0" fontId="6" fillId="0" borderId="9" xfId="0" applyFont="1" applyBorder="1" applyAlignment="1">
      <alignment horizontal="center"/>
    </xf>
    <xf numFmtId="8" fontId="2" fillId="13" borderId="40" xfId="0" applyNumberFormat="1" applyFont="1" applyFill="1" applyBorder="1" applyAlignment="1">
      <alignment horizontal="center"/>
    </xf>
    <xf numFmtId="44" fontId="0" fillId="0" borderId="9" xfId="0" applyNumberFormat="1" applyBorder="1" applyAlignment="1">
      <alignment horizontal="center"/>
    </xf>
    <xf numFmtId="0" fontId="0" fillId="0" borderId="9" xfId="0" applyBorder="1" applyAlignment="1">
      <alignment horizontal="left"/>
    </xf>
    <xf numFmtId="0" fontId="5" fillId="0" borderId="0" xfId="0" applyFont="1" applyAlignment="1">
      <alignment vertical="center"/>
    </xf>
    <xf numFmtId="0" fontId="5" fillId="0" borderId="0" xfId="0" applyFont="1" applyAlignment="1">
      <alignment horizontal="center" vertical="center"/>
    </xf>
    <xf numFmtId="0" fontId="0" fillId="0" borderId="0" xfId="0" applyAlignment="1">
      <alignment horizontal="left" vertical="center"/>
    </xf>
    <xf numFmtId="0" fontId="0" fillId="16" borderId="0" xfId="0" applyFill="1" applyAlignment="1">
      <alignment horizontal="center"/>
    </xf>
    <xf numFmtId="0" fontId="43" fillId="16" borderId="0" xfId="0" applyFont="1" applyFill="1" applyAlignment="1">
      <alignment vertical="center"/>
    </xf>
    <xf numFmtId="0" fontId="5" fillId="16" borderId="0" xfId="0" applyFont="1" applyFill="1" applyAlignment="1">
      <alignment vertical="center"/>
    </xf>
    <xf numFmtId="0" fontId="32" fillId="16" borderId="0" xfId="0" applyFont="1" applyFill="1" applyAlignment="1">
      <alignment vertical="center"/>
    </xf>
    <xf numFmtId="44" fontId="44" fillId="16" borderId="40" xfId="0" applyNumberFormat="1" applyFont="1" applyFill="1" applyBorder="1" applyAlignment="1">
      <alignment horizontal="center"/>
    </xf>
    <xf numFmtId="0" fontId="2" fillId="16" borderId="40" xfId="0" applyFont="1" applyFill="1" applyBorder="1" applyProtection="1">
      <protection locked="0"/>
    </xf>
    <xf numFmtId="0" fontId="0" fillId="16" borderId="40" xfId="0" applyFill="1" applyBorder="1" applyProtection="1">
      <protection locked="0"/>
    </xf>
    <xf numFmtId="44" fontId="0" fillId="16" borderId="40" xfId="0" applyNumberFormat="1" applyFill="1" applyBorder="1" applyProtection="1">
      <protection locked="0"/>
    </xf>
    <xf numFmtId="0" fontId="2" fillId="16" borderId="0" xfId="0" applyFont="1" applyFill="1" applyProtection="1">
      <protection locked="0"/>
    </xf>
    <xf numFmtId="0" fontId="0" fillId="16" borderId="0" xfId="0" applyFill="1" applyProtection="1">
      <protection locked="0"/>
    </xf>
    <xf numFmtId="44" fontId="0" fillId="16" borderId="0" xfId="0" applyNumberFormat="1" applyFill="1" applyProtection="1">
      <protection locked="0"/>
    </xf>
    <xf numFmtId="44" fontId="0" fillId="16" borderId="0" xfId="1" applyFont="1" applyFill="1" applyProtection="1">
      <protection locked="0"/>
    </xf>
    <xf numFmtId="8" fontId="10" fillId="0" borderId="0" xfId="0" applyNumberFormat="1" applyFont="1"/>
    <xf numFmtId="8" fontId="62" fillId="0" borderId="0" xfId="0" applyNumberFormat="1" applyFont="1"/>
    <xf numFmtId="10" fontId="8" fillId="0" borderId="0" xfId="2" applyNumberFormat="1" applyFont="1" applyBorder="1" applyAlignment="1">
      <alignment horizontal="center"/>
    </xf>
    <xf numFmtId="0" fontId="61" fillId="11" borderId="0" xfId="0" applyFont="1" applyFill="1" applyAlignment="1">
      <alignment horizontal="center"/>
    </xf>
    <xf numFmtId="0" fontId="0" fillId="0" borderId="47" xfId="0" applyBorder="1"/>
    <xf numFmtId="0" fontId="48" fillId="16" borderId="0" xfId="4" applyFont="1" applyFill="1" applyAlignment="1">
      <alignment horizontal="center" vertical="center" wrapText="1"/>
    </xf>
    <xf numFmtId="0" fontId="0" fillId="0" borderId="0" xfId="0" applyAlignment="1">
      <alignment horizontal="center"/>
    </xf>
    <xf numFmtId="0" fontId="2" fillId="16" borderId="28" xfId="0" applyFont="1" applyFill="1" applyBorder="1" applyAlignment="1">
      <alignment horizontal="center"/>
    </xf>
    <xf numFmtId="0" fontId="21" fillId="16" borderId="3" xfId="10" applyFont="1" applyFill="1" applyBorder="1" applyAlignment="1">
      <alignment horizontal="center" vertical="center"/>
    </xf>
    <xf numFmtId="0" fontId="17" fillId="16" borderId="4" xfId="10" applyFont="1" applyFill="1" applyBorder="1" applyAlignment="1">
      <alignment vertical="center"/>
    </xf>
    <xf numFmtId="0" fontId="17" fillId="16" borderId="5" xfId="10" applyFont="1" applyFill="1" applyBorder="1" applyAlignment="1">
      <alignment vertical="center"/>
    </xf>
    <xf numFmtId="0" fontId="38" fillId="11" borderId="46" xfId="0" applyFont="1" applyFill="1" applyBorder="1" applyAlignment="1">
      <alignment horizontal="left" vertical="top" wrapText="1"/>
    </xf>
    <xf numFmtId="0" fontId="38" fillId="11" borderId="47" xfId="0" applyFont="1" applyFill="1" applyBorder="1" applyAlignment="1">
      <alignment horizontal="left" vertical="top" wrapText="1"/>
    </xf>
    <xf numFmtId="0" fontId="38" fillId="11" borderId="48" xfId="0" applyFont="1" applyFill="1" applyBorder="1" applyAlignment="1">
      <alignment horizontal="left" vertical="top" wrapText="1"/>
    </xf>
    <xf numFmtId="0" fontId="38" fillId="11" borderId="6" xfId="0" applyFont="1" applyFill="1" applyBorder="1" applyAlignment="1">
      <alignment horizontal="left" vertical="top" wrapText="1"/>
    </xf>
    <xf numFmtId="0" fontId="38" fillId="11" borderId="0" xfId="0" applyFont="1" applyFill="1" applyAlignment="1">
      <alignment horizontal="left" vertical="top" wrapText="1"/>
    </xf>
    <xf numFmtId="0" fontId="38" fillId="11" borderId="7" xfId="0" applyFont="1" applyFill="1" applyBorder="1" applyAlignment="1">
      <alignment horizontal="left" vertical="top" wrapText="1"/>
    </xf>
    <xf numFmtId="0" fontId="38" fillId="11" borderId="49" xfId="0" applyFont="1" applyFill="1" applyBorder="1" applyAlignment="1">
      <alignment horizontal="left" vertical="top" wrapText="1"/>
    </xf>
    <xf numFmtId="0" fontId="38" fillId="11" borderId="39" xfId="0" applyFont="1" applyFill="1" applyBorder="1" applyAlignment="1">
      <alignment horizontal="left" vertical="top" wrapText="1"/>
    </xf>
    <xf numFmtId="0" fontId="38" fillId="11" borderId="50" xfId="0" applyFont="1" applyFill="1" applyBorder="1" applyAlignment="1">
      <alignment horizontal="left" vertical="top" wrapText="1"/>
    </xf>
    <xf numFmtId="0" fontId="24" fillId="16" borderId="59" xfId="4" applyFont="1" applyFill="1" applyBorder="1" applyAlignment="1">
      <alignment horizontal="left" vertical="center"/>
    </xf>
    <xf numFmtId="0" fontId="24" fillId="16" borderId="40" xfId="4" applyFont="1" applyFill="1" applyBorder="1" applyAlignment="1">
      <alignment horizontal="left" vertical="center"/>
    </xf>
    <xf numFmtId="0" fontId="24" fillId="16" borderId="60" xfId="4" applyFont="1" applyFill="1" applyBorder="1" applyAlignment="1">
      <alignment horizontal="left" vertical="center"/>
    </xf>
    <xf numFmtId="0" fontId="40" fillId="11" borderId="46" xfId="4" applyFont="1" applyFill="1" applyBorder="1" applyAlignment="1">
      <alignment horizontal="left" vertical="top" wrapText="1"/>
    </xf>
    <xf numFmtId="0" fontId="40" fillId="11" borderId="47" xfId="4" applyFont="1" applyFill="1" applyBorder="1" applyAlignment="1">
      <alignment horizontal="left" vertical="top" wrapText="1"/>
    </xf>
    <xf numFmtId="0" fontId="40" fillId="11" borderId="48" xfId="4" applyFont="1" applyFill="1" applyBorder="1" applyAlignment="1">
      <alignment horizontal="left" vertical="top" wrapText="1"/>
    </xf>
    <xf numFmtId="0" fontId="40" fillId="11" borderId="6" xfId="4" applyFont="1" applyFill="1" applyBorder="1" applyAlignment="1">
      <alignment horizontal="left" vertical="top" wrapText="1"/>
    </xf>
    <xf numFmtId="0" fontId="40" fillId="11" borderId="0" xfId="4" applyFont="1" applyFill="1" applyAlignment="1">
      <alignment horizontal="left" vertical="top" wrapText="1"/>
    </xf>
    <xf numFmtId="0" fontId="40" fillId="11" borderId="7" xfId="4" applyFont="1" applyFill="1" applyBorder="1" applyAlignment="1">
      <alignment horizontal="left" vertical="top" wrapText="1"/>
    </xf>
    <xf numFmtId="0" fontId="40" fillId="11" borderId="49" xfId="4" applyFont="1" applyFill="1" applyBorder="1" applyAlignment="1">
      <alignment horizontal="left" vertical="top" wrapText="1"/>
    </xf>
    <xf numFmtId="0" fontId="40" fillId="11" borderId="39" xfId="4" applyFont="1" applyFill="1" applyBorder="1" applyAlignment="1">
      <alignment horizontal="left" vertical="top" wrapText="1"/>
    </xf>
    <xf numFmtId="0" fontId="40" fillId="11" borderId="50" xfId="4" applyFont="1" applyFill="1" applyBorder="1" applyAlignment="1">
      <alignment horizontal="left" vertical="top" wrapText="1"/>
    </xf>
    <xf numFmtId="0" fontId="50" fillId="16" borderId="59" xfId="0" applyFont="1" applyFill="1" applyBorder="1" applyAlignment="1" applyProtection="1">
      <alignment horizontal="center" vertical="center"/>
      <protection locked="0"/>
    </xf>
    <xf numFmtId="0" fontId="50" fillId="16" borderId="40" xfId="0" applyFont="1" applyFill="1" applyBorder="1" applyAlignment="1" applyProtection="1">
      <alignment horizontal="center" vertical="center"/>
      <protection locked="0"/>
    </xf>
    <xf numFmtId="0" fontId="50" fillId="16" borderId="60" xfId="0" applyFont="1" applyFill="1" applyBorder="1" applyAlignment="1" applyProtection="1">
      <alignment horizontal="center" vertical="center"/>
      <protection locked="0"/>
    </xf>
    <xf numFmtId="0" fontId="2" fillId="16" borderId="40" xfId="0" applyFont="1" applyFill="1" applyBorder="1" applyAlignment="1" applyProtection="1">
      <alignment horizontal="center"/>
      <protection locked="0"/>
    </xf>
    <xf numFmtId="44" fontId="17" fillId="12" borderId="42" xfId="1" applyFont="1" applyFill="1" applyBorder="1" applyAlignment="1" applyProtection="1">
      <alignment horizontal="center"/>
      <protection locked="0"/>
    </xf>
    <xf numFmtId="44" fontId="0" fillId="12" borderId="42" xfId="1" applyFont="1" applyFill="1" applyBorder="1" applyAlignment="1" applyProtection="1">
      <alignment horizontal="center"/>
      <protection locked="0"/>
    </xf>
    <xf numFmtId="10" fontId="5" fillId="12" borderId="51" xfId="0" applyNumberFormat="1" applyFont="1" applyFill="1" applyBorder="1" applyAlignment="1">
      <alignment horizontal="center" vertical="center"/>
    </xf>
    <xf numFmtId="10" fontId="5" fillId="12" borderId="52" xfId="0" applyNumberFormat="1" applyFont="1" applyFill="1" applyBorder="1" applyAlignment="1">
      <alignment horizontal="center" vertical="center"/>
    </xf>
    <xf numFmtId="10" fontId="5" fillId="12" borderId="53" xfId="0" applyNumberFormat="1" applyFont="1" applyFill="1" applyBorder="1" applyAlignment="1">
      <alignment horizontal="center" vertical="center"/>
    </xf>
    <xf numFmtId="10" fontId="5" fillId="12" borderId="57" xfId="0" applyNumberFormat="1" applyFont="1" applyFill="1" applyBorder="1" applyAlignment="1">
      <alignment horizontal="center" vertical="center"/>
    </xf>
    <xf numFmtId="10" fontId="5" fillId="12" borderId="44" xfId="0" applyNumberFormat="1" applyFont="1" applyFill="1" applyBorder="1" applyAlignment="1">
      <alignment horizontal="center" vertical="center"/>
    </xf>
    <xf numFmtId="10" fontId="5" fillId="12" borderId="58" xfId="0" applyNumberFormat="1" applyFont="1" applyFill="1" applyBorder="1" applyAlignment="1">
      <alignment horizontal="center" vertical="center"/>
    </xf>
    <xf numFmtId="10" fontId="5" fillId="12" borderId="54" xfId="0" applyNumberFormat="1" applyFont="1" applyFill="1" applyBorder="1" applyAlignment="1">
      <alignment horizontal="center" vertical="center"/>
    </xf>
    <xf numFmtId="10" fontId="5" fillId="12" borderId="55" xfId="0" applyNumberFormat="1" applyFont="1" applyFill="1" applyBorder="1" applyAlignment="1">
      <alignment horizontal="center" vertical="center"/>
    </xf>
    <xf numFmtId="10" fontId="5" fillId="12" borderId="56" xfId="0" applyNumberFormat="1" applyFont="1" applyFill="1" applyBorder="1" applyAlignment="1">
      <alignment horizontal="center" vertical="center"/>
    </xf>
    <xf numFmtId="0" fontId="2" fillId="0" borderId="51" xfId="0" applyFont="1" applyBorder="1" applyAlignment="1">
      <alignment horizontal="center" vertical="center"/>
    </xf>
    <xf numFmtId="0" fontId="2" fillId="0" borderId="52" xfId="0" applyFont="1" applyBorder="1" applyAlignment="1">
      <alignment horizontal="center" vertical="center"/>
    </xf>
    <xf numFmtId="0" fontId="2" fillId="0" borderId="53" xfId="0" applyFont="1" applyBorder="1" applyAlignment="1">
      <alignment horizontal="center"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2" fillId="0" borderId="56" xfId="0" applyFont="1" applyBorder="1" applyAlignment="1">
      <alignment horizontal="center" vertic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11" borderId="49" xfId="0" applyFill="1" applyBorder="1" applyAlignment="1">
      <alignment horizontal="center"/>
    </xf>
    <xf numFmtId="0" fontId="0" fillId="11" borderId="39" xfId="0" applyFill="1" applyBorder="1" applyAlignment="1">
      <alignment horizontal="center"/>
    </xf>
    <xf numFmtId="0" fontId="0" fillId="11" borderId="50" xfId="0" applyFill="1" applyBorder="1" applyAlignment="1">
      <alignment horizontal="center"/>
    </xf>
    <xf numFmtId="10" fontId="21" fillId="15" borderId="0" xfId="0" applyNumberFormat="1" applyFont="1" applyFill="1" applyAlignment="1">
      <alignment horizontal="center"/>
    </xf>
    <xf numFmtId="10" fontId="21" fillId="15" borderId="64" xfId="0" applyNumberFormat="1" applyFont="1" applyFill="1" applyBorder="1" applyAlignment="1">
      <alignment horizontal="center"/>
    </xf>
    <xf numFmtId="10" fontId="21" fillId="15" borderId="65" xfId="0" applyNumberFormat="1" applyFont="1" applyFill="1" applyBorder="1" applyAlignment="1">
      <alignment horizontal="center"/>
    </xf>
    <xf numFmtId="10" fontId="21" fillId="15" borderId="66" xfId="0" applyNumberFormat="1" applyFont="1" applyFill="1" applyBorder="1" applyAlignment="1">
      <alignment horizontal="center"/>
    </xf>
    <xf numFmtId="0" fontId="7" fillId="9" borderId="61" xfId="0" applyFont="1" applyFill="1" applyBorder="1" applyAlignment="1">
      <alignment horizontal="center" vertical="center"/>
    </xf>
    <xf numFmtId="0" fontId="7" fillId="9" borderId="62" xfId="0" applyFont="1" applyFill="1" applyBorder="1" applyAlignment="1">
      <alignment horizontal="center" vertical="center"/>
    </xf>
    <xf numFmtId="0" fontId="7" fillId="9" borderId="63" xfId="0" applyFont="1" applyFill="1" applyBorder="1" applyAlignment="1">
      <alignment horizontal="center" vertical="center"/>
    </xf>
    <xf numFmtId="8" fontId="45" fillId="15" borderId="0" xfId="0" applyNumberFormat="1" applyFont="1" applyFill="1" applyAlignment="1">
      <alignment horizontal="center"/>
    </xf>
    <xf numFmtId="8" fontId="45" fillId="15" borderId="64" xfId="0" applyNumberFormat="1" applyFont="1" applyFill="1" applyBorder="1" applyAlignment="1">
      <alignment horizontal="center"/>
    </xf>
    <xf numFmtId="44" fontId="21" fillId="15" borderId="0" xfId="0" applyNumberFormat="1" applyFont="1" applyFill="1" applyAlignment="1">
      <alignment horizontal="center"/>
    </xf>
    <xf numFmtId="44" fontId="21" fillId="15" borderId="64" xfId="0" applyNumberFormat="1" applyFont="1" applyFill="1" applyBorder="1" applyAlignment="1">
      <alignment horizontal="center"/>
    </xf>
    <xf numFmtId="1" fontId="21" fillId="15" borderId="0" xfId="14" applyNumberFormat="1" applyFont="1" applyFill="1" applyBorder="1" applyAlignment="1">
      <alignment horizontal="center"/>
    </xf>
    <xf numFmtId="1" fontId="21" fillId="15" borderId="64" xfId="14" applyNumberFormat="1" applyFont="1" applyFill="1" applyBorder="1" applyAlignment="1">
      <alignment horizontal="center"/>
    </xf>
    <xf numFmtId="0" fontId="53" fillId="0" borderId="59" xfId="5" applyFont="1" applyBorder="1" applyAlignment="1">
      <alignment horizontal="center" vertical="center"/>
    </xf>
    <xf numFmtId="0" fontId="53" fillId="0" borderId="60" xfId="5" applyFont="1" applyBorder="1" applyAlignment="1">
      <alignment horizontal="center" vertical="center"/>
    </xf>
    <xf numFmtId="0" fontId="51" fillId="17" borderId="59" xfId="0" applyFont="1" applyFill="1" applyBorder="1" applyAlignment="1">
      <alignment horizontal="center" vertical="center"/>
    </xf>
    <xf numFmtId="0" fontId="51" fillId="17" borderId="40" xfId="0" applyFont="1" applyFill="1" applyBorder="1" applyAlignment="1">
      <alignment horizontal="center" vertical="center"/>
    </xf>
    <xf numFmtId="0" fontId="51" fillId="17" borderId="60" xfId="0" applyFont="1" applyFill="1" applyBorder="1" applyAlignment="1">
      <alignment horizontal="center" vertical="center"/>
    </xf>
    <xf numFmtId="0" fontId="53" fillId="0" borderId="0" xfId="3" applyFont="1" applyAlignment="1">
      <alignment horizontal="center" vertical="center"/>
    </xf>
    <xf numFmtId="0" fontId="53" fillId="0" borderId="46" xfId="3" applyFont="1" applyBorder="1" applyAlignment="1">
      <alignment horizontal="center" vertical="center"/>
    </xf>
    <xf numFmtId="0" fontId="53" fillId="0" borderId="47" xfId="3" applyFont="1" applyBorder="1" applyAlignment="1">
      <alignment horizontal="center" vertical="center"/>
    </xf>
    <xf numFmtId="0" fontId="54" fillId="0" borderId="46" xfId="5" applyFont="1" applyBorder="1" applyAlignment="1">
      <alignment horizontal="center" vertical="center" wrapText="1"/>
    </xf>
    <xf numFmtId="0" fontId="54" fillId="0" borderId="6" xfId="5" applyFont="1" applyBorder="1" applyAlignment="1">
      <alignment horizontal="center" vertical="center" wrapText="1"/>
    </xf>
    <xf numFmtId="0" fontId="54" fillId="0" borderId="8" xfId="5" applyFont="1" applyBorder="1" applyAlignment="1">
      <alignment horizontal="center" vertical="center" wrapText="1"/>
    </xf>
    <xf numFmtId="37" fontId="54" fillId="0" borderId="47" xfId="8" applyFont="1" applyBorder="1" applyAlignment="1">
      <alignment horizontal="left" vertical="center" wrapText="1"/>
    </xf>
    <xf numFmtId="37" fontId="54" fillId="0" borderId="0" xfId="8" applyFont="1" applyAlignment="1">
      <alignment horizontal="left" vertical="center" wrapText="1"/>
    </xf>
    <xf numFmtId="37" fontId="54" fillId="0" borderId="9" xfId="8" applyFont="1" applyBorder="1" applyAlignment="1">
      <alignment horizontal="left" vertical="center" wrapText="1"/>
    </xf>
    <xf numFmtId="37" fontId="57" fillId="0" borderId="47" xfId="8" applyFont="1" applyBorder="1" applyAlignment="1">
      <alignment horizontal="center" vertical="center"/>
    </xf>
    <xf numFmtId="37" fontId="57" fillId="0" borderId="0" xfId="8" applyFont="1" applyAlignment="1">
      <alignment horizontal="center" vertical="center"/>
    </xf>
    <xf numFmtId="37" fontId="57" fillId="0" borderId="9" xfId="8" applyFont="1" applyBorder="1" applyAlignment="1">
      <alignment horizontal="center" vertical="center"/>
    </xf>
    <xf numFmtId="37" fontId="53" fillId="0" borderId="46" xfId="8" applyFont="1" applyBorder="1" applyAlignment="1">
      <alignment horizontal="center" vertical="center"/>
    </xf>
    <xf numFmtId="37" fontId="53" fillId="0" borderId="47" xfId="8" applyFont="1" applyBorder="1" applyAlignment="1">
      <alignment horizontal="center" vertical="center"/>
    </xf>
    <xf numFmtId="37" fontId="53" fillId="0" borderId="48" xfId="8" applyFont="1" applyBorder="1" applyAlignment="1">
      <alignment horizontal="center" vertical="center"/>
    </xf>
    <xf numFmtId="37" fontId="53" fillId="0" borderId="6" xfId="8" applyFont="1" applyBorder="1" applyAlignment="1">
      <alignment horizontal="center" vertical="center"/>
    </xf>
    <xf numFmtId="37" fontId="53" fillId="0" borderId="0" xfId="8" applyFont="1" applyAlignment="1">
      <alignment horizontal="center" vertical="center"/>
    </xf>
    <xf numFmtId="37" fontId="53" fillId="0" borderId="7" xfId="8" applyFont="1" applyBorder="1" applyAlignment="1">
      <alignment horizontal="center" vertical="center"/>
    </xf>
    <xf numFmtId="37" fontId="53" fillId="0" borderId="8" xfId="8" applyFont="1" applyBorder="1" applyAlignment="1">
      <alignment horizontal="center" vertical="center"/>
    </xf>
    <xf numFmtId="37" fontId="53" fillId="0" borderId="9" xfId="8" applyFont="1" applyBorder="1" applyAlignment="1">
      <alignment horizontal="center" vertical="center"/>
    </xf>
    <xf numFmtId="37" fontId="53" fillId="0" borderId="10" xfId="8" applyFont="1" applyBorder="1" applyAlignment="1">
      <alignment horizontal="center" vertical="center"/>
    </xf>
    <xf numFmtId="37" fontId="53" fillId="0" borderId="59" xfId="8" applyFont="1" applyBorder="1" applyAlignment="1">
      <alignment horizontal="center" vertical="center"/>
    </xf>
    <xf numFmtId="37" fontId="53" fillId="0" borderId="40" xfId="8" applyFont="1" applyBorder="1" applyAlignment="1">
      <alignment horizontal="center" vertical="center"/>
    </xf>
    <xf numFmtId="37" fontId="58" fillId="4" borderId="59" xfId="8" applyFont="1" applyFill="1" applyBorder="1" applyAlignment="1">
      <alignment horizontal="center" vertical="center" wrapText="1"/>
    </xf>
    <xf numFmtId="37" fontId="58" fillId="4" borderId="40" xfId="8" applyFont="1" applyFill="1" applyBorder="1" applyAlignment="1">
      <alignment horizontal="center" vertical="center"/>
    </xf>
    <xf numFmtId="0" fontId="19" fillId="0" borderId="11" xfId="11" applyFont="1" applyBorder="1" applyAlignment="1">
      <alignment horizontal="center" vertical="center" wrapText="1"/>
    </xf>
    <xf numFmtId="0" fontId="2" fillId="16" borderId="3" xfId="10" applyFont="1" applyFill="1" applyBorder="1" applyAlignment="1">
      <alignment horizontal="center" vertical="center"/>
    </xf>
    <xf numFmtId="0" fontId="2" fillId="16" borderId="4" xfId="10" applyFont="1" applyFill="1" applyBorder="1" applyAlignment="1">
      <alignment horizontal="center" vertical="center"/>
    </xf>
    <xf numFmtId="0" fontId="2" fillId="16" borderId="5" xfId="10" applyFont="1" applyFill="1" applyBorder="1" applyAlignment="1">
      <alignment horizontal="center" vertical="center"/>
    </xf>
    <xf numFmtId="0" fontId="19" fillId="0" borderId="11" xfId="11" applyFont="1" applyBorder="1" applyAlignment="1">
      <alignment horizontal="center" vertical="center"/>
    </xf>
    <xf numFmtId="0" fontId="19" fillId="5" borderId="11" xfId="11" applyFont="1" applyFill="1" applyBorder="1" applyAlignment="1">
      <alignment horizontal="center" vertical="center" wrapText="1"/>
    </xf>
    <xf numFmtId="0" fontId="18" fillId="0" borderId="11" xfId="11" applyFont="1" applyBorder="1" applyAlignment="1">
      <alignment vertical="center" wrapText="1"/>
    </xf>
    <xf numFmtId="0" fontId="19" fillId="0" borderId="28" xfId="11" applyFont="1" applyBorder="1" applyAlignment="1">
      <alignment horizontal="center" vertical="center" wrapText="1"/>
    </xf>
    <xf numFmtId="0" fontId="21" fillId="5" borderId="30" xfId="11" applyFont="1" applyFill="1" applyBorder="1" applyAlignment="1">
      <alignment horizontal="center" vertical="center" wrapText="1"/>
    </xf>
    <xf numFmtId="0" fontId="21" fillId="5" borderId="31" xfId="11" applyFont="1" applyFill="1" applyBorder="1" applyAlignment="1">
      <alignment horizontal="center" vertical="center" wrapText="1"/>
    </xf>
    <xf numFmtId="0" fontId="20" fillId="0" borderId="23" xfId="11" applyFont="1" applyBorder="1" applyAlignment="1">
      <alignment horizontal="left" vertical="center" wrapText="1"/>
    </xf>
    <xf numFmtId="0" fontId="20" fillId="0" borderId="24" xfId="11" applyFont="1" applyBorder="1" applyAlignment="1">
      <alignment horizontal="left" vertical="center" wrapText="1"/>
    </xf>
    <xf numFmtId="0" fontId="20" fillId="0" borderId="25" xfId="11" applyFont="1" applyBorder="1" applyAlignment="1">
      <alignment horizontal="left" vertical="center" wrapText="1"/>
    </xf>
    <xf numFmtId="0" fontId="20" fillId="0" borderId="15" xfId="11" applyFont="1" applyBorder="1" applyAlignment="1">
      <alignment horizontal="left" vertical="center" wrapText="1"/>
    </xf>
    <xf numFmtId="0" fontId="20" fillId="0" borderId="16" xfId="11" applyFont="1" applyBorder="1" applyAlignment="1">
      <alignment horizontal="left" vertical="center" wrapText="1"/>
    </xf>
    <xf numFmtId="0" fontId="20" fillId="0" borderId="17" xfId="11" applyFont="1" applyBorder="1" applyAlignment="1">
      <alignment horizontal="left" vertical="center" wrapText="1"/>
    </xf>
    <xf numFmtId="0" fontId="20" fillId="0" borderId="35" xfId="11" applyFont="1" applyBorder="1" applyAlignment="1">
      <alignment horizontal="left" vertical="center" wrapText="1"/>
    </xf>
    <xf numFmtId="0" fontId="20" fillId="0" borderId="36" xfId="11" applyFont="1" applyBorder="1" applyAlignment="1">
      <alignment horizontal="left" vertical="center" wrapText="1"/>
    </xf>
    <xf numFmtId="0" fontId="20" fillId="0" borderId="37" xfId="11" applyFont="1" applyBorder="1" applyAlignment="1">
      <alignment horizontal="left" vertical="center" wrapText="1"/>
    </xf>
    <xf numFmtId="0" fontId="19" fillId="0" borderId="29" xfId="11" applyFont="1" applyBorder="1" applyAlignment="1">
      <alignment horizontal="center" vertical="center" wrapText="1"/>
    </xf>
    <xf numFmtId="0" fontId="19" fillId="0" borderId="30" xfId="11" applyFont="1" applyBorder="1" applyAlignment="1">
      <alignment horizontal="center" vertical="center" wrapText="1"/>
    </xf>
    <xf numFmtId="0" fontId="18" fillId="0" borderId="31" xfId="0" applyFont="1" applyBorder="1" applyAlignment="1">
      <alignment vertical="center"/>
    </xf>
    <xf numFmtId="0" fontId="19" fillId="5" borderId="30" xfId="11" applyFont="1" applyFill="1" applyBorder="1" applyAlignment="1">
      <alignment horizontal="center" vertical="center" wrapText="1"/>
    </xf>
    <xf numFmtId="0" fontId="18" fillId="0" borderId="32" xfId="0" applyFont="1" applyBorder="1" applyAlignment="1">
      <alignment vertical="center"/>
    </xf>
    <xf numFmtId="0" fontId="19" fillId="0" borderId="31" xfId="11" applyFont="1" applyBorder="1" applyAlignment="1">
      <alignment horizontal="center" vertical="center" wrapText="1"/>
    </xf>
    <xf numFmtId="0" fontId="18" fillId="0" borderId="32" xfId="11" applyFont="1" applyBorder="1" applyAlignment="1">
      <alignment vertical="center" wrapText="1"/>
    </xf>
    <xf numFmtId="0" fontId="27" fillId="18" borderId="69" xfId="0" applyFont="1" applyFill="1" applyBorder="1" applyAlignment="1">
      <alignment horizontal="center" vertical="center" wrapText="1"/>
    </xf>
    <xf numFmtId="0" fontId="27" fillId="18" borderId="70" xfId="0" applyFont="1" applyFill="1" applyBorder="1" applyAlignment="1">
      <alignment horizontal="center" vertical="center" wrapText="1"/>
    </xf>
    <xf numFmtId="0" fontId="27" fillId="18" borderId="28" xfId="0" applyFont="1" applyFill="1" applyBorder="1" applyAlignment="1">
      <alignment horizontal="center" vertical="center"/>
    </xf>
    <xf numFmtId="0" fontId="27" fillId="18" borderId="59" xfId="0" applyFont="1" applyFill="1" applyBorder="1" applyAlignment="1">
      <alignment horizontal="center" vertical="center" wrapText="1"/>
    </xf>
    <xf numFmtId="0" fontId="27" fillId="18" borderId="60" xfId="0" applyFont="1" applyFill="1" applyBorder="1" applyAlignment="1">
      <alignment horizontal="center" vertical="center" wrapText="1"/>
    </xf>
    <xf numFmtId="0" fontId="28" fillId="16" borderId="59" xfId="0" applyFont="1" applyFill="1" applyBorder="1" applyAlignment="1">
      <alignment horizontal="center" vertical="center"/>
    </xf>
    <xf numFmtId="0" fontId="28" fillId="16" borderId="40" xfId="0" applyFont="1" applyFill="1" applyBorder="1" applyAlignment="1">
      <alignment horizontal="center" vertical="center"/>
    </xf>
    <xf numFmtId="0" fontId="28" fillId="16" borderId="60" xfId="0" applyFont="1" applyFill="1" applyBorder="1" applyAlignment="1">
      <alignment horizontal="center" vertical="center"/>
    </xf>
    <xf numFmtId="10" fontId="31" fillId="13" borderId="40" xfId="2" applyNumberFormat="1" applyFont="1" applyFill="1" applyBorder="1" applyAlignment="1">
      <alignment horizontal="center"/>
    </xf>
    <xf numFmtId="0" fontId="0" fillId="0" borderId="42" xfId="0" applyFill="1" applyBorder="1"/>
  </cellXfs>
  <cellStyles count="15">
    <cellStyle name="A3 297 x 420 mm" xfId="8" xr:uid="{00000000-0005-0000-0000-000000000000}"/>
    <cellStyle name="Hiperlink" xfId="7" builtinId="8"/>
    <cellStyle name="Moeda" xfId="1" builtinId="4"/>
    <cellStyle name="Normal" xfId="0" builtinId="0"/>
    <cellStyle name="Normal 10 2" xfId="4" xr:uid="{00000000-0005-0000-0000-000004000000}"/>
    <cellStyle name="Normal 12 3 7 2 3" xfId="3" xr:uid="{00000000-0005-0000-0000-000005000000}"/>
    <cellStyle name="Normal 18" xfId="10" xr:uid="{00000000-0005-0000-0000-000006000000}"/>
    <cellStyle name="Normal 2 2 2" xfId="13" xr:uid="{00000000-0005-0000-0000-000007000000}"/>
    <cellStyle name="Normal 4 2 2" xfId="5" xr:uid="{00000000-0005-0000-0000-000008000000}"/>
    <cellStyle name="Normal 9 13" xfId="11" xr:uid="{00000000-0005-0000-0000-000009000000}"/>
    <cellStyle name="Normal 9 8 7" xfId="12" xr:uid="{00000000-0005-0000-0000-00000A000000}"/>
    <cellStyle name="Porcentagem" xfId="2" builtinId="5"/>
    <cellStyle name="Porcentagem 2 2 2 2" xfId="6" xr:uid="{00000000-0005-0000-0000-00000C000000}"/>
    <cellStyle name="Vírgula" xfId="14" builtinId="3"/>
    <cellStyle name="Vírgula 2 2 3 8" xfId="9" xr:uid="{00000000-0005-0000-0000-00000E00000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85725</xdr:colOff>
      <xdr:row>0</xdr:row>
      <xdr:rowOff>0</xdr:rowOff>
    </xdr:from>
    <xdr:to>
      <xdr:col>9</xdr:col>
      <xdr:colOff>171450</xdr:colOff>
      <xdr:row>5</xdr:row>
      <xdr:rowOff>23952</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62125" y="0"/>
          <a:ext cx="2324100" cy="10717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85724</xdr:colOff>
      <xdr:row>1</xdr:row>
      <xdr:rowOff>0</xdr:rowOff>
    </xdr:from>
    <xdr:ext cx="3552825" cy="264560"/>
    <xdr:sp macro="" textlink="">
      <xdr:nvSpPr>
        <xdr:cNvPr id="2" name="CaixaDeTexto 1">
          <a:extLst>
            <a:ext uri="{FF2B5EF4-FFF2-40B4-BE49-F238E27FC236}">
              <a16:creationId xmlns:a16="http://schemas.microsoft.com/office/drawing/2014/main" id="{00000000-0008-0000-0600-000002000000}"/>
            </a:ext>
          </a:extLst>
        </xdr:cNvPr>
        <xdr:cNvSpPr txBox="1"/>
      </xdr:nvSpPr>
      <xdr:spPr>
        <a:xfrm>
          <a:off x="3637989" y="156882"/>
          <a:ext cx="355282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pt-BR" sz="1100" b="1" i="1">
            <a:latin typeface="+mn-lt"/>
          </a:endParaRPr>
        </a:p>
      </xdr:txBody>
    </xdr:sp>
    <xdr:clientData/>
  </xdr:oneCellAnchor>
  <xdr:oneCellAnchor>
    <xdr:from>
      <xdr:col>3</xdr:col>
      <xdr:colOff>728383</xdr:colOff>
      <xdr:row>0</xdr:row>
      <xdr:rowOff>22412</xdr:rowOff>
    </xdr:from>
    <xdr:ext cx="3981450" cy="134470"/>
    <xdr:sp macro="" textlink="">
      <xdr:nvSpPr>
        <xdr:cNvPr id="3" name="CaixaDeTexto 2">
          <a:extLst>
            <a:ext uri="{FF2B5EF4-FFF2-40B4-BE49-F238E27FC236}">
              <a16:creationId xmlns:a16="http://schemas.microsoft.com/office/drawing/2014/main" id="{00000000-0008-0000-0600-000003000000}"/>
            </a:ext>
          </a:extLst>
        </xdr:cNvPr>
        <xdr:cNvSpPr txBox="1"/>
      </xdr:nvSpPr>
      <xdr:spPr>
        <a:xfrm flipV="1">
          <a:off x="3171265" y="22412"/>
          <a:ext cx="3981450" cy="1344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pt-BR" sz="1100" b="1">
            <a:latin typeface="+mn-lt"/>
          </a:endParaRPr>
        </a:p>
      </xdr:txBody>
    </xdr:sp>
    <xdr:clientData/>
  </xdr:oneCellAnchor>
  <xdr:oneCellAnchor>
    <xdr:from>
      <xdr:col>5</xdr:col>
      <xdr:colOff>1509992</xdr:colOff>
      <xdr:row>1</xdr:row>
      <xdr:rowOff>0</xdr:rowOff>
    </xdr:from>
    <xdr:ext cx="1145801" cy="246530"/>
    <xdr:sp macro="" textlink="">
      <xdr:nvSpPr>
        <xdr:cNvPr id="4" name="CaixaDeTexto 3">
          <a:extLst>
            <a:ext uri="{FF2B5EF4-FFF2-40B4-BE49-F238E27FC236}">
              <a16:creationId xmlns:a16="http://schemas.microsoft.com/office/drawing/2014/main" id="{00000000-0008-0000-0600-000004000000}"/>
            </a:ext>
          </a:extLst>
        </xdr:cNvPr>
        <xdr:cNvSpPr txBox="1"/>
      </xdr:nvSpPr>
      <xdr:spPr>
        <a:xfrm flipH="1">
          <a:off x="7124139" y="156882"/>
          <a:ext cx="1145801" cy="24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pt-BR" sz="1100" b="1">
            <a:latin typeface="+mn-lt"/>
          </a:endParaRPr>
        </a:p>
      </xdr:txBody>
    </xdr:sp>
    <xdr:clientData/>
  </xdr:oneCellAnchor>
  <xdr:oneCellAnchor>
    <xdr:from>
      <xdr:col>4</xdr:col>
      <xdr:colOff>85724</xdr:colOff>
      <xdr:row>52</xdr:row>
      <xdr:rowOff>23812</xdr:rowOff>
    </xdr:from>
    <xdr:ext cx="3552825" cy="409215"/>
    <xdr:sp macro="" textlink="">
      <xdr:nvSpPr>
        <xdr:cNvPr id="5" name="CaixaDeTexto 4">
          <a:extLst>
            <a:ext uri="{FF2B5EF4-FFF2-40B4-BE49-F238E27FC236}">
              <a16:creationId xmlns:a16="http://schemas.microsoft.com/office/drawing/2014/main" id="{00000000-0008-0000-0600-000005000000}"/>
            </a:ext>
          </a:extLst>
        </xdr:cNvPr>
        <xdr:cNvSpPr txBox="1"/>
      </xdr:nvSpPr>
      <xdr:spPr>
        <a:xfrm>
          <a:off x="3648074" y="14892337"/>
          <a:ext cx="3552825" cy="4092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pt-BR" sz="1100" b="1" i="0">
              <a:latin typeface="Cambria Math"/>
            </a:rPr>
            <a:t>𝑾𝑨𝑪𝑪=𝑹𝒆×𝑬+𝑹𝒅×(𝟏−𝑻)×𝑫/𝑽</a:t>
          </a:r>
          <a:endParaRPr lang="pt-BR" sz="1100" b="1" i="1">
            <a:latin typeface="+mn-lt"/>
          </a:endParaRPr>
        </a:p>
      </xdr:txBody>
    </xdr:sp>
    <xdr:clientData/>
  </xdr:oneCellAnchor>
  <xdr:oneCellAnchor>
    <xdr:from>
      <xdr:col>4</xdr:col>
      <xdr:colOff>533400</xdr:colOff>
      <xdr:row>38</xdr:row>
      <xdr:rowOff>119062</xdr:rowOff>
    </xdr:from>
    <xdr:ext cx="3067050" cy="264560"/>
    <xdr:sp macro="" textlink="">
      <xdr:nvSpPr>
        <xdr:cNvPr id="6" name="CaixaDeTexto 5">
          <a:extLst>
            <a:ext uri="{FF2B5EF4-FFF2-40B4-BE49-F238E27FC236}">
              <a16:creationId xmlns:a16="http://schemas.microsoft.com/office/drawing/2014/main" id="{00000000-0008-0000-0600-000006000000}"/>
            </a:ext>
          </a:extLst>
        </xdr:cNvPr>
        <xdr:cNvSpPr txBox="1"/>
      </xdr:nvSpPr>
      <xdr:spPr>
        <a:xfrm>
          <a:off x="4095750" y="12853987"/>
          <a:ext cx="306705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pt-BR" sz="1100" b="1" i="0">
              <a:latin typeface="Cambria Math"/>
            </a:rPr>
            <a:t>𝑹𝒆=𝑹𝒇+𝑩𝑳(𝑹𝒎−𝑹𝒇)+𝑹𝒊𝒔𝒄𝒐 𝒑𝒂í𝒔 (𝑹𝒃)</a:t>
          </a:r>
          <a:endParaRPr lang="pt-BR" sz="1100" b="1">
            <a:latin typeface="+mn-lt"/>
          </a:endParaRPr>
        </a:p>
      </xdr:txBody>
    </xdr:sp>
    <xdr:clientData/>
  </xdr:oneCellAnchor>
  <xdr:oneCellAnchor>
    <xdr:from>
      <xdr:col>4</xdr:col>
      <xdr:colOff>504825</xdr:colOff>
      <xdr:row>34</xdr:row>
      <xdr:rowOff>114300</xdr:rowOff>
    </xdr:from>
    <xdr:ext cx="3067050" cy="264560"/>
    <xdr:sp macro="" textlink="">
      <xdr:nvSpPr>
        <xdr:cNvPr id="7" name="CaixaDeTexto 6">
          <a:extLst>
            <a:ext uri="{FF2B5EF4-FFF2-40B4-BE49-F238E27FC236}">
              <a16:creationId xmlns:a16="http://schemas.microsoft.com/office/drawing/2014/main" id="{00000000-0008-0000-0600-000007000000}"/>
            </a:ext>
          </a:extLst>
        </xdr:cNvPr>
        <xdr:cNvSpPr txBox="1"/>
      </xdr:nvSpPr>
      <xdr:spPr>
        <a:xfrm>
          <a:off x="4067175" y="12239625"/>
          <a:ext cx="306705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pt-BR" sz="1100" b="1" i="0">
              <a:latin typeface="Cambria Math"/>
            </a:rPr>
            <a:t>𝑩𝑳=𝑩𝒖×(𝟏+[(𝟏−𝑻)×(𝑫÷𝑬)])</a:t>
          </a:r>
          <a:endParaRPr lang="pt-BR" sz="1100" b="1">
            <a:latin typeface="+mn-lt"/>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6</xdr:col>
      <xdr:colOff>647700</xdr:colOff>
      <xdr:row>20</xdr:row>
      <xdr:rowOff>133350</xdr:rowOff>
    </xdr:from>
    <xdr:to>
      <xdr:col>8</xdr:col>
      <xdr:colOff>962025</xdr:colOff>
      <xdr:row>26</xdr:row>
      <xdr:rowOff>62052</xdr:rowOff>
    </xdr:to>
    <xdr:pic>
      <xdr:nvPicPr>
        <xdr:cNvPr id="2" name="Imagem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72025" y="3752850"/>
          <a:ext cx="2324100" cy="107170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lano%20de%20Neg&#243;cios%20-%20Anexo%20II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 - Capa"/>
      <sheetName val="II - Premissas"/>
      <sheetName val="III - Instruções"/>
      <sheetName val="IV - Insumos e Mão de Obra"/>
      <sheetName val="V - Proposta - Outorga"/>
      <sheetName val="VI - DRE - Fluxo de Caixa"/>
      <sheetName val="VII - WACC"/>
      <sheetName val="VIII - Encargos Sociais"/>
      <sheetName val="IX - Arrecadação"/>
    </sheetNames>
    <sheetDataSet>
      <sheetData sheetId="0"/>
      <sheetData sheetId="1">
        <row r="26">
          <cell r="D26">
            <v>120</v>
          </cell>
        </row>
      </sheetData>
      <sheetData sheetId="2"/>
      <sheetData sheetId="3">
        <row r="8">
          <cell r="J8">
            <v>690274</v>
          </cell>
        </row>
      </sheetData>
      <sheetData sheetId="4">
        <row r="6">
          <cell r="E6">
            <v>0.12</v>
          </cell>
        </row>
      </sheetData>
      <sheetData sheetId="5"/>
      <sheetData sheetId="6">
        <row r="56">
          <cell r="G56">
            <v>0.12140498993543969</v>
          </cell>
        </row>
      </sheetData>
      <sheetData sheetId="7"/>
      <sheetData sheetId="8">
        <row r="21">
          <cell r="F21">
            <v>2324209.6627200004</v>
          </cell>
        </row>
        <row r="27">
          <cell r="E27">
            <v>4.0751333094126485E-2</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hyperlink" Target="https://pt.global-rates.com/estatisticas-economicas/inflacao/indice-de-precos-ao-consumidor/ipc/brasil.aspx" TargetMode="External"/><Relationship Id="rId13" Type="http://schemas.openxmlformats.org/officeDocument/2006/relationships/hyperlink" Target="https://www.bndes.gov.br/wps/portal/site/home/financiamento/guia/taxa-de-juros" TargetMode="External"/><Relationship Id="rId18" Type="http://schemas.openxmlformats.org/officeDocument/2006/relationships/hyperlink" Target="https://www.bcb.gov.br/acessoinformacao/legado?url=https:%2F%2Fwww4.bcb.gov.br%2Fpec%2Ftaxas%2Fport%2Fptaxnpesq.asp%3Fid%3Dtxcotacao" TargetMode="External"/><Relationship Id="rId26" Type="http://schemas.openxmlformats.org/officeDocument/2006/relationships/drawing" Target="../drawings/drawing2.xml"/><Relationship Id="rId3" Type="http://schemas.openxmlformats.org/officeDocument/2006/relationships/hyperlink" Target="https://www.bcb.gov.br/acessoinformacao/legado?url=https:%2F%2Fwww4.bcb.gov.br%2Fpec%2Ftaxas%2Fport%2Fptaxnpesq.asp%3Fid%3Dtxcotacao" TargetMode="External"/><Relationship Id="rId21" Type="http://schemas.openxmlformats.org/officeDocument/2006/relationships/hyperlink" Target="https://www.bndes.gov.br/wps/portal/site/home/financiamento/guia/taxa-de-juros" TargetMode="External"/><Relationship Id="rId7" Type="http://schemas.openxmlformats.org/officeDocument/2006/relationships/hyperlink" Target="https://pt.inflation.eu/taxas-de-inflacao/estados-unidos/inflacao-historica/ipc-inflacao-estados-unidos.aspx" TargetMode="External"/><Relationship Id="rId12" Type="http://schemas.openxmlformats.org/officeDocument/2006/relationships/hyperlink" Target="http://pages.stern.nyu.edu/~adamodar/" TargetMode="External"/><Relationship Id="rId17" Type="http://schemas.openxmlformats.org/officeDocument/2006/relationships/hyperlink" Target="https://tradingeconomics.com/brazil/government-bond-yield" TargetMode="External"/><Relationship Id="rId25" Type="http://schemas.openxmlformats.org/officeDocument/2006/relationships/printerSettings" Target="../printerSettings/printerSettings7.bin"/><Relationship Id="rId2" Type="http://schemas.openxmlformats.org/officeDocument/2006/relationships/hyperlink" Target="https://www.bcb.gov.br/controleinflacao/historicotaxasjuros" TargetMode="External"/><Relationship Id="rId16" Type="http://schemas.openxmlformats.org/officeDocument/2006/relationships/hyperlink" Target="https://www.bloomberg.com/quote/USGG10YR:IND" TargetMode="External"/><Relationship Id="rId20" Type="http://schemas.openxmlformats.org/officeDocument/2006/relationships/hyperlink" Target="http://ipeadata.gov.br/ExibeSerie.aspx?serid=40940&amp;module=Mhttp://ipeadata.gov.br/ExibeSerie.aspx?serid=40940&amp;module=M" TargetMode="External"/><Relationship Id="rId1" Type="http://schemas.openxmlformats.org/officeDocument/2006/relationships/hyperlink" Target="http://ipeadata.gov.br/ExibeSerie.aspx?serid=40940&amp;module=Mhttp://ipeadata.gov.br/ExibeSerie.aspx?serid=40940&amp;module=M" TargetMode="External"/><Relationship Id="rId6" Type="http://schemas.openxmlformats.org/officeDocument/2006/relationships/hyperlink" Target="https://www1.folha.uol.com.br/mercado/2019/05/banco-central-dos-eua-mantem-juros-entre-225-e-25-ao-ano.shtml" TargetMode="External"/><Relationship Id="rId11" Type="http://schemas.openxmlformats.org/officeDocument/2006/relationships/hyperlink" Target="http://pages.stern.nyu.edu/~adamodar/" TargetMode="External"/><Relationship Id="rId24" Type="http://schemas.openxmlformats.org/officeDocument/2006/relationships/hyperlink" Target="https://g1.globo.com/economia/noticia/2021/12/15/banco-central-dos-eua-preve-tres-altas-de-juros-em-2022.ghtml" TargetMode="External"/><Relationship Id="rId5" Type="http://schemas.openxmlformats.org/officeDocument/2006/relationships/hyperlink" Target="https://www.bloomberg.com/quote/USGG10YR:IND" TargetMode="External"/><Relationship Id="rId15" Type="http://schemas.openxmlformats.org/officeDocument/2006/relationships/hyperlink" Target="https://pt.inflation.eu/taxas-de-inflacao/estados-unidos/inflacao-historica/ipc-inflacao-estados-unidos.aspx" TargetMode="External"/><Relationship Id="rId23" Type="http://schemas.openxmlformats.org/officeDocument/2006/relationships/hyperlink" Target="https://www.bndes.gov.br/wps/portal/site/home/financiamento/guia/taxa-de-juros" TargetMode="External"/><Relationship Id="rId10" Type="http://schemas.openxmlformats.org/officeDocument/2006/relationships/hyperlink" Target="http://pages.stern.nyu.edu/~adamodar/" TargetMode="External"/><Relationship Id="rId19" Type="http://schemas.openxmlformats.org/officeDocument/2006/relationships/hyperlink" Target="https://www.bcb.gov.br/controleinflacao/historicotaxasjuros" TargetMode="External"/><Relationship Id="rId4" Type="http://schemas.openxmlformats.org/officeDocument/2006/relationships/hyperlink" Target="https://tradingeconomics.com/brazil/government-bond-yield" TargetMode="External"/><Relationship Id="rId9" Type="http://schemas.openxmlformats.org/officeDocument/2006/relationships/hyperlink" Target="https://www.bndes.gov.br/wps/portal/site/home/financiamento/guia/taxa-de-juros" TargetMode="External"/><Relationship Id="rId14" Type="http://schemas.openxmlformats.org/officeDocument/2006/relationships/hyperlink" Target="https://pt.global-rates.com/estatisticas-economicas/inflacao/indice-de-precos-ao-consumidor/ipc/brasil.aspx" TargetMode="External"/><Relationship Id="rId22" Type="http://schemas.openxmlformats.org/officeDocument/2006/relationships/hyperlink" Target="https://www.bndes.gov.br/wps/portal/site/home/financiamento/guia/taxa-de-juros"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9"/>
  <sheetViews>
    <sheetView topLeftCell="A7" workbookViewId="0">
      <selection activeCell="E17" sqref="E17"/>
    </sheetView>
  </sheetViews>
  <sheetFormatPr defaultColWidth="0" defaultRowHeight="12" zeroHeight="1" x14ac:dyDescent="0.25"/>
  <cols>
    <col min="1" max="1" width="5" style="156" customWidth="1"/>
    <col min="2" max="13" width="6.7109375" style="156" customWidth="1"/>
    <col min="14" max="14" width="5.7109375" style="156" customWidth="1"/>
    <col min="15" max="16" width="5.7109375" style="156" hidden="1" customWidth="1"/>
    <col min="17" max="17" width="5.140625" style="156" hidden="1" customWidth="1"/>
    <col min="18" max="18" width="5.85546875" style="156" hidden="1" customWidth="1"/>
    <col min="19" max="16384" width="9.140625" style="156" hidden="1"/>
  </cols>
  <sheetData>
    <row r="1" spans="2:15" x14ac:dyDescent="0.25"/>
    <row r="2" spans="2:15" ht="12" customHeight="1" x14ac:dyDescent="0.25">
      <c r="B2" s="408"/>
      <c r="C2" s="408"/>
      <c r="D2" s="408"/>
      <c r="E2" s="408"/>
      <c r="F2" s="408"/>
      <c r="G2" s="408"/>
      <c r="H2" s="408"/>
      <c r="I2" s="408"/>
      <c r="J2" s="408"/>
      <c r="K2" s="408"/>
      <c r="L2" s="408"/>
      <c r="M2" s="408"/>
    </row>
    <row r="3" spans="2:15" ht="23.25" customHeight="1" x14ac:dyDescent="0.25">
      <c r="B3" s="408"/>
      <c r="C3" s="408"/>
      <c r="D3" s="408"/>
      <c r="E3" s="408"/>
      <c r="F3" s="408"/>
      <c r="G3" s="408"/>
      <c r="H3" s="408"/>
      <c r="I3" s="408"/>
      <c r="J3" s="408"/>
      <c r="K3" s="408"/>
      <c r="L3" s="408"/>
      <c r="M3" s="408"/>
    </row>
    <row r="4" spans="2:15" ht="23.25" customHeight="1" x14ac:dyDescent="0.25">
      <c r="B4" s="408"/>
      <c r="C4" s="408"/>
      <c r="D4" s="408"/>
      <c r="E4" s="408"/>
      <c r="F4" s="408"/>
      <c r="G4" s="408"/>
      <c r="H4" s="408"/>
      <c r="I4" s="408"/>
      <c r="J4" s="408"/>
      <c r="K4" s="408"/>
      <c r="L4" s="408"/>
      <c r="M4" s="408"/>
    </row>
    <row r="5" spans="2:15" ht="12" customHeight="1" x14ac:dyDescent="0.25">
      <c r="B5" s="408"/>
      <c r="C5" s="408"/>
      <c r="D5" s="408"/>
      <c r="E5" s="408"/>
      <c r="F5" s="408"/>
      <c r="G5" s="408"/>
      <c r="H5" s="408"/>
      <c r="I5" s="408"/>
      <c r="J5" s="408"/>
      <c r="K5" s="408"/>
      <c r="L5" s="408"/>
      <c r="M5" s="408"/>
    </row>
    <row r="6" spans="2:15" ht="12" customHeight="1" x14ac:dyDescent="0.25">
      <c r="B6" s="408"/>
      <c r="C6" s="408"/>
      <c r="D6" s="408"/>
      <c r="E6" s="408"/>
      <c r="F6" s="408"/>
      <c r="G6" s="408"/>
      <c r="H6" s="408"/>
      <c r="I6" s="408"/>
      <c r="J6" s="408"/>
      <c r="K6" s="408"/>
      <c r="L6" s="408"/>
      <c r="M6" s="408"/>
    </row>
    <row r="7" spans="2:15" ht="12" customHeight="1" x14ac:dyDescent="0.25">
      <c r="B7" s="407" t="s">
        <v>399</v>
      </c>
      <c r="C7" s="407"/>
      <c r="D7" s="407"/>
      <c r="E7" s="407"/>
      <c r="F7" s="407"/>
      <c r="G7" s="407"/>
      <c r="H7" s="407"/>
      <c r="I7" s="407"/>
      <c r="J7" s="407"/>
      <c r="K7" s="407"/>
      <c r="L7" s="407"/>
      <c r="M7" s="407"/>
    </row>
    <row r="8" spans="2:15" ht="12" customHeight="1" x14ac:dyDescent="0.25">
      <c r="B8" s="407"/>
      <c r="C8" s="407"/>
      <c r="D8" s="407"/>
      <c r="E8" s="407"/>
      <c r="F8" s="407"/>
      <c r="G8" s="407"/>
      <c r="H8" s="407"/>
      <c r="I8" s="407"/>
      <c r="J8" s="407"/>
      <c r="K8" s="407"/>
      <c r="L8" s="407"/>
      <c r="M8" s="407"/>
    </row>
    <row r="9" spans="2:15" ht="12" customHeight="1" x14ac:dyDescent="0.25">
      <c r="B9" s="407"/>
      <c r="C9" s="407"/>
      <c r="D9" s="407"/>
      <c r="E9" s="407"/>
      <c r="F9" s="407"/>
      <c r="G9" s="407"/>
      <c r="H9" s="407"/>
      <c r="I9" s="407"/>
      <c r="J9" s="407"/>
      <c r="K9" s="407"/>
      <c r="L9" s="407"/>
      <c r="M9" s="407"/>
    </row>
    <row r="10" spans="2:15" x14ac:dyDescent="0.25">
      <c r="B10" s="157"/>
    </row>
    <row r="11" spans="2:15" ht="15" x14ac:dyDescent="0.25">
      <c r="B11" s="157"/>
      <c r="C11" s="172" t="s">
        <v>233</v>
      </c>
      <c r="O11" s="158"/>
    </row>
    <row r="12" spans="2:15" ht="15" x14ac:dyDescent="0.25">
      <c r="B12" s="157"/>
      <c r="C12" s="190" t="s">
        <v>333</v>
      </c>
      <c r="D12" s="158"/>
      <c r="E12" s="159"/>
      <c r="O12" s="158"/>
    </row>
    <row r="13" spans="2:15" ht="15" x14ac:dyDescent="0.25">
      <c r="B13" s="157"/>
      <c r="C13" s="190" t="s">
        <v>334</v>
      </c>
      <c r="D13" s="158"/>
      <c r="O13" s="158"/>
    </row>
    <row r="14" spans="2:15" ht="15" x14ac:dyDescent="0.25">
      <c r="B14" s="157"/>
      <c r="C14" s="190" t="s">
        <v>335</v>
      </c>
      <c r="D14" s="158"/>
      <c r="O14" s="158"/>
    </row>
    <row r="15" spans="2:15" ht="15" x14ac:dyDescent="0.25">
      <c r="B15" s="157"/>
      <c r="C15" s="190" t="s">
        <v>322</v>
      </c>
      <c r="D15" s="158"/>
    </row>
    <row r="16" spans="2:15" ht="15" x14ac:dyDescent="0.25">
      <c r="B16" s="157"/>
      <c r="C16" s="190" t="s">
        <v>324</v>
      </c>
      <c r="D16" s="158"/>
    </row>
    <row r="17" spans="2:9" ht="15" x14ac:dyDescent="0.25">
      <c r="B17" s="157"/>
      <c r="C17" s="190" t="s">
        <v>325</v>
      </c>
      <c r="D17" s="158"/>
    </row>
    <row r="18" spans="2:9" ht="15" x14ac:dyDescent="0.25">
      <c r="B18" s="157"/>
      <c r="C18" s="190" t="s">
        <v>336</v>
      </c>
      <c r="D18" s="158"/>
    </row>
    <row r="19" spans="2:9" ht="15" x14ac:dyDescent="0.25">
      <c r="B19" s="157"/>
      <c r="C19" s="190" t="s">
        <v>337</v>
      </c>
      <c r="D19" s="158"/>
    </row>
    <row r="20" spans="2:9" ht="15" x14ac:dyDescent="0.25">
      <c r="B20" s="157"/>
      <c r="C20" s="190" t="s">
        <v>374</v>
      </c>
      <c r="D20" s="158"/>
    </row>
    <row r="21" spans="2:9" x14ac:dyDescent="0.25">
      <c r="B21" s="157"/>
      <c r="C21" s="158"/>
      <c r="D21" s="158"/>
    </row>
    <row r="22" spans="2:9" hidden="1" x14ac:dyDescent="0.25">
      <c r="B22" s="157"/>
      <c r="C22" s="158"/>
      <c r="D22" s="158"/>
    </row>
    <row r="23" spans="2:9" hidden="1" x14ac:dyDescent="0.25">
      <c r="B23" s="157"/>
      <c r="C23" s="158"/>
      <c r="D23" s="158"/>
    </row>
    <row r="24" spans="2:9" hidden="1" x14ac:dyDescent="0.25">
      <c r="B24" s="157"/>
      <c r="C24" s="158"/>
      <c r="D24" s="158"/>
    </row>
    <row r="25" spans="2:9" hidden="1" x14ac:dyDescent="0.25">
      <c r="B25" s="157"/>
      <c r="C25" s="158"/>
      <c r="D25" s="158"/>
      <c r="E25" s="158"/>
    </row>
    <row r="26" spans="2:9" hidden="1" x14ac:dyDescent="0.25">
      <c r="B26" s="157"/>
      <c r="C26" s="158"/>
      <c r="D26" s="158"/>
      <c r="E26" s="158"/>
    </row>
    <row r="27" spans="2:9" hidden="1" x14ac:dyDescent="0.25">
      <c r="B27" s="157"/>
      <c r="C27" s="158"/>
      <c r="D27" s="158"/>
      <c r="E27" s="158"/>
    </row>
    <row r="28" spans="2:9" hidden="1" x14ac:dyDescent="0.25">
      <c r="D28" s="158"/>
      <c r="E28" s="158"/>
    </row>
    <row r="29" spans="2:9" ht="15" hidden="1" x14ac:dyDescent="0.25">
      <c r="B29" s="157"/>
      <c r="D29" s="158"/>
      <c r="E29" s="158"/>
      <c r="F29" s="160"/>
      <c r="G29" s="160"/>
      <c r="H29" s="160"/>
      <c r="I29" s="160"/>
    </row>
    <row r="30" spans="2:9" ht="15" hidden="1" x14ac:dyDescent="0.25">
      <c r="B30" s="157"/>
      <c r="D30" s="158"/>
      <c r="E30" s="158"/>
      <c r="F30" s="160"/>
      <c r="G30" s="160"/>
      <c r="H30" s="160"/>
      <c r="I30" s="160"/>
    </row>
    <row r="31" spans="2:9" ht="15" hidden="1" x14ac:dyDescent="0.25">
      <c r="B31" s="157"/>
      <c r="D31" s="158"/>
      <c r="E31" s="158"/>
      <c r="F31" s="160"/>
      <c r="G31" s="160"/>
      <c r="H31" s="160"/>
      <c r="I31" s="160"/>
    </row>
    <row r="32" spans="2:9" ht="15" hidden="1" x14ac:dyDescent="0.25">
      <c r="B32" s="157"/>
      <c r="D32" s="158"/>
      <c r="E32" s="158"/>
      <c r="F32" s="160"/>
      <c r="G32" s="160"/>
      <c r="H32" s="160"/>
      <c r="I32" s="160"/>
    </row>
    <row r="33" spans="4:5" hidden="1" x14ac:dyDescent="0.25">
      <c r="D33" s="158"/>
      <c r="E33" s="158"/>
    </row>
    <row r="34" spans="4:5" hidden="1" x14ac:dyDescent="0.25">
      <c r="D34" s="158"/>
    </row>
    <row r="35" spans="4:5" x14ac:dyDescent="0.25"/>
    <row r="36" spans="4:5" x14ac:dyDescent="0.25"/>
    <row r="37" spans="4:5" x14ac:dyDescent="0.25"/>
    <row r="38" spans="4:5" x14ac:dyDescent="0.25"/>
    <row r="39" spans="4:5" x14ac:dyDescent="0.25"/>
    <row r="40" spans="4:5" x14ac:dyDescent="0.25"/>
    <row r="41" spans="4:5" x14ac:dyDescent="0.25"/>
    <row r="47" spans="4:5" x14ac:dyDescent="0.25"/>
    <row r="48" spans="4:5" x14ac:dyDescent="0.25"/>
    <row r="49" x14ac:dyDescent="0.25"/>
  </sheetData>
  <sheetProtection password="82C3" sheet="1" objects="1" scenarios="1"/>
  <mergeCells count="2">
    <mergeCell ref="B7:M9"/>
    <mergeCell ref="B2:M6"/>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39"/>
  <sheetViews>
    <sheetView showGridLines="0" workbookViewId="0">
      <selection activeCell="D9" sqref="D9"/>
    </sheetView>
  </sheetViews>
  <sheetFormatPr defaultColWidth="0" defaultRowHeight="12" zeroHeight="1" x14ac:dyDescent="0.25"/>
  <cols>
    <col min="1" max="1" width="3.140625" style="97" customWidth="1"/>
    <col min="2" max="2" width="18.28515625" style="97" bestFit="1" customWidth="1"/>
    <col min="3" max="3" width="84.28515625" style="97" customWidth="1"/>
    <col min="4" max="4" width="15.140625" style="98" bestFit="1" customWidth="1"/>
    <col min="5" max="5" width="8.7109375" style="97" customWidth="1"/>
    <col min="6" max="24" width="8.7109375" style="97" hidden="1" customWidth="1"/>
    <col min="25" max="16384" width="17.28515625" style="97" hidden="1"/>
  </cols>
  <sheetData>
    <row r="1" spans="2:4" x14ac:dyDescent="0.25"/>
    <row r="2" spans="2:4" ht="15" x14ac:dyDescent="0.25">
      <c r="B2" s="409" t="s">
        <v>315</v>
      </c>
      <c r="C2" s="409"/>
      <c r="D2" s="409"/>
    </row>
    <row r="3" spans="2:4" x14ac:dyDescent="0.25"/>
    <row r="4" spans="2:4" s="98" customFormat="1" x14ac:dyDescent="0.25">
      <c r="B4" s="254" t="s">
        <v>234</v>
      </c>
      <c r="C4" s="254" t="s">
        <v>31</v>
      </c>
      <c r="D4" s="254" t="s">
        <v>235</v>
      </c>
    </row>
    <row r="5" spans="2:4" ht="24" x14ac:dyDescent="0.25">
      <c r="B5" s="99">
        <v>1</v>
      </c>
      <c r="C5" s="101" t="s">
        <v>403</v>
      </c>
      <c r="D5" s="100" t="s">
        <v>236</v>
      </c>
    </row>
    <row r="6" spans="2:4" ht="24" x14ac:dyDescent="0.25">
      <c r="B6" s="99">
        <v>3</v>
      </c>
      <c r="C6" s="101" t="s">
        <v>238</v>
      </c>
      <c r="D6" s="100" t="s">
        <v>237</v>
      </c>
    </row>
    <row r="7" spans="2:4" ht="24" x14ac:dyDescent="0.25">
      <c r="B7" s="99">
        <v>4</v>
      </c>
      <c r="C7" s="101" t="s">
        <v>238</v>
      </c>
      <c r="D7" s="100" t="s">
        <v>239</v>
      </c>
    </row>
    <row r="8" spans="2:4" ht="24" x14ac:dyDescent="0.25">
      <c r="B8" s="99">
        <v>5</v>
      </c>
      <c r="C8" s="101" t="s">
        <v>317</v>
      </c>
      <c r="D8" s="100" t="s">
        <v>240</v>
      </c>
    </row>
    <row r="9" spans="2:4" ht="36" x14ac:dyDescent="0.25">
      <c r="B9" s="99">
        <v>6</v>
      </c>
      <c r="C9" s="101" t="s">
        <v>242</v>
      </c>
      <c r="D9" s="100" t="s">
        <v>241</v>
      </c>
    </row>
    <row r="10" spans="2:4" ht="24" x14ac:dyDescent="0.25">
      <c r="B10" s="99">
        <v>7</v>
      </c>
      <c r="C10" s="102" t="s">
        <v>343</v>
      </c>
      <c r="D10" s="100" t="s">
        <v>318</v>
      </c>
    </row>
    <row r="11" spans="2:4" ht="24" x14ac:dyDescent="0.25">
      <c r="B11" s="99">
        <v>8</v>
      </c>
      <c r="C11" s="102" t="s">
        <v>447</v>
      </c>
      <c r="D11" s="100" t="s">
        <v>243</v>
      </c>
    </row>
    <row r="12" spans="2:4" ht="36" x14ac:dyDescent="0.25">
      <c r="B12" s="99">
        <v>9</v>
      </c>
      <c r="C12" s="102" t="s">
        <v>404</v>
      </c>
      <c r="D12" s="100" t="s">
        <v>244</v>
      </c>
    </row>
    <row r="13" spans="2:4" x14ac:dyDescent="0.25"/>
    <row r="14" spans="2:4" x14ac:dyDescent="0.25">
      <c r="B14" s="103" t="s">
        <v>320</v>
      </c>
    </row>
    <row r="15" spans="2:4" x14ac:dyDescent="0.25"/>
    <row r="16" spans="2:4" customFormat="1" ht="15" x14ac:dyDescent="0.25">
      <c r="B16" s="409" t="s">
        <v>341</v>
      </c>
      <c r="C16" s="409"/>
      <c r="D16" s="409"/>
    </row>
    <row r="17" spans="2:6" customFormat="1" ht="15" x14ac:dyDescent="0.25">
      <c r="B17" s="161"/>
      <c r="C17" s="161"/>
      <c r="D17" s="184"/>
    </row>
    <row r="18" spans="2:6" customFormat="1" ht="15" x14ac:dyDescent="0.25">
      <c r="B18" s="180" t="s">
        <v>247</v>
      </c>
      <c r="C18" s="181" t="s">
        <v>344</v>
      </c>
      <c r="D18" s="180">
        <f>'IX - Arrecadação'!C8</f>
        <v>711</v>
      </c>
      <c r="E18" s="7"/>
      <c r="F18" s="179"/>
    </row>
    <row r="19" spans="2:6" customFormat="1" ht="15" x14ac:dyDescent="0.25">
      <c r="B19" s="180"/>
      <c r="C19" s="181"/>
      <c r="D19" s="180"/>
      <c r="E19" s="7"/>
      <c r="F19" s="179"/>
    </row>
    <row r="20" spans="2:6" customFormat="1" ht="15" x14ac:dyDescent="0.25">
      <c r="B20" s="180" t="s">
        <v>248</v>
      </c>
      <c r="C20" s="181" t="s">
        <v>408</v>
      </c>
      <c r="D20" s="202">
        <f>'IX - Arrecadação'!E20</f>
        <v>2.3685963287718437E-2</v>
      </c>
      <c r="E20" s="5"/>
      <c r="F20" s="8"/>
    </row>
    <row r="21" spans="2:6" customFormat="1" ht="15" x14ac:dyDescent="0.25">
      <c r="B21" s="180"/>
      <c r="C21" s="181"/>
      <c r="D21" s="186"/>
      <c r="E21" s="5"/>
      <c r="F21" s="8"/>
    </row>
    <row r="22" spans="2:6" customFormat="1" ht="15" x14ac:dyDescent="0.25">
      <c r="B22" s="180" t="s">
        <v>250</v>
      </c>
      <c r="C22" s="181" t="s">
        <v>409</v>
      </c>
      <c r="D22" s="186">
        <f>'IX - Arrecadação'!I8</f>
        <v>0.83620000000000005</v>
      </c>
      <c r="E22" s="7"/>
    </row>
    <row r="23" spans="2:6" customFormat="1" ht="15" x14ac:dyDescent="0.25">
      <c r="B23" s="180"/>
      <c r="C23" s="181"/>
      <c r="D23" s="186"/>
      <c r="E23" s="7"/>
    </row>
    <row r="24" spans="2:6" customFormat="1" ht="15" x14ac:dyDescent="0.25">
      <c r="B24" s="180" t="s">
        <v>251</v>
      </c>
      <c r="C24" s="181" t="s">
        <v>410</v>
      </c>
      <c r="D24" s="360">
        <f>(+'IX - Arrecadação'!G8*'IX - Arrecadação'!H8*'IX - Arrecadação'!I8)/'IX - Arrecadação'!G8</f>
        <v>0.36792800000000003</v>
      </c>
      <c r="E24" s="5"/>
    </row>
    <row r="25" spans="2:6" customFormat="1" ht="15" x14ac:dyDescent="0.25">
      <c r="B25" s="180"/>
      <c r="C25" s="181"/>
      <c r="D25" s="360"/>
      <c r="E25" s="5"/>
    </row>
    <row r="26" spans="2:6" customFormat="1" ht="15" x14ac:dyDescent="0.25">
      <c r="B26" s="180" t="s">
        <v>254</v>
      </c>
      <c r="C26" s="185" t="s">
        <v>338</v>
      </c>
      <c r="D26" s="180">
        <v>60</v>
      </c>
      <c r="E26" s="5"/>
    </row>
    <row r="27" spans="2:6" customFormat="1" ht="15" x14ac:dyDescent="0.25">
      <c r="B27" s="180"/>
      <c r="C27" s="185"/>
      <c r="D27" s="180"/>
      <c r="E27" s="5"/>
    </row>
    <row r="28" spans="2:6" customFormat="1" ht="15" x14ac:dyDescent="0.25">
      <c r="B28" s="180" t="s">
        <v>262</v>
      </c>
      <c r="C28" s="185" t="s">
        <v>411</v>
      </c>
      <c r="D28" s="202">
        <v>5.5800000000000002E-2</v>
      </c>
      <c r="E28" s="7"/>
    </row>
    <row r="29" spans="2:6" customFormat="1" ht="15" x14ac:dyDescent="0.25">
      <c r="B29" s="180"/>
      <c r="C29" s="185"/>
      <c r="D29" s="202"/>
    </row>
    <row r="30" spans="2:6" customFormat="1" ht="15" x14ac:dyDescent="0.25">
      <c r="B30" s="180" t="s">
        <v>263</v>
      </c>
      <c r="C30" s="185" t="s">
        <v>412</v>
      </c>
      <c r="D30" s="202">
        <f>+'[1]IX - Arrecadação'!E27</f>
        <v>4.0751333094126485E-2</v>
      </c>
    </row>
    <row r="31" spans="2:6" customFormat="1" ht="15" x14ac:dyDescent="0.25">
      <c r="B31" s="112"/>
      <c r="C31" s="112"/>
      <c r="D31" s="182"/>
    </row>
    <row r="32" spans="2:6" customFormat="1" ht="12" hidden="1" customHeight="1" x14ac:dyDescent="0.25">
      <c r="B32" s="97"/>
      <c r="C32" s="97"/>
      <c r="D32" s="98"/>
    </row>
    <row r="33" s="97" customFormat="1" ht="12" hidden="1" customHeight="1" x14ac:dyDescent="0.25"/>
    <row r="34" s="97" customFormat="1" ht="12" hidden="1" customHeight="1" x14ac:dyDescent="0.25"/>
    <row r="35" s="97" customFormat="1" ht="12" hidden="1" customHeight="1" x14ac:dyDescent="0.25"/>
    <row r="36" s="97" customFormat="1" ht="12" hidden="1" customHeight="1" x14ac:dyDescent="0.25"/>
    <row r="37" s="97" customFormat="1" ht="12" hidden="1" customHeight="1" x14ac:dyDescent="0.25"/>
    <row r="38" s="97" customFormat="1" ht="12" hidden="1" customHeight="1" x14ac:dyDescent="0.25"/>
    <row r="39" s="97" customFormat="1" ht="12" hidden="1" customHeight="1" x14ac:dyDescent="0.25"/>
  </sheetData>
  <sheetProtection algorithmName="SHA-512" hashValue="j/ihkY3t3kqw1HWjywNFd0JRS4faK3PoBOTUKwuxZyNn4cewBanBcYDdQrYP8D5BiE0JPKVidrq4mJwEM+7w0A==" saltValue="KR95uYPs1GqOGOq273T5aw==" spinCount="100000" sheet="1" objects="1" scenarios="1"/>
  <mergeCells count="2">
    <mergeCell ref="B16:D16"/>
    <mergeCell ref="B2:D2"/>
  </mergeCells>
  <pageMargins left="0.51181102362204722" right="0.51181102362204722" top="0.78740157480314965" bottom="0.78740157480314965" header="0.31496062992125984" footer="0.31496062992125984"/>
  <pageSetup paperSize="9" scale="8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40"/>
  <sheetViews>
    <sheetView topLeftCell="A21" workbookViewId="0">
      <selection activeCell="B30" sqref="B30:D34"/>
    </sheetView>
  </sheetViews>
  <sheetFormatPr defaultColWidth="0" defaultRowHeight="15" zeroHeight="1" x14ac:dyDescent="0.25"/>
  <cols>
    <col min="1" max="1" width="2.85546875" style="173" customWidth="1"/>
    <col min="2" max="2" width="9.140625" style="173" customWidth="1"/>
    <col min="3" max="3" width="40.28515625" style="173" bestFit="1" customWidth="1"/>
    <col min="4" max="4" width="9.140625" style="173" customWidth="1"/>
    <col min="5" max="5" width="4.28515625" style="173" customWidth="1"/>
    <col min="6" max="16384" width="9.140625" style="173" hidden="1"/>
  </cols>
  <sheetData>
    <row r="1" spans="1:5" x14ac:dyDescent="0.25"/>
    <row r="2" spans="1:5" x14ac:dyDescent="0.25">
      <c r="B2" s="410" t="s">
        <v>321</v>
      </c>
      <c r="C2" s="411"/>
      <c r="D2" s="412"/>
    </row>
    <row r="3" spans="1:5" x14ac:dyDescent="0.25"/>
    <row r="4" spans="1:5" x14ac:dyDescent="0.25">
      <c r="B4" s="171"/>
      <c r="C4" s="174" t="s">
        <v>326</v>
      </c>
    </row>
    <row r="5" spans="1:5" ht="7.5" customHeight="1" x14ac:dyDescent="0.25">
      <c r="B5" s="175"/>
      <c r="D5" s="169"/>
    </row>
    <row r="6" spans="1:5" x14ac:dyDescent="0.25">
      <c r="A6" s="168"/>
      <c r="B6" s="170" t="s">
        <v>322</v>
      </c>
      <c r="C6" s="165"/>
      <c r="E6" s="167"/>
    </row>
    <row r="7" spans="1:5" ht="15" customHeight="1" x14ac:dyDescent="0.25">
      <c r="A7" s="168"/>
      <c r="B7" s="413" t="s">
        <v>323</v>
      </c>
      <c r="C7" s="414"/>
      <c r="D7" s="415"/>
    </row>
    <row r="8" spans="1:5" x14ac:dyDescent="0.25">
      <c r="A8" s="168"/>
      <c r="B8" s="416"/>
      <c r="C8" s="417"/>
      <c r="D8" s="418"/>
    </row>
    <row r="9" spans="1:5" x14ac:dyDescent="0.25">
      <c r="A9" s="168"/>
      <c r="B9" s="416"/>
      <c r="C9" s="417"/>
      <c r="D9" s="418"/>
    </row>
    <row r="10" spans="1:5" x14ac:dyDescent="0.25">
      <c r="A10" s="168"/>
      <c r="B10" s="416"/>
      <c r="C10" s="417"/>
      <c r="D10" s="418"/>
    </row>
    <row r="11" spans="1:5" x14ac:dyDescent="0.25">
      <c r="A11" s="168"/>
      <c r="B11" s="416"/>
      <c r="C11" s="417"/>
      <c r="D11" s="418"/>
    </row>
    <row r="12" spans="1:5" x14ac:dyDescent="0.25">
      <c r="A12" s="168"/>
      <c r="B12" s="416"/>
      <c r="C12" s="417"/>
      <c r="D12" s="418"/>
    </row>
    <row r="13" spans="1:5" x14ac:dyDescent="0.25">
      <c r="A13" s="168"/>
      <c r="B13" s="419"/>
      <c r="C13" s="420"/>
      <c r="D13" s="421"/>
    </row>
    <row r="14" spans="1:5" ht="7.5" customHeight="1" x14ac:dyDescent="0.25"/>
    <row r="15" spans="1:5" x14ac:dyDescent="0.25">
      <c r="B15" s="255" t="s">
        <v>324</v>
      </c>
      <c r="C15" s="256"/>
      <c r="D15" s="257"/>
    </row>
    <row r="16" spans="1:5" x14ac:dyDescent="0.25">
      <c r="B16" s="413" t="s">
        <v>448</v>
      </c>
      <c r="C16" s="414"/>
      <c r="D16" s="415"/>
    </row>
    <row r="17" spans="2:4" x14ac:dyDescent="0.25">
      <c r="B17" s="416"/>
      <c r="C17" s="417"/>
      <c r="D17" s="418"/>
    </row>
    <row r="18" spans="2:4" x14ac:dyDescent="0.25">
      <c r="B18" s="419"/>
      <c r="C18" s="420"/>
      <c r="D18" s="421"/>
    </row>
    <row r="19" spans="2:4" ht="7.5" customHeight="1" x14ac:dyDescent="0.25">
      <c r="B19" s="176"/>
      <c r="C19" s="176"/>
      <c r="D19" s="176"/>
    </row>
    <row r="20" spans="2:4" x14ac:dyDescent="0.25">
      <c r="B20" s="422" t="s">
        <v>331</v>
      </c>
      <c r="C20" s="423"/>
      <c r="D20" s="424"/>
    </row>
    <row r="21" spans="2:4" x14ac:dyDescent="0.25">
      <c r="B21" s="425" t="s">
        <v>332</v>
      </c>
      <c r="C21" s="426"/>
      <c r="D21" s="427"/>
    </row>
    <row r="22" spans="2:4" x14ac:dyDescent="0.25">
      <c r="B22" s="428"/>
      <c r="C22" s="429"/>
      <c r="D22" s="430"/>
    </row>
    <row r="23" spans="2:4" x14ac:dyDescent="0.25">
      <c r="B23" s="428"/>
      <c r="C23" s="429"/>
      <c r="D23" s="430"/>
    </row>
    <row r="24" spans="2:4" x14ac:dyDescent="0.25">
      <c r="B24" s="428"/>
      <c r="C24" s="429"/>
      <c r="D24" s="430"/>
    </row>
    <row r="25" spans="2:4" x14ac:dyDescent="0.25">
      <c r="B25" s="431"/>
      <c r="C25" s="432"/>
      <c r="D25" s="433"/>
    </row>
    <row r="26" spans="2:4" x14ac:dyDescent="0.25"/>
    <row r="27" spans="2:4" x14ac:dyDescent="0.25">
      <c r="B27" s="177"/>
      <c r="C27" s="173" t="s">
        <v>327</v>
      </c>
    </row>
    <row r="28" spans="2:4" ht="6.95" customHeight="1" x14ac:dyDescent="0.25"/>
    <row r="29" spans="2:4" x14ac:dyDescent="0.25">
      <c r="B29" s="422" t="s">
        <v>325</v>
      </c>
      <c r="C29" s="423"/>
      <c r="D29" s="424"/>
    </row>
    <row r="30" spans="2:4" ht="15" customHeight="1" x14ac:dyDescent="0.25">
      <c r="B30" s="413" t="s">
        <v>330</v>
      </c>
      <c r="C30" s="414"/>
      <c r="D30" s="415"/>
    </row>
    <row r="31" spans="2:4" x14ac:dyDescent="0.25">
      <c r="B31" s="416"/>
      <c r="C31" s="417"/>
      <c r="D31" s="418"/>
    </row>
    <row r="32" spans="2:4" x14ac:dyDescent="0.25">
      <c r="B32" s="416"/>
      <c r="C32" s="417"/>
      <c r="D32" s="418"/>
    </row>
    <row r="33" spans="2:4" x14ac:dyDescent="0.25">
      <c r="B33" s="416"/>
      <c r="C33" s="417"/>
      <c r="D33" s="418"/>
    </row>
    <row r="34" spans="2:4" x14ac:dyDescent="0.25">
      <c r="B34" s="419"/>
      <c r="C34" s="420"/>
      <c r="D34" s="421"/>
    </row>
    <row r="35" spans="2:4" ht="7.5" customHeight="1" x14ac:dyDescent="0.25">
      <c r="B35" s="178"/>
      <c r="C35" s="178"/>
      <c r="D35" s="178"/>
    </row>
    <row r="36" spans="2:4" x14ac:dyDescent="0.25">
      <c r="B36" s="422" t="s">
        <v>328</v>
      </c>
      <c r="C36" s="423"/>
      <c r="D36" s="424"/>
    </row>
    <row r="37" spans="2:4" x14ac:dyDescent="0.25">
      <c r="B37" s="413" t="s">
        <v>329</v>
      </c>
      <c r="C37" s="414"/>
      <c r="D37" s="415"/>
    </row>
    <row r="38" spans="2:4" x14ac:dyDescent="0.25">
      <c r="B38" s="416"/>
      <c r="C38" s="417"/>
      <c r="D38" s="418"/>
    </row>
    <row r="39" spans="2:4" x14ac:dyDescent="0.25">
      <c r="B39" s="419"/>
      <c r="C39" s="420"/>
      <c r="D39" s="421"/>
    </row>
    <row r="40" spans="2:4" x14ac:dyDescent="0.25"/>
  </sheetData>
  <sheetProtection algorithmName="SHA-512" hashValue="968gJcAnVfwom+PC9gHDsNL4dEGHyEQpsb3rvyi+8WktO11duEDnwTAVvWC9bNmYT7DpgVF3Fc+acnZim5dTRQ==" saltValue="vk8i8Ja8yhHES3gDYu8N+A==" spinCount="100000" sheet="1" objects="1" scenarios="1"/>
  <mergeCells count="9">
    <mergeCell ref="B2:D2"/>
    <mergeCell ref="B7:D13"/>
    <mergeCell ref="B16:D18"/>
    <mergeCell ref="B36:D36"/>
    <mergeCell ref="B37:D39"/>
    <mergeCell ref="B30:D34"/>
    <mergeCell ref="B21:D25"/>
    <mergeCell ref="B20:D20"/>
    <mergeCell ref="B29:D2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P107"/>
  <sheetViews>
    <sheetView topLeftCell="A34" zoomScale="75" zoomScaleNormal="75" workbookViewId="0">
      <selection activeCell="E48" sqref="E48"/>
    </sheetView>
  </sheetViews>
  <sheetFormatPr defaultColWidth="96.140625" defaultRowHeight="15" zeroHeight="1" x14ac:dyDescent="0.25"/>
  <cols>
    <col min="1" max="1" width="4.140625" style="204" customWidth="1"/>
    <col min="2" max="2" width="72.85546875" style="204" customWidth="1"/>
    <col min="3" max="3" width="9.140625" style="204" customWidth="1"/>
    <col min="4" max="4" width="11.42578125" style="204" bestFit="1" customWidth="1"/>
    <col min="5" max="5" width="11.42578125" style="204" customWidth="1"/>
    <col min="6" max="6" width="15.5703125" style="204" bestFit="1" customWidth="1"/>
    <col min="7" max="7" width="15.85546875" style="204" bestFit="1" customWidth="1"/>
    <col min="8" max="8" width="13.28515625" style="204" customWidth="1"/>
    <col min="9" max="9" width="28.28515625" style="204" hidden="1" customWidth="1"/>
    <col min="10" max="10" width="23.140625" style="204" hidden="1" customWidth="1"/>
    <col min="11" max="11" width="22.42578125" style="205" hidden="1" customWidth="1"/>
    <col min="12" max="12" width="15.5703125" style="204" hidden="1" customWidth="1"/>
    <col min="13" max="13" width="18.42578125" style="204" hidden="1" customWidth="1"/>
    <col min="14" max="14" width="15.85546875" style="204" hidden="1" customWidth="1"/>
    <col min="15" max="15" width="17.42578125" style="204" hidden="1" customWidth="1"/>
    <col min="16" max="16" width="96.140625" style="204" customWidth="1"/>
    <col min="17" max="16384" width="96.140625" style="204"/>
  </cols>
  <sheetData>
    <row r="1" spans="2:16" x14ac:dyDescent="0.25"/>
    <row r="2" spans="2:16" ht="27" customHeight="1" x14ac:dyDescent="0.3">
      <c r="B2" s="434" t="s">
        <v>314</v>
      </c>
      <c r="C2" s="435"/>
      <c r="D2" s="435"/>
      <c r="E2" s="435"/>
      <c r="F2" s="435"/>
      <c r="G2" s="436"/>
      <c r="H2" s="206"/>
      <c r="I2" s="206"/>
    </row>
    <row r="3" spans="2:16" ht="8.25" customHeight="1" x14ac:dyDescent="0.3">
      <c r="B3" s="207"/>
      <c r="C3" s="208"/>
      <c r="D3" s="208"/>
      <c r="E3" s="208"/>
      <c r="F3" s="208"/>
      <c r="G3" s="208"/>
      <c r="H3" s="206"/>
      <c r="I3" s="206"/>
      <c r="K3" s="209"/>
    </row>
    <row r="4" spans="2:16" x14ac:dyDescent="0.25">
      <c r="B4" s="258"/>
      <c r="C4" s="259" t="s">
        <v>1</v>
      </c>
      <c r="D4" s="259" t="s">
        <v>2</v>
      </c>
      <c r="E4" s="437" t="s">
        <v>3</v>
      </c>
      <c r="F4" s="437"/>
      <c r="G4" s="259" t="s">
        <v>4</v>
      </c>
    </row>
    <row r="5" spans="2:16" ht="7.5" customHeight="1" x14ac:dyDescent="0.25">
      <c r="B5" s="210"/>
      <c r="C5" s="210"/>
      <c r="D5" s="210"/>
      <c r="E5" s="210"/>
      <c r="F5" s="210"/>
      <c r="G5" s="210"/>
    </row>
    <row r="6" spans="2:16" x14ac:dyDescent="0.25">
      <c r="B6" s="395" t="s">
        <v>21</v>
      </c>
      <c r="C6" s="396"/>
      <c r="D6" s="396"/>
      <c r="E6" s="396"/>
      <c r="F6" s="396"/>
      <c r="G6" s="397">
        <f>SUM(G8:G30)</f>
        <v>454653</v>
      </c>
    </row>
    <row r="7" spans="2:16" ht="7.5" customHeight="1" x14ac:dyDescent="0.25">
      <c r="B7" s="211"/>
      <c r="C7" s="212"/>
      <c r="D7" s="212"/>
      <c r="E7" s="212"/>
      <c r="F7" s="212"/>
      <c r="G7" s="212"/>
      <c r="K7" s="209"/>
    </row>
    <row r="8" spans="2:16" x14ac:dyDescent="0.25">
      <c r="B8" s="161" t="s">
        <v>345</v>
      </c>
      <c r="C8" s="161" t="s">
        <v>27</v>
      </c>
      <c r="D8" s="247">
        <v>1</v>
      </c>
      <c r="E8" s="438">
        <v>25000</v>
      </c>
      <c r="F8" s="438"/>
      <c r="G8" s="249">
        <f t="shared" ref="G8:G30" si="0">E8*D8</f>
        <v>25000</v>
      </c>
      <c r="H8" s="215"/>
      <c r="I8" s="215" t="s">
        <v>240</v>
      </c>
      <c r="J8" s="216">
        <f>+G6</f>
        <v>454653</v>
      </c>
    </row>
    <row r="9" spans="2:16" x14ac:dyDescent="0.25">
      <c r="B9" s="112" t="s">
        <v>346</v>
      </c>
      <c r="C9" s="112" t="s">
        <v>27</v>
      </c>
      <c r="D9" s="248">
        <v>1</v>
      </c>
      <c r="E9" s="438">
        <v>5000</v>
      </c>
      <c r="F9" s="438"/>
      <c r="G9" s="249">
        <f t="shared" si="0"/>
        <v>5000</v>
      </c>
      <c r="H9" s="215"/>
      <c r="I9" s="215"/>
    </row>
    <row r="10" spans="2:16" x14ac:dyDescent="0.25">
      <c r="B10" s="112" t="s">
        <v>347</v>
      </c>
      <c r="C10" s="112" t="s">
        <v>27</v>
      </c>
      <c r="D10" s="248">
        <v>1</v>
      </c>
      <c r="E10" s="438">
        <v>3500</v>
      </c>
      <c r="F10" s="438"/>
      <c r="G10" s="249">
        <f t="shared" si="0"/>
        <v>3500</v>
      </c>
      <c r="H10" s="215"/>
      <c r="I10" s="215"/>
      <c r="M10" s="218"/>
    </row>
    <row r="11" spans="2:16" x14ac:dyDescent="0.25">
      <c r="B11" s="112" t="s">
        <v>348</v>
      </c>
      <c r="C11" s="112" t="s">
        <v>27</v>
      </c>
      <c r="D11" s="248">
        <v>1</v>
      </c>
      <c r="E11" s="438">
        <v>50000</v>
      </c>
      <c r="F11" s="438"/>
      <c r="G11" s="249">
        <f t="shared" si="0"/>
        <v>50000</v>
      </c>
      <c r="H11" s="215"/>
      <c r="I11" s="215"/>
    </row>
    <row r="12" spans="2:16" x14ac:dyDescent="0.25">
      <c r="B12" s="161" t="s">
        <v>381</v>
      </c>
      <c r="C12" s="161" t="s">
        <v>27</v>
      </c>
      <c r="D12" s="247">
        <v>8</v>
      </c>
      <c r="E12" s="438">
        <v>1350</v>
      </c>
      <c r="F12" s="438"/>
      <c r="G12" s="249">
        <f t="shared" si="0"/>
        <v>10800</v>
      </c>
      <c r="H12" s="215"/>
      <c r="I12" s="219" t="s">
        <v>394</v>
      </c>
      <c r="J12" s="220" t="s">
        <v>385</v>
      </c>
      <c r="K12" s="221" t="s">
        <v>386</v>
      </c>
      <c r="L12" s="220" t="s">
        <v>387</v>
      </c>
      <c r="M12" s="221" t="s">
        <v>388</v>
      </c>
      <c r="N12" s="220" t="s">
        <v>389</v>
      </c>
      <c r="O12" s="221" t="s">
        <v>390</v>
      </c>
    </row>
    <row r="13" spans="2:16" x14ac:dyDescent="0.25">
      <c r="B13" s="112" t="s">
        <v>382</v>
      </c>
      <c r="C13" s="112" t="s">
        <v>27</v>
      </c>
      <c r="D13" s="248">
        <v>8</v>
      </c>
      <c r="E13" s="438">
        <v>1000</v>
      </c>
      <c r="F13" s="438"/>
      <c r="G13" s="249">
        <f t="shared" si="0"/>
        <v>8000</v>
      </c>
      <c r="H13" s="215"/>
      <c r="I13" s="215"/>
      <c r="J13" s="205"/>
      <c r="K13" s="205">
        <f>+G12+G13</f>
        <v>18800</v>
      </c>
      <c r="L13" s="218">
        <f>+G11</f>
        <v>50000</v>
      </c>
      <c r="M13" s="218">
        <f>+G15</f>
        <v>10000</v>
      </c>
      <c r="N13" s="218">
        <f>+G9+G10+G23</f>
        <v>85500</v>
      </c>
      <c r="O13" s="218">
        <f>+G8+G22</f>
        <v>29500</v>
      </c>
      <c r="P13" s="218"/>
    </row>
    <row r="14" spans="2:16" x14ac:dyDescent="0.25">
      <c r="B14" s="112" t="s">
        <v>392</v>
      </c>
      <c r="C14" s="112" t="s">
        <v>27</v>
      </c>
      <c r="D14" s="247">
        <v>1</v>
      </c>
      <c r="E14" s="438">
        <v>4500</v>
      </c>
      <c r="F14" s="438"/>
      <c r="G14" s="249">
        <f t="shared" si="0"/>
        <v>4500</v>
      </c>
      <c r="H14" s="215"/>
      <c r="I14" s="215"/>
      <c r="L14" s="218"/>
      <c r="M14" s="218"/>
      <c r="N14" s="218"/>
      <c r="O14" s="218"/>
    </row>
    <row r="15" spans="2:16" x14ac:dyDescent="0.25">
      <c r="B15" s="161" t="s">
        <v>349</v>
      </c>
      <c r="C15" s="161" t="s">
        <v>27</v>
      </c>
      <c r="D15" s="247">
        <v>1</v>
      </c>
      <c r="E15" s="438">
        <v>10000</v>
      </c>
      <c r="F15" s="438"/>
      <c r="G15" s="249">
        <f t="shared" si="0"/>
        <v>10000</v>
      </c>
      <c r="H15" s="215"/>
      <c r="I15" s="215" t="s">
        <v>393</v>
      </c>
      <c r="J15" s="205">
        <f>+J13*0.1</f>
        <v>0</v>
      </c>
      <c r="K15" s="205">
        <f>+K13*0.1</f>
        <v>1880</v>
      </c>
      <c r="L15" s="222">
        <f>+L13*0.1</f>
        <v>5000</v>
      </c>
      <c r="M15" s="222">
        <f>+M13*0.1</f>
        <v>1000</v>
      </c>
      <c r="N15" s="222">
        <f>+N13*0.2</f>
        <v>17100</v>
      </c>
      <c r="O15" s="222">
        <f>+O13*0.2</f>
        <v>5900</v>
      </c>
    </row>
    <row r="16" spans="2:16" x14ac:dyDescent="0.25">
      <c r="B16" s="112" t="s">
        <v>350</v>
      </c>
      <c r="C16" s="112" t="s">
        <v>27</v>
      </c>
      <c r="D16" s="248">
        <v>1</v>
      </c>
      <c r="E16" s="438">
        <v>20000</v>
      </c>
      <c r="F16" s="438"/>
      <c r="G16" s="249">
        <f t="shared" si="0"/>
        <v>20000</v>
      </c>
      <c r="H16" s="215"/>
      <c r="I16" s="215"/>
    </row>
    <row r="17" spans="2:10" x14ac:dyDescent="0.25">
      <c r="B17" s="161" t="s">
        <v>351</v>
      </c>
      <c r="C17" s="161" t="s">
        <v>27</v>
      </c>
      <c r="D17" s="247">
        <v>1</v>
      </c>
      <c r="E17" s="438">
        <v>10000</v>
      </c>
      <c r="F17" s="438"/>
      <c r="G17" s="249">
        <f t="shared" si="0"/>
        <v>10000</v>
      </c>
      <c r="H17" s="215"/>
      <c r="I17" s="215"/>
    </row>
    <row r="18" spans="2:10" x14ac:dyDescent="0.25">
      <c r="B18" s="112" t="s">
        <v>352</v>
      </c>
      <c r="C18" s="112" t="s">
        <v>29</v>
      </c>
      <c r="D18" s="248">
        <v>1</v>
      </c>
      <c r="E18" s="438">
        <v>3500</v>
      </c>
      <c r="F18" s="438"/>
      <c r="G18" s="249">
        <f t="shared" si="0"/>
        <v>3500</v>
      </c>
      <c r="H18" s="215"/>
      <c r="I18" s="215"/>
    </row>
    <row r="19" spans="2:10" x14ac:dyDescent="0.25">
      <c r="B19" s="161" t="s">
        <v>400</v>
      </c>
      <c r="C19" s="161" t="s">
        <v>353</v>
      </c>
      <c r="D19" s="247">
        <v>730</v>
      </c>
      <c r="E19" s="438">
        <v>100</v>
      </c>
      <c r="F19" s="438"/>
      <c r="G19" s="249">
        <f t="shared" si="0"/>
        <v>73000</v>
      </c>
      <c r="H19" s="215"/>
      <c r="I19" s="215"/>
      <c r="J19" s="218"/>
    </row>
    <row r="20" spans="2:10" x14ac:dyDescent="0.25">
      <c r="B20" s="112" t="s">
        <v>354</v>
      </c>
      <c r="C20" s="161" t="s">
        <v>353</v>
      </c>
      <c r="D20" s="248">
        <v>125</v>
      </c>
      <c r="E20" s="438">
        <v>350</v>
      </c>
      <c r="F20" s="438"/>
      <c r="G20" s="249">
        <v>135603</v>
      </c>
      <c r="H20" s="215"/>
      <c r="I20" s="215"/>
    </row>
    <row r="21" spans="2:10" x14ac:dyDescent="0.25">
      <c r="B21" s="161" t="s">
        <v>5</v>
      </c>
      <c r="C21" s="161" t="s">
        <v>27</v>
      </c>
      <c r="D21" s="247">
        <v>35</v>
      </c>
      <c r="E21" s="438">
        <v>200</v>
      </c>
      <c r="F21" s="438"/>
      <c r="G21" s="249">
        <f t="shared" si="0"/>
        <v>7000</v>
      </c>
      <c r="H21" s="215"/>
      <c r="I21" s="215"/>
    </row>
    <row r="22" spans="2:10" x14ac:dyDescent="0.25">
      <c r="B22" s="112" t="s">
        <v>355</v>
      </c>
      <c r="C22" s="112" t="s">
        <v>27</v>
      </c>
      <c r="D22" s="248">
        <v>1</v>
      </c>
      <c r="E22" s="438">
        <v>4500</v>
      </c>
      <c r="F22" s="438"/>
      <c r="G22" s="249">
        <f t="shared" si="0"/>
        <v>4500</v>
      </c>
      <c r="H22" s="215"/>
      <c r="I22" s="215"/>
    </row>
    <row r="23" spans="2:10" x14ac:dyDescent="0.25">
      <c r="B23" s="161" t="s">
        <v>401</v>
      </c>
      <c r="C23" s="161" t="s">
        <v>29</v>
      </c>
      <c r="D23" s="247">
        <v>1</v>
      </c>
      <c r="E23" s="438">
        <v>77000</v>
      </c>
      <c r="F23" s="438"/>
      <c r="G23" s="249">
        <f t="shared" si="0"/>
        <v>77000</v>
      </c>
      <c r="H23" s="215"/>
      <c r="I23" s="215"/>
    </row>
    <row r="24" spans="2:10" x14ac:dyDescent="0.25">
      <c r="B24" s="161" t="s">
        <v>442</v>
      </c>
      <c r="C24" s="161" t="s">
        <v>397</v>
      </c>
      <c r="D24" s="247">
        <v>1</v>
      </c>
      <c r="E24" s="438">
        <v>5000</v>
      </c>
      <c r="F24" s="438"/>
      <c r="G24" s="249">
        <f t="shared" si="0"/>
        <v>5000</v>
      </c>
      <c r="H24" s="215"/>
      <c r="I24" s="215"/>
    </row>
    <row r="25" spans="2:10" x14ac:dyDescent="0.25">
      <c r="B25" s="161" t="s">
        <v>396</v>
      </c>
      <c r="C25" s="161" t="s">
        <v>397</v>
      </c>
      <c r="D25" s="247">
        <v>9</v>
      </c>
      <c r="E25" s="438">
        <v>250</v>
      </c>
      <c r="F25" s="438"/>
      <c r="G25" s="249">
        <f t="shared" si="0"/>
        <v>2250</v>
      </c>
      <c r="H25" s="215"/>
      <c r="I25" s="215"/>
    </row>
    <row r="26" spans="2:10" x14ac:dyDescent="0.25">
      <c r="B26" s="223" t="s">
        <v>391</v>
      </c>
      <c r="C26" s="224"/>
      <c r="D26" s="225"/>
      <c r="E26" s="226"/>
      <c r="F26" s="226"/>
      <c r="G26" s="214">
        <f t="shared" si="0"/>
        <v>0</v>
      </c>
      <c r="H26" s="215"/>
      <c r="I26" s="246"/>
    </row>
    <row r="27" spans="2:10" x14ac:dyDescent="0.25">
      <c r="B27" s="223" t="s">
        <v>391</v>
      </c>
      <c r="C27" s="227"/>
      <c r="D27" s="225"/>
      <c r="E27" s="226"/>
      <c r="F27" s="226"/>
      <c r="G27" s="214">
        <f t="shared" si="0"/>
        <v>0</v>
      </c>
      <c r="H27" s="215"/>
      <c r="I27" s="215"/>
    </row>
    <row r="28" spans="2:10" x14ac:dyDescent="0.25">
      <c r="B28" s="223" t="s">
        <v>391</v>
      </c>
      <c r="C28" s="227"/>
      <c r="D28" s="225"/>
      <c r="E28" s="226"/>
      <c r="F28" s="226"/>
      <c r="G28" s="214">
        <f t="shared" si="0"/>
        <v>0</v>
      </c>
      <c r="H28" s="215"/>
      <c r="I28" s="215"/>
    </row>
    <row r="29" spans="2:10" x14ac:dyDescent="0.25">
      <c r="B29" s="223" t="s">
        <v>391</v>
      </c>
      <c r="C29" s="227"/>
      <c r="D29" s="225"/>
      <c r="E29" s="439"/>
      <c r="F29" s="439"/>
      <c r="G29" s="214">
        <f t="shared" si="0"/>
        <v>0</v>
      </c>
      <c r="H29" s="215"/>
      <c r="I29" s="215"/>
    </row>
    <row r="30" spans="2:10" x14ac:dyDescent="0.25">
      <c r="B30" s="223" t="s">
        <v>391</v>
      </c>
      <c r="C30" s="224"/>
      <c r="D30" s="228"/>
      <c r="E30" s="439"/>
      <c r="F30" s="439"/>
      <c r="G30" s="214">
        <f t="shared" si="0"/>
        <v>0</v>
      </c>
      <c r="H30" s="215"/>
      <c r="I30" s="215"/>
    </row>
    <row r="31" spans="2:10" ht="7.5" customHeight="1" x14ac:dyDescent="0.25"/>
    <row r="32" spans="2:10" x14ac:dyDescent="0.25">
      <c r="B32" s="395" t="s">
        <v>0</v>
      </c>
      <c r="C32" s="259" t="s">
        <v>1</v>
      </c>
      <c r="D32" s="259" t="s">
        <v>2</v>
      </c>
      <c r="E32" s="259" t="s">
        <v>28</v>
      </c>
      <c r="F32" s="259" t="s">
        <v>3</v>
      </c>
      <c r="G32" s="259" t="s">
        <v>4</v>
      </c>
    </row>
    <row r="33" spans="2:14" ht="8.25" customHeight="1" x14ac:dyDescent="0.25">
      <c r="B33" s="210"/>
      <c r="C33" s="210"/>
      <c r="D33" s="210"/>
      <c r="E33" s="210"/>
      <c r="F33" s="210"/>
      <c r="G33" s="210"/>
    </row>
    <row r="34" spans="2:14" x14ac:dyDescent="0.25">
      <c r="B34" s="398" t="s">
        <v>6</v>
      </c>
      <c r="C34" s="399"/>
      <c r="D34" s="399"/>
      <c r="E34" s="399"/>
      <c r="F34" s="399"/>
      <c r="G34" s="400">
        <f>SUM(G36:G54)</f>
        <v>346440</v>
      </c>
    </row>
    <row r="35" spans="2:14" ht="7.5" customHeight="1" x14ac:dyDescent="0.25">
      <c r="B35" s="229"/>
      <c r="C35" s="213"/>
      <c r="D35" s="213"/>
      <c r="E35" s="213"/>
      <c r="F35" s="213"/>
      <c r="G35" s="213"/>
      <c r="K35" s="209"/>
    </row>
    <row r="36" spans="2:14" x14ac:dyDescent="0.25">
      <c r="B36" s="217"/>
      <c r="C36" s="217"/>
      <c r="D36" s="230"/>
      <c r="E36" s="231"/>
      <c r="F36" s="232"/>
      <c r="G36" s="233"/>
      <c r="H36" s="215"/>
      <c r="I36" s="215"/>
      <c r="N36" s="205"/>
    </row>
    <row r="37" spans="2:14" x14ac:dyDescent="0.25">
      <c r="B37" s="539" t="s">
        <v>360</v>
      </c>
      <c r="C37" s="112" t="s">
        <v>28</v>
      </c>
      <c r="D37" s="250">
        <v>1</v>
      </c>
      <c r="E37" s="251">
        <v>12</v>
      </c>
      <c r="F37" s="234">
        <v>150</v>
      </c>
      <c r="G37" s="252">
        <f t="shared" ref="G37:G54" si="1">D37*E37*F37</f>
        <v>1800</v>
      </c>
      <c r="H37" s="215"/>
      <c r="I37" s="215"/>
      <c r="L37" s="218"/>
    </row>
    <row r="38" spans="2:14" x14ac:dyDescent="0.25">
      <c r="B38" s="539" t="s">
        <v>362</v>
      </c>
      <c r="C38" s="112" t="s">
        <v>28</v>
      </c>
      <c r="D38" s="250">
        <v>1</v>
      </c>
      <c r="E38" s="251">
        <v>12</v>
      </c>
      <c r="F38" s="234">
        <v>8000</v>
      </c>
      <c r="G38" s="252">
        <f t="shared" si="1"/>
        <v>96000</v>
      </c>
      <c r="H38" s="215"/>
      <c r="I38" s="215"/>
      <c r="L38" s="218"/>
    </row>
    <row r="39" spans="2:14" x14ac:dyDescent="0.25">
      <c r="B39" s="539" t="s">
        <v>363</v>
      </c>
      <c r="C39" s="112" t="s">
        <v>28</v>
      </c>
      <c r="D39" s="250">
        <v>1</v>
      </c>
      <c r="E39" s="251">
        <v>12</v>
      </c>
      <c r="F39" s="234">
        <v>1500</v>
      </c>
      <c r="G39" s="252">
        <f t="shared" si="1"/>
        <v>18000</v>
      </c>
      <c r="H39" s="215"/>
      <c r="I39" s="215"/>
      <c r="L39" s="218"/>
    </row>
    <row r="40" spans="2:14" x14ac:dyDescent="0.25">
      <c r="B40" s="539" t="s">
        <v>364</v>
      </c>
      <c r="C40" s="112" t="s">
        <v>28</v>
      </c>
      <c r="D40" s="250">
        <v>1</v>
      </c>
      <c r="E40" s="251">
        <v>12</v>
      </c>
      <c r="F40" s="234">
        <v>8500</v>
      </c>
      <c r="G40" s="252">
        <f t="shared" si="1"/>
        <v>102000</v>
      </c>
      <c r="H40" s="215"/>
      <c r="I40" s="215"/>
      <c r="L40" s="218"/>
    </row>
    <row r="41" spans="2:14" x14ac:dyDescent="0.25">
      <c r="B41" s="539" t="s">
        <v>365</v>
      </c>
      <c r="C41" s="112" t="s">
        <v>28</v>
      </c>
      <c r="D41" s="250">
        <v>1</v>
      </c>
      <c r="E41" s="251">
        <v>12</v>
      </c>
      <c r="F41" s="234">
        <v>650</v>
      </c>
      <c r="G41" s="252">
        <f t="shared" si="1"/>
        <v>7800</v>
      </c>
      <c r="H41" s="215"/>
      <c r="I41" s="215"/>
      <c r="L41" s="218"/>
    </row>
    <row r="42" spans="2:14" x14ac:dyDescent="0.25">
      <c r="B42" s="539" t="s">
        <v>366</v>
      </c>
      <c r="C42" s="112" t="s">
        <v>28</v>
      </c>
      <c r="D42" s="250">
        <v>1</v>
      </c>
      <c r="E42" s="251">
        <v>12</v>
      </c>
      <c r="F42" s="234">
        <v>3000</v>
      </c>
      <c r="G42" s="252">
        <f t="shared" si="1"/>
        <v>36000</v>
      </c>
      <c r="H42" s="215"/>
      <c r="I42" s="215"/>
      <c r="L42" s="218"/>
    </row>
    <row r="43" spans="2:14" x14ac:dyDescent="0.25">
      <c r="B43" s="539" t="s">
        <v>367</v>
      </c>
      <c r="C43" s="112" t="s">
        <v>28</v>
      </c>
      <c r="D43" s="250">
        <v>1</v>
      </c>
      <c r="E43" s="251">
        <v>12</v>
      </c>
      <c r="F43" s="234">
        <v>1500</v>
      </c>
      <c r="G43" s="252">
        <f t="shared" si="1"/>
        <v>18000</v>
      </c>
      <c r="H43" s="215"/>
      <c r="I43" s="215"/>
      <c r="L43" s="218"/>
    </row>
    <row r="44" spans="2:14" x14ac:dyDescent="0.25">
      <c r="B44" s="539" t="s">
        <v>450</v>
      </c>
      <c r="C44" s="112" t="s">
        <v>28</v>
      </c>
      <c r="D44" s="250">
        <v>1</v>
      </c>
      <c r="E44" s="251">
        <v>12</v>
      </c>
      <c r="F44" s="234">
        <v>210</v>
      </c>
      <c r="G44" s="252">
        <f t="shared" si="1"/>
        <v>2520</v>
      </c>
      <c r="H44" s="215"/>
      <c r="I44" s="215"/>
      <c r="L44" s="218"/>
    </row>
    <row r="45" spans="2:14" x14ac:dyDescent="0.25">
      <c r="B45" s="539" t="s">
        <v>368</v>
      </c>
      <c r="C45" s="112" t="s">
        <v>28</v>
      </c>
      <c r="D45" s="250">
        <v>1</v>
      </c>
      <c r="E45" s="251">
        <v>12</v>
      </c>
      <c r="F45" s="234">
        <v>1000</v>
      </c>
      <c r="G45" s="252">
        <f t="shared" si="1"/>
        <v>12000</v>
      </c>
      <c r="H45" s="215"/>
      <c r="I45" s="215"/>
    </row>
    <row r="46" spans="2:14" x14ac:dyDescent="0.25">
      <c r="B46" s="539" t="s">
        <v>452</v>
      </c>
      <c r="C46" s="112" t="s">
        <v>28</v>
      </c>
      <c r="D46" s="250">
        <v>1</v>
      </c>
      <c r="E46" s="251">
        <v>12</v>
      </c>
      <c r="F46" s="234">
        <v>200</v>
      </c>
      <c r="G46" s="252">
        <f t="shared" si="1"/>
        <v>2400</v>
      </c>
      <c r="H46" s="215"/>
      <c r="I46" s="215"/>
    </row>
    <row r="47" spans="2:14" x14ac:dyDescent="0.25">
      <c r="B47" s="539" t="s">
        <v>453</v>
      </c>
      <c r="C47" s="112" t="s">
        <v>28</v>
      </c>
      <c r="D47" s="250">
        <v>1</v>
      </c>
      <c r="E47" s="251">
        <v>12</v>
      </c>
      <c r="F47" s="234">
        <v>1300</v>
      </c>
      <c r="G47" s="252">
        <f t="shared" si="1"/>
        <v>15600</v>
      </c>
      <c r="H47" s="215"/>
      <c r="I47" s="215"/>
    </row>
    <row r="48" spans="2:14" x14ac:dyDescent="0.25">
      <c r="B48" s="539" t="s">
        <v>451</v>
      </c>
      <c r="C48" s="112" t="s">
        <v>28</v>
      </c>
      <c r="D48" s="250">
        <v>1</v>
      </c>
      <c r="E48" s="251">
        <v>12</v>
      </c>
      <c r="F48" s="234">
        <v>260</v>
      </c>
      <c r="G48" s="252">
        <f t="shared" si="1"/>
        <v>3120</v>
      </c>
      <c r="H48" s="215"/>
      <c r="I48" s="215"/>
    </row>
    <row r="49" spans="2:10" x14ac:dyDescent="0.25">
      <c r="B49" s="539" t="s">
        <v>398</v>
      </c>
      <c r="C49" s="112" t="s">
        <v>28</v>
      </c>
      <c r="D49" s="250">
        <v>1</v>
      </c>
      <c r="E49" s="251">
        <v>12</v>
      </c>
      <c r="F49" s="234">
        <v>2600</v>
      </c>
      <c r="G49" s="252">
        <f t="shared" si="1"/>
        <v>31200</v>
      </c>
      <c r="H49" s="215"/>
      <c r="I49" s="215"/>
    </row>
    <row r="50" spans="2:10" x14ac:dyDescent="0.25">
      <c r="B50" s="223" t="s">
        <v>391</v>
      </c>
      <c r="C50" s="223"/>
      <c r="D50" s="235"/>
      <c r="E50" s="236"/>
      <c r="F50" s="234"/>
      <c r="G50" s="233">
        <f t="shared" si="1"/>
        <v>0</v>
      </c>
      <c r="H50" s="215"/>
      <c r="I50" s="215"/>
    </row>
    <row r="51" spans="2:10" x14ac:dyDescent="0.25">
      <c r="B51" s="223" t="s">
        <v>391</v>
      </c>
      <c r="C51" s="223"/>
      <c r="D51" s="235"/>
      <c r="E51" s="236"/>
      <c r="F51" s="234"/>
      <c r="G51" s="233">
        <f t="shared" si="1"/>
        <v>0</v>
      </c>
      <c r="H51" s="215"/>
      <c r="I51" s="215"/>
    </row>
    <row r="52" spans="2:10" x14ac:dyDescent="0.25">
      <c r="B52" s="223" t="s">
        <v>391</v>
      </c>
      <c r="C52" s="223"/>
      <c r="D52" s="235"/>
      <c r="E52" s="236"/>
      <c r="F52" s="234"/>
      <c r="G52" s="233">
        <f t="shared" si="1"/>
        <v>0</v>
      </c>
      <c r="H52" s="215"/>
      <c r="I52" s="215"/>
    </row>
    <row r="53" spans="2:10" x14ac:dyDescent="0.25">
      <c r="B53" s="223" t="s">
        <v>391</v>
      </c>
      <c r="C53" s="223"/>
      <c r="D53" s="235"/>
      <c r="E53" s="236"/>
      <c r="F53" s="234"/>
      <c r="G53" s="233">
        <f t="shared" si="1"/>
        <v>0</v>
      </c>
      <c r="H53" s="215"/>
      <c r="I53" s="215"/>
    </row>
    <row r="54" spans="2:10" x14ac:dyDescent="0.25">
      <c r="B54" s="223" t="s">
        <v>391</v>
      </c>
      <c r="C54" s="223"/>
      <c r="D54" s="235"/>
      <c r="E54" s="236"/>
      <c r="F54" s="234"/>
      <c r="G54" s="233">
        <f t="shared" si="1"/>
        <v>0</v>
      </c>
      <c r="H54" s="215"/>
      <c r="I54" s="215"/>
    </row>
    <row r="55" spans="2:10" x14ac:dyDescent="0.25">
      <c r="E55" s="237"/>
      <c r="F55" s="215"/>
      <c r="G55" s="215"/>
      <c r="H55" s="215"/>
      <c r="I55" s="215"/>
    </row>
    <row r="56" spans="2:10" x14ac:dyDescent="0.25">
      <c r="B56" s="395" t="s">
        <v>0</v>
      </c>
      <c r="C56" s="259" t="s">
        <v>1</v>
      </c>
      <c r="D56" s="259" t="s">
        <v>2</v>
      </c>
      <c r="E56" s="259" t="s">
        <v>28</v>
      </c>
      <c r="F56" s="259" t="s">
        <v>3</v>
      </c>
      <c r="G56" s="259" t="s">
        <v>4</v>
      </c>
    </row>
    <row r="57" spans="2:10" ht="7.5" customHeight="1" x14ac:dyDescent="0.25">
      <c r="F57" s="205"/>
      <c r="G57" s="209"/>
      <c r="H57" s="209"/>
      <c r="I57" s="209"/>
    </row>
    <row r="58" spans="2:10" x14ac:dyDescent="0.25">
      <c r="B58" s="398" t="s">
        <v>7</v>
      </c>
      <c r="C58" s="399"/>
      <c r="D58" s="399"/>
      <c r="E58" s="399"/>
      <c r="F58" s="401"/>
      <c r="G58" s="401">
        <f>SUM(G61:G76)</f>
        <v>97320</v>
      </c>
      <c r="H58" s="209"/>
      <c r="I58" s="209"/>
    </row>
    <row r="59" spans="2:10" hidden="1" x14ac:dyDescent="0.25">
      <c r="B59" s="238"/>
      <c r="F59" s="205"/>
      <c r="G59" s="209"/>
      <c r="H59" s="209"/>
      <c r="I59" s="209"/>
    </row>
    <row r="60" spans="2:10" ht="7.5" customHeight="1" x14ac:dyDescent="0.25">
      <c r="B60" s="229"/>
      <c r="C60" s="213"/>
      <c r="D60" s="213"/>
      <c r="E60" s="213"/>
      <c r="F60" s="239"/>
      <c r="G60" s="214"/>
      <c r="H60" s="215"/>
      <c r="I60" s="215"/>
    </row>
    <row r="61" spans="2:10" x14ac:dyDescent="0.25">
      <c r="B61" s="539" t="s">
        <v>356</v>
      </c>
      <c r="C61" s="112" t="s">
        <v>28</v>
      </c>
      <c r="D61" s="182">
        <v>1</v>
      </c>
      <c r="E61" s="182">
        <v>12</v>
      </c>
      <c r="F61" s="234">
        <v>260</v>
      </c>
      <c r="G61" s="252">
        <f>D61*E61*F61</f>
        <v>3120</v>
      </c>
      <c r="H61" s="215"/>
      <c r="I61" s="215"/>
      <c r="J61" s="240"/>
    </row>
    <row r="62" spans="2:10" x14ac:dyDescent="0.25">
      <c r="B62" s="539" t="s">
        <v>402</v>
      </c>
      <c r="C62" s="112" t="s">
        <v>28</v>
      </c>
      <c r="D62" s="182">
        <v>1</v>
      </c>
      <c r="E62" s="182">
        <v>12</v>
      </c>
      <c r="F62" s="234">
        <v>700</v>
      </c>
      <c r="G62" s="252">
        <f>D62*E62*F62</f>
        <v>8400</v>
      </c>
      <c r="H62" s="215"/>
      <c r="I62" s="215"/>
      <c r="J62" s="240"/>
    </row>
    <row r="63" spans="2:10" x14ac:dyDescent="0.25">
      <c r="B63" s="539" t="s">
        <v>357</v>
      </c>
      <c r="C63" s="112" t="s">
        <v>28</v>
      </c>
      <c r="D63" s="182">
        <v>1</v>
      </c>
      <c r="E63" s="182">
        <v>12</v>
      </c>
      <c r="F63" s="234">
        <v>1000</v>
      </c>
      <c r="G63" s="252">
        <f t="shared" ref="G63:G76" si="2">D63*E63*F63</f>
        <v>12000</v>
      </c>
      <c r="H63" s="215"/>
      <c r="I63" s="215"/>
      <c r="J63" s="241"/>
    </row>
    <row r="64" spans="2:10" x14ac:dyDescent="0.25">
      <c r="B64" s="539" t="s">
        <v>358</v>
      </c>
      <c r="C64" s="112" t="s">
        <v>28</v>
      </c>
      <c r="D64" s="182">
        <v>1</v>
      </c>
      <c r="E64" s="182">
        <v>12</v>
      </c>
      <c r="F64" s="234">
        <v>150</v>
      </c>
      <c r="G64" s="252">
        <f t="shared" si="2"/>
        <v>1800</v>
      </c>
      <c r="H64" s="215"/>
      <c r="I64" s="215"/>
      <c r="J64" s="241"/>
    </row>
    <row r="65" spans="2:10" x14ac:dyDescent="0.25">
      <c r="B65" s="539" t="s">
        <v>359</v>
      </c>
      <c r="C65" s="112" t="s">
        <v>28</v>
      </c>
      <c r="D65" s="182">
        <v>1</v>
      </c>
      <c r="E65" s="182">
        <v>12</v>
      </c>
      <c r="F65" s="234">
        <v>500</v>
      </c>
      <c r="G65" s="252">
        <f t="shared" si="2"/>
        <v>6000</v>
      </c>
      <c r="H65" s="215"/>
      <c r="I65" s="215"/>
      <c r="J65" s="241"/>
    </row>
    <row r="66" spans="2:10" x14ac:dyDescent="0.25">
      <c r="B66" s="539" t="s">
        <v>395</v>
      </c>
      <c r="C66" s="112" t="s">
        <v>28</v>
      </c>
      <c r="D66" s="182">
        <v>1</v>
      </c>
      <c r="E66" s="182">
        <v>12</v>
      </c>
      <c r="F66" s="234">
        <v>700</v>
      </c>
      <c r="G66" s="252">
        <f t="shared" si="2"/>
        <v>8400</v>
      </c>
      <c r="H66" s="215"/>
      <c r="I66" s="215"/>
      <c r="J66" s="241"/>
    </row>
    <row r="67" spans="2:10" x14ac:dyDescent="0.25">
      <c r="B67" s="539" t="s">
        <v>361</v>
      </c>
      <c r="C67" s="112" t="s">
        <v>28</v>
      </c>
      <c r="D67" s="182">
        <v>1</v>
      </c>
      <c r="E67" s="182">
        <v>12</v>
      </c>
      <c r="F67" s="234">
        <v>200</v>
      </c>
      <c r="G67" s="252">
        <f t="shared" si="2"/>
        <v>2400</v>
      </c>
      <c r="H67" s="215"/>
      <c r="I67" s="215"/>
    </row>
    <row r="68" spans="2:10" x14ac:dyDescent="0.25">
      <c r="B68" s="539" t="s">
        <v>369</v>
      </c>
      <c r="C68" s="112" t="s">
        <v>28</v>
      </c>
      <c r="D68" s="182">
        <v>1</v>
      </c>
      <c r="E68" s="182">
        <v>12</v>
      </c>
      <c r="F68" s="234">
        <v>3500</v>
      </c>
      <c r="G68" s="252">
        <f t="shared" si="2"/>
        <v>42000</v>
      </c>
      <c r="H68" s="215"/>
      <c r="I68" s="215"/>
    </row>
    <row r="69" spans="2:10" x14ac:dyDescent="0.25">
      <c r="B69" s="539" t="s">
        <v>370</v>
      </c>
      <c r="C69" s="112" t="s">
        <v>28</v>
      </c>
      <c r="D69" s="182">
        <v>1</v>
      </c>
      <c r="E69" s="182">
        <v>12</v>
      </c>
      <c r="F69" s="234">
        <v>500</v>
      </c>
      <c r="G69" s="252">
        <f t="shared" si="2"/>
        <v>6000</v>
      </c>
      <c r="H69" s="215"/>
      <c r="I69" s="215"/>
    </row>
    <row r="70" spans="2:10" x14ac:dyDescent="0.25">
      <c r="B70" s="539" t="s">
        <v>449</v>
      </c>
      <c r="C70" s="112" t="s">
        <v>28</v>
      </c>
      <c r="D70" s="182">
        <v>1</v>
      </c>
      <c r="E70" s="182">
        <v>12</v>
      </c>
      <c r="F70" s="234">
        <v>600</v>
      </c>
      <c r="G70" s="252">
        <f t="shared" si="2"/>
        <v>7200</v>
      </c>
      <c r="H70" s="215"/>
      <c r="I70" s="215"/>
    </row>
    <row r="71" spans="2:10" x14ac:dyDescent="0.25">
      <c r="B71" s="223" t="s">
        <v>391</v>
      </c>
      <c r="C71" s="242"/>
      <c r="D71" s="242"/>
      <c r="E71" s="242"/>
      <c r="F71" s="242"/>
      <c r="G71" s="233">
        <f t="shared" si="2"/>
        <v>0</v>
      </c>
    </row>
    <row r="72" spans="2:10" x14ac:dyDescent="0.25">
      <c r="B72" s="223" t="s">
        <v>391</v>
      </c>
      <c r="C72" s="242"/>
      <c r="D72" s="242"/>
      <c r="E72" s="242"/>
      <c r="F72" s="242"/>
      <c r="G72" s="233">
        <f t="shared" si="2"/>
        <v>0</v>
      </c>
    </row>
    <row r="73" spans="2:10" x14ac:dyDescent="0.25">
      <c r="B73" s="223" t="s">
        <v>391</v>
      </c>
      <c r="C73" s="242"/>
      <c r="D73" s="242"/>
      <c r="E73" s="242"/>
      <c r="F73" s="242"/>
      <c r="G73" s="233">
        <f t="shared" si="2"/>
        <v>0</v>
      </c>
    </row>
    <row r="74" spans="2:10" x14ac:dyDescent="0.25">
      <c r="B74" s="223" t="s">
        <v>391</v>
      </c>
      <c r="C74" s="242"/>
      <c r="D74" s="242"/>
      <c r="E74" s="242"/>
      <c r="F74" s="242"/>
      <c r="G74" s="233">
        <f t="shared" si="2"/>
        <v>0</v>
      </c>
    </row>
    <row r="75" spans="2:10" x14ac:dyDescent="0.25">
      <c r="B75" s="223" t="s">
        <v>391</v>
      </c>
      <c r="C75" s="242"/>
      <c r="D75" s="242"/>
      <c r="E75" s="242"/>
      <c r="F75" s="242"/>
      <c r="G75" s="233">
        <f t="shared" si="2"/>
        <v>0</v>
      </c>
    </row>
    <row r="76" spans="2:10" x14ac:dyDescent="0.25">
      <c r="B76" s="223" t="s">
        <v>391</v>
      </c>
      <c r="C76" s="242"/>
      <c r="D76" s="242"/>
      <c r="E76" s="242"/>
      <c r="F76" s="242"/>
      <c r="G76" s="233">
        <f t="shared" si="2"/>
        <v>0</v>
      </c>
    </row>
    <row r="77" spans="2:10" x14ac:dyDescent="0.25"/>
    <row r="78" spans="2:10" x14ac:dyDescent="0.25">
      <c r="B78" s="395" t="s">
        <v>0</v>
      </c>
      <c r="C78" s="259" t="s">
        <v>1</v>
      </c>
      <c r="D78" s="259" t="s">
        <v>2</v>
      </c>
      <c r="E78" s="259" t="s">
        <v>28</v>
      </c>
      <c r="F78" s="259" t="s">
        <v>3</v>
      </c>
      <c r="G78" s="259" t="s">
        <v>4</v>
      </c>
    </row>
    <row r="79" spans="2:10" x14ac:dyDescent="0.25">
      <c r="B79" s="398" t="s">
        <v>371</v>
      </c>
      <c r="C79" s="399"/>
      <c r="D79" s="399"/>
      <c r="E79" s="399"/>
      <c r="F79" s="399"/>
      <c r="G79" s="400">
        <f>+SUM(G80:G95)</f>
        <v>636757.60110298125</v>
      </c>
    </row>
    <row r="80" spans="2:10" x14ac:dyDescent="0.25">
      <c r="B80" t="s">
        <v>375</v>
      </c>
      <c r="C80" s="112" t="s">
        <v>28</v>
      </c>
      <c r="D80" s="5">
        <v>8</v>
      </c>
      <c r="E80" s="5">
        <v>12</v>
      </c>
      <c r="F80" s="234">
        <v>1718</v>
      </c>
      <c r="G80" s="252">
        <f>D80*E80*F80</f>
        <v>164928</v>
      </c>
    </row>
    <row r="81" spans="2:7" x14ac:dyDescent="0.25">
      <c r="B81" t="s">
        <v>377</v>
      </c>
      <c r="C81" s="112" t="s">
        <v>28</v>
      </c>
      <c r="D81" s="5">
        <v>8</v>
      </c>
      <c r="E81" s="5">
        <v>12</v>
      </c>
      <c r="F81" s="234">
        <f>+F80*'VIII - Encargos Sociais'!E52</f>
        <v>1389.5646736701749</v>
      </c>
      <c r="G81" s="252">
        <f t="shared" ref="G81:G82" si="3">D81*E81*F81</f>
        <v>133398.2086723368</v>
      </c>
    </row>
    <row r="82" spans="2:7" x14ac:dyDescent="0.25">
      <c r="B82" t="s">
        <v>376</v>
      </c>
      <c r="C82" s="112" t="s">
        <v>28</v>
      </c>
      <c r="D82" s="5">
        <v>1</v>
      </c>
      <c r="E82" s="5">
        <v>12</v>
      </c>
      <c r="F82" s="234">
        <v>3296.72</v>
      </c>
      <c r="G82" s="252">
        <f t="shared" si="3"/>
        <v>39560.639999999999</v>
      </c>
    </row>
    <row r="83" spans="2:7" x14ac:dyDescent="0.25">
      <c r="B83" t="s">
        <v>380</v>
      </c>
      <c r="C83" s="112" t="s">
        <v>28</v>
      </c>
      <c r="D83" s="5">
        <v>1</v>
      </c>
      <c r="E83" s="5">
        <v>12</v>
      </c>
      <c r="F83" s="234">
        <f>+F82*'VIII - Encargos Sociais'!E52</f>
        <v>2666.4759318870424</v>
      </c>
      <c r="G83" s="252">
        <f>D83*E83*F83</f>
        <v>31997.711182644511</v>
      </c>
    </row>
    <row r="84" spans="2:7" x14ac:dyDescent="0.25">
      <c r="B84" t="s">
        <v>378</v>
      </c>
      <c r="C84" s="112" t="s">
        <v>28</v>
      </c>
      <c r="D84" s="5">
        <v>11</v>
      </c>
      <c r="E84" s="5">
        <v>12</v>
      </c>
      <c r="F84" s="234">
        <v>400</v>
      </c>
      <c r="G84" s="252">
        <f>D84*E84*F84</f>
        <v>52800</v>
      </c>
    </row>
    <row r="85" spans="2:7" x14ac:dyDescent="0.25">
      <c r="B85" t="s">
        <v>443</v>
      </c>
      <c r="C85" s="112" t="s">
        <v>28</v>
      </c>
      <c r="D85" s="5">
        <v>1</v>
      </c>
      <c r="E85" s="5">
        <v>12</v>
      </c>
      <c r="F85" s="243">
        <v>2240.52</v>
      </c>
      <c r="G85" s="252">
        <f>D85*E85*F85</f>
        <v>26886.239999999998</v>
      </c>
    </row>
    <row r="86" spans="2:7" x14ac:dyDescent="0.25">
      <c r="B86" t="s">
        <v>445</v>
      </c>
      <c r="C86" s="253" t="s">
        <v>28</v>
      </c>
      <c r="D86" s="5">
        <v>1</v>
      </c>
      <c r="E86" s="5">
        <v>12</v>
      </c>
      <c r="F86" s="243">
        <f>F85*80.88%</f>
        <v>1812.132576</v>
      </c>
      <c r="G86" s="252">
        <f t="shared" ref="G86:G87" si="4">D86*E86*F86</f>
        <v>21745.590912</v>
      </c>
    </row>
    <row r="87" spans="2:7" x14ac:dyDescent="0.25">
      <c r="B87" t="s">
        <v>444</v>
      </c>
      <c r="C87" s="253" t="s">
        <v>28</v>
      </c>
      <c r="D87" s="5">
        <v>1</v>
      </c>
      <c r="E87" s="5">
        <v>12</v>
      </c>
      <c r="F87" s="243">
        <v>2148.81</v>
      </c>
      <c r="G87" s="252">
        <f t="shared" si="4"/>
        <v>25785.72</v>
      </c>
    </row>
    <row r="88" spans="2:7" x14ac:dyDescent="0.25">
      <c r="B88" t="s">
        <v>446</v>
      </c>
      <c r="C88" s="253" t="s">
        <v>28</v>
      </c>
      <c r="D88" s="5">
        <v>1</v>
      </c>
      <c r="E88" s="5">
        <v>12</v>
      </c>
      <c r="F88" s="243">
        <f>F87*80.88%</f>
        <v>1737.9575279999999</v>
      </c>
      <c r="G88" s="246">
        <f>D88*E88*F88</f>
        <v>20855.490335999999</v>
      </c>
    </row>
    <row r="89" spans="2:7" x14ac:dyDescent="0.25">
      <c r="B89" t="s">
        <v>379</v>
      </c>
      <c r="C89" s="253" t="s">
        <v>28</v>
      </c>
      <c r="D89" s="5">
        <v>11</v>
      </c>
      <c r="E89" s="5">
        <v>12</v>
      </c>
      <c r="F89" s="243">
        <v>900</v>
      </c>
      <c r="G89" s="246">
        <f>D89*E89*F89</f>
        <v>118800</v>
      </c>
    </row>
    <row r="90" spans="2:7" x14ac:dyDescent="0.25">
      <c r="B90" s="242" t="s">
        <v>443</v>
      </c>
      <c r="C90" s="242"/>
      <c r="D90" s="242"/>
      <c r="E90" s="242"/>
      <c r="F90" s="224"/>
      <c r="G90" s="233">
        <f t="shared" ref="G90:G93" si="5">D90*E90*F90</f>
        <v>0</v>
      </c>
    </row>
    <row r="91" spans="2:7" x14ac:dyDescent="0.25">
      <c r="B91" s="242" t="s">
        <v>391</v>
      </c>
      <c r="C91" s="242"/>
      <c r="D91" s="242"/>
      <c r="E91" s="242"/>
      <c r="F91" s="224"/>
      <c r="G91" s="233">
        <f t="shared" si="5"/>
        <v>0</v>
      </c>
    </row>
    <row r="92" spans="2:7" x14ac:dyDescent="0.25">
      <c r="B92" s="242" t="s">
        <v>391</v>
      </c>
      <c r="C92" s="242"/>
      <c r="D92" s="242"/>
      <c r="E92" s="242"/>
      <c r="F92" s="224"/>
      <c r="G92" s="233">
        <f t="shared" si="5"/>
        <v>0</v>
      </c>
    </row>
    <row r="93" spans="2:7" x14ac:dyDescent="0.25">
      <c r="B93" s="242" t="s">
        <v>391</v>
      </c>
      <c r="C93" s="242"/>
      <c r="D93" s="242"/>
      <c r="E93" s="242"/>
      <c r="F93" s="224"/>
      <c r="G93" s="233">
        <f t="shared" si="5"/>
        <v>0</v>
      </c>
    </row>
    <row r="94" spans="2:7" x14ac:dyDescent="0.25">
      <c r="G94" s="215"/>
    </row>
    <row r="95" spans="2:7" x14ac:dyDescent="0.25">
      <c r="B95" s="244" t="s">
        <v>320</v>
      </c>
    </row>
    <row r="96" spans="2:7" hidden="1" x14ac:dyDescent="0.25">
      <c r="B96" s="245"/>
      <c r="C96" s="217" t="s">
        <v>28</v>
      </c>
    </row>
    <row r="97" spans="2:3" hidden="1" x14ac:dyDescent="0.25">
      <c r="B97" s="245"/>
      <c r="C97" s="217" t="s">
        <v>28</v>
      </c>
    </row>
    <row r="98" spans="2:3" hidden="1" x14ac:dyDescent="0.25">
      <c r="B98" s="245"/>
      <c r="C98" s="217" t="s">
        <v>28</v>
      </c>
    </row>
    <row r="99" spans="2:3" hidden="1" x14ac:dyDescent="0.25">
      <c r="B99" s="245"/>
      <c r="C99" s="217" t="s">
        <v>28</v>
      </c>
    </row>
    <row r="100" spans="2:3" hidden="1" x14ac:dyDescent="0.25">
      <c r="B100" s="245"/>
      <c r="C100" s="217" t="s">
        <v>28</v>
      </c>
    </row>
    <row r="101" spans="2:3" x14ac:dyDescent="0.25">
      <c r="B101" s="245"/>
    </row>
    <row r="102" spans="2:3" x14ac:dyDescent="0.25"/>
    <row r="103" spans="2:3" x14ac:dyDescent="0.25"/>
    <row r="104" spans="2:3" x14ac:dyDescent="0.25"/>
    <row r="105" spans="2:3" x14ac:dyDescent="0.25"/>
    <row r="106" spans="2:3" x14ac:dyDescent="0.25"/>
    <row r="107" spans="2:3" x14ac:dyDescent="0.25"/>
  </sheetData>
  <sheetProtection algorithmName="SHA-512" hashValue="4gQ8LZJKOOIeG41QwFsjYyUqck1bXm8WEnT0XsVNLeyjuUgVXQuP90jLqBZplqtmPqXMDszROuprS2Buk7zcmA==" saltValue="mp+oL/emTeSn0u0pPhGoFg==" spinCount="100000" sheet="1" objects="1" scenarios="1"/>
  <mergeCells count="22">
    <mergeCell ref="E22:F22"/>
    <mergeCell ref="E23:F23"/>
    <mergeCell ref="E29:F29"/>
    <mergeCell ref="E30:F30"/>
    <mergeCell ref="E17:F17"/>
    <mergeCell ref="E18:F18"/>
    <mergeCell ref="E19:F19"/>
    <mergeCell ref="E20:F20"/>
    <mergeCell ref="E21:F21"/>
    <mergeCell ref="E25:F25"/>
    <mergeCell ref="E24:F24"/>
    <mergeCell ref="E11:F11"/>
    <mergeCell ref="E12:F12"/>
    <mergeCell ref="E13:F13"/>
    <mergeCell ref="E15:F15"/>
    <mergeCell ref="E16:F16"/>
    <mergeCell ref="E14:F14"/>
    <mergeCell ref="B2:G2"/>
    <mergeCell ref="E4:F4"/>
    <mergeCell ref="E8:F8"/>
    <mergeCell ref="E9:F9"/>
    <mergeCell ref="E10:F10"/>
  </mergeCells>
  <pageMargins left="0.51181102362204722" right="0.51181102362204722" top="0.78740157480314965" bottom="0.78740157480314965" header="0.31496062992125984" footer="0.31496062992125984"/>
  <pageSetup paperSize="9" scale="8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6"/>
  <sheetViews>
    <sheetView workbookViewId="0">
      <selection activeCell="E9" sqref="E9"/>
    </sheetView>
  </sheetViews>
  <sheetFormatPr defaultColWidth="0" defaultRowHeight="15" zeroHeight="1" x14ac:dyDescent="0.25"/>
  <cols>
    <col min="1" max="11" width="5.5703125" style="2" customWidth="1"/>
    <col min="12" max="16384" width="9.140625" style="2" hidden="1"/>
  </cols>
  <sheetData>
    <row r="1" spans="1:10" x14ac:dyDescent="0.25"/>
    <row r="2" spans="1:10" x14ac:dyDescent="0.25">
      <c r="A2" s="3"/>
    </row>
    <row r="3" spans="1:10" x14ac:dyDescent="0.25">
      <c r="B3" s="449" t="s">
        <v>17</v>
      </c>
      <c r="C3" s="450"/>
      <c r="D3" s="450"/>
      <c r="E3" s="450"/>
      <c r="F3" s="450"/>
      <c r="G3" s="450"/>
      <c r="H3" s="450"/>
      <c r="I3" s="450"/>
      <c r="J3" s="451"/>
    </row>
    <row r="4" spans="1:10" x14ac:dyDescent="0.25">
      <c r="A4" s="3"/>
      <c r="B4" s="452"/>
      <c r="C4" s="453"/>
      <c r="D4" s="453"/>
      <c r="E4" s="453"/>
      <c r="F4" s="453"/>
      <c r="G4" s="453"/>
      <c r="H4" s="453"/>
      <c r="I4" s="453"/>
      <c r="J4" s="454"/>
    </row>
    <row r="5" spans="1:10" x14ac:dyDescent="0.25"/>
    <row r="6" spans="1:10" x14ac:dyDescent="0.25">
      <c r="A6" s="4"/>
      <c r="E6" s="440">
        <v>0.12</v>
      </c>
      <c r="F6" s="441"/>
      <c r="G6" s="442"/>
    </row>
    <row r="7" spans="1:10" x14ac:dyDescent="0.25">
      <c r="E7" s="443"/>
      <c r="F7" s="444"/>
      <c r="G7" s="445"/>
    </row>
    <row r="8" spans="1:10" x14ac:dyDescent="0.25">
      <c r="A8" s="4"/>
      <c r="E8" s="446"/>
      <c r="F8" s="447"/>
      <c r="G8" s="448"/>
    </row>
    <row r="9" spans="1:10" x14ac:dyDescent="0.25"/>
    <row r="10" spans="1:10" x14ac:dyDescent="0.25">
      <c r="A10" s="4"/>
    </row>
    <row r="11" spans="1:10" x14ac:dyDescent="0.25">
      <c r="B11" s="164" t="s">
        <v>320</v>
      </c>
      <c r="C11" s="165"/>
      <c r="D11" s="165"/>
      <c r="E11" s="165"/>
      <c r="F11" s="165"/>
      <c r="G11" s="165"/>
      <c r="H11" s="165"/>
      <c r="I11" s="165"/>
      <c r="J11" s="166"/>
    </row>
    <row r="12" spans="1:10" x14ac:dyDescent="0.25">
      <c r="A12" s="4"/>
      <c r="B12" s="455"/>
      <c r="C12" s="456"/>
      <c r="D12" s="456"/>
      <c r="E12" s="456"/>
      <c r="F12" s="456"/>
      <c r="G12" s="456"/>
      <c r="H12" s="456"/>
      <c r="I12" s="456"/>
      <c r="J12" s="457"/>
    </row>
    <row r="13" spans="1:10" x14ac:dyDescent="0.25">
      <c r="B13" s="455"/>
      <c r="C13" s="456"/>
      <c r="D13" s="456"/>
      <c r="E13" s="456"/>
      <c r="F13" s="456"/>
      <c r="G13" s="456"/>
      <c r="H13" s="456"/>
      <c r="I13" s="456"/>
      <c r="J13" s="457"/>
    </row>
    <row r="14" spans="1:10" x14ac:dyDescent="0.25">
      <c r="A14" s="4"/>
      <c r="B14" s="455"/>
      <c r="C14" s="456"/>
      <c r="D14" s="456"/>
      <c r="E14" s="456"/>
      <c r="F14" s="456"/>
      <c r="G14" s="456"/>
      <c r="H14" s="456"/>
      <c r="I14" s="456"/>
      <c r="J14" s="457"/>
    </row>
    <row r="15" spans="1:10" x14ac:dyDescent="0.25">
      <c r="B15" s="458"/>
      <c r="C15" s="459"/>
      <c r="D15" s="459"/>
      <c r="E15" s="459"/>
      <c r="F15" s="459"/>
      <c r="G15" s="459"/>
      <c r="H15" s="459"/>
      <c r="I15" s="459"/>
      <c r="J15" s="460"/>
    </row>
    <row r="16" spans="1:10" x14ac:dyDescent="0.25"/>
  </sheetData>
  <mergeCells count="3">
    <mergeCell ref="E6:G8"/>
    <mergeCell ref="B3:J4"/>
    <mergeCell ref="B12:J15"/>
  </mergeCells>
  <pageMargins left="0.511811024" right="0.511811024" top="0.78740157499999996" bottom="0.78740157499999996" header="0.31496062000000002" footer="0.31496062000000002"/>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EM134"/>
  <sheetViews>
    <sheetView showGridLines="0" topLeftCell="A68" zoomScale="75" zoomScaleNormal="75" workbookViewId="0">
      <selection activeCell="J79" sqref="J79"/>
    </sheetView>
  </sheetViews>
  <sheetFormatPr defaultColWidth="9.140625" defaultRowHeight="15" zeroHeight="1" x14ac:dyDescent="0.25"/>
  <cols>
    <col min="1" max="1" width="7.28515625" customWidth="1"/>
    <col min="2" max="3" width="9.140625" style="5"/>
    <col min="5" max="5" width="40.140625" bestFit="1" customWidth="1"/>
    <col min="6" max="6" width="8.7109375" customWidth="1"/>
    <col min="7" max="7" width="9.5703125" style="5" customWidth="1"/>
    <col min="8" max="12" width="18" bestFit="1" customWidth="1"/>
    <col min="13" max="15" width="9.140625" customWidth="1"/>
    <col min="16" max="16" width="22.5703125" customWidth="1"/>
    <col min="34" max="16316" width="0" hidden="1" customWidth="1"/>
    <col min="16317" max="16317" width="5.7109375" hidden="1" customWidth="1"/>
    <col min="16318" max="16344" width="9.140625" hidden="1" customWidth="1"/>
    <col min="16345" max="16345" width="4.7109375" hidden="1" customWidth="1"/>
    <col min="16346" max="16367" width="0" hidden="1" customWidth="1"/>
    <col min="16368" max="16384" width="9.140625" hidden="1" customWidth="1"/>
  </cols>
  <sheetData>
    <row r="1" spans="1:33" s="196" customFormat="1" ht="22.5" x14ac:dyDescent="0.25">
      <c r="A1"/>
      <c r="B1" s="390"/>
      <c r="C1" s="391" t="s">
        <v>245</v>
      </c>
      <c r="D1" s="392"/>
      <c r="E1" s="392"/>
      <c r="F1" s="392"/>
      <c r="G1" s="392"/>
      <c r="H1" s="393"/>
      <c r="I1" s="394" t="str">
        <f>IF('[1]II - Premissas'!$D$26&gt;=I2,"1","0")</f>
        <v>1</v>
      </c>
      <c r="J1" s="394" t="str">
        <f>IF('[1]II - Premissas'!$D$26&gt;=J2,"1","0")</f>
        <v>1</v>
      </c>
      <c r="K1" s="394" t="str">
        <f>IF('[1]II - Premissas'!$D$26&gt;=K2,"1","0")</f>
        <v>1</v>
      </c>
      <c r="L1" s="394" t="str">
        <f>IF('[1]II - Premissas'!$D$26&gt;=L2,"1","0")</f>
        <v>1</v>
      </c>
      <c r="M1"/>
      <c r="N1"/>
      <c r="O1"/>
      <c r="P1"/>
      <c r="Q1"/>
      <c r="R1"/>
      <c r="S1"/>
      <c r="T1"/>
      <c r="U1"/>
      <c r="V1"/>
      <c r="W1"/>
      <c r="X1"/>
      <c r="Y1"/>
      <c r="Z1"/>
      <c r="AA1"/>
      <c r="AB1"/>
      <c r="AC1"/>
      <c r="AD1"/>
      <c r="AE1"/>
      <c r="AF1"/>
      <c r="AG1"/>
    </row>
    <row r="2" spans="1:33" s="380" customFormat="1" ht="18.75" x14ac:dyDescent="0.25">
      <c r="C2" s="381"/>
      <c r="D2" s="381"/>
      <c r="E2" s="381"/>
      <c r="F2" s="381"/>
      <c r="G2" s="381"/>
      <c r="H2" s="381">
        <f>H5</f>
        <v>12</v>
      </c>
      <c r="I2" s="381">
        <f>H2+H5</f>
        <v>24</v>
      </c>
      <c r="J2" s="381">
        <f t="shared" ref="J2:L2" si="0">I2+I5</f>
        <v>36</v>
      </c>
      <c r="K2" s="381">
        <f t="shared" si="0"/>
        <v>48</v>
      </c>
      <c r="L2" s="381">
        <f t="shared" si="0"/>
        <v>60</v>
      </c>
    </row>
    <row r="3" spans="1:33" x14ac:dyDescent="0.25">
      <c r="H3" s="7" t="s">
        <v>9</v>
      </c>
      <c r="I3" s="7" t="s">
        <v>10</v>
      </c>
      <c r="J3" s="7" t="s">
        <v>11</v>
      </c>
      <c r="K3" s="7" t="s">
        <v>339</v>
      </c>
      <c r="L3" s="7" t="s">
        <v>340</v>
      </c>
    </row>
    <row r="4" spans="1:33" x14ac:dyDescent="0.25">
      <c r="C4" s="7" t="s">
        <v>8</v>
      </c>
      <c r="H4" s="8" t="s">
        <v>12</v>
      </c>
      <c r="I4" s="8" t="s">
        <v>12</v>
      </c>
      <c r="J4" s="8" t="s">
        <v>12</v>
      </c>
      <c r="K4" s="8" t="s">
        <v>12</v>
      </c>
      <c r="L4" s="8" t="s">
        <v>12</v>
      </c>
    </row>
    <row r="5" spans="1:33" x14ac:dyDescent="0.25">
      <c r="B5" s="380"/>
      <c r="C5" s="380"/>
      <c r="D5" s="382"/>
      <c r="E5" s="382"/>
      <c r="F5" s="382"/>
      <c r="G5" s="380"/>
      <c r="H5" s="383">
        <v>12</v>
      </c>
      <c r="I5" s="383">
        <v>12</v>
      </c>
      <c r="J5" s="383">
        <v>12</v>
      </c>
      <c r="K5" s="383">
        <v>12</v>
      </c>
      <c r="L5" s="383">
        <v>12</v>
      </c>
    </row>
    <row r="6" spans="1:33" s="1" customFormat="1" x14ac:dyDescent="0.25">
      <c r="B6" s="191" t="s">
        <v>247</v>
      </c>
      <c r="C6" s="192" t="s">
        <v>246</v>
      </c>
      <c r="D6" s="192"/>
      <c r="E6" s="192"/>
      <c r="F6" s="192"/>
      <c r="G6" s="191"/>
      <c r="H6" s="193">
        <f>'II - Premissas'!D18</f>
        <v>711</v>
      </c>
      <c r="I6" s="193">
        <f>H6*I1</f>
        <v>711</v>
      </c>
      <c r="J6" s="193">
        <f t="shared" ref="J6:L6" si="1">I6*J1</f>
        <v>711</v>
      </c>
      <c r="K6" s="193">
        <f t="shared" si="1"/>
        <v>711</v>
      </c>
      <c r="L6" s="193">
        <f t="shared" si="1"/>
        <v>711</v>
      </c>
    </row>
    <row r="7" spans="1:33" ht="7.5" customHeight="1" x14ac:dyDescent="0.25">
      <c r="B7" s="260"/>
      <c r="C7" s="260"/>
      <c r="D7" s="106"/>
      <c r="E7" s="106"/>
      <c r="F7" s="106"/>
      <c r="G7" s="260"/>
      <c r="H7" s="107"/>
      <c r="I7" s="107"/>
      <c r="J7" s="107"/>
      <c r="K7" s="107"/>
      <c r="L7" s="107"/>
    </row>
    <row r="8" spans="1:33" s="1" customFormat="1" x14ac:dyDescent="0.25">
      <c r="B8" s="191" t="s">
        <v>248</v>
      </c>
      <c r="C8" s="192" t="s">
        <v>249</v>
      </c>
      <c r="D8" s="192"/>
      <c r="E8" s="192"/>
      <c r="F8" s="192"/>
      <c r="G8" s="191"/>
      <c r="H8" s="203">
        <f>'II - Premissas'!D20</f>
        <v>2.3685963287718437E-2</v>
      </c>
      <c r="I8" s="538">
        <f>H8*I1</f>
        <v>2.3685963287718437E-2</v>
      </c>
      <c r="J8" s="538">
        <f t="shared" ref="J8:L8" si="2">I8*J1</f>
        <v>2.3685963287718437E-2</v>
      </c>
      <c r="K8" s="538">
        <f t="shared" si="2"/>
        <v>2.3685963287718437E-2</v>
      </c>
      <c r="L8" s="538">
        <f t="shared" si="2"/>
        <v>2.3685963287718437E-2</v>
      </c>
    </row>
    <row r="9" spans="1:33" ht="7.5" customHeight="1" x14ac:dyDescent="0.25">
      <c r="B9" s="260"/>
      <c r="C9" s="260"/>
      <c r="D9" s="106"/>
      <c r="E9" s="106"/>
      <c r="F9" s="106"/>
      <c r="G9" s="260"/>
      <c r="H9" s="107"/>
      <c r="I9" s="107"/>
      <c r="J9" s="107"/>
      <c r="K9" s="107"/>
      <c r="L9" s="107"/>
    </row>
    <row r="10" spans="1:33" s="1" customFormat="1" x14ac:dyDescent="0.25">
      <c r="B10" s="191" t="s">
        <v>250</v>
      </c>
      <c r="C10" s="192" t="s">
        <v>435</v>
      </c>
      <c r="D10" s="192"/>
      <c r="E10" s="192"/>
      <c r="F10" s="192"/>
      <c r="G10" s="191"/>
      <c r="H10" s="203">
        <f>'II - Premissas'!D22</f>
        <v>0.83620000000000005</v>
      </c>
      <c r="I10" s="203">
        <f>'II - Premissas'!D22</f>
        <v>0.83620000000000005</v>
      </c>
      <c r="J10" s="203">
        <f>'II - Premissas'!D22</f>
        <v>0.83620000000000005</v>
      </c>
      <c r="K10" s="203">
        <f>'II - Premissas'!D22</f>
        <v>0.83620000000000005</v>
      </c>
      <c r="L10" s="203">
        <f>'II - Premissas'!D22</f>
        <v>0.83620000000000005</v>
      </c>
    </row>
    <row r="11" spans="1:33" ht="7.5" customHeight="1" x14ac:dyDescent="0.25">
      <c r="B11" s="260"/>
      <c r="C11" s="260"/>
      <c r="D11" s="106"/>
      <c r="E11" s="106"/>
      <c r="F11" s="106"/>
      <c r="G11" s="260"/>
      <c r="H11" s="107"/>
      <c r="I11" s="107"/>
      <c r="J11" s="107"/>
      <c r="K11" s="107"/>
      <c r="L11" s="107"/>
    </row>
    <row r="12" spans="1:33" s="1" customFormat="1" x14ac:dyDescent="0.25">
      <c r="B12" s="191" t="s">
        <v>251</v>
      </c>
      <c r="C12" s="192" t="s">
        <v>436</v>
      </c>
      <c r="D12" s="192"/>
      <c r="E12" s="192"/>
      <c r="F12" s="192"/>
      <c r="G12" s="191"/>
      <c r="H12" s="203">
        <f>'II - Premissas'!D24</f>
        <v>0.36792800000000003</v>
      </c>
      <c r="I12" s="203">
        <f>H12*I1</f>
        <v>0.36792800000000003</v>
      </c>
      <c r="J12" s="203">
        <f t="shared" ref="J12:L12" si="3">I12*J1</f>
        <v>0.36792800000000003</v>
      </c>
      <c r="K12" s="203">
        <f t="shared" si="3"/>
        <v>0.36792800000000003</v>
      </c>
      <c r="L12" s="203">
        <f t="shared" si="3"/>
        <v>0.36792800000000003</v>
      </c>
    </row>
    <row r="13" spans="1:33" ht="7.5" customHeight="1" x14ac:dyDescent="0.25">
      <c r="B13" s="260"/>
      <c r="C13" s="260"/>
      <c r="D13" s="106"/>
      <c r="E13" s="106"/>
      <c r="F13" s="106"/>
      <c r="G13" s="260"/>
      <c r="H13" s="107"/>
      <c r="I13" s="107"/>
      <c r="J13" s="107"/>
      <c r="K13" s="107"/>
      <c r="L13" s="107"/>
    </row>
    <row r="14" spans="1:33" s="1" customFormat="1" x14ac:dyDescent="0.25">
      <c r="B14" s="191" t="s">
        <v>252</v>
      </c>
      <c r="C14" s="192" t="s">
        <v>13</v>
      </c>
      <c r="D14" s="192"/>
      <c r="E14" s="192"/>
      <c r="F14" s="192"/>
      <c r="G14" s="191"/>
      <c r="H14" s="384">
        <f>'IX - Arrecadação'!E14</f>
        <v>1883497.0176000001</v>
      </c>
      <c r="I14" s="384">
        <f>'IX - Arrecadação'!F14</f>
        <v>1988972.8505856001</v>
      </c>
      <c r="J14" s="384">
        <f>'IX - Arrecadação'!G14</f>
        <v>2075493.1695860741</v>
      </c>
      <c r="K14" s="384">
        <f>'IX - Arrecadação'!H14</f>
        <v>2158512.8963695168</v>
      </c>
      <c r="L14" s="384">
        <f>'IX - Arrecadação'!I14</f>
        <v>2240320.5351419216</v>
      </c>
    </row>
    <row r="15" spans="1:33" ht="7.5" customHeight="1" x14ac:dyDescent="0.25">
      <c r="C15" s="110"/>
      <c r="D15" s="109"/>
      <c r="E15" s="109"/>
      <c r="F15" s="109"/>
      <c r="G15" s="110"/>
      <c r="H15" s="111"/>
      <c r="I15" s="111"/>
      <c r="J15" s="111"/>
      <c r="K15" s="105"/>
      <c r="L15" s="105"/>
    </row>
    <row r="16" spans="1:33" x14ac:dyDescent="0.25">
      <c r="C16" s="118" t="s">
        <v>253</v>
      </c>
      <c r="D16" s="119" t="s">
        <v>14</v>
      </c>
      <c r="E16" s="119"/>
      <c r="F16" s="119"/>
      <c r="G16" s="118"/>
      <c r="H16" s="120">
        <f t="shared" ref="H16:L16" si="4">H14</f>
        <v>1883497.0176000001</v>
      </c>
      <c r="I16" s="120">
        <f t="shared" si="4"/>
        <v>1988972.8505856001</v>
      </c>
      <c r="J16" s="120">
        <f t="shared" si="4"/>
        <v>2075493.1695860741</v>
      </c>
      <c r="K16" s="120">
        <f t="shared" si="4"/>
        <v>2158512.8963695168</v>
      </c>
      <c r="L16" s="120">
        <f t="shared" si="4"/>
        <v>2240320.5351419216</v>
      </c>
    </row>
    <row r="17" spans="2:12" ht="7.5" customHeight="1" x14ac:dyDescent="0.25">
      <c r="B17" s="380"/>
      <c r="C17" s="380"/>
      <c r="D17" s="382"/>
      <c r="E17" s="382"/>
      <c r="F17" s="382"/>
      <c r="G17" s="380"/>
      <c r="H17" s="385"/>
      <c r="I17" s="385"/>
      <c r="J17" s="385"/>
      <c r="K17" s="105"/>
      <c r="L17" s="105"/>
    </row>
    <row r="18" spans="2:12" s="1" customFormat="1" x14ac:dyDescent="0.25">
      <c r="B18" s="191" t="s">
        <v>254</v>
      </c>
      <c r="C18" s="192" t="s">
        <v>255</v>
      </c>
      <c r="D18" s="192"/>
      <c r="E18" s="192"/>
      <c r="F18" s="192"/>
      <c r="G18" s="191"/>
      <c r="H18" s="194"/>
      <c r="I18" s="194"/>
      <c r="J18" s="194"/>
      <c r="K18" s="194"/>
      <c r="L18" s="194"/>
    </row>
    <row r="19" spans="2:12" ht="7.5" customHeight="1" x14ac:dyDescent="0.25">
      <c r="C19" s="110"/>
      <c r="D19" s="109"/>
      <c r="E19" s="109"/>
      <c r="F19" s="109"/>
      <c r="G19" s="110"/>
      <c r="H19" s="111"/>
      <c r="I19" s="111"/>
      <c r="J19" s="111"/>
      <c r="K19" s="105"/>
      <c r="L19" s="105"/>
    </row>
    <row r="20" spans="2:12" x14ac:dyDescent="0.25">
      <c r="C20" s="118" t="s">
        <v>256</v>
      </c>
      <c r="D20" s="119" t="s">
        <v>437</v>
      </c>
      <c r="E20" s="119"/>
      <c r="F20" s="119"/>
      <c r="G20" s="118"/>
      <c r="H20" s="120">
        <f>-(H16*5%)</f>
        <v>-94174.850880000013</v>
      </c>
      <c r="I20" s="120">
        <f t="shared" ref="I20:L20" si="5">-(I16*5%)</f>
        <v>-99448.642529280012</v>
      </c>
      <c r="J20" s="120">
        <f t="shared" si="5"/>
        <v>-103774.6584793037</v>
      </c>
      <c r="K20" s="120">
        <f t="shared" si="5"/>
        <v>-107925.64481847585</v>
      </c>
      <c r="L20" s="120">
        <f t="shared" si="5"/>
        <v>-112016.02675709609</v>
      </c>
    </row>
    <row r="21" spans="2:12" x14ac:dyDescent="0.25">
      <c r="C21" s="118" t="s">
        <v>257</v>
      </c>
      <c r="D21" s="119" t="s">
        <v>304</v>
      </c>
      <c r="E21" s="119"/>
      <c r="F21" s="119"/>
      <c r="G21" s="118"/>
      <c r="H21" s="121">
        <f>-(H16*3%)</f>
        <v>-56504.910528</v>
      </c>
      <c r="I21" s="121">
        <f t="shared" ref="I21:L21" si="6">-(I16*3%)</f>
        <v>-59669.185517568003</v>
      </c>
      <c r="J21" s="121">
        <f t="shared" si="6"/>
        <v>-62264.795087582221</v>
      </c>
      <c r="K21" s="121">
        <f t="shared" si="6"/>
        <v>-64755.386891085502</v>
      </c>
      <c r="L21" s="121">
        <f t="shared" si="6"/>
        <v>-67209.61605425764</v>
      </c>
    </row>
    <row r="22" spans="2:12" x14ac:dyDescent="0.25">
      <c r="C22" s="118" t="s">
        <v>258</v>
      </c>
      <c r="D22" s="119" t="s">
        <v>305</v>
      </c>
      <c r="E22" s="119"/>
      <c r="F22" s="119"/>
      <c r="G22" s="118"/>
      <c r="H22" s="121">
        <f>-(H16*0.65%)</f>
        <v>-12242.730614400001</v>
      </c>
      <c r="I22" s="121">
        <f t="shared" ref="I22:L22" si="7">-(I16*0.65%)</f>
        <v>-12928.323528806402</v>
      </c>
      <c r="J22" s="121">
        <f t="shared" si="7"/>
        <v>-13490.705602309483</v>
      </c>
      <c r="K22" s="121">
        <f t="shared" si="7"/>
        <v>-14030.33382640186</v>
      </c>
      <c r="L22" s="121">
        <f t="shared" si="7"/>
        <v>-14562.083478422492</v>
      </c>
    </row>
    <row r="23" spans="2:12" x14ac:dyDescent="0.25">
      <c r="C23" s="118" t="s">
        <v>259</v>
      </c>
      <c r="D23" s="119" t="s">
        <v>306</v>
      </c>
      <c r="E23" s="119"/>
      <c r="F23" s="119"/>
      <c r="G23" s="118"/>
      <c r="H23" s="120">
        <f>0</f>
        <v>0</v>
      </c>
      <c r="I23" s="120">
        <f>0</f>
        <v>0</v>
      </c>
      <c r="J23" s="120">
        <f>0</f>
        <v>0</v>
      </c>
      <c r="K23" s="120">
        <f>0</f>
        <v>0</v>
      </c>
      <c r="L23" s="120">
        <f>0</f>
        <v>0</v>
      </c>
    </row>
    <row r="24" spans="2:12" x14ac:dyDescent="0.25">
      <c r="C24" s="118" t="s">
        <v>260</v>
      </c>
      <c r="D24" s="119" t="s">
        <v>261</v>
      </c>
      <c r="E24" s="119"/>
      <c r="F24" s="119"/>
      <c r="G24" s="118"/>
      <c r="H24" s="120">
        <f>-(H16*'V - Proposta - Outorga'!$E$6)</f>
        <v>-226019.642112</v>
      </c>
      <c r="I24" s="120">
        <f>-(I16*'V - Proposta - Outorga'!$E$6)</f>
        <v>-238676.74207027201</v>
      </c>
      <c r="J24" s="120">
        <f>-(J16*'V - Proposta - Outorga'!$E$6)</f>
        <v>-249059.18035032888</v>
      </c>
      <c r="K24" s="120">
        <f>-(K16*'V - Proposta - Outorga'!$E$6)</f>
        <v>-259021.54756434201</v>
      </c>
      <c r="L24" s="120">
        <f>-(L16*'V - Proposta - Outorga'!$E$6)</f>
        <v>-268838.46421703056</v>
      </c>
    </row>
    <row r="25" spans="2:12" ht="7.5" customHeight="1" x14ac:dyDescent="0.25">
      <c r="B25" s="380"/>
      <c r="C25" s="380"/>
      <c r="D25" s="382"/>
      <c r="E25" s="382"/>
      <c r="F25" s="382"/>
      <c r="G25" s="380"/>
      <c r="H25" s="385"/>
      <c r="I25" s="385"/>
      <c r="J25" s="385"/>
      <c r="K25" s="105"/>
      <c r="L25" s="105"/>
    </row>
    <row r="26" spans="2:12" s="1" customFormat="1" x14ac:dyDescent="0.25">
      <c r="B26" s="115" t="s">
        <v>262</v>
      </c>
      <c r="C26" s="116" t="s">
        <v>15</v>
      </c>
      <c r="D26" s="116"/>
      <c r="E26" s="116"/>
      <c r="F26" s="116"/>
      <c r="G26" s="115"/>
      <c r="H26" s="117">
        <f>H14+H20+H21+H22+H23+H24</f>
        <v>1494554.8834656002</v>
      </c>
      <c r="I26" s="117">
        <f t="shared" ref="I26:L26" si="8">I14+I20+I21+I22+I23+I24</f>
        <v>1578249.9569396737</v>
      </c>
      <c r="J26" s="117">
        <f t="shared" si="8"/>
        <v>1646903.8300665501</v>
      </c>
      <c r="K26" s="117">
        <f t="shared" si="8"/>
        <v>1712779.9832692116</v>
      </c>
      <c r="L26" s="117">
        <f t="shared" si="8"/>
        <v>1777694.344635115</v>
      </c>
    </row>
    <row r="27" spans="2:12" ht="7.5" customHeight="1" x14ac:dyDescent="0.25">
      <c r="B27" s="260"/>
      <c r="C27" s="260"/>
      <c r="D27" s="106"/>
      <c r="E27" s="106"/>
      <c r="F27" s="106"/>
      <c r="G27" s="260"/>
      <c r="H27" s="108"/>
      <c r="I27" s="108"/>
      <c r="J27" s="108"/>
      <c r="K27" s="105"/>
      <c r="L27" s="105"/>
    </row>
    <row r="28" spans="2:12" s="1" customFormat="1" x14ac:dyDescent="0.25">
      <c r="B28" s="115" t="s">
        <v>263</v>
      </c>
      <c r="C28" s="116" t="s">
        <v>264</v>
      </c>
      <c r="D28" s="116"/>
      <c r="E28" s="116"/>
      <c r="F28" s="116"/>
      <c r="G28" s="115"/>
      <c r="H28" s="117">
        <f>H30+H32</f>
        <v>-1080517.6011029813</v>
      </c>
      <c r="I28" s="117">
        <f>I30+I32</f>
        <v>-1134132.4868183772</v>
      </c>
      <c r="J28" s="117">
        <f t="shared" ref="J28:L28" si="9">J30+J32</f>
        <v>-1190466.9458999289</v>
      </c>
      <c r="K28" s="117">
        <f t="shared" si="9"/>
        <v>-1249661.64058547</v>
      </c>
      <c r="L28" s="117">
        <f t="shared" si="9"/>
        <v>-1311864.6301352147</v>
      </c>
    </row>
    <row r="29" spans="2:12" ht="7.5" customHeight="1" x14ac:dyDescent="0.25">
      <c r="C29" s="110"/>
      <c r="D29" s="113"/>
      <c r="E29" s="113"/>
      <c r="F29" s="113"/>
      <c r="G29" s="110"/>
      <c r="H29" s="111"/>
      <c r="I29" s="111"/>
      <c r="J29" s="111"/>
      <c r="K29" s="105"/>
      <c r="L29" s="105"/>
    </row>
    <row r="30" spans="2:12" s="1" customFormat="1" x14ac:dyDescent="0.25">
      <c r="B30" s="7"/>
      <c r="C30" s="183" t="s">
        <v>265</v>
      </c>
      <c r="D30" s="187" t="s">
        <v>237</v>
      </c>
      <c r="E30" s="187"/>
      <c r="F30" s="187"/>
      <c r="G30" s="183"/>
      <c r="H30" s="188">
        <f>-'IV - Insumos e Mão de Obra'!G79</f>
        <v>-636757.60110298125</v>
      </c>
      <c r="I30" s="188">
        <f>H30*$I$1*(1+'II - Premissas'!$D$28)</f>
        <v>-672288.67524452764</v>
      </c>
      <c r="J30" s="188">
        <f>I30*$I$1*(1+'II - Premissas'!$D$28)</f>
        <v>-709802.38332317234</v>
      </c>
      <c r="K30" s="188">
        <f>J30*$I$1*(1+'II - Premissas'!$D$28)</f>
        <v>-749409.35631260544</v>
      </c>
      <c r="L30" s="188">
        <f>K30*$I$1*(1+'II - Premissas'!$D$28)</f>
        <v>-791226.39839484892</v>
      </c>
    </row>
    <row r="31" spans="2:12" s="1" customFormat="1" x14ac:dyDescent="0.25">
      <c r="B31" s="7"/>
      <c r="C31" s="183"/>
      <c r="D31" s="187"/>
      <c r="E31" s="187"/>
      <c r="F31" s="187"/>
      <c r="G31" s="183"/>
      <c r="H31" s="188"/>
      <c r="I31" s="188"/>
      <c r="J31" s="188"/>
      <c r="K31" s="188"/>
      <c r="L31" s="188"/>
    </row>
    <row r="32" spans="2:12" s="1" customFormat="1" x14ac:dyDescent="0.25">
      <c r="B32" s="7"/>
      <c r="C32" s="183" t="s">
        <v>266</v>
      </c>
      <c r="D32" s="187" t="s">
        <v>269</v>
      </c>
      <c r="E32" s="183"/>
      <c r="F32" s="183"/>
      <c r="G32" s="183"/>
      <c r="H32" s="188">
        <f>SUM(H33:H34)</f>
        <v>-443760</v>
      </c>
      <c r="I32" s="188">
        <f>SUM(I33:I34)</f>
        <v>-461843.81157384958</v>
      </c>
      <c r="J32" s="188">
        <f t="shared" ref="J32:L32" si="10">SUM(J33:J34)</f>
        <v>-480664.56257675652</v>
      </c>
      <c r="K32" s="188">
        <f t="shared" si="10"/>
        <v>-500252.28427286458</v>
      </c>
      <c r="L32" s="188">
        <f t="shared" si="10"/>
        <v>-520638.23174036574</v>
      </c>
    </row>
    <row r="33" spans="2:12" x14ac:dyDescent="0.25">
      <c r="C33" s="123"/>
      <c r="D33" s="118" t="s">
        <v>267</v>
      </c>
      <c r="E33" s="119" t="s">
        <v>383</v>
      </c>
      <c r="F33" s="119"/>
      <c r="G33" s="118"/>
      <c r="H33" s="120">
        <f>-'IV - Insumos e Mão de Obra'!G58</f>
        <v>-97320</v>
      </c>
      <c r="I33" s="120">
        <f>(H33*$I$1)+((H33*$I$1)*'II - Premissas'!$D$30)</f>
        <v>-101285.91973672039</v>
      </c>
      <c r="J33" s="120">
        <f>(I33*$I$1)+((I33*$I$1)*'II - Premissas'!$D$30)</f>
        <v>-105413.45598965645</v>
      </c>
      <c r="K33" s="120">
        <f>(J33*$I$1)+((J33*$I$1)*'II - Premissas'!$D$30)</f>
        <v>-109709.19484729398</v>
      </c>
      <c r="L33" s="120">
        <f>(K33*$I$1)+((K33*$I$1)*'II - Premissas'!$D$30)</f>
        <v>-114179.99079000449</v>
      </c>
    </row>
    <row r="34" spans="2:12" x14ac:dyDescent="0.25">
      <c r="C34" s="8"/>
      <c r="D34" s="118" t="s">
        <v>268</v>
      </c>
      <c r="E34" s="119" t="s">
        <v>384</v>
      </c>
      <c r="F34" s="119"/>
      <c r="G34" s="118"/>
      <c r="H34" s="120">
        <f>-'IV - Insumos e Mão de Obra'!G34</f>
        <v>-346440</v>
      </c>
      <c r="I34" s="120">
        <f>(H34*$I$1)+((H34*$I$1)*'II - Premissas'!$D$30)</f>
        <v>-360557.89183712919</v>
      </c>
      <c r="J34" s="120">
        <f>(I34*$I$1)+((I34*$I$1)*'II - Premissas'!$D$30)</f>
        <v>-375251.10658710008</v>
      </c>
      <c r="K34" s="120">
        <f>(J34*$I$1)+((J34*$I$1)*'II - Premissas'!$D$30)</f>
        <v>-390543.08942557056</v>
      </c>
      <c r="L34" s="120">
        <f>(K34*$I$1)+((K34*$I$1)*'II - Premissas'!$D$30)</f>
        <v>-406458.24095036124</v>
      </c>
    </row>
    <row r="35" spans="2:12" ht="7.5" customHeight="1" x14ac:dyDescent="0.25">
      <c r="B35" s="380"/>
      <c r="C35" s="380"/>
      <c r="D35" s="380"/>
      <c r="E35" s="380"/>
      <c r="F35" s="380"/>
      <c r="G35" s="380"/>
      <c r="H35" s="380"/>
      <c r="I35" s="380"/>
      <c r="J35" s="380"/>
      <c r="K35" s="380"/>
      <c r="L35" s="380"/>
    </row>
    <row r="36" spans="2:12" s="1" customFormat="1" x14ac:dyDescent="0.25">
      <c r="B36" s="191" t="s">
        <v>270</v>
      </c>
      <c r="C36" s="192" t="s">
        <v>271</v>
      </c>
      <c r="D36" s="192"/>
      <c r="E36" s="192"/>
      <c r="F36" s="192"/>
      <c r="G36" s="191"/>
      <c r="H36" s="194">
        <f t="shared" ref="H36:L36" si="11">H26+H28</f>
        <v>414037.28236261895</v>
      </c>
      <c r="I36" s="194">
        <f t="shared" si="11"/>
        <v>444117.47012129659</v>
      </c>
      <c r="J36" s="194">
        <f t="shared" si="11"/>
        <v>456436.88416662114</v>
      </c>
      <c r="K36" s="194">
        <f t="shared" si="11"/>
        <v>463118.34268374159</v>
      </c>
      <c r="L36" s="194">
        <f t="shared" si="11"/>
        <v>465829.71449990035</v>
      </c>
    </row>
    <row r="37" spans="2:12" ht="7.5" customHeight="1" x14ac:dyDescent="0.25">
      <c r="C37" s="110"/>
      <c r="D37" s="109"/>
      <c r="E37" s="109"/>
      <c r="F37" s="109"/>
      <c r="G37" s="110"/>
      <c r="H37" s="111"/>
      <c r="I37" s="111"/>
      <c r="J37" s="111"/>
      <c r="K37" s="111"/>
      <c r="L37" s="111"/>
    </row>
    <row r="38" spans="2:12" x14ac:dyDescent="0.25">
      <c r="C38" s="118" t="s">
        <v>272</v>
      </c>
      <c r="D38" s="119" t="s">
        <v>273</v>
      </c>
      <c r="E38" s="119"/>
      <c r="F38" s="119"/>
      <c r="G38" s="118"/>
      <c r="H38" s="124">
        <f t="shared" ref="H38:L38" si="12">H36/H14</f>
        <v>0.219823699476942</v>
      </c>
      <c r="I38" s="124">
        <f t="shared" si="12"/>
        <v>0.22328986038725365</v>
      </c>
      <c r="J38" s="124">
        <f t="shared" si="12"/>
        <v>0.21991731452320348</v>
      </c>
      <c r="K38" s="124">
        <f t="shared" si="12"/>
        <v>0.21455435520569627</v>
      </c>
      <c r="L38" s="124">
        <f t="shared" si="12"/>
        <v>0.20792994002101159</v>
      </c>
    </row>
    <row r="39" spans="2:12" ht="7.5" customHeight="1" x14ac:dyDescent="0.25">
      <c r="B39" s="380"/>
      <c r="C39" s="380"/>
      <c r="D39" s="386"/>
      <c r="E39" s="386"/>
      <c r="F39" s="386"/>
      <c r="G39" s="380"/>
      <c r="H39" s="380"/>
      <c r="I39" s="380"/>
      <c r="J39" s="380"/>
      <c r="K39" s="380"/>
      <c r="L39" s="380"/>
    </row>
    <row r="40" spans="2:12" s="1" customFormat="1" x14ac:dyDescent="0.25">
      <c r="B40" s="191" t="s">
        <v>274</v>
      </c>
      <c r="C40" s="192" t="s">
        <v>275</v>
      </c>
      <c r="D40" s="192"/>
      <c r="E40" s="192"/>
      <c r="F40" s="192"/>
      <c r="G40" s="191"/>
      <c r="H40" s="194">
        <f t="shared" ref="H40:L40" si="13">SUM(H42:H42)</f>
        <v>-24880</v>
      </c>
      <c r="I40" s="194">
        <f t="shared" si="13"/>
        <v>-24880</v>
      </c>
      <c r="J40" s="194">
        <f t="shared" si="13"/>
        <v>-24880</v>
      </c>
      <c r="K40" s="194">
        <f t="shared" si="13"/>
        <v>-24880</v>
      </c>
      <c r="L40" s="194">
        <f t="shared" si="13"/>
        <v>-24880</v>
      </c>
    </row>
    <row r="41" spans="2:12" ht="7.5" customHeight="1" x14ac:dyDescent="0.25">
      <c r="C41" s="110"/>
      <c r="D41" s="109"/>
      <c r="E41" s="109"/>
      <c r="F41" s="109"/>
      <c r="G41" s="110"/>
      <c r="H41" s="111"/>
      <c r="I41" s="111"/>
      <c r="J41" s="111"/>
      <c r="K41" s="111"/>
      <c r="L41" s="111"/>
    </row>
    <row r="42" spans="2:12" x14ac:dyDescent="0.25">
      <c r="C42" s="118" t="s">
        <v>276</v>
      </c>
      <c r="D42" s="119" t="s">
        <v>277</v>
      </c>
      <c r="E42" s="119"/>
      <c r="F42" s="119"/>
      <c r="G42" s="118"/>
      <c r="H42" s="120">
        <f>-'IV - Insumos e Mão de Obra'!K15-'IV - Insumos e Mão de Obra'!N15-'IV - Insumos e Mão de Obra'!O15</f>
        <v>-24880</v>
      </c>
      <c r="I42" s="125">
        <f>H42*$I$1</f>
        <v>-24880</v>
      </c>
      <c r="J42" s="125">
        <f>I42*$J$1</f>
        <v>-24880</v>
      </c>
      <c r="K42" s="125">
        <f>J42*$K$1</f>
        <v>-24880</v>
      </c>
      <c r="L42" s="125">
        <f t="shared" ref="L42" si="14">K42*$L$1</f>
        <v>-24880</v>
      </c>
    </row>
    <row r="43" spans="2:12" ht="7.5" customHeight="1" x14ac:dyDescent="0.25">
      <c r="B43" s="380"/>
      <c r="C43" s="380"/>
      <c r="D43" s="386"/>
      <c r="E43" s="386"/>
      <c r="F43" s="386"/>
      <c r="G43" s="380"/>
      <c r="H43" s="380"/>
      <c r="I43" s="380"/>
      <c r="J43" s="380"/>
      <c r="K43" s="380"/>
      <c r="L43" s="380"/>
    </row>
    <row r="44" spans="2:12" s="1" customFormat="1" x14ac:dyDescent="0.25">
      <c r="B44" s="191" t="s">
        <v>278</v>
      </c>
      <c r="C44" s="192" t="s">
        <v>279</v>
      </c>
      <c r="D44" s="192"/>
      <c r="E44" s="192"/>
      <c r="F44" s="192"/>
      <c r="G44" s="191"/>
      <c r="H44" s="194">
        <f t="shared" ref="H44:L44" si="15">H36+H40</f>
        <v>389157.28236261895</v>
      </c>
      <c r="I44" s="194">
        <f t="shared" si="15"/>
        <v>419237.47012129659</v>
      </c>
      <c r="J44" s="194">
        <f t="shared" si="15"/>
        <v>431556.88416662114</v>
      </c>
      <c r="K44" s="194">
        <f t="shared" si="15"/>
        <v>438238.34268374159</v>
      </c>
      <c r="L44" s="194">
        <f t="shared" si="15"/>
        <v>440949.71449990035</v>
      </c>
    </row>
    <row r="45" spans="2:12" ht="7.5" customHeight="1" x14ac:dyDescent="0.25">
      <c r="B45" s="260"/>
      <c r="C45" s="260"/>
      <c r="D45" s="127"/>
      <c r="E45" s="127"/>
      <c r="F45" s="127"/>
      <c r="G45" s="260"/>
      <c r="H45" s="260"/>
      <c r="I45" s="260"/>
      <c r="J45" s="260"/>
      <c r="K45" s="260"/>
      <c r="L45" s="260"/>
    </row>
    <row r="46" spans="2:12" x14ac:dyDescent="0.25">
      <c r="B46" s="191" t="s">
        <v>280</v>
      </c>
      <c r="C46" s="192" t="s">
        <v>281</v>
      </c>
      <c r="D46" s="192"/>
      <c r="E46" s="192"/>
      <c r="F46" s="191" t="s">
        <v>151</v>
      </c>
      <c r="G46" s="191" t="s">
        <v>307</v>
      </c>
      <c r="H46" s="194">
        <f>SUM(H48:H50)</f>
        <v>-43320.431404800009</v>
      </c>
      <c r="I46" s="194">
        <f>SUM(I48:I50)</f>
        <v>-43320.431404800009</v>
      </c>
      <c r="J46" s="194">
        <f>SUM(J48:J50)</f>
        <v>-43320.431404800009</v>
      </c>
      <c r="K46" s="194">
        <f t="shared" ref="K46:L46" si="16">SUM(K48:K50)</f>
        <v>-43320.431404800009</v>
      </c>
      <c r="L46" s="194">
        <f t="shared" si="16"/>
        <v>-43320.431404800009</v>
      </c>
    </row>
    <row r="47" spans="2:12" ht="7.5" customHeight="1" x14ac:dyDescent="0.25">
      <c r="B47" s="7"/>
      <c r="C47" s="133"/>
      <c r="D47" s="133"/>
      <c r="E47" s="133"/>
      <c r="F47" s="134"/>
      <c r="G47" s="134"/>
      <c r="H47" s="135"/>
      <c r="I47" s="135"/>
      <c r="J47" s="135"/>
      <c r="K47" s="135"/>
      <c r="L47" s="135"/>
    </row>
    <row r="48" spans="2:12" x14ac:dyDescent="0.25">
      <c r="C48" s="132" t="s">
        <v>282</v>
      </c>
      <c r="D48" s="128" t="s">
        <v>438</v>
      </c>
      <c r="E48" s="129"/>
      <c r="F48" s="130">
        <v>0.02</v>
      </c>
      <c r="G48" s="130">
        <v>0.5</v>
      </c>
      <c r="H48" s="131">
        <f>-(F48*G48)*H14</f>
        <v>-18834.970176000003</v>
      </c>
      <c r="I48" s="131">
        <f>H48*$I$1</f>
        <v>-18834.970176000003</v>
      </c>
      <c r="J48" s="131">
        <f>I48*$J$1</f>
        <v>-18834.970176000003</v>
      </c>
      <c r="K48" s="131">
        <f>J48*$K$1</f>
        <v>-18834.970176000003</v>
      </c>
      <c r="L48" s="131">
        <f t="shared" ref="L48:L50" si="17">K48*$L$1</f>
        <v>-18834.970176000003</v>
      </c>
    </row>
    <row r="49" spans="1:12" x14ac:dyDescent="0.25">
      <c r="C49" s="118" t="s">
        <v>283</v>
      </c>
      <c r="D49" s="119" t="s">
        <v>439</v>
      </c>
      <c r="E49" s="119"/>
      <c r="F49" s="126">
        <v>0.01</v>
      </c>
      <c r="G49" s="126">
        <v>0.3</v>
      </c>
      <c r="H49" s="120">
        <f>-(F49*G49)*H14</f>
        <v>-5650.4910528000009</v>
      </c>
      <c r="I49" s="131">
        <f t="shared" ref="I49:I50" si="18">H49*$I$1</f>
        <v>-5650.4910528000009</v>
      </c>
      <c r="J49" s="131">
        <f t="shared" ref="J49:J50" si="19">I49*$J$1</f>
        <v>-5650.4910528000009</v>
      </c>
      <c r="K49" s="131">
        <f t="shared" ref="K49:K50" si="20">J49*$K$1</f>
        <v>-5650.4910528000009</v>
      </c>
      <c r="L49" s="131">
        <f t="shared" si="17"/>
        <v>-5650.4910528000009</v>
      </c>
    </row>
    <row r="50" spans="1:12" x14ac:dyDescent="0.25">
      <c r="C50" s="118" t="s">
        <v>284</v>
      </c>
      <c r="D50" s="119" t="s">
        <v>285</v>
      </c>
      <c r="E50" s="119"/>
      <c r="F50" s="126">
        <v>0.1</v>
      </c>
      <c r="G50" s="126">
        <v>0.1</v>
      </c>
      <c r="H50" s="120">
        <f>-(F50*G50)*H14</f>
        <v>-18834.970176000006</v>
      </c>
      <c r="I50" s="131">
        <f t="shared" si="18"/>
        <v>-18834.970176000006</v>
      </c>
      <c r="J50" s="131">
        <f t="shared" si="19"/>
        <v>-18834.970176000006</v>
      </c>
      <c r="K50" s="131">
        <f t="shared" si="20"/>
        <v>-18834.970176000006</v>
      </c>
      <c r="L50" s="131">
        <f t="shared" si="17"/>
        <v>-18834.970176000006</v>
      </c>
    </row>
    <row r="51" spans="1:12" ht="7.5" customHeight="1" x14ac:dyDescent="0.25">
      <c r="B51" s="380"/>
      <c r="C51" s="380"/>
      <c r="D51" s="386"/>
      <c r="E51" s="386"/>
      <c r="F51" s="386"/>
      <c r="G51" s="380"/>
      <c r="H51" s="380"/>
      <c r="I51" s="380"/>
      <c r="J51" s="380"/>
      <c r="K51" s="380"/>
      <c r="L51" s="380"/>
    </row>
    <row r="52" spans="1:12" s="1" customFormat="1" x14ac:dyDescent="0.25">
      <c r="B52" s="191" t="s">
        <v>287</v>
      </c>
      <c r="C52" s="192" t="s">
        <v>286</v>
      </c>
      <c r="D52" s="192"/>
      <c r="E52" s="192"/>
      <c r="F52" s="192"/>
      <c r="G52" s="191"/>
      <c r="H52" s="194">
        <f>H44+H46</f>
        <v>345836.85095781891</v>
      </c>
      <c r="I52" s="194">
        <f>I44+I46</f>
        <v>375917.03871649655</v>
      </c>
      <c r="J52" s="194">
        <f>J44+J46</f>
        <v>388236.4527618211</v>
      </c>
      <c r="K52" s="194">
        <f t="shared" ref="K52:L52" si="21">K44+K46</f>
        <v>394917.91127894155</v>
      </c>
      <c r="L52" s="194">
        <f t="shared" si="21"/>
        <v>397629.28309510031</v>
      </c>
    </row>
    <row r="53" spans="1:12" ht="7.5" customHeight="1" x14ac:dyDescent="0.25">
      <c r="B53" s="260"/>
      <c r="C53" s="260"/>
      <c r="D53" s="127"/>
      <c r="E53" s="127"/>
      <c r="F53" s="127"/>
      <c r="G53" s="260"/>
      <c r="H53" s="260"/>
      <c r="I53" s="260"/>
      <c r="J53" s="260"/>
      <c r="K53" s="260"/>
      <c r="L53" s="260"/>
    </row>
    <row r="54" spans="1:12" x14ac:dyDescent="0.25">
      <c r="B54" s="191" t="s">
        <v>288</v>
      </c>
      <c r="C54" s="192" t="s">
        <v>289</v>
      </c>
      <c r="D54" s="192"/>
      <c r="E54" s="192"/>
      <c r="F54" s="192"/>
      <c r="G54" s="191"/>
      <c r="H54" s="194">
        <f>SUM(H56:H58)</f>
        <v>-93584.529325658441</v>
      </c>
      <c r="I54" s="194">
        <f>SUM(I56:I58)</f>
        <v>-103811.79316360883</v>
      </c>
      <c r="J54" s="194">
        <f>SUM(J56:J58)</f>
        <v>-108000.39393901917</v>
      </c>
      <c r="K54" s="194">
        <f t="shared" ref="K54:L54" si="22">SUM(K56:K58)</f>
        <v>-110272.08983484012</v>
      </c>
      <c r="L54" s="194">
        <f t="shared" si="22"/>
        <v>-111193.95625233412</v>
      </c>
    </row>
    <row r="55" spans="1:12" ht="7.5" customHeight="1" x14ac:dyDescent="0.25">
      <c r="B55" s="7"/>
      <c r="C55" s="136"/>
      <c r="D55" s="136"/>
      <c r="E55" s="136"/>
      <c r="F55" s="136"/>
      <c r="G55" s="137"/>
      <c r="H55" s="138"/>
      <c r="I55" s="138"/>
      <c r="J55" s="138"/>
      <c r="K55" s="138"/>
      <c r="L55" s="138"/>
    </row>
    <row r="56" spans="1:12" x14ac:dyDescent="0.25">
      <c r="C56" s="139" t="s">
        <v>290</v>
      </c>
      <c r="D56" s="119" t="s">
        <v>308</v>
      </c>
      <c r="E56" s="119"/>
      <c r="F56" s="119"/>
      <c r="G56" s="126">
        <v>0.09</v>
      </c>
      <c r="H56" s="125">
        <f>-(IF(H52&gt;=0,$G$56*H52,0))</f>
        <v>-31125.316586203702</v>
      </c>
      <c r="I56" s="125">
        <f t="shared" ref="I56:L56" si="23">-(IF(I52&gt;=0,$G$56*I52,0))</f>
        <v>-33832.533484484688</v>
      </c>
      <c r="J56" s="125">
        <f t="shared" si="23"/>
        <v>-34941.280748563899</v>
      </c>
      <c r="K56" s="125">
        <f t="shared" si="23"/>
        <v>-35542.612015104736</v>
      </c>
      <c r="L56" s="125">
        <f t="shared" si="23"/>
        <v>-35786.63547855903</v>
      </c>
    </row>
    <row r="57" spans="1:12" x14ac:dyDescent="0.25">
      <c r="C57" s="139" t="s">
        <v>291</v>
      </c>
      <c r="D57" s="119" t="s">
        <v>309</v>
      </c>
      <c r="E57" s="119"/>
      <c r="F57" s="119"/>
      <c r="G57" s="126">
        <v>0.15</v>
      </c>
      <c r="H57" s="125">
        <f>-(IF(H52&gt;=0,$G$57*H52,0))</f>
        <v>-51875.527643672838</v>
      </c>
      <c r="I57" s="125">
        <f t="shared" ref="I57:L57" si="24">-(IF(I52&gt;=0,$G$57*I52,0))</f>
        <v>-56387.555807474484</v>
      </c>
      <c r="J57" s="125">
        <f t="shared" si="24"/>
        <v>-58235.467914273162</v>
      </c>
      <c r="K57" s="125">
        <f t="shared" si="24"/>
        <v>-59237.686691841227</v>
      </c>
      <c r="L57" s="125">
        <f t="shared" si="24"/>
        <v>-59644.392464265045</v>
      </c>
    </row>
    <row r="58" spans="1:12" x14ac:dyDescent="0.25">
      <c r="C58" s="139" t="s">
        <v>292</v>
      </c>
      <c r="D58" s="119" t="s">
        <v>310</v>
      </c>
      <c r="E58" s="119"/>
      <c r="F58" s="140"/>
      <c r="G58" s="126">
        <v>0.1</v>
      </c>
      <c r="H58" s="125">
        <f>-(IF(H52&gt;240000,(H52-240000)*$G$58,0))</f>
        <v>-10583.685095781892</v>
      </c>
      <c r="I58" s="125">
        <f t="shared" ref="I58:L58" si="25">-(IF(I52&gt;240000,(I52-240000)*$G$58,0))</f>
        <v>-13591.703871649655</v>
      </c>
      <c r="J58" s="125">
        <f t="shared" si="25"/>
        <v>-14823.645276182111</v>
      </c>
      <c r="K58" s="125">
        <f t="shared" si="25"/>
        <v>-15491.791127894156</v>
      </c>
      <c r="L58" s="125">
        <f t="shared" si="25"/>
        <v>-15762.928309510033</v>
      </c>
    </row>
    <row r="59" spans="1:12" ht="7.5" customHeight="1" x14ac:dyDescent="0.25">
      <c r="B59" s="380"/>
      <c r="C59" s="380"/>
      <c r="D59" s="386"/>
      <c r="E59" s="386"/>
      <c r="F59" s="386"/>
      <c r="G59" s="380"/>
      <c r="H59" s="380"/>
      <c r="I59" s="380"/>
      <c r="J59" s="380"/>
      <c r="K59" s="380"/>
      <c r="L59" s="380"/>
    </row>
    <row r="60" spans="1:12" s="1" customFormat="1" x14ac:dyDescent="0.25">
      <c r="B60" s="191" t="s">
        <v>293</v>
      </c>
      <c r="C60" s="195" t="s">
        <v>294</v>
      </c>
      <c r="D60" s="192"/>
      <c r="E60" s="192"/>
      <c r="F60" s="192"/>
      <c r="G60" s="191"/>
      <c r="H60" s="194">
        <f>H52+H54</f>
        <v>252252.32163216046</v>
      </c>
      <c r="I60" s="194">
        <f>I52+I54</f>
        <v>272105.24555288773</v>
      </c>
      <c r="J60" s="194">
        <f>J52+J54</f>
        <v>280236.05882280192</v>
      </c>
      <c r="K60" s="194">
        <f t="shared" ref="K60:L60" si="26">K52+K54</f>
        <v>284645.8214441014</v>
      </c>
      <c r="L60" s="194">
        <f t="shared" si="26"/>
        <v>286435.3268427662</v>
      </c>
    </row>
    <row r="61" spans="1:12" ht="7.5" customHeight="1" x14ac:dyDescent="0.25">
      <c r="C61" s="114"/>
      <c r="D61" s="104"/>
      <c r="E61" s="104"/>
      <c r="F61" s="104"/>
      <c r="H61" s="105"/>
      <c r="I61" s="105"/>
      <c r="J61" s="105"/>
      <c r="K61" s="105"/>
      <c r="L61" s="105"/>
    </row>
    <row r="62" spans="1:12" x14ac:dyDescent="0.25">
      <c r="C62" s="141" t="s">
        <v>295</v>
      </c>
      <c r="D62" s="142" t="s">
        <v>16</v>
      </c>
      <c r="E62" s="142"/>
      <c r="F62" s="142"/>
      <c r="G62" s="8"/>
      <c r="H62" s="143">
        <f t="shared" ref="H62:L62" si="27">H60/H14</f>
        <v>0.13392764590282535</v>
      </c>
      <c r="I62" s="143">
        <f t="shared" si="27"/>
        <v>0.1368069179389621</v>
      </c>
      <c r="J62" s="143">
        <f t="shared" si="27"/>
        <v>0.13502143149846685</v>
      </c>
      <c r="K62" s="143">
        <f t="shared" si="27"/>
        <v>0.13187126281379083</v>
      </c>
      <c r="L62" s="143">
        <f t="shared" si="27"/>
        <v>0.12785461827881736</v>
      </c>
    </row>
    <row r="63" spans="1:12" x14ac:dyDescent="0.25">
      <c r="H63" s="5"/>
      <c r="I63" s="5"/>
      <c r="J63" s="5"/>
      <c r="K63" s="5"/>
      <c r="L63" s="5"/>
    </row>
    <row r="64" spans="1:12" s="389" customFormat="1" ht="18.75" x14ac:dyDescent="0.25">
      <c r="A64" s="387" t="s">
        <v>440</v>
      </c>
      <c r="B64" s="387"/>
      <c r="C64" s="387"/>
      <c r="D64" s="387"/>
      <c r="E64" s="387"/>
      <c r="F64" s="387"/>
      <c r="G64" s="387"/>
      <c r="H64" s="387"/>
      <c r="I64" s="387"/>
      <c r="J64" s="387"/>
      <c r="K64" s="388"/>
      <c r="L64" s="388"/>
    </row>
    <row r="65" spans="2:12" x14ac:dyDescent="0.25">
      <c r="H65" s="153" t="s">
        <v>9</v>
      </c>
      <c r="I65" s="153" t="s">
        <v>10</v>
      </c>
      <c r="J65" s="153" t="s">
        <v>11</v>
      </c>
      <c r="K65" s="153" t="s">
        <v>339</v>
      </c>
      <c r="L65" s="153" t="s">
        <v>340</v>
      </c>
    </row>
    <row r="66" spans="2:12" x14ac:dyDescent="0.25">
      <c r="H66" s="154" t="s">
        <v>12</v>
      </c>
      <c r="I66" s="154" t="s">
        <v>12</v>
      </c>
      <c r="J66" s="154" t="s">
        <v>12</v>
      </c>
      <c r="K66" s="154" t="s">
        <v>12</v>
      </c>
      <c r="L66" s="154" t="s">
        <v>12</v>
      </c>
    </row>
    <row r="67" spans="2:12" x14ac:dyDescent="0.25">
      <c r="H67" s="155">
        <v>12</v>
      </c>
      <c r="I67" s="155">
        <v>12</v>
      </c>
      <c r="J67" s="155">
        <v>12</v>
      </c>
      <c r="K67" s="155">
        <v>12</v>
      </c>
      <c r="L67" s="155">
        <v>12</v>
      </c>
    </row>
    <row r="68" spans="2:12" ht="7.5" customHeight="1" x14ac:dyDescent="0.25">
      <c r="B68" s="380"/>
      <c r="C68" s="380"/>
      <c r="D68" s="382"/>
      <c r="E68" s="382"/>
      <c r="F68" s="382"/>
      <c r="G68" s="380"/>
      <c r="H68" s="380"/>
      <c r="I68" s="380"/>
      <c r="J68" s="380"/>
      <c r="K68" s="5"/>
      <c r="L68" s="5"/>
    </row>
    <row r="69" spans="2:12" x14ac:dyDescent="0.25">
      <c r="B69" s="145" t="s">
        <v>247</v>
      </c>
      <c r="C69" s="146" t="s">
        <v>18</v>
      </c>
      <c r="D69" s="147"/>
      <c r="E69" s="147"/>
      <c r="F69" s="147"/>
      <c r="G69" s="145"/>
      <c r="H69" s="148">
        <f t="shared" ref="H69:L69" si="28">H60</f>
        <v>252252.32163216046</v>
      </c>
      <c r="I69" s="148">
        <f t="shared" si="28"/>
        <v>272105.24555288773</v>
      </c>
      <c r="J69" s="148">
        <f t="shared" si="28"/>
        <v>280236.05882280192</v>
      </c>
      <c r="K69" s="148">
        <f t="shared" si="28"/>
        <v>284645.8214441014</v>
      </c>
      <c r="L69" s="148">
        <f t="shared" si="28"/>
        <v>286435.3268427662</v>
      </c>
    </row>
    <row r="70" spans="2:12" ht="7.5" customHeight="1" x14ac:dyDescent="0.25">
      <c r="B70" s="149"/>
      <c r="C70" s="149"/>
      <c r="D70" s="150"/>
      <c r="E70" s="150"/>
      <c r="F70" s="150"/>
      <c r="G70" s="149"/>
      <c r="H70" s="151"/>
      <c r="I70" s="151"/>
      <c r="J70" s="151"/>
      <c r="K70" s="6"/>
      <c r="L70" s="6"/>
    </row>
    <row r="71" spans="2:12" x14ac:dyDescent="0.25">
      <c r="B71" s="145" t="s">
        <v>248</v>
      </c>
      <c r="C71" s="146" t="s">
        <v>19</v>
      </c>
      <c r="D71" s="147"/>
      <c r="E71" s="147"/>
      <c r="F71" s="147"/>
      <c r="G71" s="145"/>
      <c r="H71" s="148">
        <f>H69</f>
        <v>252252.32163216046</v>
      </c>
      <c r="I71" s="148">
        <f t="shared" ref="I71:L71" si="29">I69</f>
        <v>272105.24555288773</v>
      </c>
      <c r="J71" s="148">
        <f t="shared" si="29"/>
        <v>280236.05882280192</v>
      </c>
      <c r="K71" s="148">
        <f t="shared" si="29"/>
        <v>284645.8214441014</v>
      </c>
      <c r="L71" s="148">
        <f t="shared" si="29"/>
        <v>286435.3268427662</v>
      </c>
    </row>
    <row r="72" spans="2:12" ht="7.5" customHeight="1" x14ac:dyDescent="0.25">
      <c r="B72" s="149"/>
      <c r="C72" s="149"/>
      <c r="D72" s="150"/>
      <c r="E72" s="150"/>
      <c r="F72" s="150"/>
      <c r="G72" s="149"/>
      <c r="H72" s="150"/>
      <c r="I72" s="150"/>
      <c r="J72" s="150"/>
      <c r="K72" s="1"/>
      <c r="L72" s="1"/>
    </row>
    <row r="73" spans="2:12" x14ac:dyDescent="0.25">
      <c r="B73" s="145" t="s">
        <v>250</v>
      </c>
      <c r="C73" s="146" t="s">
        <v>20</v>
      </c>
      <c r="D73" s="147"/>
      <c r="E73" s="147"/>
      <c r="F73" s="147"/>
      <c r="G73" s="145"/>
      <c r="H73" s="147"/>
      <c r="I73" s="147"/>
      <c r="J73" s="147"/>
      <c r="K73" s="147"/>
      <c r="L73" s="147"/>
    </row>
    <row r="74" spans="2:12" ht="7.5" customHeight="1" x14ac:dyDescent="0.25">
      <c r="B74" s="7"/>
      <c r="C74" s="136"/>
      <c r="D74" s="144"/>
      <c r="E74" s="144"/>
      <c r="F74" s="144"/>
      <c r="G74" s="137"/>
      <c r="H74" s="144"/>
      <c r="I74" s="144"/>
      <c r="J74" s="144"/>
      <c r="K74" s="162"/>
      <c r="L74" s="162"/>
    </row>
    <row r="75" spans="2:12" x14ac:dyDescent="0.25">
      <c r="C75" s="118" t="s">
        <v>312</v>
      </c>
      <c r="D75" s="140" t="s">
        <v>21</v>
      </c>
      <c r="E75" s="140"/>
      <c r="F75" s="140"/>
      <c r="G75" s="118"/>
      <c r="H75" s="122">
        <f>-'IV - Insumos e Mão de Obra'!J8</f>
        <v>-454653</v>
      </c>
      <c r="I75" s="140"/>
      <c r="J75" s="140"/>
      <c r="K75" s="189"/>
      <c r="L75" s="189"/>
    </row>
    <row r="76" spans="2:12" ht="7.5" customHeight="1" x14ac:dyDescent="0.25">
      <c r="B76" s="380"/>
      <c r="C76" s="380"/>
      <c r="D76" s="382"/>
      <c r="E76" s="382"/>
      <c r="F76" s="382"/>
      <c r="G76" s="380"/>
      <c r="H76" s="382"/>
      <c r="I76" s="382"/>
      <c r="J76" s="382"/>
    </row>
    <row r="77" spans="2:12" x14ac:dyDescent="0.25">
      <c r="B77" s="145" t="s">
        <v>251</v>
      </c>
      <c r="C77" s="146" t="s">
        <v>22</v>
      </c>
      <c r="D77" s="147"/>
      <c r="E77" s="147"/>
      <c r="F77" s="147"/>
      <c r="G77" s="200"/>
      <c r="H77" s="148">
        <f>H69+H75</f>
        <v>-202400.67836783954</v>
      </c>
      <c r="I77" s="148">
        <f>I69+I75</f>
        <v>272105.24555288773</v>
      </c>
      <c r="J77" s="148">
        <f>J69+J75</f>
        <v>280236.05882280192</v>
      </c>
      <c r="K77" s="148">
        <f t="shared" ref="K77:L77" si="30">K69+K75</f>
        <v>284645.8214441014</v>
      </c>
      <c r="L77" s="148">
        <f t="shared" si="30"/>
        <v>286435.3268427662</v>
      </c>
    </row>
    <row r="78" spans="2:12" ht="7.5" customHeight="1" x14ac:dyDescent="0.25">
      <c r="B78" s="149"/>
      <c r="C78" s="149"/>
      <c r="D78" s="150"/>
      <c r="E78" s="150"/>
      <c r="F78" s="150"/>
      <c r="G78" s="149"/>
      <c r="H78" s="151"/>
      <c r="I78" s="151"/>
      <c r="J78" s="151"/>
      <c r="K78" s="151"/>
      <c r="L78" s="151"/>
    </row>
    <row r="79" spans="2:12" x14ac:dyDescent="0.25">
      <c r="B79" s="145" t="s">
        <v>252</v>
      </c>
      <c r="C79" s="146" t="s">
        <v>23</v>
      </c>
      <c r="D79" s="147"/>
      <c r="E79" s="147"/>
      <c r="F79" s="147"/>
      <c r="G79" s="201">
        <f>+H75</f>
        <v>-454653</v>
      </c>
      <c r="H79" s="148">
        <f>H77</f>
        <v>-202400.67836783954</v>
      </c>
      <c r="I79" s="148">
        <f>I77+H79*I1</f>
        <v>69704.567185048189</v>
      </c>
      <c r="J79" s="148">
        <f>I79+J77*J1</f>
        <v>349940.62600785011</v>
      </c>
      <c r="K79" s="148">
        <f t="shared" ref="K79:L79" si="31">K77+J79*K1</f>
        <v>634586.44745195145</v>
      </c>
      <c r="L79" s="148">
        <f t="shared" si="31"/>
        <v>921021.7742947177</v>
      </c>
    </row>
    <row r="80" spans="2:12" ht="7.5" customHeight="1" x14ac:dyDescent="0.25">
      <c r="B80" s="149"/>
      <c r="C80" s="149"/>
      <c r="D80" s="150"/>
      <c r="E80" s="150"/>
      <c r="F80" s="150"/>
      <c r="G80" s="149"/>
      <c r="H80" s="150"/>
      <c r="I80" s="150"/>
      <c r="J80" s="150"/>
      <c r="K80" s="1"/>
      <c r="L80" s="1"/>
    </row>
    <row r="81" spans="2:12" x14ac:dyDescent="0.25">
      <c r="B81" s="145" t="s">
        <v>254</v>
      </c>
      <c r="C81" s="146" t="s">
        <v>311</v>
      </c>
      <c r="D81" s="147"/>
      <c r="E81" s="147"/>
      <c r="F81" s="147"/>
      <c r="G81" s="145"/>
      <c r="H81" s="152">
        <f>H75</f>
        <v>-454653</v>
      </c>
      <c r="I81" s="152">
        <f>I75</f>
        <v>0</v>
      </c>
      <c r="J81" s="152">
        <f>J75</f>
        <v>0</v>
      </c>
      <c r="K81" s="152">
        <f t="shared" ref="K81:L81" si="32">K75</f>
        <v>0</v>
      </c>
      <c r="L81" s="152">
        <f t="shared" si="32"/>
        <v>0</v>
      </c>
    </row>
    <row r="82" spans="2:12" ht="7.5" customHeight="1" x14ac:dyDescent="0.25">
      <c r="B82" s="149"/>
      <c r="C82" s="149"/>
      <c r="D82" s="150"/>
      <c r="E82" s="150"/>
      <c r="F82" s="150"/>
      <c r="G82" s="149"/>
      <c r="H82" s="150"/>
      <c r="I82" s="150"/>
      <c r="J82" s="150"/>
      <c r="K82" s="1"/>
      <c r="L82" s="1"/>
    </row>
    <row r="83" spans="2:12" x14ac:dyDescent="0.25">
      <c r="B83" s="145" t="s">
        <v>262</v>
      </c>
      <c r="C83" s="146" t="s">
        <v>313</v>
      </c>
      <c r="D83" s="147"/>
      <c r="E83" s="147"/>
      <c r="F83" s="147"/>
      <c r="G83" s="145"/>
      <c r="H83" s="145">
        <v>1</v>
      </c>
      <c r="I83" s="145">
        <v>2</v>
      </c>
      <c r="J83" s="145">
        <v>3</v>
      </c>
      <c r="K83" s="145">
        <v>4</v>
      </c>
      <c r="L83" s="145">
        <v>5</v>
      </c>
    </row>
    <row r="84" spans="2:12" ht="7.5" customHeight="1" x14ac:dyDescent="0.25">
      <c r="B84" s="149"/>
      <c r="C84" s="149"/>
      <c r="D84" s="150"/>
      <c r="E84" s="150"/>
      <c r="F84" s="150"/>
      <c r="G84" s="149"/>
      <c r="H84" s="150"/>
      <c r="I84" s="150"/>
      <c r="J84" s="150"/>
      <c r="K84" s="150"/>
      <c r="L84" s="150"/>
    </row>
    <row r="85" spans="2:12" x14ac:dyDescent="0.25"/>
    <row r="86" spans="2:12" ht="15.75" thickBot="1" x14ac:dyDescent="0.3"/>
    <row r="87" spans="2:12" ht="21.75" customHeight="1" x14ac:dyDescent="0.25">
      <c r="E87" s="465" t="s">
        <v>296</v>
      </c>
      <c r="F87" s="466"/>
      <c r="G87" s="466"/>
      <c r="H87" s="467"/>
    </row>
    <row r="88" spans="2:12" ht="15.75" x14ac:dyDescent="0.25">
      <c r="E88" s="197" t="s">
        <v>297</v>
      </c>
      <c r="F88" s="468">
        <f>NPV(F90,H79:L79)</f>
        <v>1043706.8811128737</v>
      </c>
      <c r="G88" s="468"/>
      <c r="H88" s="469"/>
      <c r="J88" s="199"/>
    </row>
    <row r="89" spans="2:12" hidden="1" x14ac:dyDescent="0.25">
      <c r="E89" s="197" t="s">
        <v>298</v>
      </c>
      <c r="F89" s="461">
        <f>IRR(H79:L79)</f>
        <v>1.2021453236351758</v>
      </c>
      <c r="G89" s="461"/>
      <c r="H89" s="462"/>
      <c r="J89" s="199"/>
    </row>
    <row r="90" spans="2:12" x14ac:dyDescent="0.25">
      <c r="E90" s="197" t="s">
        <v>299</v>
      </c>
      <c r="F90" s="461">
        <f>F93</f>
        <v>0.12140498993543969</v>
      </c>
      <c r="G90" s="461"/>
      <c r="H90" s="462"/>
    </row>
    <row r="91" spans="2:12" x14ac:dyDescent="0.25">
      <c r="E91" s="197" t="s">
        <v>300</v>
      </c>
      <c r="F91" s="470">
        <f>H75</f>
        <v>-454653</v>
      </c>
      <c r="G91" s="470"/>
      <c r="H91" s="471"/>
    </row>
    <row r="92" spans="2:12" x14ac:dyDescent="0.25">
      <c r="E92" s="197" t="s">
        <v>342</v>
      </c>
      <c r="F92" s="472">
        <f>'II - Premissas'!D26</f>
        <v>60</v>
      </c>
      <c r="G92" s="472"/>
      <c r="H92" s="473"/>
    </row>
    <row r="93" spans="2:12" x14ac:dyDescent="0.25">
      <c r="E93" s="197" t="s">
        <v>302</v>
      </c>
      <c r="F93" s="461">
        <f>'[1]VII - WACC'!G56</f>
        <v>0.12140498993543969</v>
      </c>
      <c r="G93" s="461"/>
      <c r="H93" s="462"/>
    </row>
    <row r="94" spans="2:12" ht="15.75" thickBot="1" x14ac:dyDescent="0.3">
      <c r="D94" t="s">
        <v>301</v>
      </c>
      <c r="E94" s="198" t="s">
        <v>303</v>
      </c>
      <c r="F94" s="463">
        <f>'[1]V - Proposta - Outorga'!E6</f>
        <v>0.12</v>
      </c>
      <c r="G94" s="463"/>
      <c r="H94" s="464"/>
    </row>
    <row r="95" spans="2:12" x14ac:dyDescent="0.25"/>
    <row r="96" spans="2:12" x14ac:dyDescent="0.25"/>
    <row r="97" customFormat="1" x14ac:dyDescent="0.25"/>
    <row r="98" customFormat="1" x14ac:dyDescent="0.25"/>
    <row r="99" customFormat="1" x14ac:dyDescent="0.25"/>
    <row r="100" customFormat="1" x14ac:dyDescent="0.25"/>
    <row r="101" customFormat="1" x14ac:dyDescent="0.25"/>
    <row r="102" customFormat="1" x14ac:dyDescent="0.25"/>
    <row r="103" customFormat="1" x14ac:dyDescent="0.25"/>
    <row r="104" customFormat="1" x14ac:dyDescent="0.25"/>
    <row r="105" customFormat="1" x14ac:dyDescent="0.25"/>
    <row r="106" customFormat="1" x14ac:dyDescent="0.25"/>
    <row r="107" customFormat="1" hidden="1" x14ac:dyDescent="0.25"/>
    <row r="108" customFormat="1" x14ac:dyDescent="0.25"/>
    <row r="109" customFormat="1" x14ac:dyDescent="0.25"/>
    <row r="110" customFormat="1" x14ac:dyDescent="0.25"/>
    <row r="111" customFormat="1" x14ac:dyDescent="0.25"/>
    <row r="112" customFormat="1" x14ac:dyDescent="0.25"/>
    <row r="113" customFormat="1" x14ac:dyDescent="0.25"/>
    <row r="114" customFormat="1" x14ac:dyDescent="0.25"/>
    <row r="115" customFormat="1" x14ac:dyDescent="0.25"/>
    <row r="116" customFormat="1" x14ac:dyDescent="0.25"/>
    <row r="117" customFormat="1" x14ac:dyDescent="0.25"/>
    <row r="118" customFormat="1" x14ac:dyDescent="0.25"/>
    <row r="119" customFormat="1" x14ac:dyDescent="0.25"/>
    <row r="120" customFormat="1" x14ac:dyDescent="0.25"/>
    <row r="121" customFormat="1" x14ac:dyDescent="0.25"/>
    <row r="122" customFormat="1" x14ac:dyDescent="0.25"/>
    <row r="123" customFormat="1" x14ac:dyDescent="0.25"/>
    <row r="124" customFormat="1" x14ac:dyDescent="0.25"/>
    <row r="125" customFormat="1" x14ac:dyDescent="0.25"/>
    <row r="126" customFormat="1" x14ac:dyDescent="0.25"/>
    <row r="127" customFormat="1" x14ac:dyDescent="0.25"/>
    <row r="128" customFormat="1" x14ac:dyDescent="0.25"/>
    <row r="129" customFormat="1" x14ac:dyDescent="0.25"/>
    <row r="130" customFormat="1" x14ac:dyDescent="0.25"/>
    <row r="131" customFormat="1" x14ac:dyDescent="0.25"/>
    <row r="132" customFormat="1" x14ac:dyDescent="0.25"/>
    <row r="133" customFormat="1" hidden="1" x14ac:dyDescent="0.25"/>
    <row r="134" customFormat="1" x14ac:dyDescent="0.25"/>
  </sheetData>
  <sheetProtection algorithmName="SHA-512" hashValue="dGoxSIlRerefWQX/lS3kqm08ekbfTZdH9GhIaCSjHPEdDdLaioRk8TES5XhP3RZAV7gaQfFZuvuVZotqXL5dZQ==" saltValue="LOMOlO2ovKNL7eZ57Pu0Rg==" spinCount="100000" sheet="1" objects="1" scenarios="1"/>
  <mergeCells count="8">
    <mergeCell ref="F93:H93"/>
    <mergeCell ref="F94:H94"/>
    <mergeCell ref="E87:H87"/>
    <mergeCell ref="F88:H88"/>
    <mergeCell ref="F89:H89"/>
    <mergeCell ref="F90:H90"/>
    <mergeCell ref="F91:H91"/>
    <mergeCell ref="F92:H92"/>
  </mergeCells>
  <phoneticPr fontId="42" type="noConversion"/>
  <conditionalFormatting sqref="H77:L79">
    <cfRule type="colorScale" priority="1">
      <colorScale>
        <cfvo type="num" val="0"/>
        <cfvo type="num" val="0"/>
        <color rgb="FFFF0000"/>
        <color theme="4" tint="-0.249977111117893"/>
      </colorScale>
    </cfRule>
  </conditionalFormatting>
  <pageMargins left="0.51181102362204722" right="0.51181102362204722" top="0.78740157480314965" bottom="0.78740157480314965" header="0.31496062992125984" footer="0.31496062992125984"/>
  <pageSetup paperSize="9" scale="6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92"/>
  <sheetViews>
    <sheetView topLeftCell="A43" zoomScale="85" zoomScaleNormal="85" workbookViewId="0">
      <selection activeCell="G52" sqref="G52"/>
    </sheetView>
  </sheetViews>
  <sheetFormatPr defaultRowHeight="12" customHeight="1" zeroHeight="1" x14ac:dyDescent="0.25"/>
  <cols>
    <col min="1" max="1" width="10.140625" style="11" customWidth="1"/>
    <col min="2" max="2" width="9.85546875" style="11" customWidth="1"/>
    <col min="3" max="3" width="16.7109375" style="16" customWidth="1"/>
    <col min="4" max="4" width="16.7109375" style="11" customWidth="1"/>
    <col min="5" max="5" width="30.85546875" style="11" customWidth="1"/>
    <col min="6" max="6" width="32.7109375" style="11" customWidth="1"/>
    <col min="7" max="7" width="9.28515625" style="16" customWidth="1"/>
    <col min="8" max="8" width="7.140625" style="22" customWidth="1"/>
    <col min="9" max="256" width="9.140625" style="11"/>
    <col min="257" max="257" width="9.5703125" style="11" customWidth="1"/>
    <col min="258" max="258" width="9.85546875" style="11" customWidth="1"/>
    <col min="259" max="259" width="13.140625" style="11" customWidth="1"/>
    <col min="260" max="260" width="14" style="11" customWidth="1"/>
    <col min="261" max="261" width="42.5703125" style="11" customWidth="1"/>
    <col min="262" max="262" width="49.28515625" style="11" customWidth="1"/>
    <col min="263" max="263" width="8.28515625" style="11" customWidth="1"/>
    <col min="264" max="264" width="5" style="11" customWidth="1"/>
    <col min="265" max="512" width="9.140625" style="11"/>
    <col min="513" max="513" width="9.5703125" style="11" customWidth="1"/>
    <col min="514" max="514" width="9.85546875" style="11" customWidth="1"/>
    <col min="515" max="515" width="13.140625" style="11" customWidth="1"/>
    <col min="516" max="516" width="14" style="11" customWidth="1"/>
    <col min="517" max="517" width="42.5703125" style="11" customWidth="1"/>
    <col min="518" max="518" width="49.28515625" style="11" customWidth="1"/>
    <col min="519" max="519" width="8.28515625" style="11" customWidth="1"/>
    <col min="520" max="520" width="5" style="11" customWidth="1"/>
    <col min="521" max="768" width="9.140625" style="11"/>
    <col min="769" max="769" width="9.5703125" style="11" customWidth="1"/>
    <col min="770" max="770" width="9.85546875" style="11" customWidth="1"/>
    <col min="771" max="771" width="13.140625" style="11" customWidth="1"/>
    <col min="772" max="772" width="14" style="11" customWidth="1"/>
    <col min="773" max="773" width="42.5703125" style="11" customWidth="1"/>
    <col min="774" max="774" width="49.28515625" style="11" customWidth="1"/>
    <col min="775" max="775" width="8.28515625" style="11" customWidth="1"/>
    <col min="776" max="776" width="5" style="11" customWidth="1"/>
    <col min="777" max="1024" width="9.140625" style="11"/>
    <col min="1025" max="1025" width="9.5703125" style="11" customWidth="1"/>
    <col min="1026" max="1026" width="9.85546875" style="11" customWidth="1"/>
    <col min="1027" max="1027" width="13.140625" style="11" customWidth="1"/>
    <col min="1028" max="1028" width="14" style="11" customWidth="1"/>
    <col min="1029" max="1029" width="42.5703125" style="11" customWidth="1"/>
    <col min="1030" max="1030" width="49.28515625" style="11" customWidth="1"/>
    <col min="1031" max="1031" width="8.28515625" style="11" customWidth="1"/>
    <col min="1032" max="1032" width="5" style="11" customWidth="1"/>
    <col min="1033" max="1280" width="9.140625" style="11"/>
    <col min="1281" max="1281" width="9.5703125" style="11" customWidth="1"/>
    <col min="1282" max="1282" width="9.85546875" style="11" customWidth="1"/>
    <col min="1283" max="1283" width="13.140625" style="11" customWidth="1"/>
    <col min="1284" max="1284" width="14" style="11" customWidth="1"/>
    <col min="1285" max="1285" width="42.5703125" style="11" customWidth="1"/>
    <col min="1286" max="1286" width="49.28515625" style="11" customWidth="1"/>
    <col min="1287" max="1287" width="8.28515625" style="11" customWidth="1"/>
    <col min="1288" max="1288" width="5" style="11" customWidth="1"/>
    <col min="1289" max="1536" width="9.140625" style="11"/>
    <col min="1537" max="1537" width="9.5703125" style="11" customWidth="1"/>
    <col min="1538" max="1538" width="9.85546875" style="11" customWidth="1"/>
    <col min="1539" max="1539" width="13.140625" style="11" customWidth="1"/>
    <col min="1540" max="1540" width="14" style="11" customWidth="1"/>
    <col min="1541" max="1541" width="42.5703125" style="11" customWidth="1"/>
    <col min="1542" max="1542" width="49.28515625" style="11" customWidth="1"/>
    <col min="1543" max="1543" width="8.28515625" style="11" customWidth="1"/>
    <col min="1544" max="1544" width="5" style="11" customWidth="1"/>
    <col min="1545" max="1792" width="9.140625" style="11"/>
    <col min="1793" max="1793" width="9.5703125" style="11" customWidth="1"/>
    <col min="1794" max="1794" width="9.85546875" style="11" customWidth="1"/>
    <col min="1795" max="1795" width="13.140625" style="11" customWidth="1"/>
    <col min="1796" max="1796" width="14" style="11" customWidth="1"/>
    <col min="1797" max="1797" width="42.5703125" style="11" customWidth="1"/>
    <col min="1798" max="1798" width="49.28515625" style="11" customWidth="1"/>
    <col min="1799" max="1799" width="8.28515625" style="11" customWidth="1"/>
    <col min="1800" max="1800" width="5" style="11" customWidth="1"/>
    <col min="1801" max="2048" width="9.140625" style="11"/>
    <col min="2049" max="2049" width="9.5703125" style="11" customWidth="1"/>
    <col min="2050" max="2050" width="9.85546875" style="11" customWidth="1"/>
    <col min="2051" max="2051" width="13.140625" style="11" customWidth="1"/>
    <col min="2052" max="2052" width="14" style="11" customWidth="1"/>
    <col min="2053" max="2053" width="42.5703125" style="11" customWidth="1"/>
    <col min="2054" max="2054" width="49.28515625" style="11" customWidth="1"/>
    <col min="2055" max="2055" width="8.28515625" style="11" customWidth="1"/>
    <col min="2056" max="2056" width="5" style="11" customWidth="1"/>
    <col min="2057" max="2304" width="9.140625" style="11"/>
    <col min="2305" max="2305" width="9.5703125" style="11" customWidth="1"/>
    <col min="2306" max="2306" width="9.85546875" style="11" customWidth="1"/>
    <col min="2307" max="2307" width="13.140625" style="11" customWidth="1"/>
    <col min="2308" max="2308" width="14" style="11" customWidth="1"/>
    <col min="2309" max="2309" width="42.5703125" style="11" customWidth="1"/>
    <col min="2310" max="2310" width="49.28515625" style="11" customWidth="1"/>
    <col min="2311" max="2311" width="8.28515625" style="11" customWidth="1"/>
    <col min="2312" max="2312" width="5" style="11" customWidth="1"/>
    <col min="2313" max="2560" width="9.140625" style="11"/>
    <col min="2561" max="2561" width="9.5703125" style="11" customWidth="1"/>
    <col min="2562" max="2562" width="9.85546875" style="11" customWidth="1"/>
    <col min="2563" max="2563" width="13.140625" style="11" customWidth="1"/>
    <col min="2564" max="2564" width="14" style="11" customWidth="1"/>
    <col min="2565" max="2565" width="42.5703125" style="11" customWidth="1"/>
    <col min="2566" max="2566" width="49.28515625" style="11" customWidth="1"/>
    <col min="2567" max="2567" width="8.28515625" style="11" customWidth="1"/>
    <col min="2568" max="2568" width="5" style="11" customWidth="1"/>
    <col min="2569" max="2816" width="9.140625" style="11"/>
    <col min="2817" max="2817" width="9.5703125" style="11" customWidth="1"/>
    <col min="2818" max="2818" width="9.85546875" style="11" customWidth="1"/>
    <col min="2819" max="2819" width="13.140625" style="11" customWidth="1"/>
    <col min="2820" max="2820" width="14" style="11" customWidth="1"/>
    <col min="2821" max="2821" width="42.5703125" style="11" customWidth="1"/>
    <col min="2822" max="2822" width="49.28515625" style="11" customWidth="1"/>
    <col min="2823" max="2823" width="8.28515625" style="11" customWidth="1"/>
    <col min="2824" max="2824" width="5" style="11" customWidth="1"/>
    <col min="2825" max="3072" width="9.140625" style="11"/>
    <col min="3073" max="3073" width="9.5703125" style="11" customWidth="1"/>
    <col min="3074" max="3074" width="9.85546875" style="11" customWidth="1"/>
    <col min="3075" max="3075" width="13.140625" style="11" customWidth="1"/>
    <col min="3076" max="3076" width="14" style="11" customWidth="1"/>
    <col min="3077" max="3077" width="42.5703125" style="11" customWidth="1"/>
    <col min="3078" max="3078" width="49.28515625" style="11" customWidth="1"/>
    <col min="3079" max="3079" width="8.28515625" style="11" customWidth="1"/>
    <col min="3080" max="3080" width="5" style="11" customWidth="1"/>
    <col min="3081" max="3328" width="9.140625" style="11"/>
    <col min="3329" max="3329" width="9.5703125" style="11" customWidth="1"/>
    <col min="3330" max="3330" width="9.85546875" style="11" customWidth="1"/>
    <col min="3331" max="3331" width="13.140625" style="11" customWidth="1"/>
    <col min="3332" max="3332" width="14" style="11" customWidth="1"/>
    <col min="3333" max="3333" width="42.5703125" style="11" customWidth="1"/>
    <col min="3334" max="3334" width="49.28515625" style="11" customWidth="1"/>
    <col min="3335" max="3335" width="8.28515625" style="11" customWidth="1"/>
    <col min="3336" max="3336" width="5" style="11" customWidth="1"/>
    <col min="3337" max="3584" width="9.140625" style="11"/>
    <col min="3585" max="3585" width="9.5703125" style="11" customWidth="1"/>
    <col min="3586" max="3586" width="9.85546875" style="11" customWidth="1"/>
    <col min="3587" max="3587" width="13.140625" style="11" customWidth="1"/>
    <col min="3588" max="3588" width="14" style="11" customWidth="1"/>
    <col min="3589" max="3589" width="42.5703125" style="11" customWidth="1"/>
    <col min="3590" max="3590" width="49.28515625" style="11" customWidth="1"/>
    <col min="3591" max="3591" width="8.28515625" style="11" customWidth="1"/>
    <col min="3592" max="3592" width="5" style="11" customWidth="1"/>
    <col min="3593" max="3840" width="9.140625" style="11"/>
    <col min="3841" max="3841" width="9.5703125" style="11" customWidth="1"/>
    <col min="3842" max="3842" width="9.85546875" style="11" customWidth="1"/>
    <col min="3843" max="3843" width="13.140625" style="11" customWidth="1"/>
    <col min="3844" max="3844" width="14" style="11" customWidth="1"/>
    <col min="3845" max="3845" width="42.5703125" style="11" customWidth="1"/>
    <col min="3846" max="3846" width="49.28515625" style="11" customWidth="1"/>
    <col min="3847" max="3847" width="8.28515625" style="11" customWidth="1"/>
    <col min="3848" max="3848" width="5" style="11" customWidth="1"/>
    <col min="3849" max="4096" width="9.140625" style="11"/>
    <col min="4097" max="4097" width="9.5703125" style="11" customWidth="1"/>
    <col min="4098" max="4098" width="9.85546875" style="11" customWidth="1"/>
    <col min="4099" max="4099" width="13.140625" style="11" customWidth="1"/>
    <col min="4100" max="4100" width="14" style="11" customWidth="1"/>
    <col min="4101" max="4101" width="42.5703125" style="11" customWidth="1"/>
    <col min="4102" max="4102" width="49.28515625" style="11" customWidth="1"/>
    <col min="4103" max="4103" width="8.28515625" style="11" customWidth="1"/>
    <col min="4104" max="4104" width="5" style="11" customWidth="1"/>
    <col min="4105" max="4352" width="9.140625" style="11"/>
    <col min="4353" max="4353" width="9.5703125" style="11" customWidth="1"/>
    <col min="4354" max="4354" width="9.85546875" style="11" customWidth="1"/>
    <col min="4355" max="4355" width="13.140625" style="11" customWidth="1"/>
    <col min="4356" max="4356" width="14" style="11" customWidth="1"/>
    <col min="4357" max="4357" width="42.5703125" style="11" customWidth="1"/>
    <col min="4358" max="4358" width="49.28515625" style="11" customWidth="1"/>
    <col min="4359" max="4359" width="8.28515625" style="11" customWidth="1"/>
    <col min="4360" max="4360" width="5" style="11" customWidth="1"/>
    <col min="4361" max="4608" width="9.140625" style="11"/>
    <col min="4609" max="4609" width="9.5703125" style="11" customWidth="1"/>
    <col min="4610" max="4610" width="9.85546875" style="11" customWidth="1"/>
    <col min="4611" max="4611" width="13.140625" style="11" customWidth="1"/>
    <col min="4612" max="4612" width="14" style="11" customWidth="1"/>
    <col min="4613" max="4613" width="42.5703125" style="11" customWidth="1"/>
    <col min="4614" max="4614" width="49.28515625" style="11" customWidth="1"/>
    <col min="4615" max="4615" width="8.28515625" style="11" customWidth="1"/>
    <col min="4616" max="4616" width="5" style="11" customWidth="1"/>
    <col min="4617" max="4864" width="9.140625" style="11"/>
    <col min="4865" max="4865" width="9.5703125" style="11" customWidth="1"/>
    <col min="4866" max="4866" width="9.85546875" style="11" customWidth="1"/>
    <col min="4867" max="4867" width="13.140625" style="11" customWidth="1"/>
    <col min="4868" max="4868" width="14" style="11" customWidth="1"/>
    <col min="4869" max="4869" width="42.5703125" style="11" customWidth="1"/>
    <col min="4870" max="4870" width="49.28515625" style="11" customWidth="1"/>
    <col min="4871" max="4871" width="8.28515625" style="11" customWidth="1"/>
    <col min="4872" max="4872" width="5" style="11" customWidth="1"/>
    <col min="4873" max="5120" width="9.140625" style="11"/>
    <col min="5121" max="5121" width="9.5703125" style="11" customWidth="1"/>
    <col min="5122" max="5122" width="9.85546875" style="11" customWidth="1"/>
    <col min="5123" max="5123" width="13.140625" style="11" customWidth="1"/>
    <col min="5124" max="5124" width="14" style="11" customWidth="1"/>
    <col min="5125" max="5125" width="42.5703125" style="11" customWidth="1"/>
    <col min="5126" max="5126" width="49.28515625" style="11" customWidth="1"/>
    <col min="5127" max="5127" width="8.28515625" style="11" customWidth="1"/>
    <col min="5128" max="5128" width="5" style="11" customWidth="1"/>
    <col min="5129" max="5376" width="9.140625" style="11"/>
    <col min="5377" max="5377" width="9.5703125" style="11" customWidth="1"/>
    <col min="5378" max="5378" width="9.85546875" style="11" customWidth="1"/>
    <col min="5379" max="5379" width="13.140625" style="11" customWidth="1"/>
    <col min="5380" max="5380" width="14" style="11" customWidth="1"/>
    <col min="5381" max="5381" width="42.5703125" style="11" customWidth="1"/>
    <col min="5382" max="5382" width="49.28515625" style="11" customWidth="1"/>
    <col min="5383" max="5383" width="8.28515625" style="11" customWidth="1"/>
    <col min="5384" max="5384" width="5" style="11" customWidth="1"/>
    <col min="5385" max="5632" width="9.140625" style="11"/>
    <col min="5633" max="5633" width="9.5703125" style="11" customWidth="1"/>
    <col min="5634" max="5634" width="9.85546875" style="11" customWidth="1"/>
    <col min="5635" max="5635" width="13.140625" style="11" customWidth="1"/>
    <col min="5636" max="5636" width="14" style="11" customWidth="1"/>
    <col min="5637" max="5637" width="42.5703125" style="11" customWidth="1"/>
    <col min="5638" max="5638" width="49.28515625" style="11" customWidth="1"/>
    <col min="5639" max="5639" width="8.28515625" style="11" customWidth="1"/>
    <col min="5640" max="5640" width="5" style="11" customWidth="1"/>
    <col min="5641" max="5888" width="9.140625" style="11"/>
    <col min="5889" max="5889" width="9.5703125" style="11" customWidth="1"/>
    <col min="5890" max="5890" width="9.85546875" style="11" customWidth="1"/>
    <col min="5891" max="5891" width="13.140625" style="11" customWidth="1"/>
    <col min="5892" max="5892" width="14" style="11" customWidth="1"/>
    <col min="5893" max="5893" width="42.5703125" style="11" customWidth="1"/>
    <col min="5894" max="5894" width="49.28515625" style="11" customWidth="1"/>
    <col min="5895" max="5895" width="8.28515625" style="11" customWidth="1"/>
    <col min="5896" max="5896" width="5" style="11" customWidth="1"/>
    <col min="5897" max="6144" width="9.140625" style="11"/>
    <col min="6145" max="6145" width="9.5703125" style="11" customWidth="1"/>
    <col min="6146" max="6146" width="9.85546875" style="11" customWidth="1"/>
    <col min="6147" max="6147" width="13.140625" style="11" customWidth="1"/>
    <col min="6148" max="6148" width="14" style="11" customWidth="1"/>
    <col min="6149" max="6149" width="42.5703125" style="11" customWidth="1"/>
    <col min="6150" max="6150" width="49.28515625" style="11" customWidth="1"/>
    <col min="6151" max="6151" width="8.28515625" style="11" customWidth="1"/>
    <col min="6152" max="6152" width="5" style="11" customWidth="1"/>
    <col min="6153" max="6400" width="9.140625" style="11"/>
    <col min="6401" max="6401" width="9.5703125" style="11" customWidth="1"/>
    <col min="6402" max="6402" width="9.85546875" style="11" customWidth="1"/>
    <col min="6403" max="6403" width="13.140625" style="11" customWidth="1"/>
    <col min="6404" max="6404" width="14" style="11" customWidth="1"/>
    <col min="6405" max="6405" width="42.5703125" style="11" customWidth="1"/>
    <col min="6406" max="6406" width="49.28515625" style="11" customWidth="1"/>
    <col min="6407" max="6407" width="8.28515625" style="11" customWidth="1"/>
    <col min="6408" max="6408" width="5" style="11" customWidth="1"/>
    <col min="6409" max="6656" width="9.140625" style="11"/>
    <col min="6657" max="6657" width="9.5703125" style="11" customWidth="1"/>
    <col min="6658" max="6658" width="9.85546875" style="11" customWidth="1"/>
    <col min="6659" max="6659" width="13.140625" style="11" customWidth="1"/>
    <col min="6660" max="6660" width="14" style="11" customWidth="1"/>
    <col min="6661" max="6661" width="42.5703125" style="11" customWidth="1"/>
    <col min="6662" max="6662" width="49.28515625" style="11" customWidth="1"/>
    <col min="6663" max="6663" width="8.28515625" style="11" customWidth="1"/>
    <col min="6664" max="6664" width="5" style="11" customWidth="1"/>
    <col min="6665" max="6912" width="9.140625" style="11"/>
    <col min="6913" max="6913" width="9.5703125" style="11" customWidth="1"/>
    <col min="6914" max="6914" width="9.85546875" style="11" customWidth="1"/>
    <col min="6915" max="6915" width="13.140625" style="11" customWidth="1"/>
    <col min="6916" max="6916" width="14" style="11" customWidth="1"/>
    <col min="6917" max="6917" width="42.5703125" style="11" customWidth="1"/>
    <col min="6918" max="6918" width="49.28515625" style="11" customWidth="1"/>
    <col min="6919" max="6919" width="8.28515625" style="11" customWidth="1"/>
    <col min="6920" max="6920" width="5" style="11" customWidth="1"/>
    <col min="6921" max="7168" width="9.140625" style="11"/>
    <col min="7169" max="7169" width="9.5703125" style="11" customWidth="1"/>
    <col min="7170" max="7170" width="9.85546875" style="11" customWidth="1"/>
    <col min="7171" max="7171" width="13.140625" style="11" customWidth="1"/>
    <col min="7172" max="7172" width="14" style="11" customWidth="1"/>
    <col min="7173" max="7173" width="42.5703125" style="11" customWidth="1"/>
    <col min="7174" max="7174" width="49.28515625" style="11" customWidth="1"/>
    <col min="7175" max="7175" width="8.28515625" style="11" customWidth="1"/>
    <col min="7176" max="7176" width="5" style="11" customWidth="1"/>
    <col min="7177" max="7424" width="9.140625" style="11"/>
    <col min="7425" max="7425" width="9.5703125" style="11" customWidth="1"/>
    <col min="7426" max="7426" width="9.85546875" style="11" customWidth="1"/>
    <col min="7427" max="7427" width="13.140625" style="11" customWidth="1"/>
    <col min="7428" max="7428" width="14" style="11" customWidth="1"/>
    <col min="7429" max="7429" width="42.5703125" style="11" customWidth="1"/>
    <col min="7430" max="7430" width="49.28515625" style="11" customWidth="1"/>
    <col min="7431" max="7431" width="8.28515625" style="11" customWidth="1"/>
    <col min="7432" max="7432" width="5" style="11" customWidth="1"/>
    <col min="7433" max="7680" width="9.140625" style="11"/>
    <col min="7681" max="7681" width="9.5703125" style="11" customWidth="1"/>
    <col min="7682" max="7682" width="9.85546875" style="11" customWidth="1"/>
    <col min="7683" max="7683" width="13.140625" style="11" customWidth="1"/>
    <col min="7684" max="7684" width="14" style="11" customWidth="1"/>
    <col min="7685" max="7685" width="42.5703125" style="11" customWidth="1"/>
    <col min="7686" max="7686" width="49.28515625" style="11" customWidth="1"/>
    <col min="7687" max="7687" width="8.28515625" style="11" customWidth="1"/>
    <col min="7688" max="7688" width="5" style="11" customWidth="1"/>
    <col min="7689" max="7936" width="9.140625" style="11"/>
    <col min="7937" max="7937" width="9.5703125" style="11" customWidth="1"/>
    <col min="7938" max="7938" width="9.85546875" style="11" customWidth="1"/>
    <col min="7939" max="7939" width="13.140625" style="11" customWidth="1"/>
    <col min="7940" max="7940" width="14" style="11" customWidth="1"/>
    <col min="7941" max="7941" width="42.5703125" style="11" customWidth="1"/>
    <col min="7942" max="7942" width="49.28515625" style="11" customWidth="1"/>
    <col min="7943" max="7943" width="8.28515625" style="11" customWidth="1"/>
    <col min="7944" max="7944" width="5" style="11" customWidth="1"/>
    <col min="7945" max="8192" width="9.140625" style="11"/>
    <col min="8193" max="8193" width="9.5703125" style="11" customWidth="1"/>
    <col min="8194" max="8194" width="9.85546875" style="11" customWidth="1"/>
    <col min="8195" max="8195" width="13.140625" style="11" customWidth="1"/>
    <col min="8196" max="8196" width="14" style="11" customWidth="1"/>
    <col min="8197" max="8197" width="42.5703125" style="11" customWidth="1"/>
    <col min="8198" max="8198" width="49.28515625" style="11" customWidth="1"/>
    <col min="8199" max="8199" width="8.28515625" style="11" customWidth="1"/>
    <col min="8200" max="8200" width="5" style="11" customWidth="1"/>
    <col min="8201" max="8448" width="9.140625" style="11"/>
    <col min="8449" max="8449" width="9.5703125" style="11" customWidth="1"/>
    <col min="8450" max="8450" width="9.85546875" style="11" customWidth="1"/>
    <col min="8451" max="8451" width="13.140625" style="11" customWidth="1"/>
    <col min="8452" max="8452" width="14" style="11" customWidth="1"/>
    <col min="8453" max="8453" width="42.5703125" style="11" customWidth="1"/>
    <col min="8454" max="8454" width="49.28515625" style="11" customWidth="1"/>
    <col min="8455" max="8455" width="8.28515625" style="11" customWidth="1"/>
    <col min="8456" max="8456" width="5" style="11" customWidth="1"/>
    <col min="8457" max="8704" width="9.140625" style="11"/>
    <col min="8705" max="8705" width="9.5703125" style="11" customWidth="1"/>
    <col min="8706" max="8706" width="9.85546875" style="11" customWidth="1"/>
    <col min="8707" max="8707" width="13.140625" style="11" customWidth="1"/>
    <col min="8708" max="8708" width="14" style="11" customWidth="1"/>
    <col min="8709" max="8709" width="42.5703125" style="11" customWidth="1"/>
    <col min="8710" max="8710" width="49.28515625" style="11" customWidth="1"/>
    <col min="8711" max="8711" width="8.28515625" style="11" customWidth="1"/>
    <col min="8712" max="8712" width="5" style="11" customWidth="1"/>
    <col min="8713" max="8960" width="9.140625" style="11"/>
    <col min="8961" max="8961" width="9.5703125" style="11" customWidth="1"/>
    <col min="8962" max="8962" width="9.85546875" style="11" customWidth="1"/>
    <col min="8963" max="8963" width="13.140625" style="11" customWidth="1"/>
    <col min="8964" max="8964" width="14" style="11" customWidth="1"/>
    <col min="8965" max="8965" width="42.5703125" style="11" customWidth="1"/>
    <col min="8966" max="8966" width="49.28515625" style="11" customWidth="1"/>
    <col min="8967" max="8967" width="8.28515625" style="11" customWidth="1"/>
    <col min="8968" max="8968" width="5" style="11" customWidth="1"/>
    <col min="8969" max="9216" width="9.140625" style="11"/>
    <col min="9217" max="9217" width="9.5703125" style="11" customWidth="1"/>
    <col min="9218" max="9218" width="9.85546875" style="11" customWidth="1"/>
    <col min="9219" max="9219" width="13.140625" style="11" customWidth="1"/>
    <col min="9220" max="9220" width="14" style="11" customWidth="1"/>
    <col min="9221" max="9221" width="42.5703125" style="11" customWidth="1"/>
    <col min="9222" max="9222" width="49.28515625" style="11" customWidth="1"/>
    <col min="9223" max="9223" width="8.28515625" style="11" customWidth="1"/>
    <col min="9224" max="9224" width="5" style="11" customWidth="1"/>
    <col min="9225" max="9472" width="9.140625" style="11"/>
    <col min="9473" max="9473" width="9.5703125" style="11" customWidth="1"/>
    <col min="9474" max="9474" width="9.85546875" style="11" customWidth="1"/>
    <col min="9475" max="9475" width="13.140625" style="11" customWidth="1"/>
    <col min="9476" max="9476" width="14" style="11" customWidth="1"/>
    <col min="9477" max="9477" width="42.5703125" style="11" customWidth="1"/>
    <col min="9478" max="9478" width="49.28515625" style="11" customWidth="1"/>
    <col min="9479" max="9479" width="8.28515625" style="11" customWidth="1"/>
    <col min="9480" max="9480" width="5" style="11" customWidth="1"/>
    <col min="9481" max="9728" width="9.140625" style="11"/>
    <col min="9729" max="9729" width="9.5703125" style="11" customWidth="1"/>
    <col min="9730" max="9730" width="9.85546875" style="11" customWidth="1"/>
    <col min="9731" max="9731" width="13.140625" style="11" customWidth="1"/>
    <col min="9732" max="9732" width="14" style="11" customWidth="1"/>
    <col min="9733" max="9733" width="42.5703125" style="11" customWidth="1"/>
    <col min="9734" max="9734" width="49.28515625" style="11" customWidth="1"/>
    <col min="9735" max="9735" width="8.28515625" style="11" customWidth="1"/>
    <col min="9736" max="9736" width="5" style="11" customWidth="1"/>
    <col min="9737" max="9984" width="9.140625" style="11"/>
    <col min="9985" max="9985" width="9.5703125" style="11" customWidth="1"/>
    <col min="9986" max="9986" width="9.85546875" style="11" customWidth="1"/>
    <col min="9987" max="9987" width="13.140625" style="11" customWidth="1"/>
    <col min="9988" max="9988" width="14" style="11" customWidth="1"/>
    <col min="9989" max="9989" width="42.5703125" style="11" customWidth="1"/>
    <col min="9990" max="9990" width="49.28515625" style="11" customWidth="1"/>
    <col min="9991" max="9991" width="8.28515625" style="11" customWidth="1"/>
    <col min="9992" max="9992" width="5" style="11" customWidth="1"/>
    <col min="9993" max="10240" width="9.140625" style="11"/>
    <col min="10241" max="10241" width="9.5703125" style="11" customWidth="1"/>
    <col min="10242" max="10242" width="9.85546875" style="11" customWidth="1"/>
    <col min="10243" max="10243" width="13.140625" style="11" customWidth="1"/>
    <col min="10244" max="10244" width="14" style="11" customWidth="1"/>
    <col min="10245" max="10245" width="42.5703125" style="11" customWidth="1"/>
    <col min="10246" max="10246" width="49.28515625" style="11" customWidth="1"/>
    <col min="10247" max="10247" width="8.28515625" style="11" customWidth="1"/>
    <col min="10248" max="10248" width="5" style="11" customWidth="1"/>
    <col min="10249" max="10496" width="9.140625" style="11"/>
    <col min="10497" max="10497" width="9.5703125" style="11" customWidth="1"/>
    <col min="10498" max="10498" width="9.85546875" style="11" customWidth="1"/>
    <col min="10499" max="10499" width="13.140625" style="11" customWidth="1"/>
    <col min="10500" max="10500" width="14" style="11" customWidth="1"/>
    <col min="10501" max="10501" width="42.5703125" style="11" customWidth="1"/>
    <col min="10502" max="10502" width="49.28515625" style="11" customWidth="1"/>
    <col min="10503" max="10503" width="8.28515625" style="11" customWidth="1"/>
    <col min="10504" max="10504" width="5" style="11" customWidth="1"/>
    <col min="10505" max="10752" width="9.140625" style="11"/>
    <col min="10753" max="10753" width="9.5703125" style="11" customWidth="1"/>
    <col min="10754" max="10754" width="9.85546875" style="11" customWidth="1"/>
    <col min="10755" max="10755" width="13.140625" style="11" customWidth="1"/>
    <col min="10756" max="10756" width="14" style="11" customWidth="1"/>
    <col min="10757" max="10757" width="42.5703125" style="11" customWidth="1"/>
    <col min="10758" max="10758" width="49.28515625" style="11" customWidth="1"/>
    <col min="10759" max="10759" width="8.28515625" style="11" customWidth="1"/>
    <col min="10760" max="10760" width="5" style="11" customWidth="1"/>
    <col min="10761" max="11008" width="9.140625" style="11"/>
    <col min="11009" max="11009" width="9.5703125" style="11" customWidth="1"/>
    <col min="11010" max="11010" width="9.85546875" style="11" customWidth="1"/>
    <col min="11011" max="11011" width="13.140625" style="11" customWidth="1"/>
    <col min="11012" max="11012" width="14" style="11" customWidth="1"/>
    <col min="11013" max="11013" width="42.5703125" style="11" customWidth="1"/>
    <col min="11014" max="11014" width="49.28515625" style="11" customWidth="1"/>
    <col min="11015" max="11015" width="8.28515625" style="11" customWidth="1"/>
    <col min="11016" max="11016" width="5" style="11" customWidth="1"/>
    <col min="11017" max="11264" width="9.140625" style="11"/>
    <col min="11265" max="11265" width="9.5703125" style="11" customWidth="1"/>
    <col min="11266" max="11266" width="9.85546875" style="11" customWidth="1"/>
    <col min="11267" max="11267" width="13.140625" style="11" customWidth="1"/>
    <col min="11268" max="11268" width="14" style="11" customWidth="1"/>
    <col min="11269" max="11269" width="42.5703125" style="11" customWidth="1"/>
    <col min="11270" max="11270" width="49.28515625" style="11" customWidth="1"/>
    <col min="11271" max="11271" width="8.28515625" style="11" customWidth="1"/>
    <col min="11272" max="11272" width="5" style="11" customWidth="1"/>
    <col min="11273" max="11520" width="9.140625" style="11"/>
    <col min="11521" max="11521" width="9.5703125" style="11" customWidth="1"/>
    <col min="11522" max="11522" width="9.85546875" style="11" customWidth="1"/>
    <col min="11523" max="11523" width="13.140625" style="11" customWidth="1"/>
    <col min="11524" max="11524" width="14" style="11" customWidth="1"/>
    <col min="11525" max="11525" width="42.5703125" style="11" customWidth="1"/>
    <col min="11526" max="11526" width="49.28515625" style="11" customWidth="1"/>
    <col min="11527" max="11527" width="8.28515625" style="11" customWidth="1"/>
    <col min="11528" max="11528" width="5" style="11" customWidth="1"/>
    <col min="11529" max="11776" width="9.140625" style="11"/>
    <col min="11777" max="11777" width="9.5703125" style="11" customWidth="1"/>
    <col min="11778" max="11778" width="9.85546875" style="11" customWidth="1"/>
    <col min="11779" max="11779" width="13.140625" style="11" customWidth="1"/>
    <col min="11780" max="11780" width="14" style="11" customWidth="1"/>
    <col min="11781" max="11781" width="42.5703125" style="11" customWidth="1"/>
    <col min="11782" max="11782" width="49.28515625" style="11" customWidth="1"/>
    <col min="11783" max="11783" width="8.28515625" style="11" customWidth="1"/>
    <col min="11784" max="11784" width="5" style="11" customWidth="1"/>
    <col min="11785" max="12032" width="9.140625" style="11"/>
    <col min="12033" max="12033" width="9.5703125" style="11" customWidth="1"/>
    <col min="12034" max="12034" width="9.85546875" style="11" customWidth="1"/>
    <col min="12035" max="12035" width="13.140625" style="11" customWidth="1"/>
    <col min="12036" max="12036" width="14" style="11" customWidth="1"/>
    <col min="12037" max="12037" width="42.5703125" style="11" customWidth="1"/>
    <col min="12038" max="12038" width="49.28515625" style="11" customWidth="1"/>
    <col min="12039" max="12039" width="8.28515625" style="11" customWidth="1"/>
    <col min="12040" max="12040" width="5" style="11" customWidth="1"/>
    <col min="12041" max="12288" width="9.140625" style="11"/>
    <col min="12289" max="12289" width="9.5703125" style="11" customWidth="1"/>
    <col min="12290" max="12290" width="9.85546875" style="11" customWidth="1"/>
    <col min="12291" max="12291" width="13.140625" style="11" customWidth="1"/>
    <col min="12292" max="12292" width="14" style="11" customWidth="1"/>
    <col min="12293" max="12293" width="42.5703125" style="11" customWidth="1"/>
    <col min="12294" max="12294" width="49.28515625" style="11" customWidth="1"/>
    <col min="12295" max="12295" width="8.28515625" style="11" customWidth="1"/>
    <col min="12296" max="12296" width="5" style="11" customWidth="1"/>
    <col min="12297" max="12544" width="9.140625" style="11"/>
    <col min="12545" max="12545" width="9.5703125" style="11" customWidth="1"/>
    <col min="12546" max="12546" width="9.85546875" style="11" customWidth="1"/>
    <col min="12547" max="12547" width="13.140625" style="11" customWidth="1"/>
    <col min="12548" max="12548" width="14" style="11" customWidth="1"/>
    <col min="12549" max="12549" width="42.5703125" style="11" customWidth="1"/>
    <col min="12550" max="12550" width="49.28515625" style="11" customWidth="1"/>
    <col min="12551" max="12551" width="8.28515625" style="11" customWidth="1"/>
    <col min="12552" max="12552" width="5" style="11" customWidth="1"/>
    <col min="12553" max="12800" width="9.140625" style="11"/>
    <col min="12801" max="12801" width="9.5703125" style="11" customWidth="1"/>
    <col min="12802" max="12802" width="9.85546875" style="11" customWidth="1"/>
    <col min="12803" max="12803" width="13.140625" style="11" customWidth="1"/>
    <col min="12804" max="12804" width="14" style="11" customWidth="1"/>
    <col min="12805" max="12805" width="42.5703125" style="11" customWidth="1"/>
    <col min="12806" max="12806" width="49.28515625" style="11" customWidth="1"/>
    <col min="12807" max="12807" width="8.28515625" style="11" customWidth="1"/>
    <col min="12808" max="12808" width="5" style="11" customWidth="1"/>
    <col min="12809" max="13056" width="9.140625" style="11"/>
    <col min="13057" max="13057" width="9.5703125" style="11" customWidth="1"/>
    <col min="13058" max="13058" width="9.85546875" style="11" customWidth="1"/>
    <col min="13059" max="13059" width="13.140625" style="11" customWidth="1"/>
    <col min="13060" max="13060" width="14" style="11" customWidth="1"/>
    <col min="13061" max="13061" width="42.5703125" style="11" customWidth="1"/>
    <col min="13062" max="13062" width="49.28515625" style="11" customWidth="1"/>
    <col min="13063" max="13063" width="8.28515625" style="11" customWidth="1"/>
    <col min="13064" max="13064" width="5" style="11" customWidth="1"/>
    <col min="13065" max="13312" width="9.140625" style="11"/>
    <col min="13313" max="13313" width="9.5703125" style="11" customWidth="1"/>
    <col min="13314" max="13314" width="9.85546875" style="11" customWidth="1"/>
    <col min="13315" max="13315" width="13.140625" style="11" customWidth="1"/>
    <col min="13316" max="13316" width="14" style="11" customWidth="1"/>
    <col min="13317" max="13317" width="42.5703125" style="11" customWidth="1"/>
    <col min="13318" max="13318" width="49.28515625" style="11" customWidth="1"/>
    <col min="13319" max="13319" width="8.28515625" style="11" customWidth="1"/>
    <col min="13320" max="13320" width="5" style="11" customWidth="1"/>
    <col min="13321" max="13568" width="9.140625" style="11"/>
    <col min="13569" max="13569" width="9.5703125" style="11" customWidth="1"/>
    <col min="13570" max="13570" width="9.85546875" style="11" customWidth="1"/>
    <col min="13571" max="13571" width="13.140625" style="11" customWidth="1"/>
    <col min="13572" max="13572" width="14" style="11" customWidth="1"/>
    <col min="13573" max="13573" width="42.5703125" style="11" customWidth="1"/>
    <col min="13574" max="13574" width="49.28515625" style="11" customWidth="1"/>
    <col min="13575" max="13575" width="8.28515625" style="11" customWidth="1"/>
    <col min="13576" max="13576" width="5" style="11" customWidth="1"/>
    <col min="13577" max="13824" width="9.140625" style="11"/>
    <col min="13825" max="13825" width="9.5703125" style="11" customWidth="1"/>
    <col min="13826" max="13826" width="9.85546875" style="11" customWidth="1"/>
    <col min="13827" max="13827" width="13.140625" style="11" customWidth="1"/>
    <col min="13828" max="13828" width="14" style="11" customWidth="1"/>
    <col min="13829" max="13829" width="42.5703125" style="11" customWidth="1"/>
    <col min="13830" max="13830" width="49.28515625" style="11" customWidth="1"/>
    <col min="13831" max="13831" width="8.28515625" style="11" customWidth="1"/>
    <col min="13832" max="13832" width="5" style="11" customWidth="1"/>
    <col min="13833" max="14080" width="9.140625" style="11"/>
    <col min="14081" max="14081" width="9.5703125" style="11" customWidth="1"/>
    <col min="14082" max="14082" width="9.85546875" style="11" customWidth="1"/>
    <col min="14083" max="14083" width="13.140625" style="11" customWidth="1"/>
    <col min="14084" max="14084" width="14" style="11" customWidth="1"/>
    <col min="14085" max="14085" width="42.5703125" style="11" customWidth="1"/>
    <col min="14086" max="14086" width="49.28515625" style="11" customWidth="1"/>
    <col min="14087" max="14087" width="8.28515625" style="11" customWidth="1"/>
    <col min="14088" max="14088" width="5" style="11" customWidth="1"/>
    <col min="14089" max="14336" width="9.140625" style="11"/>
    <col min="14337" max="14337" width="9.5703125" style="11" customWidth="1"/>
    <col min="14338" max="14338" width="9.85546875" style="11" customWidth="1"/>
    <col min="14339" max="14339" width="13.140625" style="11" customWidth="1"/>
    <col min="14340" max="14340" width="14" style="11" customWidth="1"/>
    <col min="14341" max="14341" width="42.5703125" style="11" customWidth="1"/>
    <col min="14342" max="14342" width="49.28515625" style="11" customWidth="1"/>
    <col min="14343" max="14343" width="8.28515625" style="11" customWidth="1"/>
    <col min="14344" max="14344" width="5" style="11" customWidth="1"/>
    <col min="14345" max="14592" width="9.140625" style="11"/>
    <col min="14593" max="14593" width="9.5703125" style="11" customWidth="1"/>
    <col min="14594" max="14594" width="9.85546875" style="11" customWidth="1"/>
    <col min="14595" max="14595" width="13.140625" style="11" customWidth="1"/>
    <col min="14596" max="14596" width="14" style="11" customWidth="1"/>
    <col min="14597" max="14597" width="42.5703125" style="11" customWidth="1"/>
    <col min="14598" max="14598" width="49.28515625" style="11" customWidth="1"/>
    <col min="14599" max="14599" width="8.28515625" style="11" customWidth="1"/>
    <col min="14600" max="14600" width="5" style="11" customWidth="1"/>
    <col min="14601" max="14848" width="9.140625" style="11"/>
    <col min="14849" max="14849" width="9.5703125" style="11" customWidth="1"/>
    <col min="14850" max="14850" width="9.85546875" style="11" customWidth="1"/>
    <col min="14851" max="14851" width="13.140625" style="11" customWidth="1"/>
    <col min="14852" max="14852" width="14" style="11" customWidth="1"/>
    <col min="14853" max="14853" width="42.5703125" style="11" customWidth="1"/>
    <col min="14854" max="14854" width="49.28515625" style="11" customWidth="1"/>
    <col min="14855" max="14855" width="8.28515625" style="11" customWidth="1"/>
    <col min="14856" max="14856" width="5" style="11" customWidth="1"/>
    <col min="14857" max="15104" width="9.140625" style="11"/>
    <col min="15105" max="15105" width="9.5703125" style="11" customWidth="1"/>
    <col min="15106" max="15106" width="9.85546875" style="11" customWidth="1"/>
    <col min="15107" max="15107" width="13.140625" style="11" customWidth="1"/>
    <col min="15108" max="15108" width="14" style="11" customWidth="1"/>
    <col min="15109" max="15109" width="42.5703125" style="11" customWidth="1"/>
    <col min="15110" max="15110" width="49.28515625" style="11" customWidth="1"/>
    <col min="15111" max="15111" width="8.28515625" style="11" customWidth="1"/>
    <col min="15112" max="15112" width="5" style="11" customWidth="1"/>
    <col min="15113" max="15360" width="9.140625" style="11"/>
    <col min="15361" max="15361" width="9.5703125" style="11" customWidth="1"/>
    <col min="15362" max="15362" width="9.85546875" style="11" customWidth="1"/>
    <col min="15363" max="15363" width="13.140625" style="11" customWidth="1"/>
    <col min="15364" max="15364" width="14" style="11" customWidth="1"/>
    <col min="15365" max="15365" width="42.5703125" style="11" customWidth="1"/>
    <col min="15366" max="15366" width="49.28515625" style="11" customWidth="1"/>
    <col min="15367" max="15367" width="8.28515625" style="11" customWidth="1"/>
    <col min="15368" max="15368" width="5" style="11" customWidth="1"/>
    <col min="15369" max="15616" width="9.140625" style="11"/>
    <col min="15617" max="15617" width="9.5703125" style="11" customWidth="1"/>
    <col min="15618" max="15618" width="9.85546875" style="11" customWidth="1"/>
    <col min="15619" max="15619" width="13.140625" style="11" customWidth="1"/>
    <col min="15620" max="15620" width="14" style="11" customWidth="1"/>
    <col min="15621" max="15621" width="42.5703125" style="11" customWidth="1"/>
    <col min="15622" max="15622" width="49.28515625" style="11" customWidth="1"/>
    <col min="15623" max="15623" width="8.28515625" style="11" customWidth="1"/>
    <col min="15624" max="15624" width="5" style="11" customWidth="1"/>
    <col min="15625" max="15872" width="9.140625" style="11"/>
    <col min="15873" max="15873" width="9.5703125" style="11" customWidth="1"/>
    <col min="15874" max="15874" width="9.85546875" style="11" customWidth="1"/>
    <col min="15875" max="15875" width="13.140625" style="11" customWidth="1"/>
    <col min="15876" max="15876" width="14" style="11" customWidth="1"/>
    <col min="15877" max="15877" width="42.5703125" style="11" customWidth="1"/>
    <col min="15878" max="15878" width="49.28515625" style="11" customWidth="1"/>
    <col min="15879" max="15879" width="8.28515625" style="11" customWidth="1"/>
    <col min="15880" max="15880" width="5" style="11" customWidth="1"/>
    <col min="15881" max="16128" width="9.140625" style="11"/>
    <col min="16129" max="16129" width="9.5703125" style="11" customWidth="1"/>
    <col min="16130" max="16130" width="9.85546875" style="11" customWidth="1"/>
    <col min="16131" max="16131" width="13.140625" style="11" customWidth="1"/>
    <col min="16132" max="16132" width="14" style="11" customWidth="1"/>
    <col min="16133" max="16133" width="42.5703125" style="11" customWidth="1"/>
    <col min="16134" max="16134" width="49.28515625" style="11" customWidth="1"/>
    <col min="16135" max="16135" width="8.28515625" style="11" customWidth="1"/>
    <col min="16136" max="16136" width="5" style="11" customWidth="1"/>
    <col min="16137" max="16384" width="9.140625" style="11"/>
  </cols>
  <sheetData>
    <row r="1" spans="1:11" ht="12" customHeight="1" x14ac:dyDescent="0.25"/>
    <row r="2" spans="1:11" s="10" customFormat="1" ht="15" x14ac:dyDescent="0.25">
      <c r="A2" s="476" t="s">
        <v>405</v>
      </c>
      <c r="B2" s="477"/>
      <c r="C2" s="477"/>
      <c r="D2" s="477"/>
      <c r="E2" s="477"/>
      <c r="F2" s="477"/>
      <c r="G2" s="477"/>
      <c r="H2" s="478"/>
      <c r="I2" s="9"/>
    </row>
    <row r="3" spans="1:11" s="9" customFormat="1" x14ac:dyDescent="0.25">
      <c r="A3" s="479"/>
      <c r="B3" s="479"/>
      <c r="C3" s="479"/>
      <c r="D3" s="479"/>
      <c r="E3" s="479"/>
      <c r="F3" s="479"/>
      <c r="G3" s="261"/>
      <c r="H3" s="262"/>
    </row>
    <row r="4" spans="1:11" x14ac:dyDescent="0.25">
      <c r="A4" s="263" t="s">
        <v>30</v>
      </c>
      <c r="B4" s="264"/>
      <c r="C4" s="264"/>
      <c r="D4" s="264"/>
      <c r="E4" s="264"/>
      <c r="F4" s="264"/>
      <c r="G4" s="264"/>
      <c r="H4" s="265"/>
    </row>
    <row r="5" spans="1:11" s="9" customFormat="1" x14ac:dyDescent="0.25">
      <c r="A5" s="480" t="s">
        <v>31</v>
      </c>
      <c r="B5" s="481"/>
      <c r="C5" s="481"/>
      <c r="D5" s="266" t="s">
        <v>32</v>
      </c>
      <c r="E5" s="267"/>
      <c r="F5" s="267"/>
      <c r="G5" s="266" t="s">
        <v>33</v>
      </c>
      <c r="H5" s="268" t="s">
        <v>34</v>
      </c>
      <c r="J5" s="12"/>
      <c r="K5" s="12"/>
    </row>
    <row r="6" spans="1:11" s="12" customFormat="1" ht="12.75" x14ac:dyDescent="0.25">
      <c r="A6" s="269" t="s">
        <v>35</v>
      </c>
      <c r="B6" s="270"/>
      <c r="C6" s="270"/>
      <c r="D6" s="271">
        <v>45503</v>
      </c>
      <c r="E6" s="270">
        <v>228</v>
      </c>
      <c r="F6" s="270" t="s">
        <v>36</v>
      </c>
      <c r="G6" s="272">
        <v>1.9199999999999998E-2</v>
      </c>
      <c r="H6" s="273" t="s">
        <v>37</v>
      </c>
      <c r="J6" s="15" t="s">
        <v>38</v>
      </c>
    </row>
    <row r="7" spans="1:11" s="12" customFormat="1" ht="12.75" x14ac:dyDescent="0.25">
      <c r="A7" s="269" t="s">
        <v>39</v>
      </c>
      <c r="B7" s="270"/>
      <c r="C7" s="270"/>
      <c r="D7" s="271">
        <v>45658</v>
      </c>
      <c r="E7" s="270"/>
      <c r="F7" s="270"/>
      <c r="G7" s="274">
        <v>0.13250000000000001</v>
      </c>
      <c r="H7" s="273" t="s">
        <v>37</v>
      </c>
      <c r="J7" s="15" t="s">
        <v>40</v>
      </c>
    </row>
    <row r="8" spans="1:11" s="9" customFormat="1" x14ac:dyDescent="0.25">
      <c r="A8" s="269" t="s">
        <v>41</v>
      </c>
      <c r="B8" s="270"/>
      <c r="C8" s="270"/>
      <c r="D8" s="271">
        <v>45658</v>
      </c>
      <c r="E8" s="261"/>
      <c r="F8" s="261"/>
      <c r="G8" s="274">
        <v>0.13250000000000001</v>
      </c>
      <c r="H8" s="273" t="s">
        <v>37</v>
      </c>
      <c r="J8" s="13" t="s">
        <v>42</v>
      </c>
      <c r="K8" s="12"/>
    </row>
    <row r="9" spans="1:11" s="9" customFormat="1" x14ac:dyDescent="0.25">
      <c r="A9" s="269" t="s">
        <v>43</v>
      </c>
      <c r="B9" s="270"/>
      <c r="C9" s="270"/>
      <c r="D9" s="271">
        <v>45689</v>
      </c>
      <c r="E9" s="261"/>
      <c r="F9" s="261"/>
      <c r="G9" s="274">
        <v>0.14510000000000001</v>
      </c>
      <c r="H9" s="273" t="s">
        <v>37</v>
      </c>
      <c r="J9" s="13" t="s">
        <v>44</v>
      </c>
      <c r="K9" s="12"/>
    </row>
    <row r="10" spans="1:11" s="9" customFormat="1" x14ac:dyDescent="0.25">
      <c r="A10" s="269" t="s">
        <v>45</v>
      </c>
      <c r="B10" s="270"/>
      <c r="C10" s="270"/>
      <c r="D10" s="271">
        <v>45689</v>
      </c>
      <c r="E10" s="261"/>
      <c r="F10" s="261"/>
      <c r="G10" s="274">
        <v>4.4139999999999999E-2</v>
      </c>
      <c r="H10" s="273" t="s">
        <v>37</v>
      </c>
      <c r="J10" s="13" t="s">
        <v>46</v>
      </c>
      <c r="K10" s="12"/>
    </row>
    <row r="11" spans="1:11" s="9" customFormat="1" ht="12.75" x14ac:dyDescent="0.25">
      <c r="A11" s="269" t="s">
        <v>47</v>
      </c>
      <c r="B11" s="270"/>
      <c r="C11" s="270"/>
      <c r="D11" s="271">
        <v>45658</v>
      </c>
      <c r="E11" s="261"/>
      <c r="F11" s="261"/>
      <c r="G11" s="274">
        <v>5.5E-2</v>
      </c>
      <c r="H11" s="273" t="s">
        <v>37</v>
      </c>
      <c r="J11" s="15" t="s">
        <v>319</v>
      </c>
      <c r="K11" s="12"/>
    </row>
    <row r="12" spans="1:11" s="9" customFormat="1" x14ac:dyDescent="0.25">
      <c r="A12" s="269" t="s">
        <v>49</v>
      </c>
      <c r="B12" s="270"/>
      <c r="C12" s="270"/>
      <c r="D12" s="271">
        <v>45658</v>
      </c>
      <c r="E12" s="261"/>
      <c r="F12" s="261"/>
      <c r="G12" s="274">
        <v>0.03</v>
      </c>
      <c r="H12" s="273" t="s">
        <v>37</v>
      </c>
      <c r="J12" s="13" t="s">
        <v>50</v>
      </c>
      <c r="K12" s="12"/>
    </row>
    <row r="13" spans="1:11" s="9" customFormat="1" x14ac:dyDescent="0.25">
      <c r="A13" s="269" t="s">
        <v>51</v>
      </c>
      <c r="B13" s="270"/>
      <c r="C13" s="270"/>
      <c r="D13" s="271">
        <v>45657</v>
      </c>
      <c r="E13" s="261"/>
      <c r="F13" s="261"/>
      <c r="G13" s="274">
        <v>5.79E-2</v>
      </c>
      <c r="H13" s="273" t="s">
        <v>37</v>
      </c>
      <c r="J13" s="13" t="s">
        <v>52</v>
      </c>
      <c r="K13" s="12"/>
    </row>
    <row r="14" spans="1:11" s="9" customFormat="1" ht="12.75" x14ac:dyDescent="0.25">
      <c r="A14" s="269" t="s">
        <v>53</v>
      </c>
      <c r="B14" s="270"/>
      <c r="C14" s="270"/>
      <c r="D14" s="271">
        <v>45657</v>
      </c>
      <c r="E14" s="261"/>
      <c r="F14" s="261"/>
      <c r="G14" s="274">
        <v>7.0000000000000007E-2</v>
      </c>
      <c r="H14" s="273" t="s">
        <v>37</v>
      </c>
      <c r="J14" s="15" t="s">
        <v>54</v>
      </c>
      <c r="K14" s="12"/>
    </row>
    <row r="15" spans="1:11" s="9" customFormat="1" x14ac:dyDescent="0.25">
      <c r="A15" s="269" t="s">
        <v>55</v>
      </c>
      <c r="B15" s="270"/>
      <c r="C15" s="270"/>
      <c r="D15" s="271">
        <v>45657</v>
      </c>
      <c r="E15" s="261"/>
      <c r="F15" s="261"/>
      <c r="G15" s="275">
        <v>1</v>
      </c>
      <c r="H15" s="273" t="s">
        <v>37</v>
      </c>
      <c r="J15" s="13" t="s">
        <v>56</v>
      </c>
      <c r="K15" s="12"/>
    </row>
    <row r="16" spans="1:11" s="9" customFormat="1" x14ac:dyDescent="0.25">
      <c r="A16" s="269" t="s">
        <v>57</v>
      </c>
      <c r="B16" s="270"/>
      <c r="C16" s="270"/>
      <c r="D16" s="271">
        <v>45657</v>
      </c>
      <c r="E16" s="261"/>
      <c r="F16" s="261"/>
      <c r="G16" s="275">
        <v>0.24</v>
      </c>
      <c r="H16" s="273" t="s">
        <v>37</v>
      </c>
      <c r="J16" s="13" t="s">
        <v>56</v>
      </c>
      <c r="K16" s="12"/>
    </row>
    <row r="17" spans="1:11" s="9" customFormat="1" x14ac:dyDescent="0.25">
      <c r="A17" s="269" t="s">
        <v>58</v>
      </c>
      <c r="B17" s="270"/>
      <c r="C17" s="270"/>
      <c r="D17" s="271">
        <v>45657</v>
      </c>
      <c r="E17" s="261"/>
      <c r="F17" s="261"/>
      <c r="G17" s="275">
        <v>5.0000000000000001E-3</v>
      </c>
      <c r="H17" s="273" t="s">
        <v>37</v>
      </c>
      <c r="J17" s="13" t="s">
        <v>54</v>
      </c>
      <c r="K17" s="12"/>
    </row>
    <row r="18" spans="1:11" s="9" customFormat="1" x14ac:dyDescent="0.25">
      <c r="A18" s="269" t="s">
        <v>59</v>
      </c>
      <c r="B18" s="270"/>
      <c r="C18" s="270"/>
      <c r="D18" s="271">
        <v>45657</v>
      </c>
      <c r="E18" s="261"/>
      <c r="F18" s="261"/>
      <c r="G18" s="275">
        <v>0.03</v>
      </c>
      <c r="H18" s="273" t="s">
        <v>37</v>
      </c>
      <c r="J18" s="13" t="s">
        <v>54</v>
      </c>
      <c r="K18" s="12"/>
    </row>
    <row r="19" spans="1:11" s="9" customFormat="1" x14ac:dyDescent="0.25">
      <c r="A19" s="269" t="s">
        <v>60</v>
      </c>
      <c r="B19" s="270"/>
      <c r="C19" s="270"/>
      <c r="D19" s="271">
        <f t="shared" ref="D19:D22" si="0">D18</f>
        <v>45657</v>
      </c>
      <c r="E19" s="261"/>
      <c r="F19" s="261"/>
      <c r="G19" s="275">
        <v>0.01</v>
      </c>
      <c r="H19" s="273" t="s">
        <v>37</v>
      </c>
      <c r="J19" s="13" t="s">
        <v>54</v>
      </c>
      <c r="K19" s="12"/>
    </row>
    <row r="20" spans="1:11" s="9" customFormat="1" x14ac:dyDescent="0.25">
      <c r="A20" s="269" t="s">
        <v>61</v>
      </c>
      <c r="B20" s="270"/>
      <c r="C20" s="270"/>
      <c r="D20" s="271">
        <f t="shared" si="0"/>
        <v>45657</v>
      </c>
      <c r="E20" s="261"/>
      <c r="F20" s="261"/>
      <c r="G20" s="275">
        <v>0</v>
      </c>
      <c r="H20" s="273" t="s">
        <v>37</v>
      </c>
      <c r="J20" s="13"/>
      <c r="K20" s="12"/>
    </row>
    <row r="21" spans="1:11" s="9" customFormat="1" x14ac:dyDescent="0.25">
      <c r="A21" s="269" t="s">
        <v>62</v>
      </c>
      <c r="B21" s="270"/>
      <c r="C21" s="270"/>
      <c r="D21" s="271">
        <f t="shared" si="0"/>
        <v>45657</v>
      </c>
      <c r="E21" s="261"/>
      <c r="F21" s="261"/>
      <c r="G21" s="275">
        <v>0.5</v>
      </c>
      <c r="H21" s="273" t="s">
        <v>37</v>
      </c>
      <c r="J21" s="13"/>
      <c r="K21" s="12"/>
    </row>
    <row r="22" spans="1:11" s="9" customFormat="1" ht="12.75" x14ac:dyDescent="0.25">
      <c r="A22" s="276" t="s">
        <v>63</v>
      </c>
      <c r="B22" s="277"/>
      <c r="C22" s="277"/>
      <c r="D22" s="278">
        <f t="shared" si="0"/>
        <v>45657</v>
      </c>
      <c r="E22" s="279"/>
      <c r="F22" s="279"/>
      <c r="G22" s="280">
        <v>0.5</v>
      </c>
      <c r="H22" s="281" t="s">
        <v>37</v>
      </c>
      <c r="J22" s="14"/>
    </row>
    <row r="23" spans="1:11" s="9" customFormat="1" x14ac:dyDescent="0.25">
      <c r="A23" s="282" t="s">
        <v>64</v>
      </c>
      <c r="B23" s="261"/>
      <c r="C23" s="261"/>
      <c r="D23" s="261"/>
      <c r="E23" s="261"/>
      <c r="F23" s="261"/>
      <c r="G23" s="261"/>
      <c r="H23" s="283"/>
    </row>
    <row r="24" spans="1:11" x14ac:dyDescent="0.25">
      <c r="A24" s="284" t="s">
        <v>65</v>
      </c>
      <c r="B24" s="285" t="s">
        <v>32</v>
      </c>
      <c r="C24" s="285" t="s">
        <v>66</v>
      </c>
      <c r="D24" s="285" t="s">
        <v>0</v>
      </c>
      <c r="E24" s="285" t="s">
        <v>31</v>
      </c>
      <c r="F24" s="285" t="s">
        <v>67</v>
      </c>
      <c r="G24" s="285" t="s">
        <v>68</v>
      </c>
      <c r="H24" s="286"/>
    </row>
    <row r="25" spans="1:11" ht="228" x14ac:dyDescent="0.25">
      <c r="A25" s="287" t="s">
        <v>69</v>
      </c>
      <c r="B25" s="288">
        <f>D10</f>
        <v>45689</v>
      </c>
      <c r="C25" s="289" t="s">
        <v>70</v>
      </c>
      <c r="D25" s="290" t="s">
        <v>71</v>
      </c>
      <c r="E25" s="291" t="s">
        <v>72</v>
      </c>
      <c r="F25" s="291" t="s">
        <v>73</v>
      </c>
      <c r="G25" s="292">
        <f>G10</f>
        <v>4.4139999999999999E-2</v>
      </c>
      <c r="H25" s="293" t="s">
        <v>74</v>
      </c>
    </row>
    <row r="26" spans="1:11" x14ac:dyDescent="0.25">
      <c r="A26" s="287" t="s">
        <v>39</v>
      </c>
      <c r="B26" s="288">
        <f>D7</f>
        <v>45658</v>
      </c>
      <c r="C26" s="289" t="s">
        <v>75</v>
      </c>
      <c r="D26" s="290" t="s">
        <v>76</v>
      </c>
      <c r="E26" s="291"/>
      <c r="F26" s="291" t="s">
        <v>77</v>
      </c>
      <c r="G26" s="292">
        <f>G7</f>
        <v>0.13250000000000001</v>
      </c>
      <c r="H26" s="293" t="s">
        <v>74</v>
      </c>
    </row>
    <row r="27" spans="1:11" ht="96" x14ac:dyDescent="0.25">
      <c r="A27" s="287" t="s">
        <v>78</v>
      </c>
      <c r="B27" s="290" t="s">
        <v>79</v>
      </c>
      <c r="C27" s="289" t="s">
        <v>80</v>
      </c>
      <c r="D27" s="290" t="s">
        <v>81</v>
      </c>
      <c r="E27" s="291" t="s">
        <v>82</v>
      </c>
      <c r="F27" s="291" t="s">
        <v>83</v>
      </c>
      <c r="G27" s="292">
        <f>G26-G25</f>
        <v>8.8360000000000008E-2</v>
      </c>
      <c r="H27" s="293" t="s">
        <v>74</v>
      </c>
    </row>
    <row r="28" spans="1:11" ht="96" x14ac:dyDescent="0.25">
      <c r="A28" s="294" t="s">
        <v>84</v>
      </c>
      <c r="B28" s="295">
        <f>D15</f>
        <v>45657</v>
      </c>
      <c r="C28" s="289" t="s">
        <v>85</v>
      </c>
      <c r="D28" s="290" t="s">
        <v>55</v>
      </c>
      <c r="E28" s="291" t="s">
        <v>86</v>
      </c>
      <c r="F28" s="291" t="s">
        <v>87</v>
      </c>
      <c r="G28" s="292">
        <f>G15</f>
        <v>1</v>
      </c>
      <c r="H28" s="296"/>
      <c r="J28" s="15"/>
    </row>
    <row r="29" spans="1:11" ht="24" x14ac:dyDescent="0.25">
      <c r="A29" s="482" t="s">
        <v>88</v>
      </c>
      <c r="B29" s="297" t="s">
        <v>79</v>
      </c>
      <c r="C29" s="298" t="s">
        <v>89</v>
      </c>
      <c r="D29" s="299" t="s">
        <v>90</v>
      </c>
      <c r="E29" s="485" t="s">
        <v>91</v>
      </c>
      <c r="F29" s="300"/>
      <c r="G29" s="301">
        <f>G21</f>
        <v>0.5</v>
      </c>
      <c r="H29" s="302"/>
    </row>
    <row r="30" spans="1:11" x14ac:dyDescent="0.25">
      <c r="A30" s="483"/>
      <c r="B30" s="303" t="s">
        <v>79</v>
      </c>
      <c r="C30" s="304" t="s">
        <v>92</v>
      </c>
      <c r="D30" s="305" t="s">
        <v>93</v>
      </c>
      <c r="E30" s="486"/>
      <c r="F30" s="306" t="s">
        <v>94</v>
      </c>
      <c r="G30" s="307">
        <f>G22</f>
        <v>0.5</v>
      </c>
      <c r="H30" s="308"/>
    </row>
    <row r="31" spans="1:11" x14ac:dyDescent="0.25">
      <c r="A31" s="484"/>
      <c r="B31" s="309" t="s">
        <v>79</v>
      </c>
      <c r="C31" s="310" t="s">
        <v>95</v>
      </c>
      <c r="D31" s="311" t="s">
        <v>96</v>
      </c>
      <c r="E31" s="487"/>
      <c r="F31" s="312"/>
      <c r="G31" s="313">
        <f>G30/G29</f>
        <v>1</v>
      </c>
      <c r="H31" s="314"/>
    </row>
    <row r="32" spans="1:11" ht="60" x14ac:dyDescent="0.25">
      <c r="A32" s="294" t="s">
        <v>97</v>
      </c>
      <c r="B32" s="295">
        <f>D16</f>
        <v>45657</v>
      </c>
      <c r="C32" s="289" t="s">
        <v>98</v>
      </c>
      <c r="D32" s="315" t="s">
        <v>99</v>
      </c>
      <c r="E32" s="316"/>
      <c r="F32" s="291" t="s">
        <v>100</v>
      </c>
      <c r="G32" s="292">
        <f>G16</f>
        <v>0.24</v>
      </c>
      <c r="H32" s="317"/>
      <c r="J32" s="15"/>
    </row>
    <row r="33" spans="1:10" ht="120" x14ac:dyDescent="0.25">
      <c r="A33" s="294" t="s">
        <v>101</v>
      </c>
      <c r="B33" s="295">
        <f>D6</f>
        <v>45503</v>
      </c>
      <c r="C33" s="289" t="s">
        <v>102</v>
      </c>
      <c r="D33" s="315" t="s">
        <v>103</v>
      </c>
      <c r="E33" s="291" t="s">
        <v>104</v>
      </c>
      <c r="F33" s="291" t="s">
        <v>105</v>
      </c>
      <c r="G33" s="292">
        <f>G6</f>
        <v>1.9199999999999998E-2</v>
      </c>
      <c r="H33" s="317" t="s">
        <v>74</v>
      </c>
    </row>
    <row r="34" spans="1:10" s="17" customFormat="1" x14ac:dyDescent="0.25">
      <c r="A34" s="318"/>
      <c r="B34" s="319"/>
      <c r="C34" s="320" t="s">
        <v>106</v>
      </c>
      <c r="D34" s="321" t="s">
        <v>107</v>
      </c>
      <c r="E34" s="322"/>
      <c r="F34" s="321"/>
      <c r="G34" s="323">
        <f>G28*(1+((1-G32)*G31))</f>
        <v>1.76</v>
      </c>
      <c r="H34" s="324"/>
    </row>
    <row r="35" spans="1:10" x14ac:dyDescent="0.25">
      <c r="A35" s="488"/>
      <c r="B35" s="488"/>
      <c r="C35" s="488"/>
      <c r="D35" s="488"/>
      <c r="E35" s="488"/>
      <c r="F35" s="488"/>
      <c r="G35" s="488"/>
      <c r="H35" s="488"/>
    </row>
    <row r="36" spans="1:10" x14ac:dyDescent="0.25">
      <c r="A36" s="489"/>
      <c r="B36" s="489"/>
      <c r="C36" s="489"/>
      <c r="D36" s="489"/>
      <c r="E36" s="489"/>
      <c r="F36" s="489"/>
      <c r="G36" s="489"/>
      <c r="H36" s="489"/>
    </row>
    <row r="37" spans="1:10" x14ac:dyDescent="0.25">
      <c r="A37" s="490"/>
      <c r="B37" s="490"/>
      <c r="C37" s="490"/>
      <c r="D37" s="490"/>
      <c r="E37" s="490"/>
      <c r="F37" s="490"/>
      <c r="G37" s="490"/>
      <c r="H37" s="490"/>
    </row>
    <row r="38" spans="1:10" x14ac:dyDescent="0.25">
      <c r="A38" s="325"/>
      <c r="B38" s="326"/>
      <c r="C38" s="327" t="s">
        <v>406</v>
      </c>
      <c r="D38" s="328" t="s">
        <v>108</v>
      </c>
      <c r="E38" s="328"/>
      <c r="F38" s="328"/>
      <c r="G38" s="329">
        <f>G25+(G34*G27)+G33</f>
        <v>0.21885359999999998</v>
      </c>
      <c r="H38" s="330" t="s">
        <v>74</v>
      </c>
    </row>
    <row r="39" spans="1:10" x14ac:dyDescent="0.25">
      <c r="A39" s="488"/>
      <c r="B39" s="488"/>
      <c r="C39" s="488"/>
      <c r="D39" s="488"/>
      <c r="E39" s="488"/>
      <c r="F39" s="488"/>
      <c r="G39" s="488"/>
      <c r="H39" s="488"/>
    </row>
    <row r="40" spans="1:10" x14ac:dyDescent="0.25">
      <c r="A40" s="489"/>
      <c r="B40" s="489"/>
      <c r="C40" s="489"/>
      <c r="D40" s="489"/>
      <c r="E40" s="489"/>
      <c r="F40" s="489"/>
      <c r="G40" s="489"/>
      <c r="H40" s="489"/>
    </row>
    <row r="41" spans="1:10" x14ac:dyDescent="0.25">
      <c r="A41" s="490"/>
      <c r="B41" s="490"/>
      <c r="C41" s="490"/>
      <c r="D41" s="490"/>
      <c r="E41" s="490"/>
      <c r="F41" s="490"/>
      <c r="G41" s="490"/>
      <c r="H41" s="490"/>
    </row>
    <row r="42" spans="1:10" x14ac:dyDescent="0.25">
      <c r="A42" s="331" t="s">
        <v>109</v>
      </c>
      <c r="B42" s="332">
        <f>D12</f>
        <v>45658</v>
      </c>
      <c r="C42" s="298"/>
      <c r="D42" s="333" t="s">
        <v>110</v>
      </c>
      <c r="E42" s="485" t="s">
        <v>111</v>
      </c>
      <c r="F42" s="485"/>
      <c r="G42" s="301">
        <f>G12</f>
        <v>0.03</v>
      </c>
      <c r="H42" s="302" t="s">
        <v>74</v>
      </c>
    </row>
    <row r="43" spans="1:10" x14ac:dyDescent="0.25">
      <c r="A43" s="334" t="s">
        <v>112</v>
      </c>
      <c r="B43" s="335">
        <f>D13</f>
        <v>45657</v>
      </c>
      <c r="C43" s="310"/>
      <c r="D43" s="336" t="s">
        <v>113</v>
      </c>
      <c r="E43" s="487"/>
      <c r="F43" s="487"/>
      <c r="G43" s="337">
        <v>4.2299999999999997E-2</v>
      </c>
      <c r="H43" s="314" t="s">
        <v>74</v>
      </c>
    </row>
    <row r="44" spans="1:10" x14ac:dyDescent="0.25">
      <c r="A44" s="325"/>
      <c r="B44" s="326"/>
      <c r="C44" s="327"/>
      <c r="D44" s="328" t="s">
        <v>114</v>
      </c>
      <c r="E44" s="328"/>
      <c r="F44" s="328"/>
      <c r="G44" s="329">
        <f>(1+G38)*(1+G43)/(1+G42)-1</f>
        <v>0.23340884201941758</v>
      </c>
      <c r="H44" s="330" t="str">
        <f>H43</f>
        <v>a.a</v>
      </c>
      <c r="I44" s="18"/>
    </row>
    <row r="45" spans="1:10" x14ac:dyDescent="0.25">
      <c r="A45" s="338" t="s">
        <v>115</v>
      </c>
      <c r="B45" s="339">
        <f>D14</f>
        <v>45657</v>
      </c>
      <c r="C45" s="304"/>
      <c r="D45" s="340" t="s">
        <v>116</v>
      </c>
      <c r="E45" s="340" t="s">
        <v>117</v>
      </c>
      <c r="F45" s="341" t="s">
        <v>118</v>
      </c>
      <c r="G45" s="307">
        <f>G14*70%+30%*(G14+1%)</f>
        <v>7.3000000000000009E-2</v>
      </c>
      <c r="H45" s="308" t="s">
        <v>74</v>
      </c>
    </row>
    <row r="46" spans="1:10" x14ac:dyDescent="0.25">
      <c r="A46" s="338" t="s">
        <v>115</v>
      </c>
      <c r="B46" s="339">
        <f>D17</f>
        <v>45657</v>
      </c>
      <c r="C46" s="304"/>
      <c r="D46" s="340" t="s">
        <v>119</v>
      </c>
      <c r="E46" s="340"/>
      <c r="F46" s="342" t="s">
        <v>120</v>
      </c>
      <c r="G46" s="307">
        <f>G17</f>
        <v>5.0000000000000001E-3</v>
      </c>
      <c r="H46" s="308" t="s">
        <v>74</v>
      </c>
    </row>
    <row r="47" spans="1:10" x14ac:dyDescent="0.25">
      <c r="A47" s="338"/>
      <c r="B47" s="339">
        <f>D18</f>
        <v>45657</v>
      </c>
      <c r="C47" s="304"/>
      <c r="D47" s="340" t="s">
        <v>121</v>
      </c>
      <c r="E47" s="340"/>
      <c r="F47" s="342"/>
      <c r="G47" s="307">
        <f>G18</f>
        <v>0.03</v>
      </c>
      <c r="H47" s="308" t="s">
        <v>74</v>
      </c>
      <c r="J47" s="19"/>
    </row>
    <row r="48" spans="1:10" x14ac:dyDescent="0.25">
      <c r="A48" s="338" t="s">
        <v>115</v>
      </c>
      <c r="B48" s="339">
        <f>D6</f>
        <v>45503</v>
      </c>
      <c r="C48" s="304"/>
      <c r="D48" s="340" t="s">
        <v>122</v>
      </c>
      <c r="E48" s="340"/>
      <c r="F48" s="342"/>
      <c r="G48" s="307">
        <f>G6</f>
        <v>1.9199999999999998E-2</v>
      </c>
      <c r="H48" s="308" t="s">
        <v>74</v>
      </c>
      <c r="J48" s="19"/>
    </row>
    <row r="49" spans="1:10" x14ac:dyDescent="0.25">
      <c r="A49" s="343"/>
      <c r="B49" s="339">
        <f>D19</f>
        <v>45657</v>
      </c>
      <c r="C49" s="304"/>
      <c r="D49" s="340" t="s">
        <v>60</v>
      </c>
      <c r="E49" s="340"/>
      <c r="F49" s="342"/>
      <c r="G49" s="307">
        <f>G19</f>
        <v>0.01</v>
      </c>
      <c r="H49" s="308" t="s">
        <v>74</v>
      </c>
      <c r="J49" s="19"/>
    </row>
    <row r="50" spans="1:10" x14ac:dyDescent="0.25">
      <c r="A50" s="343"/>
      <c r="B50" s="339"/>
      <c r="C50" s="344" t="s">
        <v>123</v>
      </c>
      <c r="D50" s="345"/>
      <c r="E50" s="346"/>
      <c r="F50" s="347"/>
      <c r="G50" s="348">
        <f>SUM(G45:G49)</f>
        <v>0.13720000000000002</v>
      </c>
      <c r="H50" s="349" t="s">
        <v>74</v>
      </c>
      <c r="J50" s="19"/>
    </row>
    <row r="51" spans="1:10" x14ac:dyDescent="0.25">
      <c r="A51" s="343"/>
      <c r="B51" s="339">
        <f>D20</f>
        <v>45657</v>
      </c>
      <c r="C51" s="304"/>
      <c r="D51" s="340" t="s">
        <v>61</v>
      </c>
      <c r="E51" s="340"/>
      <c r="F51" s="342"/>
      <c r="G51" s="307">
        <f>G20</f>
        <v>0</v>
      </c>
      <c r="H51" s="308" t="s">
        <v>74</v>
      </c>
      <c r="J51" s="19"/>
    </row>
    <row r="52" spans="1:10" x14ac:dyDescent="0.25">
      <c r="A52" s="343"/>
      <c r="B52" s="339"/>
      <c r="C52" s="344" t="s">
        <v>124</v>
      </c>
      <c r="D52" s="345"/>
      <c r="E52" s="346"/>
      <c r="F52" s="347"/>
      <c r="G52" s="348">
        <f>SUM(G50:G51)</f>
        <v>0.13720000000000002</v>
      </c>
      <c r="H52" s="350" t="s">
        <v>74</v>
      </c>
      <c r="J52" s="19"/>
    </row>
    <row r="53" spans="1:10" x14ac:dyDescent="0.25">
      <c r="A53" s="491"/>
      <c r="B53" s="492"/>
      <c r="C53" s="492"/>
      <c r="D53" s="492"/>
      <c r="E53" s="492"/>
      <c r="F53" s="492"/>
      <c r="G53" s="492"/>
      <c r="H53" s="493"/>
      <c r="J53" s="19"/>
    </row>
    <row r="54" spans="1:10" x14ac:dyDescent="0.25">
      <c r="A54" s="494"/>
      <c r="B54" s="495"/>
      <c r="C54" s="495"/>
      <c r="D54" s="495"/>
      <c r="E54" s="495"/>
      <c r="F54" s="495"/>
      <c r="G54" s="495"/>
      <c r="H54" s="496"/>
      <c r="J54" s="19"/>
    </row>
    <row r="55" spans="1:10" x14ac:dyDescent="0.25">
      <c r="A55" s="497"/>
      <c r="B55" s="498"/>
      <c r="C55" s="498"/>
      <c r="D55" s="498"/>
      <c r="E55" s="498"/>
      <c r="F55" s="498"/>
      <c r="G55" s="498"/>
      <c r="H55" s="499"/>
      <c r="J55" s="19"/>
    </row>
    <row r="56" spans="1:10" x14ac:dyDescent="0.25">
      <c r="A56" s="500" t="s">
        <v>125</v>
      </c>
      <c r="B56" s="501"/>
      <c r="C56" s="501"/>
      <c r="D56" s="501"/>
      <c r="E56" s="501"/>
      <c r="F56" s="501"/>
      <c r="G56" s="337">
        <f>G44*G29+(G50*(1-G32)*G30)</f>
        <v>0.16884042100970881</v>
      </c>
      <c r="H56" s="314" t="s">
        <v>74</v>
      </c>
      <c r="J56" s="19"/>
    </row>
    <row r="57" spans="1:10" s="20" customFormat="1" ht="15" x14ac:dyDescent="0.25">
      <c r="A57" s="502" t="s">
        <v>407</v>
      </c>
      <c r="B57" s="503"/>
      <c r="C57" s="503"/>
      <c r="D57" s="503"/>
      <c r="E57" s="503"/>
      <c r="F57" s="503"/>
      <c r="G57" s="351">
        <f>((1+G56)/(1+G43))-1</f>
        <v>0.12140498993543969</v>
      </c>
      <c r="H57" s="352" t="s">
        <v>74</v>
      </c>
      <c r="J57" s="21"/>
    </row>
    <row r="58" spans="1:10" x14ac:dyDescent="0.25">
      <c r="A58" s="345"/>
      <c r="B58" s="345"/>
      <c r="C58" s="304"/>
      <c r="D58" s="353"/>
      <c r="E58" s="353"/>
      <c r="F58" s="353"/>
      <c r="G58" s="354"/>
      <c r="H58" s="342"/>
      <c r="J58" s="19"/>
    </row>
    <row r="59" spans="1:10" x14ac:dyDescent="0.25">
      <c r="A59" s="345"/>
      <c r="B59" s="345"/>
      <c r="C59" s="474" t="s">
        <v>126</v>
      </c>
      <c r="D59" s="475"/>
      <c r="E59" s="353"/>
      <c r="F59" s="353"/>
      <c r="G59" s="354"/>
      <c r="H59" s="342"/>
      <c r="J59" s="19"/>
    </row>
    <row r="60" spans="1:10" x14ac:dyDescent="0.25">
      <c r="A60" s="345"/>
      <c r="B60" s="345"/>
      <c r="C60" s="338" t="s">
        <v>127</v>
      </c>
      <c r="D60" s="355">
        <f>G25</f>
        <v>4.4139999999999999E-2</v>
      </c>
      <c r="E60" s="345"/>
      <c r="F60" s="345"/>
      <c r="G60" s="304"/>
      <c r="H60" s="356"/>
      <c r="J60" s="19"/>
    </row>
    <row r="61" spans="1:10" x14ac:dyDescent="0.25">
      <c r="A61" s="345"/>
      <c r="B61" s="345"/>
      <c r="C61" s="338" t="s">
        <v>128</v>
      </c>
      <c r="D61" s="355">
        <f>G34</f>
        <v>1.76</v>
      </c>
      <c r="E61" s="345"/>
      <c r="F61" s="345"/>
      <c r="G61" s="304"/>
      <c r="H61" s="356"/>
    </row>
    <row r="62" spans="1:10" x14ac:dyDescent="0.25">
      <c r="A62" s="345"/>
      <c r="B62" s="345"/>
      <c r="C62" s="338" t="s">
        <v>129</v>
      </c>
      <c r="D62" s="355">
        <f>G26</f>
        <v>0.13250000000000001</v>
      </c>
      <c r="E62" s="345"/>
      <c r="F62" s="345"/>
      <c r="G62" s="304"/>
      <c r="H62" s="356"/>
    </row>
    <row r="63" spans="1:10" x14ac:dyDescent="0.25">
      <c r="A63" s="345"/>
      <c r="B63" s="345"/>
      <c r="C63" s="338" t="s">
        <v>127</v>
      </c>
      <c r="D63" s="355">
        <f>D60</f>
        <v>4.4139999999999999E-2</v>
      </c>
      <c r="E63" s="345"/>
      <c r="F63" s="345"/>
      <c r="G63" s="304"/>
      <c r="H63" s="356"/>
    </row>
    <row r="64" spans="1:10" x14ac:dyDescent="0.25">
      <c r="A64" s="345"/>
      <c r="B64" s="345"/>
      <c r="C64" s="338" t="s">
        <v>130</v>
      </c>
      <c r="D64" s="355">
        <f>G33</f>
        <v>1.9199999999999998E-2</v>
      </c>
      <c r="E64" s="345"/>
      <c r="F64" s="345"/>
      <c r="G64" s="304"/>
      <c r="H64" s="356"/>
    </row>
    <row r="65" spans="1:8" x14ac:dyDescent="0.25">
      <c r="A65" s="345"/>
      <c r="B65" s="345"/>
      <c r="C65" s="357" t="s">
        <v>131</v>
      </c>
      <c r="D65" s="358">
        <f>D60+D61*(D62-D63)+D64</f>
        <v>0.21885359999999998</v>
      </c>
      <c r="E65" s="345"/>
      <c r="F65" s="345"/>
      <c r="G65" s="304"/>
      <c r="H65" s="356"/>
    </row>
    <row r="66" spans="1:8" x14ac:dyDescent="0.25">
      <c r="A66" s="345"/>
      <c r="B66" s="345"/>
      <c r="C66" s="357" t="s">
        <v>132</v>
      </c>
      <c r="D66" s="358">
        <f>(1+D65)*(1+G43)/(1+G42)-1</f>
        <v>0.23340884201941758</v>
      </c>
      <c r="E66" s="345"/>
      <c r="F66" s="345"/>
      <c r="G66" s="345"/>
      <c r="H66" s="345"/>
    </row>
    <row r="67" spans="1:8" x14ac:dyDescent="0.25">
      <c r="A67" s="345"/>
      <c r="B67" s="345"/>
      <c r="C67" s="338" t="s">
        <v>89</v>
      </c>
      <c r="D67" s="355">
        <f>G29</f>
        <v>0.5</v>
      </c>
      <c r="E67" s="345"/>
      <c r="F67" s="345"/>
      <c r="G67" s="345"/>
      <c r="H67" s="345"/>
    </row>
    <row r="68" spans="1:8" x14ac:dyDescent="0.25">
      <c r="A68" s="345"/>
      <c r="B68" s="345"/>
      <c r="C68" s="338" t="s">
        <v>92</v>
      </c>
      <c r="D68" s="355">
        <f>G30</f>
        <v>0.5</v>
      </c>
      <c r="E68" s="345"/>
      <c r="F68" s="345"/>
      <c r="G68" s="345"/>
      <c r="H68" s="345"/>
    </row>
    <row r="69" spans="1:8" x14ac:dyDescent="0.25">
      <c r="A69" s="345"/>
      <c r="B69" s="345"/>
      <c r="C69" s="338" t="s">
        <v>133</v>
      </c>
      <c r="D69" s="355">
        <f>D66</f>
        <v>0.23340884201941758</v>
      </c>
      <c r="E69" s="345"/>
      <c r="F69" s="345"/>
      <c r="G69" s="345"/>
      <c r="H69" s="345"/>
    </row>
    <row r="70" spans="1:8" x14ac:dyDescent="0.25">
      <c r="A70" s="345"/>
      <c r="B70" s="345"/>
      <c r="C70" s="338" t="s">
        <v>134</v>
      </c>
      <c r="D70" s="355">
        <f>G52</f>
        <v>0.13720000000000002</v>
      </c>
      <c r="E70" s="345"/>
      <c r="F70" s="345"/>
      <c r="G70" s="345"/>
      <c r="H70" s="345"/>
    </row>
    <row r="71" spans="1:8" x14ac:dyDescent="0.25">
      <c r="A71" s="345"/>
      <c r="B71" s="345"/>
      <c r="C71" s="338" t="s">
        <v>98</v>
      </c>
      <c r="D71" s="355">
        <f>G32</f>
        <v>0.24</v>
      </c>
      <c r="E71" s="345"/>
      <c r="F71" s="345"/>
      <c r="G71" s="345"/>
      <c r="H71" s="345"/>
    </row>
    <row r="72" spans="1:8" x14ac:dyDescent="0.25">
      <c r="A72" s="345"/>
      <c r="B72" s="345"/>
      <c r="C72" s="357" t="s">
        <v>135</v>
      </c>
      <c r="D72" s="358">
        <f>(D67/(D67+D68))*D69+((D68/(D67+D68))*D70*(1-D71))</f>
        <v>0.16884042100970881</v>
      </c>
      <c r="E72" s="345"/>
      <c r="F72" s="345"/>
      <c r="G72" s="345"/>
      <c r="H72" s="345"/>
    </row>
    <row r="73" spans="1:8" x14ac:dyDescent="0.25">
      <c r="A73" s="345"/>
      <c r="B73" s="345"/>
      <c r="C73" s="357" t="s">
        <v>136</v>
      </c>
      <c r="D73" s="359">
        <f>(1+D72)/(1+G43)-1</f>
        <v>0.12140498993543969</v>
      </c>
      <c r="E73" s="345"/>
      <c r="F73" s="345"/>
      <c r="G73" s="345"/>
      <c r="H73" s="345"/>
    </row>
    <row r="74" spans="1:8" x14ac:dyDescent="0.25">
      <c r="G74" s="11"/>
      <c r="H74" s="11"/>
    </row>
    <row r="75" spans="1:8" x14ac:dyDescent="0.25">
      <c r="A75" s="17" t="s">
        <v>137</v>
      </c>
      <c r="G75" s="11"/>
      <c r="H75" s="11"/>
    </row>
    <row r="76" spans="1:8" x14ac:dyDescent="0.25">
      <c r="A76" s="23" t="s">
        <v>38</v>
      </c>
      <c r="G76" s="11"/>
      <c r="H76" s="11"/>
    </row>
    <row r="77" spans="1:8" x14ac:dyDescent="0.25">
      <c r="A77" s="23" t="s">
        <v>40</v>
      </c>
      <c r="G77" s="11"/>
      <c r="H77" s="11"/>
    </row>
    <row r="78" spans="1:8" x14ac:dyDescent="0.25">
      <c r="A78" s="23" t="s">
        <v>42</v>
      </c>
      <c r="G78" s="11"/>
      <c r="H78" s="11"/>
    </row>
    <row r="79" spans="1:8" x14ac:dyDescent="0.25">
      <c r="A79" s="23" t="s">
        <v>44</v>
      </c>
      <c r="G79" s="11"/>
      <c r="H79" s="11"/>
    </row>
    <row r="80" spans="1:8" x14ac:dyDescent="0.25">
      <c r="A80" s="23" t="s">
        <v>46</v>
      </c>
      <c r="G80" s="11"/>
      <c r="H80" s="11"/>
    </row>
    <row r="81" spans="1:8" x14ac:dyDescent="0.25">
      <c r="A81" s="23" t="s">
        <v>48</v>
      </c>
      <c r="G81" s="11"/>
      <c r="H81" s="11"/>
    </row>
    <row r="82" spans="1:8" x14ac:dyDescent="0.25">
      <c r="A82" s="23" t="s">
        <v>50</v>
      </c>
      <c r="C82" s="11"/>
      <c r="G82" s="11"/>
      <c r="H82" s="11"/>
    </row>
    <row r="83" spans="1:8" x14ac:dyDescent="0.25">
      <c r="A83" s="23" t="s">
        <v>52</v>
      </c>
      <c r="C83" s="11"/>
      <c r="G83" s="11"/>
      <c r="H83" s="11"/>
    </row>
    <row r="84" spans="1:8" x14ac:dyDescent="0.25">
      <c r="A84" s="23" t="s">
        <v>54</v>
      </c>
      <c r="C84" s="11"/>
      <c r="G84" s="11"/>
      <c r="H84" s="11"/>
    </row>
    <row r="85" spans="1:8" x14ac:dyDescent="0.25">
      <c r="A85" s="23" t="s">
        <v>56</v>
      </c>
      <c r="C85" s="11"/>
      <c r="G85" s="11"/>
      <c r="H85" s="11"/>
    </row>
    <row r="86" spans="1:8" x14ac:dyDescent="0.25">
      <c r="A86" s="23"/>
      <c r="C86" s="11"/>
      <c r="G86" s="11"/>
      <c r="H86" s="11"/>
    </row>
    <row r="87" spans="1:8" x14ac:dyDescent="0.25">
      <c r="A87" s="24" t="s">
        <v>320</v>
      </c>
      <c r="C87" s="11"/>
      <c r="G87" s="11"/>
      <c r="H87" s="11"/>
    </row>
    <row r="88" spans="1:8" x14ac:dyDescent="0.25">
      <c r="C88" s="11"/>
      <c r="G88" s="11"/>
      <c r="H88" s="11"/>
    </row>
    <row r="89" spans="1:8" x14ac:dyDescent="0.25"/>
    <row r="90" spans="1:8" x14ac:dyDescent="0.25"/>
    <row r="91" spans="1:8" x14ac:dyDescent="0.25"/>
    <row r="92" spans="1:8" x14ac:dyDescent="0.25"/>
  </sheetData>
  <sheetProtection password="82C3" sheet="1" objects="1" scenarios="1"/>
  <mergeCells count="12">
    <mergeCell ref="C59:D59"/>
    <mergeCell ref="A2:H2"/>
    <mergeCell ref="A3:F3"/>
    <mergeCell ref="A5:C5"/>
    <mergeCell ref="A29:A31"/>
    <mergeCell ref="E29:E31"/>
    <mergeCell ref="A35:H37"/>
    <mergeCell ref="A39:H41"/>
    <mergeCell ref="E42:F43"/>
    <mergeCell ref="A53:H55"/>
    <mergeCell ref="A56:F56"/>
    <mergeCell ref="A57:F57"/>
  </mergeCells>
  <hyperlinks>
    <hyperlink ref="A76" r:id="rId1" xr:uid="{00000000-0004-0000-0600-000000000000}"/>
    <hyperlink ref="A77" r:id="rId2" xr:uid="{00000000-0004-0000-0600-000001000000}"/>
    <hyperlink ref="A78" r:id="rId3" xr:uid="{00000000-0004-0000-0600-000002000000}"/>
    <hyperlink ref="A79" r:id="rId4" xr:uid="{00000000-0004-0000-0600-000003000000}"/>
    <hyperlink ref="A80" r:id="rId5" xr:uid="{00000000-0004-0000-0600-000004000000}"/>
    <hyperlink ref="A81" r:id="rId6" xr:uid="{00000000-0004-0000-0600-000005000000}"/>
    <hyperlink ref="A82" r:id="rId7" xr:uid="{00000000-0004-0000-0600-000006000000}"/>
    <hyperlink ref="A83" r:id="rId8" xr:uid="{00000000-0004-0000-0600-000007000000}"/>
    <hyperlink ref="A84" r:id="rId9" xr:uid="{00000000-0004-0000-0600-000008000000}"/>
    <hyperlink ref="A85" r:id="rId10" xr:uid="{00000000-0004-0000-0600-000009000000}"/>
    <hyperlink ref="J16" r:id="rId11" xr:uid="{00000000-0004-0000-0600-00000A000000}"/>
    <hyperlink ref="J15" r:id="rId12" xr:uid="{00000000-0004-0000-0600-00000B000000}"/>
    <hyperlink ref="J14" r:id="rId13" xr:uid="{00000000-0004-0000-0600-00000C000000}"/>
    <hyperlink ref="J13" r:id="rId14" xr:uid="{00000000-0004-0000-0600-00000D000000}"/>
    <hyperlink ref="J12" r:id="rId15" xr:uid="{00000000-0004-0000-0600-00000E000000}"/>
    <hyperlink ref="J10" r:id="rId16" xr:uid="{00000000-0004-0000-0600-00000F000000}"/>
    <hyperlink ref="J9" r:id="rId17" xr:uid="{00000000-0004-0000-0600-000010000000}"/>
    <hyperlink ref="J8" r:id="rId18" xr:uid="{00000000-0004-0000-0600-000011000000}"/>
    <hyperlink ref="J7" r:id="rId19" xr:uid="{00000000-0004-0000-0600-000012000000}"/>
    <hyperlink ref="J6" r:id="rId20" xr:uid="{00000000-0004-0000-0600-000013000000}"/>
    <hyperlink ref="J17" r:id="rId21" xr:uid="{00000000-0004-0000-0600-000014000000}"/>
    <hyperlink ref="J18" r:id="rId22" xr:uid="{00000000-0004-0000-0600-000015000000}"/>
    <hyperlink ref="J19" r:id="rId23" xr:uid="{00000000-0004-0000-0600-000016000000}"/>
    <hyperlink ref="J11" r:id="rId24" xr:uid="{00000000-0004-0000-0600-000017000000}"/>
  </hyperlinks>
  <pageMargins left="0.51181102362204722" right="0.51181102362204722" top="0.78740157480314965" bottom="0.78740157480314965" header="0.31496062992125984" footer="0.31496062992125984"/>
  <pageSetup paperSize="9" orientation="landscape" r:id="rId25"/>
  <drawing r:id="rId26"/>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61"/>
  <sheetViews>
    <sheetView showGridLines="0" topLeftCell="A37" workbookViewId="0">
      <selection activeCell="E52" sqref="E52"/>
    </sheetView>
  </sheetViews>
  <sheetFormatPr defaultColWidth="0" defaultRowHeight="12" zeroHeight="1" x14ac:dyDescent="0.25"/>
  <cols>
    <col min="1" max="1" width="2.7109375" style="26" customWidth="1"/>
    <col min="2" max="2" width="9.140625" style="26" customWidth="1"/>
    <col min="3" max="3" width="47.28515625" style="26" customWidth="1"/>
    <col min="4" max="4" width="0" style="26" hidden="1" customWidth="1"/>
    <col min="5" max="5" width="9.5703125" style="26" customWidth="1"/>
    <col min="6" max="6" width="2" style="26" customWidth="1"/>
    <col min="7" max="7" width="20.7109375" style="26" customWidth="1"/>
    <col min="8" max="8" width="7" style="27" customWidth="1"/>
    <col min="9" max="11" width="7" style="26" customWidth="1"/>
    <col min="12" max="12" width="7" style="27" customWidth="1"/>
    <col min="13" max="13" width="7" style="26" customWidth="1"/>
    <col min="14" max="14" width="4.28515625" style="26" customWidth="1"/>
    <col min="15" max="15" width="0" style="26" hidden="1" customWidth="1"/>
    <col min="16" max="16384" width="9.140625" style="26" hidden="1"/>
  </cols>
  <sheetData>
    <row r="1" spans="2:15" x14ac:dyDescent="0.25"/>
    <row r="2" spans="2:15" s="25" customFormat="1" ht="21.95" customHeight="1" x14ac:dyDescent="0.25">
      <c r="B2" s="505" t="s">
        <v>316</v>
      </c>
      <c r="C2" s="506"/>
      <c r="D2" s="506"/>
      <c r="E2" s="506"/>
      <c r="F2" s="506"/>
      <c r="G2" s="506"/>
      <c r="H2" s="506"/>
      <c r="I2" s="506"/>
      <c r="J2" s="506"/>
      <c r="K2" s="506"/>
      <c r="L2" s="506"/>
      <c r="M2" s="507"/>
    </row>
    <row r="3" spans="2:15" ht="5.0999999999999996" customHeight="1" x14ac:dyDescent="0.25"/>
    <row r="4" spans="2:15" ht="14.1" customHeight="1" x14ac:dyDescent="0.25">
      <c r="B4" s="504" t="s">
        <v>138</v>
      </c>
      <c r="C4" s="504"/>
      <c r="D4" s="504"/>
      <c r="E4" s="504"/>
      <c r="G4" s="508" t="s">
        <v>139</v>
      </c>
      <c r="H4" s="508"/>
      <c r="I4" s="508"/>
      <c r="J4" s="508"/>
      <c r="K4" s="508"/>
      <c r="L4" s="508"/>
      <c r="M4" s="508"/>
    </row>
    <row r="5" spans="2:15" ht="14.1" customHeight="1" x14ac:dyDescent="0.25">
      <c r="B5" s="509" t="s">
        <v>140</v>
      </c>
      <c r="C5" s="509"/>
      <c r="D5" s="509"/>
      <c r="E5" s="509"/>
      <c r="G5" s="28"/>
      <c r="H5" s="29"/>
      <c r="I5" s="30" t="s">
        <v>141</v>
      </c>
      <c r="J5" s="30"/>
      <c r="K5" s="30" t="s">
        <v>142</v>
      </c>
      <c r="L5" s="30"/>
      <c r="M5" s="31" t="s">
        <v>141</v>
      </c>
    </row>
    <row r="6" spans="2:15" ht="14.1" customHeight="1" x14ac:dyDescent="0.25">
      <c r="B6" s="510"/>
      <c r="C6" s="510"/>
      <c r="D6" s="510"/>
      <c r="E6" s="510"/>
      <c r="G6" s="32" t="s">
        <v>141</v>
      </c>
      <c r="H6" s="33"/>
      <c r="I6" s="33">
        <v>365</v>
      </c>
      <c r="J6" s="33"/>
      <c r="K6" s="34"/>
      <c r="L6" s="33" t="s">
        <v>143</v>
      </c>
      <c r="M6" s="35">
        <v>365</v>
      </c>
    </row>
    <row r="7" spans="2:15" ht="84" x14ac:dyDescent="0.25">
      <c r="B7" s="36" t="s">
        <v>144</v>
      </c>
      <c r="C7" s="36" t="s">
        <v>145</v>
      </c>
      <c r="D7" s="36" t="s">
        <v>146</v>
      </c>
      <c r="E7" s="36" t="s">
        <v>147</v>
      </c>
      <c r="G7" s="32" t="s">
        <v>148</v>
      </c>
      <c r="H7" s="33" t="s">
        <v>143</v>
      </c>
      <c r="I7" s="33">
        <v>52</v>
      </c>
      <c r="J7" s="33" t="s">
        <v>149</v>
      </c>
      <c r="K7" s="33">
        <v>1</v>
      </c>
      <c r="L7" s="33" t="s">
        <v>143</v>
      </c>
      <c r="M7" s="35">
        <f>I7*K7</f>
        <v>52</v>
      </c>
    </row>
    <row r="8" spans="2:15" ht="14.1" customHeight="1" x14ac:dyDescent="0.25">
      <c r="B8" s="504" t="s">
        <v>150</v>
      </c>
      <c r="C8" s="504"/>
      <c r="D8" s="36" t="s">
        <v>151</v>
      </c>
      <c r="E8" s="36" t="s">
        <v>151</v>
      </c>
      <c r="G8" s="32" t="s">
        <v>152</v>
      </c>
      <c r="H8" s="33" t="s">
        <v>143</v>
      </c>
      <c r="I8" s="33">
        <v>11</v>
      </c>
      <c r="J8" s="33" t="s">
        <v>149</v>
      </c>
      <c r="K8" s="33">
        <v>1</v>
      </c>
      <c r="L8" s="33" t="s">
        <v>143</v>
      </c>
      <c r="M8" s="35">
        <f>I8*K8</f>
        <v>11</v>
      </c>
    </row>
    <row r="9" spans="2:15" ht="14.1" customHeight="1" x14ac:dyDescent="0.25">
      <c r="B9" s="37">
        <v>1</v>
      </c>
      <c r="C9" s="38" t="s">
        <v>24</v>
      </c>
      <c r="D9" s="39">
        <v>0.2</v>
      </c>
      <c r="E9" s="39">
        <v>0.2</v>
      </c>
      <c r="G9" s="40" t="s">
        <v>153</v>
      </c>
      <c r="H9" s="41"/>
      <c r="I9" s="41"/>
      <c r="J9" s="41"/>
      <c r="K9" s="42"/>
      <c r="L9" s="41" t="s">
        <v>143</v>
      </c>
      <c r="M9" s="43">
        <f>M6-M7-M8</f>
        <v>302</v>
      </c>
    </row>
    <row r="10" spans="2:15" ht="14.1" customHeight="1" x14ac:dyDescent="0.25">
      <c r="B10" s="44">
        <v>2</v>
      </c>
      <c r="C10" s="45" t="s">
        <v>154</v>
      </c>
      <c r="D10" s="46">
        <v>1.4999999999999999E-2</v>
      </c>
      <c r="E10" s="46">
        <v>1.4999999999999999E-2</v>
      </c>
      <c r="G10" s="47" t="s">
        <v>155</v>
      </c>
    </row>
    <row r="11" spans="2:15" ht="14.1" customHeight="1" x14ac:dyDescent="0.25">
      <c r="B11" s="44">
        <v>3</v>
      </c>
      <c r="C11" s="45" t="s">
        <v>156</v>
      </c>
      <c r="D11" s="46">
        <v>0.01</v>
      </c>
      <c r="E11" s="46">
        <v>0.01</v>
      </c>
      <c r="J11" s="27"/>
    </row>
    <row r="12" spans="2:15" ht="14.1" customHeight="1" x14ac:dyDescent="0.25">
      <c r="B12" s="44">
        <v>4</v>
      </c>
      <c r="C12" s="45" t="s">
        <v>157</v>
      </c>
      <c r="D12" s="46">
        <v>2E-3</v>
      </c>
      <c r="E12" s="46">
        <v>2E-3</v>
      </c>
      <c r="G12" s="508" t="s">
        <v>158</v>
      </c>
      <c r="H12" s="508"/>
      <c r="I12" s="508"/>
      <c r="J12" s="508"/>
      <c r="K12" s="508"/>
      <c r="L12" s="508"/>
      <c r="M12" s="508"/>
    </row>
    <row r="13" spans="2:15" ht="14.1" customHeight="1" x14ac:dyDescent="0.25">
      <c r="B13" s="44">
        <v>5</v>
      </c>
      <c r="C13" s="45" t="s">
        <v>26</v>
      </c>
      <c r="D13" s="46">
        <v>6.0000000000000001E-3</v>
      </c>
      <c r="E13" s="46">
        <v>6.0000000000000001E-3</v>
      </c>
      <c r="G13" s="48"/>
      <c r="H13" s="49"/>
      <c r="I13" s="49" t="s">
        <v>141</v>
      </c>
      <c r="J13" s="49"/>
      <c r="K13" s="49" t="s">
        <v>142</v>
      </c>
      <c r="L13" s="49"/>
      <c r="M13" s="50" t="s">
        <v>141</v>
      </c>
    </row>
    <row r="14" spans="2:15" ht="14.1" customHeight="1" x14ac:dyDescent="0.25">
      <c r="B14" s="44">
        <v>6</v>
      </c>
      <c r="C14" s="45" t="s">
        <v>159</v>
      </c>
      <c r="D14" s="46">
        <v>2.5000000000000001E-2</v>
      </c>
      <c r="E14" s="46">
        <v>2.5000000000000001E-2</v>
      </c>
      <c r="G14" s="32" t="s">
        <v>141</v>
      </c>
      <c r="H14" s="33"/>
      <c r="I14" s="33">
        <f>I6</f>
        <v>365</v>
      </c>
      <c r="J14" s="33"/>
      <c r="K14" s="34"/>
      <c r="L14" s="33" t="s">
        <v>143</v>
      </c>
      <c r="M14" s="35">
        <v>365</v>
      </c>
    </row>
    <row r="15" spans="2:15" ht="14.1" customHeight="1" x14ac:dyDescent="0.25">
      <c r="B15" s="44">
        <v>7</v>
      </c>
      <c r="C15" s="45" t="s">
        <v>160</v>
      </c>
      <c r="D15" s="46">
        <v>0.03</v>
      </c>
      <c r="E15" s="46">
        <v>0.03</v>
      </c>
      <c r="G15" s="32" t="s">
        <v>148</v>
      </c>
      <c r="H15" s="33" t="s">
        <v>143</v>
      </c>
      <c r="I15" s="33">
        <f>I7</f>
        <v>52</v>
      </c>
      <c r="J15" s="33" t="s">
        <v>149</v>
      </c>
      <c r="K15" s="33">
        <v>1</v>
      </c>
      <c r="L15" s="33" t="s">
        <v>143</v>
      </c>
      <c r="M15" s="35">
        <f>I15*K15</f>
        <v>52</v>
      </c>
    </row>
    <row r="16" spans="2:15" ht="14.1" customHeight="1" x14ac:dyDescent="0.25">
      <c r="B16" s="51">
        <v>8</v>
      </c>
      <c r="C16" s="52" t="s">
        <v>25</v>
      </c>
      <c r="D16" s="53">
        <v>8.5000000000000006E-2</v>
      </c>
      <c r="E16" s="53">
        <v>0.08</v>
      </c>
      <c r="G16" s="32" t="s">
        <v>152</v>
      </c>
      <c r="H16" s="33" t="s">
        <v>143</v>
      </c>
      <c r="I16" s="33">
        <f>I8</f>
        <v>11</v>
      </c>
      <c r="J16" s="33" t="s">
        <v>149</v>
      </c>
      <c r="K16" s="33">
        <v>1</v>
      </c>
      <c r="L16" s="33" t="s">
        <v>143</v>
      </c>
      <c r="M16" s="35">
        <f>I16*K16</f>
        <v>11</v>
      </c>
      <c r="O16" s="54" t="s">
        <v>161</v>
      </c>
    </row>
    <row r="17" spans="2:13" ht="14.1" customHeight="1" x14ac:dyDescent="0.25">
      <c r="B17" s="504" t="s">
        <v>162</v>
      </c>
      <c r="C17" s="504"/>
      <c r="D17" s="55">
        <f>SUM(D9:D16)</f>
        <v>0.37300000000000005</v>
      </c>
      <c r="E17" s="55">
        <f>SUM(E9:E16)</f>
        <v>0.36800000000000005</v>
      </c>
      <c r="G17" s="32" t="s">
        <v>163</v>
      </c>
      <c r="H17" s="33" t="s">
        <v>143</v>
      </c>
      <c r="I17" s="33">
        <v>30</v>
      </c>
      <c r="J17" s="33" t="s">
        <v>79</v>
      </c>
      <c r="K17" s="33">
        <v>4</v>
      </c>
      <c r="L17" s="33" t="s">
        <v>143</v>
      </c>
      <c r="M17" s="35">
        <f>I17-K17</f>
        <v>26</v>
      </c>
    </row>
    <row r="18" spans="2:13" x14ac:dyDescent="0.25">
      <c r="B18" s="56"/>
      <c r="C18" s="56"/>
      <c r="D18" s="56"/>
      <c r="E18" s="56"/>
      <c r="G18" s="40" t="s">
        <v>164</v>
      </c>
      <c r="H18" s="41"/>
      <c r="I18" s="41"/>
      <c r="J18" s="41"/>
      <c r="K18" s="42"/>
      <c r="L18" s="41" t="s">
        <v>143</v>
      </c>
      <c r="M18" s="57">
        <f>M14-M15-M16-M17</f>
        <v>276</v>
      </c>
    </row>
    <row r="19" spans="2:13" ht="84" x14ac:dyDescent="0.25">
      <c r="B19" s="511" t="s">
        <v>165</v>
      </c>
      <c r="C19" s="511" t="s">
        <v>166</v>
      </c>
      <c r="D19" s="58" t="s">
        <v>146</v>
      </c>
      <c r="E19" s="511" t="s">
        <v>147</v>
      </c>
    </row>
    <row r="20" spans="2:13" x14ac:dyDescent="0.25">
      <c r="B20" s="511"/>
      <c r="C20" s="511"/>
      <c r="D20" s="59"/>
      <c r="E20" s="511"/>
      <c r="G20" s="508" t="s">
        <v>167</v>
      </c>
      <c r="H20" s="508"/>
      <c r="I20" s="508"/>
      <c r="J20" s="508"/>
      <c r="K20" s="508"/>
      <c r="L20" s="508"/>
      <c r="M20" s="508"/>
    </row>
    <row r="21" spans="2:13" x14ac:dyDescent="0.25">
      <c r="B21" s="523" t="s">
        <v>168</v>
      </c>
      <c r="C21" s="523"/>
      <c r="D21" s="60" t="s">
        <v>151</v>
      </c>
      <c r="E21" s="60" t="s">
        <v>151</v>
      </c>
      <c r="G21" s="32" t="s">
        <v>169</v>
      </c>
      <c r="H21" s="33" t="s">
        <v>143</v>
      </c>
      <c r="I21" s="33">
        <f>K17</f>
        <v>4</v>
      </c>
      <c r="J21" s="33"/>
      <c r="K21" s="34"/>
      <c r="L21" s="33" t="s">
        <v>143</v>
      </c>
      <c r="M21" s="35">
        <v>4</v>
      </c>
    </row>
    <row r="22" spans="2:13" ht="24" x14ac:dyDescent="0.25">
      <c r="B22" s="37">
        <v>9</v>
      </c>
      <c r="C22" s="38" t="s">
        <v>170</v>
      </c>
      <c r="D22" s="39">
        <f>I15/M18</f>
        <v>0.18840579710144928</v>
      </c>
      <c r="E22" s="39">
        <v>0</v>
      </c>
      <c r="G22" s="32" t="s">
        <v>171</v>
      </c>
      <c r="H22" s="33" t="s">
        <v>143</v>
      </c>
      <c r="I22" s="33">
        <f>I15</f>
        <v>52</v>
      </c>
      <c r="J22" s="33" t="s">
        <v>79</v>
      </c>
      <c r="K22" s="33">
        <f>K17</f>
        <v>4</v>
      </c>
      <c r="L22" s="33" t="s">
        <v>143</v>
      </c>
      <c r="M22" s="35">
        <f>I22-K22</f>
        <v>48</v>
      </c>
    </row>
    <row r="23" spans="2:13" x14ac:dyDescent="0.25">
      <c r="B23" s="44">
        <v>10</v>
      </c>
      <c r="C23" s="45" t="s">
        <v>172</v>
      </c>
      <c r="D23" s="46">
        <f>M17/M18</f>
        <v>9.420289855072464E-2</v>
      </c>
      <c r="E23" s="61">
        <f>I25/I24</f>
        <v>9.0909090909090912E-2</v>
      </c>
      <c r="G23" s="32" t="s">
        <v>173</v>
      </c>
      <c r="H23" s="33" t="s">
        <v>143</v>
      </c>
      <c r="I23" s="34">
        <v>1</v>
      </c>
      <c r="J23" s="33" t="s">
        <v>174</v>
      </c>
      <c r="K23" s="62">
        <v>3</v>
      </c>
      <c r="L23" s="33"/>
      <c r="M23" s="63"/>
    </row>
    <row r="24" spans="2:13" x14ac:dyDescent="0.25">
      <c r="B24" s="44">
        <v>11</v>
      </c>
      <c r="C24" s="45" t="s">
        <v>175</v>
      </c>
      <c r="D24" s="46">
        <f>I17/(M18*K23)</f>
        <v>3.6231884057971016E-2</v>
      </c>
      <c r="E24" s="46">
        <f>E23/3</f>
        <v>3.0303030303030304E-2</v>
      </c>
      <c r="G24" s="32" t="s">
        <v>176</v>
      </c>
      <c r="H24" s="33" t="s">
        <v>143</v>
      </c>
      <c r="I24" s="33">
        <v>11</v>
      </c>
      <c r="J24" s="33" t="s">
        <v>177</v>
      </c>
      <c r="K24" s="34" t="s">
        <v>178</v>
      </c>
      <c r="L24" s="33"/>
      <c r="M24" s="63"/>
    </row>
    <row r="25" spans="2:13" x14ac:dyDescent="0.25">
      <c r="B25" s="44">
        <v>12</v>
      </c>
      <c r="C25" s="45" t="s">
        <v>179</v>
      </c>
      <c r="D25" s="46">
        <f>I16/M18</f>
        <v>3.9855072463768113E-2</v>
      </c>
      <c r="E25" s="46">
        <v>0</v>
      </c>
      <c r="G25" s="32" t="s">
        <v>180</v>
      </c>
      <c r="H25" s="33" t="s">
        <v>143</v>
      </c>
      <c r="I25" s="33">
        <v>1</v>
      </c>
      <c r="J25" s="33" t="s">
        <v>177</v>
      </c>
      <c r="K25" s="34" t="s">
        <v>181</v>
      </c>
      <c r="L25" s="33"/>
      <c r="M25" s="63"/>
    </row>
    <row r="26" spans="2:13" ht="24" x14ac:dyDescent="0.25">
      <c r="B26" s="44">
        <v>13</v>
      </c>
      <c r="C26" s="45" t="s">
        <v>182</v>
      </c>
      <c r="D26" s="64">
        <f>(M17/M18)*I31*I33</f>
        <v>1.6617391304347823E-3</v>
      </c>
      <c r="E26" s="46">
        <f>I26/(M18+I22+K22)*I40</f>
        <v>3.8403614457831327E-3</v>
      </c>
      <c r="G26" s="32" t="s">
        <v>183</v>
      </c>
      <c r="H26" s="33" t="s">
        <v>143</v>
      </c>
      <c r="I26" s="65">
        <v>15</v>
      </c>
      <c r="J26" s="33" t="s">
        <v>184</v>
      </c>
      <c r="K26" s="33"/>
      <c r="L26" s="33"/>
      <c r="M26" s="35"/>
    </row>
    <row r="27" spans="2:13" x14ac:dyDescent="0.25">
      <c r="B27" s="44">
        <v>14</v>
      </c>
      <c r="C27" s="45" t="s">
        <v>185</v>
      </c>
      <c r="D27" s="64">
        <f>(I29*M17/(M28*M18))*I30</f>
        <v>1.2845849802371542E-4</v>
      </c>
      <c r="E27" s="61">
        <f>1/12</f>
        <v>8.3333333333333329E-2</v>
      </c>
      <c r="G27" s="32" t="s">
        <v>186</v>
      </c>
      <c r="H27" s="33" t="s">
        <v>143</v>
      </c>
      <c r="I27" s="33">
        <v>44</v>
      </c>
      <c r="J27" s="33" t="s">
        <v>187</v>
      </c>
      <c r="K27" s="34"/>
      <c r="L27" s="33"/>
      <c r="M27" s="63"/>
    </row>
    <row r="28" spans="2:13" x14ac:dyDescent="0.25">
      <c r="B28" s="44">
        <v>15</v>
      </c>
      <c r="C28" s="45" t="s">
        <v>188</v>
      </c>
      <c r="D28" s="46" t="e">
        <f>I26/M18*#REF!</f>
        <v>#REF!</v>
      </c>
      <c r="E28" s="46">
        <f>I36/(K36*M18)</f>
        <v>3.6231884057971015E-3</v>
      </c>
      <c r="G28" s="32" t="s">
        <v>189</v>
      </c>
      <c r="H28" s="33" t="s">
        <v>143</v>
      </c>
      <c r="I28" s="33">
        <f>I27</f>
        <v>44</v>
      </c>
      <c r="J28" s="33" t="s">
        <v>174</v>
      </c>
      <c r="K28" s="33">
        <v>6</v>
      </c>
      <c r="L28" s="33" t="s">
        <v>143</v>
      </c>
      <c r="M28" s="66">
        <f>I28/K28</f>
        <v>7.333333333333333</v>
      </c>
    </row>
    <row r="29" spans="2:13" x14ac:dyDescent="0.25">
      <c r="B29" s="44">
        <v>16</v>
      </c>
      <c r="C29" s="45" t="s">
        <v>190</v>
      </c>
      <c r="D29" s="46">
        <f>(I32/M28)/M18</f>
        <v>0.10869565217391304</v>
      </c>
      <c r="E29" s="46">
        <f>I35/(K35*M18)</f>
        <v>4.528985507246377E-3</v>
      </c>
      <c r="G29" s="32" t="s">
        <v>191</v>
      </c>
      <c r="H29" s="33" t="s">
        <v>143</v>
      </c>
      <c r="I29" s="33">
        <v>0.5</v>
      </c>
      <c r="J29" s="33" t="s">
        <v>192</v>
      </c>
      <c r="K29" s="33"/>
      <c r="L29" s="33"/>
      <c r="M29" s="63"/>
    </row>
    <row r="30" spans="2:13" ht="24" x14ac:dyDescent="0.25">
      <c r="B30" s="44">
        <v>17</v>
      </c>
      <c r="C30" s="45" t="s">
        <v>193</v>
      </c>
      <c r="D30" s="46"/>
      <c r="E30" s="46">
        <v>0</v>
      </c>
      <c r="G30" s="32" t="s">
        <v>194</v>
      </c>
      <c r="H30" s="33" t="s">
        <v>143</v>
      </c>
      <c r="I30" s="67">
        <v>0.02</v>
      </c>
      <c r="J30" s="62" t="s">
        <v>195</v>
      </c>
      <c r="K30" s="33"/>
      <c r="L30" s="33"/>
      <c r="M30" s="63"/>
    </row>
    <row r="31" spans="2:13" x14ac:dyDescent="0.25">
      <c r="B31" s="524" t="s">
        <v>162</v>
      </c>
      <c r="C31" s="525"/>
      <c r="D31" s="55" t="e">
        <f>SUM(D22:D30)</f>
        <v>#REF!</v>
      </c>
      <c r="E31" s="55">
        <f>SUM(E22:E30)</f>
        <v>0.21653798990428114</v>
      </c>
      <c r="G31" s="32" t="s">
        <v>196</v>
      </c>
      <c r="H31" s="33" t="s">
        <v>143</v>
      </c>
      <c r="I31" s="67">
        <v>0.98</v>
      </c>
      <c r="J31" s="62" t="s">
        <v>195</v>
      </c>
      <c r="K31" s="34"/>
      <c r="L31" s="33"/>
      <c r="M31" s="63"/>
    </row>
    <row r="32" spans="2:13" x14ac:dyDescent="0.25">
      <c r="B32" s="68"/>
      <c r="C32" s="69"/>
      <c r="D32" s="69"/>
      <c r="E32" s="70"/>
      <c r="G32" s="32" t="s">
        <v>146</v>
      </c>
      <c r="H32" s="33" t="s">
        <v>143</v>
      </c>
      <c r="I32" s="33">
        <v>220</v>
      </c>
      <c r="J32" s="33" t="s">
        <v>197</v>
      </c>
      <c r="K32" s="33"/>
      <c r="L32" s="33"/>
      <c r="M32" s="63"/>
    </row>
    <row r="33" spans="2:13" x14ac:dyDescent="0.25">
      <c r="B33" s="526" t="s">
        <v>198</v>
      </c>
      <c r="C33" s="527"/>
      <c r="D33" s="527"/>
      <c r="E33" s="525"/>
      <c r="G33" s="32" t="s">
        <v>199</v>
      </c>
      <c r="H33" s="33" t="s">
        <v>143</v>
      </c>
      <c r="I33" s="71">
        <v>1.7999999999999999E-2</v>
      </c>
      <c r="J33" s="33"/>
      <c r="K33" s="34"/>
      <c r="L33" s="33"/>
      <c r="M33" s="63"/>
    </row>
    <row r="34" spans="2:13" x14ac:dyDescent="0.25">
      <c r="B34" s="72"/>
      <c r="C34" s="73"/>
      <c r="D34" s="73"/>
      <c r="E34" s="74"/>
      <c r="G34" s="32" t="s">
        <v>147</v>
      </c>
      <c r="H34" s="33" t="s">
        <v>143</v>
      </c>
      <c r="I34" s="33">
        <v>1</v>
      </c>
      <c r="J34" s="33"/>
      <c r="K34" s="33" t="s">
        <v>177</v>
      </c>
      <c r="L34" s="33"/>
      <c r="M34" s="63"/>
    </row>
    <row r="35" spans="2:13" ht="84" x14ac:dyDescent="0.25">
      <c r="B35" s="36" t="s">
        <v>200</v>
      </c>
      <c r="C35" s="36" t="s">
        <v>201</v>
      </c>
      <c r="D35" s="36" t="s">
        <v>146</v>
      </c>
      <c r="E35" s="36" t="s">
        <v>147</v>
      </c>
      <c r="G35" s="32" t="s">
        <v>202</v>
      </c>
      <c r="H35" s="33" t="s">
        <v>143</v>
      </c>
      <c r="I35" s="33">
        <v>5</v>
      </c>
      <c r="J35" s="33" t="s">
        <v>203</v>
      </c>
      <c r="K35" s="33">
        <v>4</v>
      </c>
      <c r="L35" s="33" t="s">
        <v>204</v>
      </c>
      <c r="M35" s="63"/>
    </row>
    <row r="36" spans="2:13" x14ac:dyDescent="0.25">
      <c r="B36" s="524" t="s">
        <v>205</v>
      </c>
      <c r="C36" s="528"/>
      <c r="D36" s="36" t="s">
        <v>151</v>
      </c>
      <c r="E36" s="36" t="s">
        <v>151</v>
      </c>
      <c r="G36" s="32" t="s">
        <v>206</v>
      </c>
      <c r="H36" s="33"/>
      <c r="I36" s="33">
        <v>4</v>
      </c>
      <c r="J36" s="33" t="s">
        <v>203</v>
      </c>
      <c r="K36" s="33">
        <v>4</v>
      </c>
      <c r="L36" s="33" t="s">
        <v>204</v>
      </c>
      <c r="M36" s="63"/>
    </row>
    <row r="37" spans="2:13" ht="24" x14ac:dyDescent="0.25">
      <c r="B37" s="44">
        <v>18</v>
      </c>
      <c r="C37" s="45" t="s">
        <v>207</v>
      </c>
      <c r="D37" s="46"/>
      <c r="E37" s="75">
        <f>(I29*25)/(M28*M18)*I30</f>
        <v>1.2351778656126481E-4</v>
      </c>
      <c r="G37" s="32" t="s">
        <v>208</v>
      </c>
      <c r="H37" s="33" t="s">
        <v>143</v>
      </c>
      <c r="I37" s="67">
        <v>0.95</v>
      </c>
      <c r="J37" s="33"/>
      <c r="K37" s="34"/>
      <c r="L37" s="33"/>
      <c r="M37" s="63"/>
    </row>
    <row r="38" spans="2:13" ht="24" x14ac:dyDescent="0.25">
      <c r="B38" s="44">
        <v>19</v>
      </c>
      <c r="C38" s="45" t="s">
        <v>209</v>
      </c>
      <c r="D38" s="46"/>
      <c r="E38" s="75">
        <f>(25)/M18*I31</f>
        <v>8.8768115942028977E-2</v>
      </c>
      <c r="G38" s="32" t="s">
        <v>25</v>
      </c>
      <c r="H38" s="33" t="s">
        <v>143</v>
      </c>
      <c r="I38" s="71">
        <v>0.08</v>
      </c>
      <c r="J38" s="33"/>
      <c r="K38" s="34"/>
      <c r="L38" s="33"/>
      <c r="M38" s="63"/>
    </row>
    <row r="39" spans="2:13" ht="24" x14ac:dyDescent="0.25">
      <c r="B39" s="44">
        <v>20</v>
      </c>
      <c r="C39" s="45" t="s">
        <v>210</v>
      </c>
      <c r="D39" s="46"/>
      <c r="E39" s="46">
        <f>E38+E37</f>
        <v>8.8891633728590241E-2</v>
      </c>
      <c r="G39" s="32" t="s">
        <v>211</v>
      </c>
      <c r="H39" s="33" t="s">
        <v>143</v>
      </c>
      <c r="I39" s="76">
        <v>0.5</v>
      </c>
      <c r="J39" s="33"/>
      <c r="K39" s="34"/>
      <c r="L39" s="33"/>
      <c r="M39" s="63"/>
    </row>
    <row r="40" spans="2:13" ht="24" x14ac:dyDescent="0.25">
      <c r="B40" s="44">
        <v>21</v>
      </c>
      <c r="C40" s="45" t="s">
        <v>212</v>
      </c>
      <c r="D40" s="46" t="e">
        <f>I39*I38*I37*(1+D31)</f>
        <v>#REF!</v>
      </c>
      <c r="E40" s="46">
        <v>4.8599999999999997E-2</v>
      </c>
      <c r="G40" s="32" t="s">
        <v>213</v>
      </c>
      <c r="H40" s="33" t="s">
        <v>143</v>
      </c>
      <c r="I40" s="71">
        <v>8.5000000000000006E-2</v>
      </c>
      <c r="J40" s="62" t="s">
        <v>214</v>
      </c>
      <c r="K40" s="34"/>
      <c r="L40" s="33"/>
      <c r="M40" s="63"/>
    </row>
    <row r="41" spans="2:13" x14ac:dyDescent="0.25">
      <c r="B41" s="44">
        <v>22</v>
      </c>
      <c r="C41" s="45" t="s">
        <v>215</v>
      </c>
      <c r="D41" s="46">
        <f>I38*(D26+D27)</f>
        <v>1.4321581027667982E-4</v>
      </c>
      <c r="E41" s="46">
        <f>I38*(E39)</f>
        <v>7.1113306982872196E-3</v>
      </c>
      <c r="G41" s="32" t="s">
        <v>216</v>
      </c>
      <c r="H41" s="33" t="s">
        <v>143</v>
      </c>
      <c r="I41" s="77">
        <v>2.5000000000000001E-2</v>
      </c>
      <c r="J41" s="33" t="s">
        <v>217</v>
      </c>
      <c r="K41" s="34"/>
      <c r="L41" s="78">
        <f>I41*I42/12</f>
        <v>9.3749999999999988E-5</v>
      </c>
      <c r="M41" s="79" t="s">
        <v>177</v>
      </c>
    </row>
    <row r="42" spans="2:13" x14ac:dyDescent="0.25">
      <c r="B42" s="44">
        <v>23</v>
      </c>
      <c r="C42" s="45" t="s">
        <v>218</v>
      </c>
      <c r="D42" s="46">
        <v>0</v>
      </c>
      <c r="E42" s="80">
        <v>0</v>
      </c>
      <c r="G42" s="32" t="s">
        <v>219</v>
      </c>
      <c r="H42" s="33" t="s">
        <v>143</v>
      </c>
      <c r="I42" s="71">
        <v>4.4999999999999998E-2</v>
      </c>
      <c r="J42" s="33" t="s">
        <v>217</v>
      </c>
      <c r="K42" s="34"/>
      <c r="L42" s="33"/>
      <c r="M42" s="63"/>
    </row>
    <row r="43" spans="2:13" x14ac:dyDescent="0.25">
      <c r="B43" s="44">
        <v>24</v>
      </c>
      <c r="C43" s="45" t="s">
        <v>220</v>
      </c>
      <c r="D43" s="46">
        <v>0</v>
      </c>
      <c r="E43" s="46">
        <v>0</v>
      </c>
      <c r="G43" s="32" t="s">
        <v>221</v>
      </c>
      <c r="H43" s="33" t="s">
        <v>143</v>
      </c>
      <c r="I43" s="33">
        <v>120</v>
      </c>
      <c r="J43" s="33" t="s">
        <v>184</v>
      </c>
      <c r="K43" s="33">
        <v>4</v>
      </c>
      <c r="L43" s="33" t="s">
        <v>204</v>
      </c>
      <c r="M43" s="63"/>
    </row>
    <row r="44" spans="2:13" x14ac:dyDescent="0.25">
      <c r="B44" s="44">
        <v>25</v>
      </c>
      <c r="C44" s="45" t="s">
        <v>222</v>
      </c>
      <c r="D44" s="46">
        <v>0</v>
      </c>
      <c r="E44" s="46">
        <v>0</v>
      </c>
      <c r="G44" s="40" t="s">
        <v>223</v>
      </c>
      <c r="H44" s="41" t="s">
        <v>143</v>
      </c>
      <c r="I44" s="81">
        <v>0.03</v>
      </c>
      <c r="J44" s="82" t="s">
        <v>195</v>
      </c>
      <c r="K44" s="42"/>
      <c r="L44" s="41"/>
      <c r="M44" s="83"/>
    </row>
    <row r="45" spans="2:13" x14ac:dyDescent="0.25">
      <c r="B45" s="44">
        <v>26</v>
      </c>
      <c r="C45" s="45" t="s">
        <v>224</v>
      </c>
      <c r="D45" s="46">
        <v>0</v>
      </c>
      <c r="E45" s="46">
        <v>0</v>
      </c>
      <c r="G45" s="84" t="s">
        <v>225</v>
      </c>
    </row>
    <row r="46" spans="2:13" x14ac:dyDescent="0.25">
      <c r="B46" s="85">
        <v>27</v>
      </c>
      <c r="C46" s="86" t="s">
        <v>226</v>
      </c>
      <c r="D46" s="87">
        <v>0</v>
      </c>
      <c r="E46" s="87">
        <v>0</v>
      </c>
    </row>
    <row r="47" spans="2:13" x14ac:dyDescent="0.25">
      <c r="B47" s="524" t="s">
        <v>162</v>
      </c>
      <c r="C47" s="528"/>
      <c r="D47" s="55" t="e">
        <f>SUM(D40:D46)</f>
        <v>#REF!</v>
      </c>
      <c r="E47" s="55">
        <f>SUM(E39:E46)</f>
        <v>0.14460296442687748</v>
      </c>
    </row>
    <row r="48" spans="2:13" x14ac:dyDescent="0.25">
      <c r="B48" s="73"/>
      <c r="C48" s="88"/>
      <c r="D48" s="88"/>
      <c r="E48" s="88"/>
    </row>
    <row r="49" spans="2:12" x14ac:dyDescent="0.25">
      <c r="B49" s="36" t="s">
        <v>227</v>
      </c>
      <c r="C49" s="36" t="s">
        <v>228</v>
      </c>
      <c r="D49" s="36" t="s">
        <v>151</v>
      </c>
      <c r="E49" s="36" t="s">
        <v>151</v>
      </c>
    </row>
    <row r="50" spans="2:12" x14ac:dyDescent="0.25">
      <c r="B50" s="89">
        <v>28</v>
      </c>
      <c r="C50" s="90" t="s">
        <v>228</v>
      </c>
      <c r="D50" s="91" t="e">
        <f>D17*D31</f>
        <v>#REF!</v>
      </c>
      <c r="E50" s="55">
        <f>E17*E31</f>
        <v>7.9685980284775471E-2</v>
      </c>
      <c r="F50" s="92"/>
    </row>
    <row r="51" spans="2:12" x14ac:dyDescent="0.25">
      <c r="B51" s="529"/>
      <c r="C51" s="529"/>
      <c r="D51" s="529"/>
      <c r="E51" s="529"/>
      <c r="F51" s="92"/>
    </row>
    <row r="52" spans="2:12" s="25" customFormat="1" ht="15" x14ac:dyDescent="0.25">
      <c r="B52" s="512" t="s">
        <v>229</v>
      </c>
      <c r="C52" s="513"/>
      <c r="D52" s="93" t="e">
        <f>(D17+D31+D47+D50)</f>
        <v>#REF!</v>
      </c>
      <c r="E52" s="94">
        <f>(E17+E31+E47+E50)</f>
        <v>0.80882693461593413</v>
      </c>
      <c r="F52" s="95"/>
      <c r="H52" s="96"/>
      <c r="L52" s="96"/>
    </row>
    <row r="53" spans="2:12" x14ac:dyDescent="0.25">
      <c r="B53" s="514" t="s">
        <v>230</v>
      </c>
      <c r="C53" s="515"/>
      <c r="D53" s="515"/>
      <c r="E53" s="516"/>
      <c r="F53" s="92"/>
    </row>
    <row r="54" spans="2:12" x14ac:dyDescent="0.25">
      <c r="B54" s="517" t="s">
        <v>231</v>
      </c>
      <c r="C54" s="518"/>
      <c r="D54" s="518"/>
      <c r="E54" s="519"/>
    </row>
    <row r="55" spans="2:12" x14ac:dyDescent="0.25">
      <c r="B55" s="520" t="s">
        <v>232</v>
      </c>
      <c r="C55" s="521"/>
      <c r="D55" s="521"/>
      <c r="E55" s="522"/>
    </row>
    <row r="56" spans="2:12" x14ac:dyDescent="0.25"/>
    <row r="57" spans="2:12" ht="12.75" x14ac:dyDescent="0.25">
      <c r="B57" s="163" t="s">
        <v>320</v>
      </c>
    </row>
    <row r="58" spans="2:12" x14ac:dyDescent="0.25"/>
    <row r="59" spans="2:12" x14ac:dyDescent="0.25"/>
    <row r="60" spans="2:12" x14ac:dyDescent="0.25"/>
    <row r="61" spans="2:12" x14ac:dyDescent="0.25"/>
  </sheetData>
  <sheetProtection password="82C3" sheet="1" objects="1" scenarios="1"/>
  <mergeCells count="22">
    <mergeCell ref="B52:C52"/>
    <mergeCell ref="B53:E53"/>
    <mergeCell ref="B54:E54"/>
    <mergeCell ref="B55:E55"/>
    <mergeCell ref="B21:C21"/>
    <mergeCell ref="B31:C31"/>
    <mergeCell ref="B33:E33"/>
    <mergeCell ref="B36:C36"/>
    <mergeCell ref="B47:C47"/>
    <mergeCell ref="B51:E51"/>
    <mergeCell ref="G12:M12"/>
    <mergeCell ref="B17:C17"/>
    <mergeCell ref="B19:B20"/>
    <mergeCell ref="C19:C20"/>
    <mergeCell ref="E19:E20"/>
    <mergeCell ref="G20:M20"/>
    <mergeCell ref="B8:C8"/>
    <mergeCell ref="B2:M2"/>
    <mergeCell ref="B4:E4"/>
    <mergeCell ref="G4:M4"/>
    <mergeCell ref="B5:E5"/>
    <mergeCell ref="B6:E6"/>
  </mergeCells>
  <pageMargins left="0.51181102362204722" right="0.51181102362204722" top="0.78740157480314965" bottom="0.78740157480314965" header="0.31496062992125984" footer="0.31496062992125984"/>
  <pageSetup paperSize="9" scale="6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N23"/>
  <sheetViews>
    <sheetView showGridLines="0" tabSelected="1" topLeftCell="A2" workbookViewId="0">
      <selection activeCell="I8" sqref="I8"/>
    </sheetView>
  </sheetViews>
  <sheetFormatPr defaultRowHeight="15" x14ac:dyDescent="0.25"/>
  <cols>
    <col min="1" max="1" width="1.85546875" customWidth="1"/>
    <col min="3" max="3" width="12.85546875" customWidth="1"/>
    <col min="4" max="4" width="11.42578125" customWidth="1"/>
    <col min="5" max="6" width="13.28515625" bestFit="1" customWidth="1"/>
    <col min="7" max="7" width="12.28515625" bestFit="1" customWidth="1"/>
    <col min="8" max="8" width="17.85546875" customWidth="1"/>
    <col min="9" max="9" width="17" bestFit="1" customWidth="1"/>
    <col min="10" max="10" width="16.28515625" bestFit="1" customWidth="1"/>
    <col min="11" max="11" width="17" bestFit="1" customWidth="1"/>
    <col min="12" max="13" width="12.28515625" bestFit="1" customWidth="1"/>
    <col min="14" max="14" width="15.42578125" bestFit="1" customWidth="1"/>
  </cols>
  <sheetData>
    <row r="2" spans="2:14" x14ac:dyDescent="0.25">
      <c r="B2" s="408"/>
    </row>
    <row r="3" spans="2:14" x14ac:dyDescent="0.25">
      <c r="B3" s="408"/>
      <c r="C3" s="361" t="s">
        <v>441</v>
      </c>
    </row>
    <row r="4" spans="2:14" x14ac:dyDescent="0.25">
      <c r="B4" s="5"/>
    </row>
    <row r="5" spans="2:14" x14ac:dyDescent="0.25">
      <c r="B5" s="535" t="s">
        <v>433</v>
      </c>
      <c r="C5" s="536"/>
      <c r="D5" s="536"/>
      <c r="E5" s="536"/>
      <c r="F5" s="536"/>
      <c r="G5" s="536"/>
      <c r="H5" s="536"/>
      <c r="I5" s="536"/>
      <c r="J5" s="536"/>
      <c r="K5" s="537"/>
    </row>
    <row r="6" spans="2:14" x14ac:dyDescent="0.25">
      <c r="B6" s="530" t="s">
        <v>413</v>
      </c>
      <c r="C6" s="530" t="s">
        <v>372</v>
      </c>
      <c r="D6" s="532" t="s">
        <v>414</v>
      </c>
      <c r="E6" s="362" t="s">
        <v>373</v>
      </c>
      <c r="F6" s="362" t="s">
        <v>415</v>
      </c>
      <c r="G6" s="362" t="s">
        <v>373</v>
      </c>
      <c r="H6" s="533" t="s">
        <v>416</v>
      </c>
      <c r="I6" s="534"/>
      <c r="J6" s="362" t="s">
        <v>373</v>
      </c>
      <c r="K6" s="530" t="s">
        <v>417</v>
      </c>
    </row>
    <row r="7" spans="2:14" x14ac:dyDescent="0.25">
      <c r="B7" s="531"/>
      <c r="C7" s="531"/>
      <c r="D7" s="532"/>
      <c r="E7" s="362" t="s">
        <v>418</v>
      </c>
      <c r="F7" s="362" t="s">
        <v>28</v>
      </c>
      <c r="G7" s="362" t="s">
        <v>419</v>
      </c>
      <c r="H7" s="362" t="s">
        <v>420</v>
      </c>
      <c r="I7" s="362" t="s">
        <v>421</v>
      </c>
      <c r="J7" s="362" t="s">
        <v>422</v>
      </c>
      <c r="K7" s="531"/>
    </row>
    <row r="8" spans="2:14" x14ac:dyDescent="0.25">
      <c r="B8" s="363" t="s">
        <v>423</v>
      </c>
      <c r="C8" s="364">
        <v>711</v>
      </c>
      <c r="D8" s="365">
        <v>2.5</v>
      </c>
      <c r="E8" s="364">
        <v>60</v>
      </c>
      <c r="F8" s="364">
        <v>4</v>
      </c>
      <c r="G8" s="364">
        <f>+E8*F8</f>
        <v>240</v>
      </c>
      <c r="H8" s="366">
        <v>0.44</v>
      </c>
      <c r="I8" s="366">
        <v>0.83620000000000005</v>
      </c>
      <c r="J8" s="367">
        <f>+G8*H8*I8*C8</f>
        <v>62783.233920000006</v>
      </c>
      <c r="K8" s="365">
        <f>+J8*D8</f>
        <v>156958.08480000001</v>
      </c>
    </row>
    <row r="9" spans="2:14" x14ac:dyDescent="0.25">
      <c r="B9" s="368"/>
      <c r="C9" s="369"/>
      <c r="D9" s="370"/>
      <c r="E9" s="370"/>
      <c r="F9" s="370"/>
      <c r="G9" s="370"/>
      <c r="H9" s="370"/>
      <c r="I9" s="370"/>
      <c r="J9" s="370"/>
    </row>
    <row r="10" spans="2:14" x14ac:dyDescent="0.25">
      <c r="B10" s="368"/>
      <c r="C10" s="369"/>
      <c r="D10" s="370"/>
      <c r="E10" s="370"/>
      <c r="F10" s="370"/>
      <c r="G10" s="370"/>
      <c r="H10" s="370"/>
      <c r="I10" s="370"/>
      <c r="J10" s="370"/>
    </row>
    <row r="11" spans="2:14" x14ac:dyDescent="0.25">
      <c r="B11" s="368"/>
    </row>
    <row r="12" spans="2:14" x14ac:dyDescent="0.25">
      <c r="B12" s="368"/>
      <c r="E12" s="376" t="s">
        <v>424</v>
      </c>
      <c r="F12" s="376" t="s">
        <v>425</v>
      </c>
      <c r="G12" s="376" t="s">
        <v>426</v>
      </c>
      <c r="H12" s="376" t="s">
        <v>427</v>
      </c>
      <c r="I12" s="376" t="s">
        <v>428</v>
      </c>
      <c r="J12" s="405"/>
      <c r="K12" s="405"/>
      <c r="L12" s="405"/>
      <c r="M12" s="405"/>
      <c r="N12" s="405"/>
    </row>
    <row r="13" spans="2:14" x14ac:dyDescent="0.25">
      <c r="C13" s="377" t="s">
        <v>429</v>
      </c>
      <c r="D13" s="377"/>
      <c r="E13" s="371">
        <f>K8</f>
        <v>156958.08480000001</v>
      </c>
      <c r="F13" s="371">
        <f>(E17+1)*E13</f>
        <v>165747.73754880001</v>
      </c>
      <c r="G13" s="371">
        <f t="shared" ref="G13:I13" si="0">(F17+1)*F13</f>
        <v>172957.76413217283</v>
      </c>
      <c r="H13" s="371">
        <f t="shared" si="0"/>
        <v>179876.07469745976</v>
      </c>
      <c r="I13" s="371">
        <f t="shared" si="0"/>
        <v>186693.37792849349</v>
      </c>
      <c r="J13" s="403"/>
      <c r="K13" s="403"/>
      <c r="L13" s="403"/>
      <c r="M13" s="403"/>
      <c r="N13" s="403"/>
    </row>
    <row r="14" spans="2:14" x14ac:dyDescent="0.25">
      <c r="C14" s="377" t="s">
        <v>430</v>
      </c>
      <c r="D14" s="377"/>
      <c r="E14" s="371">
        <f>+E13*12</f>
        <v>1883497.0176000001</v>
      </c>
      <c r="F14" s="371">
        <f>+F13*12</f>
        <v>1988972.8505856001</v>
      </c>
      <c r="G14" s="371">
        <f t="shared" ref="G14:I14" si="1">+G13*12</f>
        <v>2075493.1695860741</v>
      </c>
      <c r="H14" s="371">
        <f t="shared" si="1"/>
        <v>2158512.8963695168</v>
      </c>
      <c r="I14" s="371">
        <f t="shared" si="1"/>
        <v>2240320.5351419216</v>
      </c>
      <c r="J14" s="403"/>
      <c r="K14" s="403"/>
      <c r="L14" s="403"/>
      <c r="M14" s="403"/>
      <c r="N14" s="403"/>
    </row>
    <row r="15" spans="2:14" x14ac:dyDescent="0.25">
      <c r="C15" s="377" t="s">
        <v>431</v>
      </c>
      <c r="D15" s="377"/>
      <c r="E15" s="371">
        <f>SUM(E14:N14)</f>
        <v>10346796.469283111</v>
      </c>
      <c r="F15" s="372"/>
      <c r="I15" s="406"/>
      <c r="N15" s="402"/>
    </row>
    <row r="16" spans="2:14" x14ac:dyDescent="0.25">
      <c r="I16" s="382"/>
    </row>
    <row r="17" spans="3:14" x14ac:dyDescent="0.25">
      <c r="C17" s="378" t="s">
        <v>434</v>
      </c>
      <c r="D17" s="379"/>
      <c r="E17" s="373">
        <v>5.6000000000000001E-2</v>
      </c>
      <c r="F17" s="373">
        <v>4.3499999999999997E-2</v>
      </c>
      <c r="G17" s="373">
        <v>0.04</v>
      </c>
      <c r="H17" s="373">
        <v>3.7900000000000003E-2</v>
      </c>
      <c r="I17" s="373">
        <v>3.7900000000000003E-2</v>
      </c>
      <c r="J17" s="404"/>
      <c r="K17" s="404"/>
      <c r="L17" s="404"/>
      <c r="M17" s="404"/>
      <c r="N17" s="404"/>
    </row>
    <row r="19" spans="3:14" hidden="1" x14ac:dyDescent="0.25">
      <c r="E19" s="374">
        <f>+E17+1</f>
        <v>1.056</v>
      </c>
      <c r="F19" s="374">
        <f t="shared" ref="F19:M19" si="2">(F17+1)*E19</f>
        <v>1.1019360000000002</v>
      </c>
      <c r="G19" s="374">
        <f t="shared" si="2"/>
        <v>1.1460134400000004</v>
      </c>
      <c r="H19" s="374">
        <f t="shared" si="2"/>
        <v>1.1894473493760005</v>
      </c>
      <c r="I19" s="374">
        <f t="shared" si="2"/>
        <v>1.2345274039173511</v>
      </c>
      <c r="J19" s="374">
        <f t="shared" si="2"/>
        <v>1.2345274039173511</v>
      </c>
      <c r="K19" s="374">
        <f t="shared" si="2"/>
        <v>1.2345274039173511</v>
      </c>
      <c r="L19" s="374">
        <f t="shared" si="2"/>
        <v>1.2345274039173511</v>
      </c>
      <c r="M19" s="374">
        <f t="shared" si="2"/>
        <v>1.2345274039173511</v>
      </c>
    </row>
    <row r="20" spans="3:14" x14ac:dyDescent="0.25">
      <c r="C20" s="378" t="s">
        <v>432</v>
      </c>
      <c r="D20" s="379"/>
      <c r="E20" s="373">
        <f>(+M19^(1/9))-1</f>
        <v>2.3685963287718437E-2</v>
      </c>
    </row>
    <row r="22" spans="3:14" x14ac:dyDescent="0.25">
      <c r="M22" s="375"/>
    </row>
    <row r="23" spans="3:14" x14ac:dyDescent="0.25">
      <c r="M23" s="375"/>
    </row>
  </sheetData>
  <sheetProtection algorithmName="SHA-512" hashValue="6IThzNobNxGaJYSGSGfNTBg02l48yltM7e08MZIFjXrBsDCWieKlroPadNFQIqMkwWXeOwZAuqsAEeBGx5VCHQ==" saltValue="03fH18QsN8BL1A07Nou5lg==" spinCount="100000" sheet="1" objects="1" scenarios="1"/>
  <mergeCells count="7">
    <mergeCell ref="C6:C7"/>
    <mergeCell ref="D6:D7"/>
    <mergeCell ref="H6:I6"/>
    <mergeCell ref="K6:K7"/>
    <mergeCell ref="B2:B3"/>
    <mergeCell ref="B5:K5"/>
    <mergeCell ref="B6:B7"/>
  </mergeCells>
  <pageMargins left="0.511811024" right="0.511811024" top="0.78740157499999996" bottom="0.78740157499999996" header="0.31496062000000002" footer="0.314960620000000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I - Capa</vt:lpstr>
      <vt:lpstr>II - Premissas</vt:lpstr>
      <vt:lpstr>III - Instruções</vt:lpstr>
      <vt:lpstr>IV - Insumos e Mão de Obra</vt:lpstr>
      <vt:lpstr>V - Proposta - Outorga</vt:lpstr>
      <vt:lpstr>VI - DRE - Fluxo de Caixa</vt:lpstr>
      <vt:lpstr>VII - WACC</vt:lpstr>
      <vt:lpstr>VIII - Encargos Sociais</vt:lpstr>
      <vt:lpstr>IX - Arrecadação</vt:lpstr>
      <vt:lpstr>'V - Proposta - Outorga'!Area_de_impressao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Treinamento</dc:creator>
  <cp:lastModifiedBy>michele zanini</cp:lastModifiedBy>
  <cp:lastPrinted>2025-04-01T13:55:24Z</cp:lastPrinted>
  <dcterms:created xsi:type="dcterms:W3CDTF">2022-01-17T17:26:49Z</dcterms:created>
  <dcterms:modified xsi:type="dcterms:W3CDTF">2025-05-21T15:43:59Z</dcterms:modified>
</cp:coreProperties>
</file>