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Resumo" sheetId="1" state="visible" r:id="rId3"/>
    <sheet name="Premissas" sheetId="2" state="visible" r:id="rId4"/>
    <sheet name="Fluxo 15 anos" sheetId="3" state="visible" r:id="rId5"/>
    <sheet name="Base ANTP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<sst xmlns="http://schemas.openxmlformats.org/spreadsheetml/2006/main" count="257" uniqueCount="179">
  <si>
    <t xml:space="preserve">Viabilidade econômico-financeira da concessão</t>
  </si>
  <si>
    <t xml:space="preserve">Cenário-base: transporte coletivo e terminais rodoviários Leste e Oeste</t>
  </si>
  <si>
    <t xml:space="preserve">Indicadores da concessão</t>
  </si>
  <si>
    <t xml:space="preserve">Operação inicial anual</t>
  </si>
  <si>
    <t xml:space="preserve">Prazo</t>
  </si>
  <si>
    <t xml:space="preserve">Receita tarifária</t>
  </si>
  <si>
    <t xml:space="preserve">Outorga inicial</t>
  </si>
  <si>
    <t xml:space="preserve">Subsídio ANTP</t>
  </si>
  <si>
    <t xml:space="preserve">Reforma no primeiro ano</t>
  </si>
  <si>
    <t xml:space="preserve">Custo do transporte</t>
  </si>
  <si>
    <t xml:space="preserve">Investimento inicial total</t>
  </si>
  <si>
    <t xml:space="preserve">Resultado do transporte</t>
  </si>
  <si>
    <t xml:space="preserve">TIR real calculada</t>
  </si>
  <si>
    <t xml:space="preserve">Receita comercial líquida</t>
  </si>
  <si>
    <t xml:space="preserve">TIR real mínima</t>
  </si>
  <si>
    <t xml:space="preserve">Custo operacional do terminal</t>
  </si>
  <si>
    <t xml:space="preserve">VPL real à TIR mínima</t>
  </si>
  <si>
    <t xml:space="preserve">Resultado do terminal</t>
  </si>
  <si>
    <t xml:space="preserve">Resultado de viabilidade</t>
  </si>
  <si>
    <t xml:space="preserve">Resultado consolidado antes de investimentos</t>
  </si>
  <si>
    <t xml:space="preserve">Retorno acumulado real</t>
  </si>
  <si>
    <t xml:space="preserve">Critério e leitura do resultado</t>
  </si>
  <si>
    <t xml:space="preserve">A viabilidade exige simultaneamente TIR real igual ou superior a 10% ao ano e VPL real não negativo.</t>
  </si>
  <si>
    <t xml:space="preserve">O risco de demanda está alocado à concessionária. O cenário-base mantém a demanda real constante e reajusta os valores pela inflação anual projetada.</t>
  </si>
  <si>
    <t xml:space="preserve">A outorga ocorre no Ano 0. A reforma dos terminais é desembolsada no primeiro ano e os bens são reversíveis ao Município ao término da concessão.</t>
  </si>
  <si>
    <t xml:space="preserve">Os custos de pessoal do terminal e as projeções de inflação permanecem editáveis na aba Premissas.</t>
  </si>
  <si>
    <t xml:space="preserve">Premissas da concessão</t>
  </si>
  <si>
    <t xml:space="preserve">Grupo</t>
  </si>
  <si>
    <t xml:space="preserve">Premissa</t>
  </si>
  <si>
    <t xml:space="preserve">Valor</t>
  </si>
  <si>
    <t xml:space="preserve">Unidade</t>
  </si>
  <si>
    <t xml:space="preserve">Fonte/critério</t>
  </si>
  <si>
    <t xml:space="preserve">Editável</t>
  </si>
  <si>
    <t xml:space="preserve">Receitas acessórias</t>
  </si>
  <si>
    <t xml:space="preserve">Valor anual</t>
  </si>
  <si>
    <t xml:space="preserve">Repasse municipal</t>
  </si>
  <si>
    <t xml:space="preserve">Critério</t>
  </si>
  <si>
    <t xml:space="preserve">Contrato</t>
  </si>
  <si>
    <t xml:space="preserve">Prazo da concessão</t>
  </si>
  <si>
    <t xml:space="preserve">anos</t>
  </si>
  <si>
    <t xml:space="preserve">Definição municipal</t>
  </si>
  <si>
    <t xml:space="preserve">Sim</t>
  </si>
  <si>
    <t xml:space="preserve">Publicidade em veículos – busdoor</t>
  </si>
  <si>
    <t xml:space="preserve">Informação municipal</t>
  </si>
  <si>
    <t xml:space="preserve">a.a.</t>
  </si>
  <si>
    <t xml:space="preserve">Critério de viabilidade</t>
  </si>
  <si>
    <t xml:space="preserve">Publicidade nos terminais</t>
  </si>
  <si>
    <t xml:space="preserve">R$</t>
  </si>
  <si>
    <t xml:space="preserve">Publicidade nos abrigos</t>
  </si>
  <si>
    <t xml:space="preserve">Terminal</t>
  </si>
  <si>
    <t xml:space="preserve">Reforma e adequação no 1º ano</t>
  </si>
  <si>
    <t xml:space="preserve">Receita mensal bruta de 32 boxes a R$ 23.000,00</t>
  </si>
  <si>
    <t xml:space="preserve">R$/mês</t>
  </si>
  <si>
    <t xml:space="preserve">32 boxes × R$ 23.000,00 por mês</t>
  </si>
  <si>
    <t xml:space="preserve">Repasse da receita comercial ao Município</t>
  </si>
  <si>
    <t xml:space="preserve">%</t>
  </si>
  <si>
    <t xml:space="preserve">Água anual</t>
  </si>
  <si>
    <t xml:space="preserve">R$/ano</t>
  </si>
  <si>
    <t xml:space="preserve">Energia elétrica anual</t>
  </si>
  <si>
    <t xml:space="preserve">Telefone anual</t>
  </si>
  <si>
    <t xml:space="preserve">Internet anual</t>
  </si>
  <si>
    <t xml:space="preserve">Manutenção de escada rolante anual</t>
  </si>
  <si>
    <t xml:space="preserve">Manutenção de elevador anual (retirada)</t>
  </si>
  <si>
    <t xml:space="preserve">Retirada do cenário-base</t>
  </si>
  <si>
    <t xml:space="preserve">Custo mensal de 4 controladores de acesso</t>
  </si>
  <si>
    <t xml:space="preserve">Premissa inicial com encargos e benefícios</t>
  </si>
  <si>
    <t xml:space="preserve">Custo mensal de 8 profissionais de limpeza</t>
  </si>
  <si>
    <t xml:space="preserve">Materiais, EPIs, seguros e outros por mês</t>
  </si>
  <si>
    <t xml:space="preserve">A preencher quando orçado</t>
  </si>
  <si>
    <t xml:space="preserve">Transporte</t>
  </si>
  <si>
    <t xml:space="preserve">Passageiros equivalentes por mês</t>
  </si>
  <si>
    <t xml:space="preserve">pass./mês</t>
  </si>
  <si>
    <t xml:space="preserve">Planilha ANTP ajustada</t>
  </si>
  <si>
    <t xml:space="preserve">Tarifa de remuneração inicial</t>
  </si>
  <si>
    <t xml:space="preserve">R$/pass.</t>
  </si>
  <si>
    <t xml:space="preserve">Tarifa de remuneração; não confundir com tarifa pública ANTP</t>
  </si>
  <si>
    <t xml:space="preserve">Subsídio mensal já previsto na ANTP</t>
  </si>
  <si>
    <t xml:space="preserve">Base ANTP</t>
  </si>
  <si>
    <t xml:space="preserve">Custo mensal total conforme ANTP</t>
  </si>
  <si>
    <t xml:space="preserve">Planilha ANTP completa enviada pelo Município</t>
  </si>
  <si>
    <t xml:space="preserve">Crescimento anual real da demanda</t>
  </si>
  <si>
    <t xml:space="preserve">% a.a.</t>
  </si>
  <si>
    <t xml:space="preserve">Cenário-base conservador</t>
  </si>
  <si>
    <t xml:space="preserve">Inflação projetada para reajuste nominal</t>
  </si>
  <si>
    <t xml:space="preserve">Ano da concessão</t>
  </si>
  <si>
    <t xml:space="preserve">Ano-calendário</t>
  </si>
  <si>
    <t xml:space="preserve">IPCA projetado</t>
  </si>
  <si>
    <t xml:space="preserve">Referência</t>
  </si>
  <si>
    <t xml:space="preserve">Relatório Focus/Banco Central. Projeções iniciais editáveis.</t>
  </si>
  <si>
    <t xml:space="preserve">2027</t>
  </si>
  <si>
    <t xml:space="preserve">2028</t>
  </si>
  <si>
    <t xml:space="preserve">2029 em diante</t>
  </si>
  <si>
    <t xml:space="preserve">Premissa de convergência gradual para 3,00% a.a.</t>
  </si>
  <si>
    <t xml:space="preserve">Fluxo de caixa consolidado da concessão – 15 anos</t>
  </si>
  <si>
    <t xml:space="preserve">Componente</t>
  </si>
  <si>
    <t xml:space="preserve">Ano 0</t>
  </si>
  <si>
    <t xml:space="preserve">Ano 1</t>
  </si>
  <si>
    <t xml:space="preserve">Ano 2</t>
  </si>
  <si>
    <t xml:space="preserve">Ano 3</t>
  </si>
  <si>
    <t xml:space="preserve">Ano 4</t>
  </si>
  <si>
    <t xml:space="preserve">Ano 5</t>
  </si>
  <si>
    <t xml:space="preserve">Ano 6</t>
  </si>
  <si>
    <t xml:space="preserve">Ano 7</t>
  </si>
  <si>
    <t xml:space="preserve">Ano 8</t>
  </si>
  <si>
    <t xml:space="preserve">Ano 9</t>
  </si>
  <si>
    <t xml:space="preserve">Ano 10</t>
  </si>
  <si>
    <t xml:space="preserve">Ano 11</t>
  </si>
  <si>
    <t xml:space="preserve">Ano 12</t>
  </si>
  <si>
    <t xml:space="preserve">Ano 13</t>
  </si>
  <si>
    <t xml:space="preserve">Ano 14</t>
  </si>
  <si>
    <t xml:space="preserve">Ano 15</t>
  </si>
  <si>
    <t xml:space="preserve">Inflação anual</t>
  </si>
  <si>
    <t xml:space="preserve">Inflação acumulada</t>
  </si>
  <si>
    <t xml:space="preserve">Fator nominal</t>
  </si>
  <si>
    <t xml:space="preserve">TRANSPORTE</t>
  </si>
  <si>
    <t xml:space="preserve">Passageiros equivalentes/ano</t>
  </si>
  <si>
    <t xml:space="preserve">Tarifa de remuneração</t>
  </si>
  <si>
    <t xml:space="preserve">Receita tarifária anual</t>
  </si>
  <si>
    <t xml:space="preserve">Subsídio ANTP anual</t>
  </si>
  <si>
    <t xml:space="preserve">Receita total do transporte</t>
  </si>
  <si>
    <t xml:space="preserve">Custo total anual do transporte</t>
  </si>
  <si>
    <t xml:space="preserve">TERMINAL</t>
  </si>
  <si>
    <t xml:space="preserve">Receita bruta: boxes e publicidade</t>
  </si>
  <si>
    <t xml:space="preserve">Repasse de 20% ao Município</t>
  </si>
  <si>
    <t xml:space="preserve">Receita líquida dos boxes</t>
  </si>
  <si>
    <t xml:space="preserve">Custos fixos informados</t>
  </si>
  <si>
    <t xml:space="preserve">Controladores de acesso</t>
  </si>
  <si>
    <t xml:space="preserve">Equipe de limpeza</t>
  </si>
  <si>
    <t xml:space="preserve">Materiais, seguros e outros</t>
  </si>
  <si>
    <t xml:space="preserve">Resultado operacional do terminal</t>
  </si>
  <si>
    <t xml:space="preserve">INVESTIMENTOS</t>
  </si>
  <si>
    <t xml:space="preserve">Outorga</t>
  </si>
  <si>
    <t xml:space="preserve">Reforma do terminal</t>
  </si>
  <si>
    <t xml:space="preserve">Fluxo de caixa nominal</t>
  </si>
  <si>
    <t xml:space="preserve">Fluxo de caixa real</t>
  </si>
  <si>
    <t xml:space="preserve">Base operacional do transporte – Planilha ANTP</t>
  </si>
  <si>
    <t xml:space="preserve">Indicador</t>
  </si>
  <si>
    <t xml:space="preserve">Tratamento no modelo</t>
  </si>
  <si>
    <t xml:space="preserve">Passageiros transportados por mês</t>
  </si>
  <si>
    <t xml:space="preserve">passageiros</t>
  </si>
  <si>
    <t xml:space="preserve">Premissa operacional</t>
  </si>
  <si>
    <t xml:space="preserve">passageiros equivalentes</t>
  </si>
  <si>
    <t xml:space="preserve">Resultado da planilha ANTP ajustada</t>
  </si>
  <si>
    <t xml:space="preserve">Quilometragem programada mensal</t>
  </si>
  <si>
    <t xml:space="preserve">km</t>
  </si>
  <si>
    <t xml:space="preserve">Frota operacional</t>
  </si>
  <si>
    <t xml:space="preserve">ônibus</t>
  </si>
  <si>
    <t xml:space="preserve">Reserva técnica</t>
  </si>
  <si>
    <t xml:space="preserve">Frota total</t>
  </si>
  <si>
    <t xml:space="preserve">Soma da frota operacional e reserva</t>
  </si>
  <si>
    <t xml:space="preserve">Custo variável mensal</t>
  </si>
  <si>
    <t xml:space="preserve">Resultado da planilha ANTP correta</t>
  </si>
  <si>
    <t xml:space="preserve">Custo fixo mensal</t>
  </si>
  <si>
    <t xml:space="preserve">Custo total mensal</t>
  </si>
  <si>
    <t xml:space="preserve">Custo total mensal da planilha ANTP correta</t>
  </si>
  <si>
    <t xml:space="preserve">Subsídio mensal já previsto</t>
  </si>
  <si>
    <t xml:space="preserve">Incluído como receita do transporte</t>
  </si>
  <si>
    <t xml:space="preserve">Tarifa pública apurada pela ANTP</t>
  </si>
  <si>
    <t xml:space="preserve">R$/passageiro equivalente</t>
  </si>
  <si>
    <t xml:space="preserve">Resultado tarifário da ANTP completa</t>
  </si>
  <si>
    <t xml:space="preserve">Tarifa de remuneração contratual</t>
  </si>
  <si>
    <t xml:space="preserve">Utilizada na receita da concessionária</t>
  </si>
  <si>
    <t xml:space="preserve">Tarifa inicial ao usuário</t>
  </si>
  <si>
    <t xml:space="preserve">Composição mensal da demanda</t>
  </si>
  <si>
    <t xml:space="preserve">Categoria</t>
  </si>
  <si>
    <t xml:space="preserve">Percentual</t>
  </si>
  <si>
    <t xml:space="preserve">Passageiros</t>
  </si>
  <si>
    <t xml:space="preserve">Passageiros equivalentes</t>
  </si>
  <si>
    <t xml:space="preserve">Comum</t>
  </si>
  <si>
    <t xml:space="preserve">Vale-transporte</t>
  </si>
  <si>
    <t xml:space="preserve">Estudante</t>
  </si>
  <si>
    <t xml:space="preserve">Gratuidade</t>
  </si>
  <si>
    <t xml:space="preserve">Total</t>
  </si>
  <si>
    <t xml:space="preserve">Fonte</t>
  </si>
  <si>
    <t xml:space="preserve">Edital Anexo IV.1 – Planilha ANTP – Base Orçamentária completa</t>
  </si>
  <si>
    <t xml:space="preserve">Observação</t>
  </si>
  <si>
    <t xml:space="preserve">O bloco de transporte preserva o custo e o subsídio existentes na base. As premissas podem ser atualizadas na aba Premissas.</t>
  </si>
  <si>
    <t xml:space="preserve">Risco de demanda</t>
  </si>
  <si>
    <t xml:space="preserve">Alocado à concessionária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</si>
</sst>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General"/>
    <numFmt numFmtId="166" formatCode="&quot;R$ &quot;#,##0.00;[RED]&quot;-R$ &quot;#,##0.00"/>
    <numFmt numFmtId="167" formatCode="0.00%"/>
    <numFmt numFmtId="168" formatCode="#,##0"/>
    <numFmt numFmtId="169" formatCode="[$R$-416]\ #,##0.00;[RED]\-[$R$-416]\ #,##0.00"/>
    <numFmt numFmtId="170" formatCode="&quot;R$ &quot;#,##0.00"/>
  </numFmts>
  <fonts count="12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ptos"/>
      <family val="0"/>
      <charset val="1"/>
    </font>
    <font>
      <sz val="10"/>
      <color rgb="FF1F1F1F"/>
      <name val="Aptos"/>
      <family val="0"/>
      <charset val="1"/>
    </font>
    <font>
      <b val="true"/>
      <sz val="11"/>
      <color rgb="FF17365D"/>
      <name val="Aptos"/>
      <family val="0"/>
      <charset val="1"/>
    </font>
    <font>
      <b val="true"/>
      <sz val="11"/>
      <color rgb="FFFFFFFF"/>
      <name val="Aptos"/>
      <family val="0"/>
      <charset val="1"/>
    </font>
    <font>
      <b val="true"/>
      <sz val="10"/>
      <color rgb="FF17365D"/>
      <name val="Aptos"/>
      <family val="0"/>
      <charset val="1"/>
    </font>
    <font>
      <b val="true"/>
      <sz val="10"/>
      <color rgb="FF274E13"/>
      <name val="Aptos"/>
      <family val="0"/>
      <charset val="1"/>
    </font>
    <font>
      <b val="true"/>
      <sz val="10"/>
      <color rgb="FFFFFFFF"/>
      <name val="Aptos"/>
      <family val="0"/>
      <charset val="1"/>
    </font>
    <font>
      <b val="true"/>
      <sz val="10"/>
      <color rgb="FF1F1F1F"/>
      <name val="Aptos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17365D"/>
        <bgColor rgb="FF1F4E78"/>
      </patternFill>
    </fill>
    <fill>
      <patternFill patternType="solid">
        <fgColor rgb="FFEAF2F8"/>
        <bgColor rgb="FFF7F9FB"/>
      </patternFill>
    </fill>
    <fill>
      <patternFill patternType="solid">
        <fgColor rgb="FF1F4E78"/>
        <bgColor rgb="FF17365D"/>
      </patternFill>
    </fill>
    <fill>
      <patternFill patternType="solid">
        <fgColor rgb="FFD9EAD3"/>
        <bgColor rgb="FFE2F0D9"/>
      </patternFill>
    </fill>
    <fill>
      <patternFill patternType="solid">
        <fgColor rgb="FFF7F9FB"/>
        <bgColor rgb="FFFFFFFF"/>
      </patternFill>
    </fill>
    <fill>
      <patternFill patternType="solid">
        <fgColor rgb="FFD9EAF7"/>
        <bgColor rgb="FFEAF2F8"/>
      </patternFill>
    </fill>
    <fill>
      <patternFill patternType="solid">
        <fgColor rgb="FFFCE4D6"/>
        <bgColor rgb="FFE2F0D9"/>
      </patternFill>
    </fill>
    <fill>
      <patternFill patternType="solid">
        <fgColor rgb="FFE2F0D9"/>
        <bgColor rgb="FFD9EAD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 diagonalUp="false" diagonalDown="false">
      <left style="thin">
        <color rgb="FFB4C6E7"/>
      </left>
      <right style="thin">
        <color rgb="FFB4C6E7"/>
      </right>
      <top style="thin">
        <color rgb="FFB4C6E7"/>
      </top>
      <bottom style="thin">
        <color rgb="FFB4C6E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5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6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7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7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5" fillId="8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8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8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0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7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1" fillId="7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9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1" fillId="9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6E7"/>
      <rgbColor rgb="FF808080"/>
      <rgbColor rgb="FF9999FF"/>
      <rgbColor rgb="FF993366"/>
      <rgbColor rgb="FFF7F9FB"/>
      <rgbColor rgb="FFD9EA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AF2F8"/>
      <rgbColor rgb="FFE2F0D9"/>
      <rgbColor rgb="FFD9EAD3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65D"/>
      <rgbColor rgb="FF339966"/>
      <rgbColor rgb="FF003300"/>
      <rgbColor rgb="FF274E13"/>
      <rgbColor rgb="FF993300"/>
      <rgbColor rgb="FF993366"/>
      <rgbColor rgb="FF1F4E78"/>
      <rgbColor rgb="FF1F1F1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 pitchFamily="0" charset="1"/>
        <a:ea typeface="Calibri Light" pitchFamily="0" charset="1"/>
        <a:cs typeface="Calibri Light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</a:schemeClr>
            </a:gs>
            <a:gs pos="50000">
              <a:schemeClr val="phClr">
                <a:tint val="73000"/>
                <a:lumMod val="105000"/>
              </a:schemeClr>
            </a:gs>
            <a:gs pos="100000">
              <a:schemeClr val="phClr">
                <a:tint val="81000"/>
                <a:lumMod val="105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tint val="94000"/>
                <a:lumMod val="102000"/>
              </a:schemeClr>
            </a:gs>
            <a:gs pos="50000">
              <a:schemeClr val="phClr">
                <a:shade val="100000"/>
                <a:lumMod val="100000"/>
              </a:schemeClr>
            </a:gs>
            <a:gs pos="100000">
              <a:schemeClr val="phClr">
                <a:shade val="78000"/>
                <a:lumMod val="99000"/>
              </a:schemeClr>
            </a:gs>
          </a:gsLst>
          <a:lin ang="5400000" scaled="0"/>
          <a:tileRect l="0" t="0" r="0" b="0"/>
        </a:gra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"/>
  <sheetViews>
    <sheetView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31"/>
    <col collapsed="false" customWidth="true" hidden="false" outlineLevel="0" max="2" min="2" style="1" width="23"/>
    <col collapsed="false" customWidth="true" hidden="false" outlineLevel="0" max="4" min="3" style="1" width="4"/>
    <col collapsed="false" customWidth="true" hidden="false" outlineLevel="0" max="5" min="5" style="1" width="35"/>
    <col collapsed="false" customWidth="true" hidden="false" outlineLevel="0" max="6" min="6" style="1" width="23"/>
    <col collapsed="false" customWidth="true" hidden="false" outlineLevel="0" max="8" min="7" style="1" width="4"/>
  </cols>
  <sheetData>
    <row r="1" customFormat="false" ht="33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5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5" hidden="false" customHeight="false" outlineLevel="0" collapsed="false">
      <c r="A3" s="4" t="s">
        <v>1</v>
      </c>
      <c r="B3" s="4"/>
      <c r="C3" s="4"/>
      <c r="D3" s="4"/>
      <c r="E3" s="4"/>
      <c r="F3" s="4"/>
      <c r="G3" s="4"/>
      <c r="H3" s="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Format="false" ht="15" hidden="false" customHeight="fals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5" hidden="false" customHeight="false" outlineLevel="0" collapsed="false">
      <c r="A5" s="5" t="s">
        <v>2</v>
      </c>
      <c r="B5" s="5"/>
      <c r="C5" s="5"/>
      <c r="D5" s="5"/>
      <c r="E5" s="5" t="s">
        <v>3</v>
      </c>
      <c r="F5" s="5"/>
      <c r="G5" s="5"/>
      <c r="H5" s="5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Format="false" ht="15" hidden="false" customHeight="false" outlineLevel="0" collapsed="false">
      <c r="A6" s="6" t="s">
        <v>4</v>
      </c>
      <c r="B6" s="7" t="n">
        <f aca="false">Premissas!C4</f>
        <v>15</v>
      </c>
      <c r="C6" s="3"/>
      <c r="D6" s="3"/>
      <c r="E6" s="6" t="s">
        <v>5</v>
      </c>
      <c r="F6" s="8" t="n">
        <f aca="false">'Fluxo 15 anos'!C11</f>
        <v>64133344.08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Format="false" ht="15" hidden="false" customHeight="false" outlineLevel="0" collapsed="false">
      <c r="A7" s="6" t="s">
        <v>6</v>
      </c>
      <c r="B7" s="8" t="n">
        <f aca="false">Premissas!C6</f>
        <v>3000000</v>
      </c>
      <c r="C7" s="3"/>
      <c r="D7" s="3"/>
      <c r="E7" s="6" t="s">
        <v>7</v>
      </c>
      <c r="F7" s="8" t="n">
        <f aca="false">'Fluxo 15 anos'!C12</f>
        <v>6757992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Format="false" ht="15" hidden="false" customHeight="false" outlineLevel="0" collapsed="false">
      <c r="A8" s="6" t="s">
        <v>8</v>
      </c>
      <c r="B8" s="8" t="n">
        <f aca="false">Premissas!C7</f>
        <v>1300471.98</v>
      </c>
      <c r="C8" s="3"/>
      <c r="D8" s="3"/>
      <c r="E8" s="6" t="s">
        <v>9</v>
      </c>
      <c r="F8" s="8" t="n">
        <f aca="false">-'Fluxo 15 anos'!C14</f>
        <v>-77703007.248474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5" hidden="false" customHeight="false" outlineLevel="0" collapsed="false">
      <c r="A9" s="6" t="s">
        <v>10</v>
      </c>
      <c r="B9" s="8" t="n">
        <f aca="false">SUM(B7:B8)</f>
        <v>4300471.98</v>
      </c>
      <c r="C9" s="3"/>
      <c r="D9" s="3"/>
      <c r="E9" s="6" t="s">
        <v>11</v>
      </c>
      <c r="F9" s="8" t="n">
        <f aca="false">'Fluxo 15 anos'!C15</f>
        <v>-6811671.16847402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false" ht="15" hidden="false" customHeight="false" outlineLevel="0" collapsed="false">
      <c r="A10" s="6" t="s">
        <v>12</v>
      </c>
      <c r="B10" s="9" t="n">
        <f aca="false">IFERROR(IRR('Fluxo 15 anos'!B29:Q29),"N/C - fluxo sem retorno")</f>
        <v>0.117292475025617</v>
      </c>
      <c r="C10" s="3"/>
      <c r="D10" s="3"/>
      <c r="E10" s="6" t="s">
        <v>13</v>
      </c>
      <c r="F10" s="8" t="n">
        <f aca="false">'Fluxo 15 anos'!C19</f>
        <v>8389921.92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false" ht="15" hidden="false" customHeight="false" outlineLevel="0" collapsed="false">
      <c r="A11" s="6" t="s">
        <v>14</v>
      </c>
      <c r="B11" s="9" t="n">
        <f aca="false">Premissas!C5</f>
        <v>0.1</v>
      </c>
      <c r="C11" s="3"/>
      <c r="D11" s="3"/>
      <c r="E11" s="6" t="s">
        <v>15</v>
      </c>
      <c r="F11" s="8" t="n">
        <f aca="false">-SUM('Fluxo 15 anos'!C20:C23)</f>
        <v>957072.416984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false" ht="15" hidden="false" customHeight="false" outlineLevel="0" collapsed="false">
      <c r="A12" s="6" t="s">
        <v>16</v>
      </c>
      <c r="B12" s="8" t="n">
        <f aca="false">NPV(B11,'Fluxo 15 anos'!C29:Q29)+'Fluxo 15 anos'!B29</f>
        <v>396763.395893333</v>
      </c>
      <c r="C12" s="3"/>
      <c r="D12" s="3"/>
      <c r="E12" s="6" t="s">
        <v>17</v>
      </c>
      <c r="F12" s="8" t="n">
        <f aca="false">'Fluxo 15 anos'!C24</f>
        <v>7432849.503016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false" ht="15" hidden="false" customHeight="false" outlineLevel="0" collapsed="false">
      <c r="A13" s="6" t="s">
        <v>18</v>
      </c>
      <c r="B13" s="10" t="str">
        <f aca="false">IF(AND(IFERROR(IRR('Fluxo 15 anos'!B29:Q29),-1)&gt;=B11,B12&gt;=0),"VIÁVEL","NÃO VIÁVEL NAS PREMISSAS ATUAIS")</f>
        <v>VIÁVEL</v>
      </c>
      <c r="C13" s="3"/>
      <c r="D13" s="3"/>
      <c r="E13" s="6" t="s">
        <v>19</v>
      </c>
      <c r="F13" s="8" t="n">
        <f aca="false">SUM(F9,F12)</f>
        <v>621178.334541979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false" ht="15" hidden="false" customHeight="false" outlineLevel="0" collapsed="false">
      <c r="A14" s="6" t="s">
        <v>20</v>
      </c>
      <c r="B14" s="8" t="n">
        <f aca="false">SUM('Fluxo 15 anos'!B29:Q29)</f>
        <v>4687413.01958951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false" ht="15" hidden="false" customHeight="false" outlineLevel="0" collapsed="false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false" ht="15" hidden="false" customHeight="false" outlineLevel="0" collapsed="false">
      <c r="A17" s="5" t="s">
        <v>21</v>
      </c>
      <c r="B17" s="5"/>
      <c r="C17" s="5"/>
      <c r="D17" s="5"/>
      <c r="E17" s="5"/>
      <c r="F17" s="5"/>
      <c r="G17" s="5"/>
      <c r="H17" s="5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false" ht="27.75" hidden="false" customHeight="true" outlineLevel="0" collapsed="false">
      <c r="A18" s="11" t="s">
        <v>22</v>
      </c>
      <c r="B18" s="11"/>
      <c r="C18" s="11"/>
      <c r="D18" s="11"/>
      <c r="E18" s="11"/>
      <c r="F18" s="11"/>
      <c r="G18" s="11"/>
      <c r="H18" s="11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false" ht="27.75" hidden="false" customHeight="true" outlineLevel="0" collapsed="false">
      <c r="A19" s="11" t="s">
        <v>23</v>
      </c>
      <c r="B19" s="11"/>
      <c r="C19" s="11"/>
      <c r="D19" s="11"/>
      <c r="E19" s="11"/>
      <c r="F19" s="11"/>
      <c r="G19" s="11"/>
      <c r="H19" s="11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false" ht="27.75" hidden="false" customHeight="true" outlineLevel="0" collapsed="false">
      <c r="A20" s="11" t="s">
        <v>24</v>
      </c>
      <c r="B20" s="11"/>
      <c r="C20" s="11"/>
      <c r="D20" s="11"/>
      <c r="E20" s="11"/>
      <c r="F20" s="11"/>
      <c r="G20" s="11"/>
      <c r="H20" s="11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false" ht="27.75" hidden="false" customHeight="true" outlineLevel="0" collapsed="false">
      <c r="A21" s="11" t="s">
        <v>25</v>
      </c>
      <c r="B21" s="11"/>
      <c r="C21" s="11"/>
      <c r="D21" s="11"/>
      <c r="E21" s="11"/>
      <c r="F21" s="11"/>
      <c r="G21" s="11"/>
      <c r="H21" s="11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false" ht="1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false" ht="15" hidden="false" customHeight="false" outlineLevel="0" collapsed="false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false" ht="15" hidden="false" customHeight="false" outlineLevel="0" collapsed="false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false" ht="15" hidden="false" customHeight="false" outlineLevel="0" collapsed="fals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Format="false" ht="15" hidden="false" customHeight="false" outlineLevel="0" collapsed="false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Format="false" ht="15" hidden="false" customHeight="false" outlineLevel="0" collapsed="false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Format="false" ht="15" hidden="false" customHeight="false" outlineLevel="0" collapsed="false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Format="false" ht="1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Format="false" ht="1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Format="false" ht="1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Format="false" ht="1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Format="false" ht="1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Format="false" ht="1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Format="false" ht="1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Format="false" ht="1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Format="false" ht="1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Format="false" ht="1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Format="false" ht="1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Format="false" ht="1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Format="false" ht="1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Format="false" ht="1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Format="false" ht="1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Format="false" ht="1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Format="false" ht="1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Format="false" ht="1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Format="false" ht="1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Format="false" ht="1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Format="false" ht="1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Format="false" ht="1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Format="false" ht="1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Format="false" ht="1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Format="false" ht="1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Format="false" ht="1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Format="false" ht="1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Format="false" ht="1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Format="false" ht="1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Format="false" ht="1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Format="false" ht="1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Format="false" ht="1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Format="false" ht="1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Format="false" ht="1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Format="false" ht="1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Format="false" ht="1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Format="false" ht="1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Format="false" ht="1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Format="false" ht="1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Format="false" ht="1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Format="false" ht="1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Format="false" ht="1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Format="false" ht="1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Format="false" ht="1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Format="false" ht="1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Format="false" ht="1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Format="false" ht="1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Format="false" ht="1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Format="false" ht="1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Format="false" ht="1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Format="false" ht="1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Format="false" ht="1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Format="false" ht="1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Format="false" ht="1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Format="false" ht="1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Format="false" ht="1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Format="false" ht="1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Format="false" ht="1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Format="false" ht="1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Format="false" ht="1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Format="false" ht="1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Format="false" ht="1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Format="false" ht="1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Format="false" ht="1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Format="false" ht="1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Format="false" ht="1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Format="false" ht="1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Format="false" ht="1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Format="false" ht="1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Format="false" ht="1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Format="false" ht="1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Format="false" ht="1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</sheetData>
  <mergeCells count="9">
    <mergeCell ref="A1:H1"/>
    <mergeCell ref="A3:H3"/>
    <mergeCell ref="A5:D5"/>
    <mergeCell ref="E5:H5"/>
    <mergeCell ref="A17:H17"/>
    <mergeCell ref="A18:H18"/>
    <mergeCell ref="A19:H19"/>
    <mergeCell ref="A20:H20"/>
    <mergeCell ref="A21:H2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"/>
  <sheetViews>
    <sheetView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8"/>
    <col collapsed="false" customWidth="true" hidden="false" outlineLevel="0" max="2" min="2" style="1" width="44"/>
    <col collapsed="false" customWidth="true" hidden="false" outlineLevel="0" max="3" min="3" style="1" width="20"/>
    <col collapsed="false" customWidth="true" hidden="false" outlineLevel="0" max="4" min="4" style="1" width="17"/>
    <col collapsed="false" customWidth="true" hidden="false" outlineLevel="0" max="5" min="5" style="1" width="39"/>
    <col collapsed="false" customWidth="true" hidden="false" outlineLevel="0" max="6" min="6" style="1" width="17"/>
    <col collapsed="false" customWidth="true" hidden="false" outlineLevel="0" max="8" min="8" style="1" width="38"/>
    <col collapsed="false" customWidth="true" hidden="false" outlineLevel="0" max="9" min="9" style="1" width="19"/>
    <col collapsed="false" customWidth="true" hidden="false" outlineLevel="0" max="10" min="10" style="1" width="18"/>
    <col collapsed="false" customWidth="true" hidden="false" outlineLevel="0" max="11" min="11" style="1" width="25"/>
  </cols>
  <sheetData>
    <row r="1" customFormat="false" ht="33.75" hidden="false" customHeight="true" outlineLevel="0" collapsed="false">
      <c r="A1" s="2" t="s">
        <v>26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5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5" hidden="false" customHeight="false" outlineLevel="0" collapsed="false">
      <c r="A3" s="12" t="s">
        <v>27</v>
      </c>
      <c r="B3" s="12" t="s">
        <v>28</v>
      </c>
      <c r="C3" s="12" t="s">
        <v>29</v>
      </c>
      <c r="D3" s="12" t="s">
        <v>30</v>
      </c>
      <c r="E3" s="12" t="s">
        <v>31</v>
      </c>
      <c r="F3" s="12" t="s">
        <v>32</v>
      </c>
      <c r="G3" s="3"/>
      <c r="H3" s="13" t="s">
        <v>33</v>
      </c>
      <c r="I3" s="13" t="s">
        <v>34</v>
      </c>
      <c r="J3" s="13" t="s">
        <v>35</v>
      </c>
      <c r="K3" s="13" t="s">
        <v>36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Format="false" ht="15" hidden="false" customHeight="false" outlineLevel="0" collapsed="false">
      <c r="A4" s="7" t="s">
        <v>37</v>
      </c>
      <c r="B4" s="7" t="s">
        <v>38</v>
      </c>
      <c r="C4" s="14" t="n">
        <v>15</v>
      </c>
      <c r="D4" s="7" t="s">
        <v>39</v>
      </c>
      <c r="E4" s="7" t="s">
        <v>40</v>
      </c>
      <c r="F4" s="7" t="s">
        <v>41</v>
      </c>
      <c r="G4" s="3"/>
      <c r="H4" s="7" t="s">
        <v>42</v>
      </c>
      <c r="I4" s="15" t="n">
        <v>288000</v>
      </c>
      <c r="J4" s="16" t="n">
        <v>0.2</v>
      </c>
      <c r="K4" s="7" t="s">
        <v>43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5" hidden="false" customHeight="false" outlineLevel="0" collapsed="false">
      <c r="A5" s="7" t="s">
        <v>37</v>
      </c>
      <c r="B5" s="7" t="s">
        <v>14</v>
      </c>
      <c r="C5" s="16" t="n">
        <v>0.1</v>
      </c>
      <c r="D5" s="7" t="s">
        <v>44</v>
      </c>
      <c r="E5" s="7" t="s">
        <v>45</v>
      </c>
      <c r="F5" s="7" t="s">
        <v>41</v>
      </c>
      <c r="G5" s="3"/>
      <c r="H5" s="7" t="s">
        <v>46</v>
      </c>
      <c r="I5" s="15" t="n">
        <v>480000</v>
      </c>
      <c r="J5" s="16" t="n">
        <v>0.2</v>
      </c>
      <c r="K5" s="7" t="s">
        <v>43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Format="false" ht="15" hidden="false" customHeight="false" outlineLevel="0" collapsed="false">
      <c r="A6" s="7" t="s">
        <v>37</v>
      </c>
      <c r="B6" s="7" t="s">
        <v>6</v>
      </c>
      <c r="C6" s="15" t="n">
        <v>3000000</v>
      </c>
      <c r="D6" s="7" t="s">
        <v>47</v>
      </c>
      <c r="E6" s="7" t="s">
        <v>40</v>
      </c>
      <c r="F6" s="7" t="s">
        <v>41</v>
      </c>
      <c r="G6" s="3"/>
      <c r="H6" s="7" t="s">
        <v>48</v>
      </c>
      <c r="I6" s="15" t="n">
        <v>456000</v>
      </c>
      <c r="J6" s="16" t="n">
        <v>0.2</v>
      </c>
      <c r="K6" s="7" t="s">
        <v>43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Format="false" ht="15" hidden="false" customHeight="false" outlineLevel="0" collapsed="false">
      <c r="A7" s="7" t="s">
        <v>49</v>
      </c>
      <c r="B7" s="7" t="s">
        <v>50</v>
      </c>
      <c r="C7" s="15" t="n">
        <v>1300471.98</v>
      </c>
      <c r="D7" s="7" t="s">
        <v>47</v>
      </c>
      <c r="E7" s="7" t="s">
        <v>40</v>
      </c>
      <c r="F7" s="7" t="s">
        <v>41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Format="false" ht="15" hidden="false" customHeight="false" outlineLevel="0" collapsed="false">
      <c r="A8" s="7" t="s">
        <v>49</v>
      </c>
      <c r="B8" s="7" t="s">
        <v>51</v>
      </c>
      <c r="C8" s="15" t="n">
        <v>736000</v>
      </c>
      <c r="D8" s="7" t="s">
        <v>52</v>
      </c>
      <c r="E8" s="7" t="s">
        <v>53</v>
      </c>
      <c r="F8" s="7" t="s">
        <v>41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5" hidden="false" customHeight="false" outlineLevel="0" collapsed="false">
      <c r="A9" s="7" t="s">
        <v>49</v>
      </c>
      <c r="B9" s="7" t="s">
        <v>54</v>
      </c>
      <c r="C9" s="16" t="n">
        <v>0.2</v>
      </c>
      <c r="D9" s="7" t="s">
        <v>55</v>
      </c>
      <c r="E9" s="7" t="s">
        <v>40</v>
      </c>
      <c r="F9" s="7" t="s">
        <v>41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false" ht="15" hidden="false" customHeight="false" outlineLevel="0" collapsed="false">
      <c r="A10" s="7" t="s">
        <v>49</v>
      </c>
      <c r="B10" s="7" t="s">
        <v>56</v>
      </c>
      <c r="C10" s="15" t="n">
        <v>59110.92</v>
      </c>
      <c r="D10" s="7" t="s">
        <v>57</v>
      </c>
      <c r="E10" s="7" t="s">
        <v>43</v>
      </c>
      <c r="F10" s="7" t="s">
        <v>41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false" ht="15" hidden="false" customHeight="false" outlineLevel="0" collapsed="false">
      <c r="A11" s="7" t="s">
        <v>49</v>
      </c>
      <c r="B11" s="7" t="s">
        <v>58</v>
      </c>
      <c r="C11" s="15" t="n">
        <v>41197.8</v>
      </c>
      <c r="D11" s="7" t="s">
        <v>57</v>
      </c>
      <c r="E11" s="7" t="s">
        <v>43</v>
      </c>
      <c r="F11" s="7" t="s">
        <v>41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false" ht="15" hidden="false" customHeight="false" outlineLevel="0" collapsed="false">
      <c r="A12" s="7" t="s">
        <v>49</v>
      </c>
      <c r="B12" s="7" t="s">
        <v>59</v>
      </c>
      <c r="C12" s="15" t="n">
        <v>2630.15</v>
      </c>
      <c r="D12" s="7" t="s">
        <v>57</v>
      </c>
      <c r="E12" s="7" t="s">
        <v>43</v>
      </c>
      <c r="F12" s="7" t="s">
        <v>41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false" ht="15" hidden="false" customHeight="false" outlineLevel="0" collapsed="false">
      <c r="A13" s="7" t="s">
        <v>49</v>
      </c>
      <c r="B13" s="7" t="s">
        <v>60</v>
      </c>
      <c r="C13" s="15" t="n">
        <v>39626.61</v>
      </c>
      <c r="D13" s="7" t="s">
        <v>57</v>
      </c>
      <c r="E13" s="7" t="s">
        <v>43</v>
      </c>
      <c r="F13" s="7" t="s">
        <v>41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false" ht="15" hidden="false" customHeight="false" outlineLevel="0" collapsed="false">
      <c r="A14" s="7" t="s">
        <v>49</v>
      </c>
      <c r="B14" s="7" t="s">
        <v>61</v>
      </c>
      <c r="C14" s="15" t="n">
        <v>55137.48</v>
      </c>
      <c r="D14" s="7" t="s">
        <v>57</v>
      </c>
      <c r="E14" s="7" t="s">
        <v>43</v>
      </c>
      <c r="F14" s="7" t="s">
        <v>41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false" ht="15" hidden="false" customHeight="false" outlineLevel="0" collapsed="false">
      <c r="A15" s="7" t="s">
        <v>49</v>
      </c>
      <c r="B15" s="7" t="s">
        <v>62</v>
      </c>
      <c r="C15" s="15" t="n">
        <v>0</v>
      </c>
      <c r="D15" s="7" t="s">
        <v>57</v>
      </c>
      <c r="E15" s="7" t="s">
        <v>63</v>
      </c>
      <c r="F15" s="7" t="s">
        <v>41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false" ht="15" hidden="false" customHeight="false" outlineLevel="0" collapsed="false">
      <c r="A16" s="7" t="s">
        <v>49</v>
      </c>
      <c r="B16" s="7" t="s">
        <v>64</v>
      </c>
      <c r="C16" s="15" t="n">
        <v>24000</v>
      </c>
      <c r="D16" s="7" t="s">
        <v>52</v>
      </c>
      <c r="E16" s="7" t="s">
        <v>65</v>
      </c>
      <c r="F16" s="7" t="s">
        <v>41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false" ht="15" hidden="false" customHeight="false" outlineLevel="0" collapsed="false">
      <c r="A17" s="7" t="s">
        <v>49</v>
      </c>
      <c r="B17" s="7" t="s">
        <v>66</v>
      </c>
      <c r="C17" s="15" t="n">
        <v>36000</v>
      </c>
      <c r="D17" s="7" t="s">
        <v>52</v>
      </c>
      <c r="E17" s="7" t="s">
        <v>65</v>
      </c>
      <c r="F17" s="7" t="s">
        <v>41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false" ht="15" hidden="false" customHeight="false" outlineLevel="0" collapsed="false">
      <c r="A18" s="7" t="s">
        <v>49</v>
      </c>
      <c r="B18" s="7" t="s">
        <v>67</v>
      </c>
      <c r="C18" s="15" t="n">
        <v>0</v>
      </c>
      <c r="D18" s="7" t="s">
        <v>52</v>
      </c>
      <c r="E18" s="7" t="s">
        <v>68</v>
      </c>
      <c r="F18" s="7" t="s">
        <v>41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false" ht="15" hidden="false" customHeight="false" outlineLevel="0" collapsed="false">
      <c r="A19" s="7" t="s">
        <v>69</v>
      </c>
      <c r="B19" s="7" t="s">
        <v>70</v>
      </c>
      <c r="C19" s="14" t="n">
        <v>702000</v>
      </c>
      <c r="D19" s="7" t="s">
        <v>71</v>
      </c>
      <c r="E19" s="7" t="s">
        <v>72</v>
      </c>
      <c r="F19" s="7" t="s">
        <v>41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false" ht="15" hidden="false" customHeight="false" outlineLevel="0" collapsed="false">
      <c r="A20" s="7" t="s">
        <v>69</v>
      </c>
      <c r="B20" s="7" t="s">
        <v>73</v>
      </c>
      <c r="C20" s="15" t="n">
        <v>7.3</v>
      </c>
      <c r="D20" s="7" t="s">
        <v>74</v>
      </c>
      <c r="E20" s="7" t="s">
        <v>75</v>
      </c>
      <c r="F20" s="7" t="s">
        <v>41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false" ht="15" hidden="false" customHeight="false" outlineLevel="0" collapsed="false">
      <c r="A21" s="7" t="s">
        <v>69</v>
      </c>
      <c r="B21" s="7" t="s">
        <v>76</v>
      </c>
      <c r="C21" s="15" t="n">
        <v>540000</v>
      </c>
      <c r="D21" s="7" t="s">
        <v>52</v>
      </c>
      <c r="E21" s="7" t="s">
        <v>77</v>
      </c>
      <c r="F21" s="7" t="s">
        <v>41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false" ht="15" hidden="false" customHeight="false" outlineLevel="0" collapsed="false">
      <c r="A22" s="7" t="s">
        <v>69</v>
      </c>
      <c r="B22" s="7" t="s">
        <v>78</v>
      </c>
      <c r="C22" s="15" t="n">
        <v>6208889.255</v>
      </c>
      <c r="D22" s="7" t="s">
        <v>52</v>
      </c>
      <c r="E22" s="7" t="s">
        <v>79</v>
      </c>
      <c r="F22" s="7" t="s">
        <v>41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false" ht="15" hidden="false" customHeight="false" outlineLevel="0" collapsed="false">
      <c r="A23" s="7" t="s">
        <v>69</v>
      </c>
      <c r="B23" s="7" t="s">
        <v>80</v>
      </c>
      <c r="C23" s="16" t="n">
        <v>0</v>
      </c>
      <c r="D23" s="7" t="s">
        <v>81</v>
      </c>
      <c r="E23" s="7" t="s">
        <v>82</v>
      </c>
      <c r="F23" s="7" t="s">
        <v>41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false" ht="15" hidden="false" customHeight="false" outlineLevel="0" collapsed="false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false" ht="15" hidden="false" customHeight="false" outlineLevel="0" collapsed="fals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Format="false" ht="15" hidden="false" customHeight="false" outlineLevel="0" collapsed="false">
      <c r="A26" s="5" t="s">
        <v>83</v>
      </c>
      <c r="B26" s="5"/>
      <c r="C26" s="5"/>
      <c r="D26" s="5"/>
      <c r="E26" s="5"/>
      <c r="F26" s="5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Format="false" ht="15" hidden="false" customHeight="false" outlineLevel="0" collapsed="false">
      <c r="A27" s="12" t="s">
        <v>84</v>
      </c>
      <c r="B27" s="12" t="s">
        <v>85</v>
      </c>
      <c r="C27" s="12" t="s">
        <v>86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Format="false" ht="40.5" hidden="false" customHeight="false" outlineLevel="0" collapsed="false">
      <c r="A28" s="7" t="n">
        <v>1</v>
      </c>
      <c r="B28" s="7" t="n">
        <v>2027</v>
      </c>
      <c r="C28" s="16" t="n">
        <v>0.0429</v>
      </c>
      <c r="D28" s="3"/>
      <c r="E28" s="17" t="s">
        <v>87</v>
      </c>
      <c r="F28" s="18" t="s">
        <v>88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Format="false" ht="15" hidden="false" customHeight="false" outlineLevel="0" collapsed="false">
      <c r="A29" s="7" t="n">
        <v>2</v>
      </c>
      <c r="B29" s="7" t="n">
        <v>2028</v>
      </c>
      <c r="C29" s="16" t="n">
        <v>0.038</v>
      </c>
      <c r="D29" s="3"/>
      <c r="E29" s="17" t="s">
        <v>89</v>
      </c>
      <c r="F29" s="19" t="n">
        <v>0.0429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Format="false" ht="15" hidden="false" customHeight="false" outlineLevel="0" collapsed="false">
      <c r="A30" s="7" t="n">
        <v>3</v>
      </c>
      <c r="B30" s="7" t="n">
        <v>2029</v>
      </c>
      <c r="C30" s="16" t="n">
        <v>0.035</v>
      </c>
      <c r="D30" s="3"/>
      <c r="E30" s="17" t="s">
        <v>90</v>
      </c>
      <c r="F30" s="19" t="n">
        <v>0.038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Format="false" ht="40.5" hidden="false" customHeight="false" outlineLevel="0" collapsed="false">
      <c r="A31" s="7" t="n">
        <v>4</v>
      </c>
      <c r="B31" s="7" t="n">
        <v>2030</v>
      </c>
      <c r="C31" s="16" t="n">
        <v>0.03</v>
      </c>
      <c r="D31" s="3"/>
      <c r="E31" s="17" t="s">
        <v>91</v>
      </c>
      <c r="F31" s="18" t="s">
        <v>92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Format="false" ht="15" hidden="false" customHeight="false" outlineLevel="0" collapsed="false">
      <c r="A32" s="7" t="n">
        <v>5</v>
      </c>
      <c r="B32" s="7" t="n">
        <v>2031</v>
      </c>
      <c r="C32" s="16" t="n">
        <v>0.03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Format="false" ht="15" hidden="false" customHeight="false" outlineLevel="0" collapsed="false">
      <c r="A33" s="7" t="n">
        <v>6</v>
      </c>
      <c r="B33" s="7" t="n">
        <v>2032</v>
      </c>
      <c r="C33" s="16" t="n">
        <v>0.03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Format="false" ht="15" hidden="false" customHeight="false" outlineLevel="0" collapsed="false">
      <c r="A34" s="7" t="n">
        <v>7</v>
      </c>
      <c r="B34" s="7" t="n">
        <v>2033</v>
      </c>
      <c r="C34" s="16" t="n">
        <v>0.03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Format="false" ht="15" hidden="false" customHeight="false" outlineLevel="0" collapsed="false">
      <c r="A35" s="7" t="n">
        <v>8</v>
      </c>
      <c r="B35" s="7" t="n">
        <v>2034</v>
      </c>
      <c r="C35" s="16" t="n">
        <v>0.03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Format="false" ht="15" hidden="false" customHeight="false" outlineLevel="0" collapsed="false">
      <c r="A36" s="7" t="n">
        <v>9</v>
      </c>
      <c r="B36" s="7" t="n">
        <v>2035</v>
      </c>
      <c r="C36" s="16" t="n">
        <v>0.03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Format="false" ht="15" hidden="false" customHeight="false" outlineLevel="0" collapsed="false">
      <c r="A37" s="7" t="n">
        <v>10</v>
      </c>
      <c r="B37" s="7" t="n">
        <v>2036</v>
      </c>
      <c r="C37" s="16" t="n">
        <v>0.03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Format="false" ht="15" hidden="false" customHeight="false" outlineLevel="0" collapsed="false">
      <c r="A38" s="7" t="n">
        <v>11</v>
      </c>
      <c r="B38" s="7" t="n">
        <v>2037</v>
      </c>
      <c r="C38" s="16" t="n">
        <v>0.03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Format="false" ht="15" hidden="false" customHeight="false" outlineLevel="0" collapsed="false">
      <c r="A39" s="7" t="n">
        <v>12</v>
      </c>
      <c r="B39" s="7" t="n">
        <v>2038</v>
      </c>
      <c r="C39" s="16" t="n">
        <v>0.03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Format="false" ht="15" hidden="false" customHeight="false" outlineLevel="0" collapsed="false">
      <c r="A40" s="7" t="n">
        <v>13</v>
      </c>
      <c r="B40" s="7" t="n">
        <v>2039</v>
      </c>
      <c r="C40" s="16" t="n">
        <v>0.03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Format="false" ht="15" hidden="false" customHeight="false" outlineLevel="0" collapsed="false">
      <c r="A41" s="7" t="n">
        <v>14</v>
      </c>
      <c r="B41" s="7" t="n">
        <v>2040</v>
      </c>
      <c r="C41" s="16" t="n">
        <v>0.03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Format="false" ht="15" hidden="false" customHeight="false" outlineLevel="0" collapsed="false">
      <c r="A42" s="7" t="n">
        <v>15</v>
      </c>
      <c r="B42" s="7" t="n">
        <v>2041</v>
      </c>
      <c r="C42" s="16" t="n">
        <v>0.03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Format="false" ht="1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Format="false" ht="1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Format="false" ht="1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Format="false" ht="1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Format="false" ht="1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Format="false" ht="1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Format="false" ht="1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Format="false" ht="1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Format="false" ht="1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Format="false" ht="1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Format="false" ht="1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Format="false" ht="1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Format="false" ht="1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Format="false" ht="1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Format="false" ht="1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Format="false" ht="1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Format="false" ht="1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Format="false" ht="1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Format="false" ht="1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Format="false" ht="1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Format="false" ht="1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Format="false" ht="1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Format="false" ht="1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Format="false" ht="1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Format="false" ht="1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Format="false" ht="1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Format="false" ht="1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Format="false" ht="1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Format="false" ht="1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Format="false" ht="1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Format="false" ht="1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Format="false" ht="1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Format="false" ht="1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Format="false" ht="1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Format="false" ht="1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Format="false" ht="1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Format="false" ht="1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Format="false" ht="1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Format="false" ht="1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Format="false" ht="1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Format="false" ht="1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Format="false" ht="1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Format="false" ht="1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Format="false" ht="1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Format="false" ht="1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Format="false" ht="1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Format="false" ht="1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Format="false" ht="1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Format="false" ht="1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Format="false" ht="1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Format="false" ht="1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Format="false" ht="1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Format="false" ht="1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Format="false" ht="1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Format="false" ht="1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Format="false" ht="1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Format="false" ht="1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Format="false" ht="1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</sheetData>
  <mergeCells count="2">
    <mergeCell ref="A1:F1"/>
    <mergeCell ref="A26:F2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"/>
  <sheetViews>
    <sheetView showFormulas="false" showGridLines="fals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1" ySplit="3" topLeftCell="I4" activePane="bottomRight" state="frozen"/>
      <selection pane="topLeft" activeCell="A1" activeCellId="0" sqref="A1"/>
      <selection pane="topRight" activeCell="I1" activeCellId="0" sqref="I1"/>
      <selection pane="bottomLeft" activeCell="A4" activeCellId="0" sqref="A4"/>
      <selection pane="bottomRight" activeCell="R17" activeCellId="0" sqref="R17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34"/>
    <col collapsed="false" customWidth="true" hidden="false" outlineLevel="0" max="2" min="2" style="1" width="16"/>
    <col collapsed="false" customWidth="true" hidden="false" outlineLevel="0" max="12" min="3" style="1" width="18.26"/>
    <col collapsed="false" customWidth="true" hidden="false" outlineLevel="0" max="15" min="13" style="1" width="18.94"/>
    <col collapsed="false" customWidth="true" hidden="false" outlineLevel="0" max="17" min="16" style="1" width="19.52"/>
    <col collapsed="false" customWidth="true" hidden="false" outlineLevel="0" max="19" min="18" style="1" width="1.26"/>
  </cols>
  <sheetData>
    <row r="1" customFormat="false" ht="33.75" hidden="false" customHeight="true" outlineLevel="0" collapsed="false">
      <c r="A1" s="2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</row>
    <row r="2" customFormat="false" ht="15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5" hidden="false" customHeight="false" outlineLevel="0" collapsed="false">
      <c r="A3" s="20" t="s">
        <v>94</v>
      </c>
      <c r="B3" s="20" t="s">
        <v>95</v>
      </c>
      <c r="C3" s="20" t="s">
        <v>96</v>
      </c>
      <c r="D3" s="20" t="s">
        <v>97</v>
      </c>
      <c r="E3" s="20" t="s">
        <v>98</v>
      </c>
      <c r="F3" s="20" t="s">
        <v>99</v>
      </c>
      <c r="G3" s="20" t="s">
        <v>100</v>
      </c>
      <c r="H3" s="20" t="s">
        <v>101</v>
      </c>
      <c r="I3" s="20" t="s">
        <v>102</v>
      </c>
      <c r="J3" s="20" t="s">
        <v>103</v>
      </c>
      <c r="K3" s="20" t="s">
        <v>104</v>
      </c>
      <c r="L3" s="20" t="s">
        <v>105</v>
      </c>
      <c r="M3" s="20" t="s">
        <v>106</v>
      </c>
      <c r="N3" s="20" t="s">
        <v>107</v>
      </c>
      <c r="O3" s="20" t="s">
        <v>108</v>
      </c>
      <c r="P3" s="20" t="s">
        <v>109</v>
      </c>
      <c r="Q3" s="20" t="s">
        <v>110</v>
      </c>
      <c r="R3" s="3"/>
      <c r="S3" s="3"/>
      <c r="T3" s="3"/>
      <c r="U3" s="3"/>
      <c r="V3" s="3"/>
      <c r="W3" s="3"/>
      <c r="X3" s="3"/>
      <c r="Y3" s="3"/>
      <c r="Z3" s="3"/>
    </row>
    <row r="4" customFormat="false" ht="15" hidden="false" customHeight="false" outlineLevel="0" collapsed="false">
      <c r="A4" s="7" t="s">
        <v>85</v>
      </c>
      <c r="B4" s="7" t="n">
        <v>2026</v>
      </c>
      <c r="C4" s="7" t="n">
        <f aca="false">Premissas!B28</f>
        <v>2027</v>
      </c>
      <c r="D4" s="7" t="n">
        <f aca="false">Premissas!B29</f>
        <v>2028</v>
      </c>
      <c r="E4" s="7" t="n">
        <f aca="false">Premissas!B30</f>
        <v>2029</v>
      </c>
      <c r="F4" s="7" t="n">
        <f aca="false">Premissas!B31</f>
        <v>2030</v>
      </c>
      <c r="G4" s="7" t="n">
        <f aca="false">Premissas!B32</f>
        <v>2031</v>
      </c>
      <c r="H4" s="7" t="n">
        <f aca="false">Premissas!B33</f>
        <v>2032</v>
      </c>
      <c r="I4" s="7" t="n">
        <f aca="false">Premissas!B34</f>
        <v>2033</v>
      </c>
      <c r="J4" s="7" t="n">
        <f aca="false">Premissas!B35</f>
        <v>2034</v>
      </c>
      <c r="K4" s="7" t="n">
        <f aca="false">Premissas!B36</f>
        <v>2035</v>
      </c>
      <c r="L4" s="7" t="n">
        <f aca="false">Premissas!B37</f>
        <v>2036</v>
      </c>
      <c r="M4" s="7" t="n">
        <f aca="false">Premissas!B38</f>
        <v>2037</v>
      </c>
      <c r="N4" s="7" t="n">
        <f aca="false">Premissas!B39</f>
        <v>2038</v>
      </c>
      <c r="O4" s="7" t="n">
        <f aca="false">Premissas!B40</f>
        <v>2039</v>
      </c>
      <c r="P4" s="7" t="n">
        <f aca="false">Premissas!B41</f>
        <v>2040</v>
      </c>
      <c r="Q4" s="7" t="n">
        <f aca="false">Premissas!B42</f>
        <v>2041</v>
      </c>
      <c r="R4" s="3"/>
      <c r="S4" s="3"/>
      <c r="T4" s="3"/>
      <c r="U4" s="3"/>
      <c r="V4" s="3"/>
      <c r="W4" s="3"/>
      <c r="X4" s="3"/>
      <c r="Y4" s="3"/>
      <c r="Z4" s="3"/>
    </row>
    <row r="5" customFormat="false" ht="15" hidden="false" customHeight="false" outlineLevel="0" collapsed="false">
      <c r="A5" s="7" t="s">
        <v>111</v>
      </c>
      <c r="B5" s="9" t="n">
        <v>0</v>
      </c>
      <c r="C5" s="9" t="n">
        <f aca="false">Premissas!C28</f>
        <v>0.0429</v>
      </c>
      <c r="D5" s="9" t="n">
        <f aca="false">Premissas!C29</f>
        <v>0.038</v>
      </c>
      <c r="E5" s="9" t="n">
        <f aca="false">Premissas!C30</f>
        <v>0.035</v>
      </c>
      <c r="F5" s="9" t="n">
        <f aca="false">Premissas!C31</f>
        <v>0.03</v>
      </c>
      <c r="G5" s="9" t="n">
        <f aca="false">Premissas!C32</f>
        <v>0.03</v>
      </c>
      <c r="H5" s="9" t="n">
        <f aca="false">Premissas!C33</f>
        <v>0.03</v>
      </c>
      <c r="I5" s="9" t="n">
        <f aca="false">Premissas!C34</f>
        <v>0.03</v>
      </c>
      <c r="J5" s="9" t="n">
        <f aca="false">Premissas!C35</f>
        <v>0.03</v>
      </c>
      <c r="K5" s="9" t="n">
        <f aca="false">Premissas!C36</f>
        <v>0.03</v>
      </c>
      <c r="L5" s="9" t="n">
        <f aca="false">Premissas!C37</f>
        <v>0.03</v>
      </c>
      <c r="M5" s="9" t="n">
        <f aca="false">Premissas!C38</f>
        <v>0.03</v>
      </c>
      <c r="N5" s="9" t="n">
        <f aca="false">Premissas!C39</f>
        <v>0.03</v>
      </c>
      <c r="O5" s="9" t="n">
        <f aca="false">Premissas!C40</f>
        <v>0.03</v>
      </c>
      <c r="P5" s="9" t="n">
        <f aca="false">Premissas!C41</f>
        <v>0.03</v>
      </c>
      <c r="Q5" s="9" t="n">
        <f aca="false">Premissas!C42</f>
        <v>0.03</v>
      </c>
      <c r="R5" s="3"/>
      <c r="S5" s="3"/>
      <c r="T5" s="3"/>
      <c r="U5" s="3"/>
      <c r="V5" s="3"/>
      <c r="W5" s="3"/>
      <c r="X5" s="3"/>
      <c r="Y5" s="3"/>
      <c r="Z5" s="3"/>
    </row>
    <row r="6" customFormat="false" ht="15" hidden="false" customHeight="false" outlineLevel="0" collapsed="false">
      <c r="A6" s="7" t="s">
        <v>112</v>
      </c>
      <c r="B6" s="9" t="n">
        <v>1</v>
      </c>
      <c r="C6" s="9" t="n">
        <f aca="false">1+C5</f>
        <v>1.0429</v>
      </c>
      <c r="D6" s="9" t="n">
        <f aca="false">C6*(1+D5)</f>
        <v>1.0825302</v>
      </c>
      <c r="E6" s="9" t="n">
        <f aca="false">D6*(1+E5)</f>
        <v>1.120418757</v>
      </c>
      <c r="F6" s="9" t="n">
        <f aca="false">E6*(1+F5)</f>
        <v>1.15403131971</v>
      </c>
      <c r="G6" s="9" t="n">
        <f aca="false">F6*(1+G5)</f>
        <v>1.1886522593013</v>
      </c>
      <c r="H6" s="9" t="n">
        <f aca="false">G6*(1+H5)</f>
        <v>1.22431182708034</v>
      </c>
      <c r="I6" s="9" t="n">
        <f aca="false">H6*(1+I5)</f>
        <v>1.26104118189275</v>
      </c>
      <c r="J6" s="9" t="n">
        <f aca="false">I6*(1+J5)</f>
        <v>1.29887241734953</v>
      </c>
      <c r="K6" s="9" t="n">
        <f aca="false">J6*(1+K5)</f>
        <v>1.33783858987002</v>
      </c>
      <c r="L6" s="9" t="n">
        <f aca="false">K6*(1+L5)</f>
        <v>1.37797374756612</v>
      </c>
      <c r="M6" s="9" t="n">
        <f aca="false">L6*(1+M5)</f>
        <v>1.4193129599931</v>
      </c>
      <c r="N6" s="9" t="n">
        <f aca="false">M6*(1+N5)</f>
        <v>1.46189234879289</v>
      </c>
      <c r="O6" s="9" t="n">
        <f aca="false">N6*(1+O5)</f>
        <v>1.50574911925668</v>
      </c>
      <c r="P6" s="9" t="n">
        <f aca="false">O6*(1+P5)</f>
        <v>1.55092159283438</v>
      </c>
      <c r="Q6" s="9" t="n">
        <f aca="false">P6*(1+Q5)</f>
        <v>1.59744924061941</v>
      </c>
      <c r="R6" s="3"/>
      <c r="S6" s="3"/>
      <c r="T6" s="3"/>
      <c r="U6" s="3"/>
      <c r="V6" s="3"/>
      <c r="W6" s="3"/>
      <c r="X6" s="3"/>
      <c r="Y6" s="3"/>
      <c r="Z6" s="3"/>
    </row>
    <row r="7" customFormat="false" ht="15" hidden="false" customHeight="false" outlineLevel="0" collapsed="false">
      <c r="A7" s="7" t="s">
        <v>113</v>
      </c>
      <c r="B7" s="7" t="n">
        <v>1</v>
      </c>
      <c r="C7" s="9" t="n">
        <f aca="false">C6</f>
        <v>1.0429</v>
      </c>
      <c r="D7" s="9" t="n">
        <f aca="false">D6</f>
        <v>1.0825302</v>
      </c>
      <c r="E7" s="9" t="n">
        <f aca="false">E6</f>
        <v>1.120418757</v>
      </c>
      <c r="F7" s="9" t="n">
        <f aca="false">F6</f>
        <v>1.15403131971</v>
      </c>
      <c r="G7" s="9" t="n">
        <f aca="false">G6</f>
        <v>1.1886522593013</v>
      </c>
      <c r="H7" s="9" t="n">
        <f aca="false">H6</f>
        <v>1.22431182708034</v>
      </c>
      <c r="I7" s="9" t="n">
        <f aca="false">I6</f>
        <v>1.26104118189275</v>
      </c>
      <c r="J7" s="9" t="n">
        <f aca="false">J6</f>
        <v>1.29887241734953</v>
      </c>
      <c r="K7" s="9" t="n">
        <f aca="false">K6</f>
        <v>1.33783858987002</v>
      </c>
      <c r="L7" s="9" t="n">
        <f aca="false">L6</f>
        <v>1.37797374756612</v>
      </c>
      <c r="M7" s="9" t="n">
        <f aca="false">M6</f>
        <v>1.4193129599931</v>
      </c>
      <c r="N7" s="9" t="n">
        <f aca="false">N6</f>
        <v>1.46189234879289</v>
      </c>
      <c r="O7" s="9" t="n">
        <f aca="false">O6</f>
        <v>1.50574911925668</v>
      </c>
      <c r="P7" s="9" t="n">
        <f aca="false">P6</f>
        <v>1.55092159283438</v>
      </c>
      <c r="Q7" s="7" t="n">
        <f aca="false">Q6</f>
        <v>1.59744924061941</v>
      </c>
      <c r="R7" s="3"/>
      <c r="S7" s="3"/>
      <c r="T7" s="3"/>
      <c r="U7" s="3"/>
      <c r="V7" s="3"/>
      <c r="W7" s="3"/>
      <c r="X7" s="3"/>
      <c r="Y7" s="3"/>
      <c r="Z7" s="3"/>
    </row>
    <row r="8" customFormat="false" ht="15" hidden="false" customHeight="false" outlineLevel="0" collapsed="false">
      <c r="A8" s="21" t="s">
        <v>114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3"/>
      <c r="S8" s="3"/>
      <c r="T8" s="3"/>
      <c r="U8" s="3"/>
      <c r="V8" s="3"/>
      <c r="W8" s="3"/>
      <c r="X8" s="3"/>
      <c r="Y8" s="3"/>
      <c r="Z8" s="3"/>
    </row>
    <row r="9" customFormat="false" ht="15" hidden="false" customHeight="false" outlineLevel="0" collapsed="false">
      <c r="A9" s="7" t="s">
        <v>115</v>
      </c>
      <c r="B9" s="22"/>
      <c r="C9" s="22" t="n">
        <f aca="false">Premissas!C19*12</f>
        <v>8424000</v>
      </c>
      <c r="D9" s="22" t="n">
        <f aca="false">C9*(1+Premissas!$C$23)</f>
        <v>8424000</v>
      </c>
      <c r="E9" s="22" t="n">
        <f aca="false">D9*(1+Premissas!$C$23)</f>
        <v>8424000</v>
      </c>
      <c r="F9" s="22" t="n">
        <f aca="false">E9*(1+Premissas!$C$23)</f>
        <v>8424000</v>
      </c>
      <c r="G9" s="22" t="n">
        <f aca="false">F9*(1+Premissas!$C$23)</f>
        <v>8424000</v>
      </c>
      <c r="H9" s="22" t="n">
        <f aca="false">G9*(1+Premissas!$C$23)</f>
        <v>8424000</v>
      </c>
      <c r="I9" s="22" t="n">
        <f aca="false">H9*(1+Premissas!$C$23)</f>
        <v>8424000</v>
      </c>
      <c r="J9" s="22" t="n">
        <f aca="false">I9*(1+Premissas!$C$23)</f>
        <v>8424000</v>
      </c>
      <c r="K9" s="22" t="n">
        <f aca="false">J9*(1+Premissas!$C$23)</f>
        <v>8424000</v>
      </c>
      <c r="L9" s="22" t="n">
        <f aca="false">K9*(1+Premissas!$C$23)</f>
        <v>8424000</v>
      </c>
      <c r="M9" s="22" t="n">
        <f aca="false">L9*(1+Premissas!$C$23)</f>
        <v>8424000</v>
      </c>
      <c r="N9" s="22" t="n">
        <f aca="false">M9*(1+Premissas!$C$23)</f>
        <v>8424000</v>
      </c>
      <c r="O9" s="22" t="n">
        <f aca="false">N9*(1+Premissas!$C$23)</f>
        <v>8424000</v>
      </c>
      <c r="P9" s="22" t="n">
        <f aca="false">O9*(1+Premissas!$C$23)</f>
        <v>8424000</v>
      </c>
      <c r="Q9" s="22" t="n">
        <f aca="false">P9*(1+Premissas!$C$23)</f>
        <v>8424000</v>
      </c>
      <c r="R9" s="3"/>
      <c r="S9" s="3"/>
      <c r="T9" s="3"/>
      <c r="U9" s="3"/>
      <c r="V9" s="3"/>
      <c r="W9" s="3"/>
      <c r="X9" s="3"/>
      <c r="Y9" s="3"/>
      <c r="Z9" s="3"/>
    </row>
    <row r="10" customFormat="false" ht="15" hidden="false" customHeight="false" outlineLevel="0" collapsed="false">
      <c r="A10" s="7" t="s">
        <v>116</v>
      </c>
      <c r="B10" s="8"/>
      <c r="C10" s="8" t="n">
        <f aca="false">Premissas!$C$20*C7</f>
        <v>7.61317</v>
      </c>
      <c r="D10" s="8" t="n">
        <f aca="false">Premissas!$C$20*D7</f>
        <v>7.90247046</v>
      </c>
      <c r="E10" s="8" t="n">
        <f aca="false">Premissas!$C$20*E7</f>
        <v>8.1790569261</v>
      </c>
      <c r="F10" s="8" t="n">
        <f aca="false">Premissas!$C$20*F7</f>
        <v>8.424428633883</v>
      </c>
      <c r="G10" s="8" t="n">
        <f aca="false">Premissas!$C$20*G7</f>
        <v>8.67716149289949</v>
      </c>
      <c r="H10" s="8" t="n">
        <f aca="false">Premissas!$C$20*H7</f>
        <v>8.93747633768647</v>
      </c>
      <c r="I10" s="8" t="n">
        <f aca="false">Premissas!$C$20*I7</f>
        <v>9.20560062781707</v>
      </c>
      <c r="J10" s="8" t="n">
        <f aca="false">Premissas!$C$20*J7</f>
        <v>9.48176864665158</v>
      </c>
      <c r="K10" s="8" t="n">
        <f aca="false">Premissas!$C$20*K7</f>
        <v>9.76622170605113</v>
      </c>
      <c r="L10" s="8" t="n">
        <f aca="false">Premissas!$C$20*L7</f>
        <v>10.0592083572327</v>
      </c>
      <c r="M10" s="8" t="n">
        <f aca="false">Premissas!$C$20*M7</f>
        <v>10.3609846079496</v>
      </c>
      <c r="N10" s="8" t="n">
        <f aca="false">Premissas!$C$20*N7</f>
        <v>10.6718141461881</v>
      </c>
      <c r="O10" s="8" t="n">
        <f aca="false">Premissas!$C$20*O7</f>
        <v>10.9919685705738</v>
      </c>
      <c r="P10" s="8" t="n">
        <f aca="false">Premissas!$C$20*P7</f>
        <v>11.321727627691</v>
      </c>
      <c r="Q10" s="8" t="n">
        <f aca="false">Premissas!$C$20*Q7</f>
        <v>11.6613794565217</v>
      </c>
      <c r="R10" s="3"/>
      <c r="S10" s="3"/>
      <c r="T10" s="3"/>
      <c r="U10" s="3"/>
      <c r="V10" s="3"/>
      <c r="W10" s="3"/>
      <c r="X10" s="3"/>
      <c r="Y10" s="3"/>
      <c r="Z10" s="3"/>
    </row>
    <row r="11" customFormat="false" ht="15" hidden="false" customHeight="false" outlineLevel="0" collapsed="false">
      <c r="A11" s="7" t="s">
        <v>117</v>
      </c>
      <c r="B11" s="8"/>
      <c r="C11" s="8" t="n">
        <f aca="false">C9*C10</f>
        <v>64133344.08</v>
      </c>
      <c r="D11" s="8" t="n">
        <f aca="false">D9*D10</f>
        <v>66570411.15504</v>
      </c>
      <c r="E11" s="8" t="n">
        <f aca="false">E9*E10</f>
        <v>68900375.5454664</v>
      </c>
      <c r="F11" s="8" t="n">
        <f aca="false">F9*F10</f>
        <v>70967386.8118304</v>
      </c>
      <c r="G11" s="8" t="n">
        <f aca="false">G9*G10</f>
        <v>73096408.4161853</v>
      </c>
      <c r="H11" s="8" t="n">
        <f aca="false">H9*H10</f>
        <v>75289300.6686709</v>
      </c>
      <c r="I11" s="8" t="n">
        <f aca="false">I9*I10</f>
        <v>77547979.688731</v>
      </c>
      <c r="J11" s="8" t="n">
        <f aca="false">J9*J10</f>
        <v>79874419.0793929</v>
      </c>
      <c r="K11" s="8" t="n">
        <f aca="false">K9*K10</f>
        <v>82270651.6517747</v>
      </c>
      <c r="L11" s="8" t="n">
        <f aca="false">L9*L10</f>
        <v>84738771.2013279</v>
      </c>
      <c r="M11" s="8" t="n">
        <f aca="false">M9*M10</f>
        <v>87280934.3373678</v>
      </c>
      <c r="N11" s="8" t="n">
        <f aca="false">N9*N10</f>
        <v>89899362.3674888</v>
      </c>
      <c r="O11" s="8" t="n">
        <f aca="false">O9*O10</f>
        <v>92596343.2385135</v>
      </c>
      <c r="P11" s="8" t="n">
        <f aca="false">P9*P10</f>
        <v>95374233.5356689</v>
      </c>
      <c r="Q11" s="8" t="n">
        <f aca="false">Q9*Q10</f>
        <v>98235460.541739</v>
      </c>
      <c r="R11" s="23" t="n">
        <f aca="false">SUM(H11:Q11)</f>
        <v>863107456.310675</v>
      </c>
      <c r="S11" s="3"/>
      <c r="T11" s="3"/>
      <c r="U11" s="3"/>
      <c r="V11" s="3"/>
      <c r="W11" s="3"/>
      <c r="X11" s="3"/>
      <c r="Y11" s="3"/>
      <c r="Z11" s="3"/>
    </row>
    <row r="12" customFormat="false" ht="15" hidden="false" customHeight="false" outlineLevel="0" collapsed="false">
      <c r="A12" s="7" t="s">
        <v>118</v>
      </c>
      <c r="B12" s="8"/>
      <c r="C12" s="8" t="n">
        <f aca="false">Premissas!$C$21*12*C7</f>
        <v>6757992</v>
      </c>
      <c r="D12" s="8" t="n">
        <f aca="false">Premissas!$C$21*12*D7</f>
        <v>7014795.696</v>
      </c>
      <c r="E12" s="8" t="n">
        <f aca="false">Premissas!$C$21*12*E7</f>
        <v>7260313.54536</v>
      </c>
      <c r="F12" s="8" t="n">
        <f aca="false">Premissas!$C$21*12*F7</f>
        <v>7478122.9517208</v>
      </c>
      <c r="G12" s="8" t="n">
        <f aca="false">Premissas!$C$21*12*G7</f>
        <v>7702466.64027242</v>
      </c>
      <c r="H12" s="8" t="n">
        <f aca="false">Premissas!$C$21*12*H7</f>
        <v>7933540.6394806</v>
      </c>
      <c r="I12" s="8" t="n">
        <f aca="false">Premissas!$C$21*12*I7</f>
        <v>8171546.85866501</v>
      </c>
      <c r="J12" s="8" t="n">
        <f aca="false">Premissas!$C$21*12*J7</f>
        <v>8416693.26442496</v>
      </c>
      <c r="K12" s="8" t="n">
        <f aca="false">Premissas!$C$21*12*K7</f>
        <v>8669194.06235771</v>
      </c>
      <c r="L12" s="8" t="n">
        <f aca="false">Premissas!$C$21*12*L7</f>
        <v>8929269.88422845</v>
      </c>
      <c r="M12" s="8" t="n">
        <f aca="false">Premissas!$C$21*12*M7</f>
        <v>9197147.9807553</v>
      </c>
      <c r="N12" s="8" t="n">
        <f aca="false">Premissas!$C$21*12*N7</f>
        <v>9473062.42017796</v>
      </c>
      <c r="O12" s="8" t="n">
        <f aca="false">Premissas!$C$21*12*O7</f>
        <v>9757254.2927833</v>
      </c>
      <c r="P12" s="8" t="n">
        <f aca="false">Premissas!$C$21*12*P7</f>
        <v>10049971.9215668</v>
      </c>
      <c r="Q12" s="8" t="n">
        <f aca="false">Premissas!$C$21*12*Q7</f>
        <v>10351471.0792138</v>
      </c>
      <c r="R12" s="23" t="n">
        <f aca="false">SUM(C12:Q12)</f>
        <v>127162843.237007</v>
      </c>
      <c r="S12" s="3"/>
      <c r="T12" s="3"/>
      <c r="U12" s="3"/>
      <c r="V12" s="3"/>
      <c r="W12" s="3"/>
      <c r="X12" s="3"/>
      <c r="Y12" s="3"/>
      <c r="Z12" s="3"/>
    </row>
    <row r="13" customFormat="false" ht="15" hidden="false" customHeight="false" outlineLevel="0" collapsed="false">
      <c r="A13" s="7" t="s">
        <v>119</v>
      </c>
      <c r="B13" s="8"/>
      <c r="C13" s="8" t="n">
        <f aca="false">SUM(C11:C12)</f>
        <v>70891336.08</v>
      </c>
      <c r="D13" s="8" t="n">
        <f aca="false">SUM(D11:D12)</f>
        <v>73585206.85104</v>
      </c>
      <c r="E13" s="8" t="n">
        <f aca="false">SUM(E11:E12)</f>
        <v>76160689.0908264</v>
      </c>
      <c r="F13" s="8" t="n">
        <f aca="false">SUM(F11:F12)</f>
        <v>78445509.7635512</v>
      </c>
      <c r="G13" s="8" t="n">
        <f aca="false">SUM(G11:G12)</f>
        <v>80798875.0564577</v>
      </c>
      <c r="H13" s="8" t="n">
        <f aca="false">SUM(H11:H12)</f>
        <v>83222841.3081514</v>
      </c>
      <c r="I13" s="8" t="n">
        <f aca="false">SUM(I11:I12)</f>
        <v>85719526.547396</v>
      </c>
      <c r="J13" s="8" t="n">
        <f aca="false">SUM(J11:J12)</f>
        <v>88291112.3438179</v>
      </c>
      <c r="K13" s="8" t="n">
        <f aca="false">SUM(K11:K12)</f>
        <v>90939845.7141324</v>
      </c>
      <c r="L13" s="8" t="n">
        <f aca="false">SUM(L11:L12)</f>
        <v>93668041.0855564</v>
      </c>
      <c r="M13" s="8" t="n">
        <f aca="false">SUM(M11:M12)</f>
        <v>96478082.3181231</v>
      </c>
      <c r="N13" s="8" t="n">
        <f aca="false">SUM(N11:N12)</f>
        <v>99372424.7876668</v>
      </c>
      <c r="O13" s="8" t="n">
        <f aca="false">SUM(O11:O12)</f>
        <v>102353597.531297</v>
      </c>
      <c r="P13" s="8" t="n">
        <f aca="false">SUM(P11:P12)</f>
        <v>105424205.457236</v>
      </c>
      <c r="Q13" s="8" t="n">
        <f aca="false">SUM(Q11:Q12)</f>
        <v>108586931.620953</v>
      </c>
      <c r="R13" s="3"/>
      <c r="S13" s="3"/>
      <c r="T13" s="3"/>
      <c r="U13" s="3"/>
      <c r="V13" s="3"/>
      <c r="W13" s="3"/>
      <c r="X13" s="3"/>
      <c r="Y13" s="3"/>
      <c r="Z13" s="3"/>
    </row>
    <row r="14" customFormat="false" ht="15" hidden="false" customHeight="false" outlineLevel="0" collapsed="false">
      <c r="A14" s="7" t="s">
        <v>120</v>
      </c>
      <c r="B14" s="8"/>
      <c r="C14" s="8" t="n">
        <f aca="false">Premissas!$C$22*12*C7</f>
        <v>77703007.248474</v>
      </c>
      <c r="D14" s="8" t="n">
        <f aca="false">Premissas!$C$22*12*D7</f>
        <v>80655721.523916</v>
      </c>
      <c r="E14" s="8" t="n">
        <f aca="false">Premissas!$C$22*12*E7</f>
        <v>83478671.7772531</v>
      </c>
      <c r="F14" s="8" t="n">
        <f aca="false">Premissas!$C$22*12*F7</f>
        <v>85983031.9305707</v>
      </c>
      <c r="G14" s="8" t="n">
        <f aca="false">Premissas!$C$22*12*G7</f>
        <v>88562522.8884878</v>
      </c>
      <c r="H14" s="8" t="n">
        <f aca="false">Premissas!$C$22*12*H7</f>
        <v>91219398.5751424</v>
      </c>
      <c r="I14" s="8" t="n">
        <f aca="false">Premissas!$C$22*12*I7</f>
        <v>93955980.5323967</v>
      </c>
      <c r="J14" s="8" t="n">
        <f aca="false">Premissas!$C$22*12*J7</f>
        <v>96774659.9483686</v>
      </c>
      <c r="K14" s="8" t="n">
        <f aca="false">Premissas!$C$22*12*K7</f>
        <v>99677899.7468196</v>
      </c>
      <c r="L14" s="8" t="n">
        <f aca="false">Premissas!$C$22*12*L7</f>
        <v>102668236.739224</v>
      </c>
      <c r="M14" s="8" t="n">
        <f aca="false">Premissas!$C$22*12*M7</f>
        <v>105748283.841401</v>
      </c>
      <c r="N14" s="8" t="n">
        <f aca="false">Premissas!$C$22*12*N7</f>
        <v>108920732.356643</v>
      </c>
      <c r="O14" s="8" t="n">
        <f aca="false">Premissas!$C$22*12*O7</f>
        <v>112188354.327342</v>
      </c>
      <c r="P14" s="8" t="n">
        <f aca="false">Premissas!$C$22*12*P7</f>
        <v>115554004.957163</v>
      </c>
      <c r="Q14" s="8" t="n">
        <f aca="false">Premissas!$C$22*12*Q7</f>
        <v>119020625.105877</v>
      </c>
      <c r="R14" s="8" t="n">
        <f aca="false">SUM(C14:Q14)</f>
        <v>1462111131.49908</v>
      </c>
      <c r="S14" s="8" t="n">
        <f aca="false">SUM(D14:R14)</f>
        <v>2846519255.74968</v>
      </c>
      <c r="T14" s="3"/>
      <c r="U14" s="3"/>
      <c r="V14" s="3"/>
      <c r="W14" s="3"/>
      <c r="X14" s="3"/>
      <c r="Y14" s="3"/>
      <c r="Z14" s="3"/>
    </row>
    <row r="15" customFormat="false" ht="15" hidden="false" customHeight="false" outlineLevel="0" collapsed="false">
      <c r="A15" s="6" t="s">
        <v>11</v>
      </c>
      <c r="B15" s="24"/>
      <c r="C15" s="24" t="n">
        <f aca="false">C13-C14</f>
        <v>-6811671.16847402</v>
      </c>
      <c r="D15" s="24" t="n">
        <f aca="false">D13-D14</f>
        <v>-7070514.67287602</v>
      </c>
      <c r="E15" s="24" t="n">
        <f aca="false">E13-E14</f>
        <v>-7317982.68642667</v>
      </c>
      <c r="F15" s="24" t="n">
        <f aca="false">F13-F14</f>
        <v>-7537522.16701949</v>
      </c>
      <c r="G15" s="24" t="n">
        <f aca="false">G13-G14</f>
        <v>-7763647.83203006</v>
      </c>
      <c r="H15" s="24" t="n">
        <f aca="false">H13-H14</f>
        <v>-7996557.26699098</v>
      </c>
      <c r="I15" s="24" t="n">
        <f aca="false">I13-I14</f>
        <v>-8236453.98500069</v>
      </c>
      <c r="J15" s="24" t="n">
        <f aca="false">J13-J14</f>
        <v>-8483547.6045507</v>
      </c>
      <c r="K15" s="24" t="n">
        <f aca="false">K13-K14</f>
        <v>-8738054.03268723</v>
      </c>
      <c r="L15" s="24" t="n">
        <f aca="false">L13-L14</f>
        <v>-9000195.65366785</v>
      </c>
      <c r="M15" s="24" t="n">
        <f aca="false">M13-M14</f>
        <v>-9270201.52327789</v>
      </c>
      <c r="N15" s="24" t="n">
        <f aca="false">N13-N14</f>
        <v>-9548307.56897624</v>
      </c>
      <c r="O15" s="24" t="n">
        <f aca="false">O13-O14</f>
        <v>-9834756.79604551</v>
      </c>
      <c r="P15" s="24" t="n">
        <f aca="false">P13-P14</f>
        <v>-10129799.4999269</v>
      </c>
      <c r="Q15" s="24" t="n">
        <f aca="false">Q13-Q14</f>
        <v>-10433693.4849247</v>
      </c>
      <c r="R15" s="3"/>
      <c r="S15" s="3"/>
      <c r="T15" s="3"/>
      <c r="U15" s="3"/>
      <c r="V15" s="3"/>
      <c r="W15" s="3"/>
      <c r="X15" s="3"/>
      <c r="Y15" s="3"/>
      <c r="Z15" s="3"/>
    </row>
    <row r="16" customFormat="false" ht="15" hidden="false" customHeight="false" outlineLevel="0" collapsed="false">
      <c r="A16" s="21" t="s">
        <v>121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3"/>
      <c r="S16" s="3"/>
      <c r="T16" s="3"/>
      <c r="U16" s="3"/>
      <c r="V16" s="3"/>
      <c r="W16" s="3"/>
      <c r="X16" s="3"/>
      <c r="Y16" s="3"/>
      <c r="Z16" s="3"/>
    </row>
    <row r="17" customFormat="false" ht="15" hidden="false" customHeight="false" outlineLevel="0" collapsed="false">
      <c r="A17" s="7" t="s">
        <v>122</v>
      </c>
      <c r="B17" s="8"/>
      <c r="C17" s="8" t="n">
        <f aca="false">(Premissas!$C$8*12+SUM(Premissas!$I$4:$I$6))*C7</f>
        <v>10487402.4</v>
      </c>
      <c r="D17" s="8" t="n">
        <f aca="false">(Premissas!$C$8*12+SUM(Premissas!$I$4:$I$6))*D7</f>
        <v>10885923.6912</v>
      </c>
      <c r="E17" s="8" t="n">
        <f aca="false">(Premissas!$C$8*12+SUM(Premissas!$I$4:$I$6))*E7</f>
        <v>11266931.020392</v>
      </c>
      <c r="F17" s="8" t="n">
        <f aca="false">(Premissas!$C$8*12+SUM(Premissas!$I$4:$I$6))*F7</f>
        <v>11604938.9510038</v>
      </c>
      <c r="G17" s="8" t="n">
        <f aca="false">(Premissas!$C$8*12+SUM(Premissas!$I$4:$I$6))*G7</f>
        <v>11953087.1195339</v>
      </c>
      <c r="H17" s="8" t="n">
        <f aca="false">(Premissas!$C$8*12+SUM(Premissas!$I$4:$I$6))*H7</f>
        <v>12311679.7331199</v>
      </c>
      <c r="I17" s="8" t="n">
        <f aca="false">(Premissas!$C$8*12+SUM(Premissas!$I$4:$I$6))*I7</f>
        <v>12681030.1251135</v>
      </c>
      <c r="J17" s="8" t="n">
        <f aca="false">(Premissas!$C$8*12+SUM(Premissas!$I$4:$I$6))*J7</f>
        <v>13061461.0288669</v>
      </c>
      <c r="K17" s="8" t="n">
        <f aca="false">(Premissas!$C$8*12+SUM(Premissas!$I$4:$I$6))*K7</f>
        <v>13453304.8597329</v>
      </c>
      <c r="L17" s="8" t="n">
        <f aca="false">(Premissas!$C$8*12+SUM(Premissas!$I$4:$I$6))*L7</f>
        <v>13856904.0055249</v>
      </c>
      <c r="M17" s="8" t="n">
        <f aca="false">(Premissas!$C$8*12+SUM(Premissas!$I$4:$I$6))*M7</f>
        <v>14272611.1256906</v>
      </c>
      <c r="N17" s="8" t="n">
        <f aca="false">(Premissas!$C$8*12+SUM(Premissas!$I$4:$I$6))*N7</f>
        <v>14700789.4594614</v>
      </c>
      <c r="O17" s="8" t="n">
        <f aca="false">(Premissas!$C$8*12+SUM(Premissas!$I$4:$I$6))*O7</f>
        <v>15141813.1432452</v>
      </c>
      <c r="P17" s="8" t="n">
        <f aca="false">(Premissas!$C$8*12+SUM(Premissas!$I$4:$I$6))*P7</f>
        <v>15596067.5375425</v>
      </c>
      <c r="Q17" s="8" t="n">
        <f aca="false">(Premissas!$C$8*12+SUM(Premissas!$I$4:$I$6))*Q7</f>
        <v>16063949.5636688</v>
      </c>
      <c r="R17" s="23" t="n">
        <f aca="false">SUM(C17:Q17)</f>
        <v>197337893.764096</v>
      </c>
      <c r="S17" s="3"/>
      <c r="T17" s="3"/>
      <c r="U17" s="3"/>
      <c r="V17" s="3"/>
      <c r="W17" s="3"/>
      <c r="X17" s="3"/>
      <c r="Y17" s="3"/>
      <c r="Z17" s="3"/>
    </row>
    <row r="18" customFormat="false" ht="15" hidden="false" customHeight="false" outlineLevel="0" collapsed="false">
      <c r="A18" s="7" t="s">
        <v>123</v>
      </c>
      <c r="B18" s="8"/>
      <c r="C18" s="8" t="n">
        <f aca="false">-C17*Premissas!$C$9</f>
        <v>-2097480.48</v>
      </c>
      <c r="D18" s="8" t="n">
        <f aca="false">-D17*Premissas!$C$9</f>
        <v>-2177184.73824</v>
      </c>
      <c r="E18" s="8" t="n">
        <f aca="false">-E17*Premissas!$C$9</f>
        <v>-2253386.2040784</v>
      </c>
      <c r="F18" s="8" t="n">
        <f aca="false">-F17*Premissas!$C$9</f>
        <v>-2320987.79020075</v>
      </c>
      <c r="G18" s="8" t="n">
        <f aca="false">-G17*Premissas!$C$9</f>
        <v>-2390617.42390677</v>
      </c>
      <c r="H18" s="8" t="n">
        <f aca="false">-H17*Premissas!$C$9</f>
        <v>-2462335.94662398</v>
      </c>
      <c r="I18" s="8" t="n">
        <f aca="false">-I17*Premissas!$C$9</f>
        <v>-2536206.0250227</v>
      </c>
      <c r="J18" s="8" t="n">
        <f aca="false">-J17*Premissas!$C$9</f>
        <v>-2612292.20577338</v>
      </c>
      <c r="K18" s="8" t="n">
        <f aca="false">-K17*Premissas!$C$9</f>
        <v>-2690660.97194658</v>
      </c>
      <c r="L18" s="8" t="n">
        <f aca="false">-L17*Premissas!$C$9</f>
        <v>-2771380.80110498</v>
      </c>
      <c r="M18" s="8" t="n">
        <f aca="false">-M17*Premissas!$C$9</f>
        <v>-2854522.22513813</v>
      </c>
      <c r="N18" s="8" t="n">
        <f aca="false">-N17*Premissas!$C$9</f>
        <v>-2940157.89189227</v>
      </c>
      <c r="O18" s="8" t="n">
        <f aca="false">-O17*Premissas!$C$9</f>
        <v>-3028362.62864904</v>
      </c>
      <c r="P18" s="8" t="n">
        <f aca="false">-P17*Premissas!$C$9</f>
        <v>-3119213.50750851</v>
      </c>
      <c r="Q18" s="8" t="n">
        <f aca="false">-Q17*Premissas!$C$9</f>
        <v>-3212789.91273377</v>
      </c>
      <c r="R18" s="3"/>
      <c r="S18" s="3"/>
      <c r="T18" s="3"/>
      <c r="U18" s="3"/>
      <c r="V18" s="3"/>
      <c r="W18" s="3"/>
      <c r="X18" s="3"/>
      <c r="Y18" s="3"/>
      <c r="Z18" s="3"/>
    </row>
    <row r="19" customFormat="false" ht="15" hidden="false" customHeight="false" outlineLevel="0" collapsed="false">
      <c r="A19" s="7" t="s">
        <v>124</v>
      </c>
      <c r="B19" s="8"/>
      <c r="C19" s="8" t="n">
        <f aca="false">SUM(C17:C18)</f>
        <v>8389921.92</v>
      </c>
      <c r="D19" s="8" t="n">
        <f aca="false">SUM(D17:D18)</f>
        <v>8708738.95296</v>
      </c>
      <c r="E19" s="8" t="n">
        <f aca="false">SUM(E17:E18)</f>
        <v>9013544.8163136</v>
      </c>
      <c r="F19" s="8" t="n">
        <f aca="false">SUM(F17:F18)</f>
        <v>9283951.16080301</v>
      </c>
      <c r="G19" s="8" t="n">
        <f aca="false">SUM(G17:G18)</f>
        <v>9562469.6956271</v>
      </c>
      <c r="H19" s="8" t="n">
        <f aca="false">SUM(H17:H18)</f>
        <v>9849343.78649591</v>
      </c>
      <c r="I19" s="8" t="n">
        <f aca="false">SUM(I17:I18)</f>
        <v>10144824.1000908</v>
      </c>
      <c r="J19" s="8" t="n">
        <f aca="false">SUM(J17:J18)</f>
        <v>10449168.8230935</v>
      </c>
      <c r="K19" s="8" t="n">
        <f aca="false">SUM(K17:K18)</f>
        <v>10762643.8877863</v>
      </c>
      <c r="L19" s="8" t="n">
        <f aca="false">SUM(L17:L18)</f>
        <v>11085523.2044199</v>
      </c>
      <c r="M19" s="8" t="n">
        <f aca="false">SUM(M17:M18)</f>
        <v>11418088.9005525</v>
      </c>
      <c r="N19" s="8" t="n">
        <f aca="false">SUM(N17:N18)</f>
        <v>11760631.5675691</v>
      </c>
      <c r="O19" s="8" t="n">
        <f aca="false">SUM(O17:O18)</f>
        <v>12113450.5145962</v>
      </c>
      <c r="P19" s="8" t="n">
        <f aca="false">SUM(P17:P18)</f>
        <v>12476854.030034</v>
      </c>
      <c r="Q19" s="8" t="n">
        <f aca="false">SUM(Q17:Q18)</f>
        <v>12851159.6509351</v>
      </c>
      <c r="R19" s="3"/>
      <c r="S19" s="3"/>
      <c r="T19" s="3"/>
      <c r="U19" s="3"/>
      <c r="V19" s="3"/>
      <c r="W19" s="3"/>
      <c r="X19" s="3"/>
      <c r="Y19" s="3"/>
      <c r="Z19" s="3"/>
    </row>
    <row r="20" customFormat="false" ht="12.8" hidden="false" customHeight="false" outlineLevel="0" collapsed="false">
      <c r="A20" s="7" t="s">
        <v>125</v>
      </c>
      <c r="B20" s="8"/>
      <c r="C20" s="8" t="n">
        <f aca="false">-SUM(Premissas!$C$10:$C$15)*C7</f>
        <v>-206184.416984</v>
      </c>
      <c r="D20" s="8" t="n">
        <f aca="false">-SUM(Premissas!$C$10:$C$15)*D7</f>
        <v>-214019.424829392</v>
      </c>
      <c r="E20" s="8" t="n">
        <f aca="false">-SUM(Premissas!$C$10:$C$15)*E7</f>
        <v>-221510.104698421</v>
      </c>
      <c r="F20" s="8" t="n">
        <f aca="false">-SUM(Premissas!$C$10:$C$15)*F7</f>
        <v>-228155.407839373</v>
      </c>
      <c r="G20" s="8" t="n">
        <f aca="false">-SUM(Premissas!$C$10:$C$15)*G7</f>
        <v>-235000.070074555</v>
      </c>
      <c r="H20" s="8" t="n">
        <f aca="false">-SUM(Premissas!$C$10:$C$15)*H7</f>
        <v>-242050.072176791</v>
      </c>
      <c r="I20" s="8" t="n">
        <f aca="false">-SUM(Premissas!$C$10:$C$15)*I7</f>
        <v>-249311.574342095</v>
      </c>
      <c r="J20" s="8" t="n">
        <f aca="false">-SUM(Premissas!$C$10:$C$15)*J7</f>
        <v>-256790.921572358</v>
      </c>
      <c r="K20" s="8" t="n">
        <f aca="false">-SUM(Premissas!$C$10:$C$15)*K7</f>
        <v>-264494.649219528</v>
      </c>
      <c r="L20" s="8" t="n">
        <f aca="false">-SUM(Premissas!$C$10:$C$15)*L7</f>
        <v>-272429.488696114</v>
      </c>
      <c r="M20" s="8" t="n">
        <f aca="false">-SUM(Premissas!$C$10:$C$15)*M7</f>
        <v>-280602.373356998</v>
      </c>
      <c r="N20" s="8" t="n">
        <f aca="false">-SUM(Premissas!$C$10:$C$15)*N7</f>
        <v>-289020.444557708</v>
      </c>
      <c r="O20" s="8" t="n">
        <f aca="false">-SUM(Premissas!$C$10:$C$15)*O7</f>
        <v>-297691.057894439</v>
      </c>
      <c r="P20" s="8" t="n">
        <f aca="false">-SUM(Premissas!$C$10:$C$15)*P7</f>
        <v>-306621.789631272</v>
      </c>
      <c r="Q20" s="8" t="n">
        <f aca="false">-SUM(Premissas!$C$10:$C$15)*Q7</f>
        <v>-315820.44332021</v>
      </c>
      <c r="R20" s="23" t="n">
        <f aca="false">SUM(C20:Q20)</f>
        <v>-3879702.23919325</v>
      </c>
      <c r="S20" s="23" t="n">
        <f aca="false">-(R20)</f>
        <v>3879702.23919325</v>
      </c>
      <c r="T20" s="3"/>
      <c r="U20" s="3"/>
      <c r="V20" s="3"/>
      <c r="W20" s="3"/>
      <c r="X20" s="3"/>
      <c r="Y20" s="3"/>
      <c r="Z20" s="3"/>
    </row>
    <row r="21" customFormat="false" ht="12.8" hidden="false" customHeight="false" outlineLevel="0" collapsed="false">
      <c r="A21" s="7" t="s">
        <v>126</v>
      </c>
      <c r="B21" s="8"/>
      <c r="C21" s="8" t="n">
        <f aca="false">-Premissas!$C$16*12*C7</f>
        <v>-300355.2</v>
      </c>
      <c r="D21" s="8" t="n">
        <f aca="false">-Premissas!$C$16*12*D7</f>
        <v>-311768.6976</v>
      </c>
      <c r="E21" s="8" t="n">
        <f aca="false">-Premissas!$C$16*12*E7</f>
        <v>-322680.602016</v>
      </c>
      <c r="F21" s="8" t="n">
        <f aca="false">-Premissas!$C$16*12*F7</f>
        <v>-332361.02007648</v>
      </c>
      <c r="G21" s="8" t="n">
        <f aca="false">-Premissas!$C$16*12*G7</f>
        <v>-342331.850678774</v>
      </c>
      <c r="H21" s="8" t="n">
        <f aca="false">-Premissas!$C$16*12*H7</f>
        <v>-352601.806199138</v>
      </c>
      <c r="I21" s="8" t="n">
        <f aca="false">-Premissas!$C$16*12*I7</f>
        <v>-363179.860385112</v>
      </c>
      <c r="J21" s="8" t="n">
        <f aca="false">-Premissas!$C$16*12*J7</f>
        <v>-374075.256196665</v>
      </c>
      <c r="K21" s="8" t="n">
        <f aca="false">-Premissas!$C$16*12*K7</f>
        <v>-385297.513882565</v>
      </c>
      <c r="L21" s="8" t="n">
        <f aca="false">-Premissas!$C$16*12*L7</f>
        <v>-396856.439299042</v>
      </c>
      <c r="M21" s="8" t="n">
        <f aca="false">-Premissas!$C$16*12*M7</f>
        <v>-408762.132478013</v>
      </c>
      <c r="N21" s="8" t="n">
        <f aca="false">-Premissas!$C$16*12*N7</f>
        <v>-421024.996452354</v>
      </c>
      <c r="O21" s="8" t="n">
        <f aca="false">-Premissas!$C$16*12*O7</f>
        <v>-433655.746345924</v>
      </c>
      <c r="P21" s="8" t="n">
        <f aca="false">-Premissas!$C$16*12*P7</f>
        <v>-446665.418736302</v>
      </c>
      <c r="Q21" s="8" t="n">
        <f aca="false">-Premissas!$C$16*12*Q7</f>
        <v>-460065.381298391</v>
      </c>
      <c r="R21" s="23" t="n">
        <f aca="false">SUM(C21:Q21)</f>
        <v>-5651681.92164476</v>
      </c>
      <c r="S21" s="23" t="n">
        <f aca="false">-(R21)</f>
        <v>5651681.92164476</v>
      </c>
      <c r="T21" s="3"/>
      <c r="U21" s="3"/>
      <c r="V21" s="3"/>
      <c r="W21" s="3"/>
      <c r="X21" s="3"/>
      <c r="Y21" s="3"/>
      <c r="Z21" s="3"/>
    </row>
    <row r="22" customFormat="false" ht="12.8" hidden="false" customHeight="false" outlineLevel="0" collapsed="false">
      <c r="A22" s="7" t="s">
        <v>127</v>
      </c>
      <c r="B22" s="8"/>
      <c r="C22" s="8" t="n">
        <f aca="false">-Premissas!$C$17*12*C7</f>
        <v>-450532.8</v>
      </c>
      <c r="D22" s="8" t="n">
        <f aca="false">-Premissas!$C$17*12*D7</f>
        <v>-467653.0464</v>
      </c>
      <c r="E22" s="8" t="n">
        <f aca="false">-Premissas!$C$17*12*E7</f>
        <v>-484020.903024</v>
      </c>
      <c r="F22" s="8" t="n">
        <f aca="false">-Premissas!$C$17*12*F7</f>
        <v>-498541.53011472</v>
      </c>
      <c r="G22" s="8" t="n">
        <f aca="false">-Premissas!$C$17*12*G7</f>
        <v>-513497.776018162</v>
      </c>
      <c r="H22" s="8" t="n">
        <f aca="false">-Premissas!$C$17*12*H7</f>
        <v>-528902.709298706</v>
      </c>
      <c r="I22" s="8" t="n">
        <f aca="false">-Premissas!$C$17*12*I7</f>
        <v>-544769.790577668</v>
      </c>
      <c r="J22" s="8" t="n">
        <f aca="false">-Premissas!$C$17*12*J7</f>
        <v>-561112.884294998</v>
      </c>
      <c r="K22" s="8" t="n">
        <f aca="false">-Premissas!$C$17*12*K7</f>
        <v>-577946.270823848</v>
      </c>
      <c r="L22" s="8" t="n">
        <f aca="false">-Premissas!$C$17*12*L7</f>
        <v>-595284.658948563</v>
      </c>
      <c r="M22" s="8" t="n">
        <f aca="false">-Premissas!$C$17*12*M7</f>
        <v>-613143.19871702</v>
      </c>
      <c r="N22" s="8" t="n">
        <f aca="false">-Premissas!$C$17*12*N7</f>
        <v>-631537.494678531</v>
      </c>
      <c r="O22" s="8" t="n">
        <f aca="false">-Premissas!$C$17*12*O7</f>
        <v>-650483.619518886</v>
      </c>
      <c r="P22" s="8" t="n">
        <f aca="false">-Premissas!$C$17*12*P7</f>
        <v>-669998.128104453</v>
      </c>
      <c r="Q22" s="8" t="n">
        <f aca="false">-Premissas!$C$17*12*Q7</f>
        <v>-690098.071947587</v>
      </c>
      <c r="R22" s="23" t="n">
        <f aca="false">SUM(H22:Q22)</f>
        <v>-6063276.82691026</v>
      </c>
      <c r="S22" s="23" t="n">
        <f aca="false">-(R22)</f>
        <v>6063276.82691026</v>
      </c>
      <c r="T22" s="3"/>
      <c r="U22" s="3"/>
      <c r="V22" s="3"/>
      <c r="W22" s="3"/>
      <c r="X22" s="3"/>
      <c r="Y22" s="3"/>
      <c r="Z22" s="3"/>
    </row>
    <row r="23" customFormat="false" ht="15" hidden="false" customHeight="false" outlineLevel="0" collapsed="false">
      <c r="A23" s="7" t="s">
        <v>128</v>
      </c>
      <c r="B23" s="8"/>
      <c r="C23" s="8" t="n">
        <f aca="false">-Premissas!$C$18*12*C7</f>
        <v>0</v>
      </c>
      <c r="D23" s="8" t="n">
        <f aca="false">-Premissas!$C$18*12*D7</f>
        <v>0</v>
      </c>
      <c r="E23" s="8" t="n">
        <f aca="false">-Premissas!$C$18*12*E7</f>
        <v>0</v>
      </c>
      <c r="F23" s="8" t="n">
        <f aca="false">-Premissas!$C$18*12*F7</f>
        <v>0</v>
      </c>
      <c r="G23" s="8" t="n">
        <f aca="false">-Premissas!$C$18*12*G7</f>
        <v>0</v>
      </c>
      <c r="H23" s="8" t="n">
        <f aca="false">-Premissas!$C$18*12*H7</f>
        <v>0</v>
      </c>
      <c r="I23" s="8" t="n">
        <f aca="false">-Premissas!$C$18*12*I7</f>
        <v>0</v>
      </c>
      <c r="J23" s="8" t="n">
        <f aca="false">-Premissas!$C$18*12*J7</f>
        <v>0</v>
      </c>
      <c r="K23" s="8" t="n">
        <f aca="false">-Premissas!$C$18*12*K7</f>
        <v>0</v>
      </c>
      <c r="L23" s="8" t="n">
        <f aca="false">-Premissas!$C$18*12*L7</f>
        <v>0</v>
      </c>
      <c r="M23" s="8" t="n">
        <f aca="false">-Premissas!$C$18*12*M7</f>
        <v>0</v>
      </c>
      <c r="N23" s="8" t="n">
        <f aca="false">-Premissas!$C$18*12*N7</f>
        <v>0</v>
      </c>
      <c r="O23" s="8" t="n">
        <f aca="false">-Premissas!$C$18*12*O7</f>
        <v>0</v>
      </c>
      <c r="P23" s="8" t="n">
        <f aca="false">-Premissas!$C$18*12*P7</f>
        <v>0</v>
      </c>
      <c r="Q23" s="8" t="n">
        <f aca="false">-Premissas!$C$18*12*Q7</f>
        <v>0</v>
      </c>
      <c r="R23" s="3"/>
      <c r="S23" s="3"/>
      <c r="T23" s="3"/>
      <c r="U23" s="3"/>
      <c r="V23" s="3"/>
      <c r="W23" s="3"/>
      <c r="X23" s="3"/>
      <c r="Y23" s="3"/>
      <c r="Z23" s="3"/>
    </row>
    <row r="24" customFormat="false" ht="15" hidden="false" customHeight="false" outlineLevel="0" collapsed="false">
      <c r="A24" s="6" t="s">
        <v>129</v>
      </c>
      <c r="B24" s="24"/>
      <c r="C24" s="24" t="n">
        <f aca="false">SUM(C19:C23)</f>
        <v>7432849.503016</v>
      </c>
      <c r="D24" s="24" t="n">
        <f aca="false">SUM(D19:D23)</f>
        <v>7715297.78413061</v>
      </c>
      <c r="E24" s="24" t="n">
        <f aca="false">SUM(E19:E23)</f>
        <v>7985333.20657518</v>
      </c>
      <c r="F24" s="24" t="n">
        <f aca="false">SUM(F19:F23)</f>
        <v>8224893.20277243</v>
      </c>
      <c r="G24" s="24" t="n">
        <f aca="false">SUM(G19:G23)</f>
        <v>8471639.99885561</v>
      </c>
      <c r="H24" s="24" t="n">
        <f aca="false">SUM(H19:H23)</f>
        <v>8725789.19882128</v>
      </c>
      <c r="I24" s="24" t="n">
        <f aca="false">SUM(I19:I23)</f>
        <v>8987562.87478591</v>
      </c>
      <c r="J24" s="24" t="n">
        <f aca="false">SUM(J19:J23)</f>
        <v>9257189.76102949</v>
      </c>
      <c r="K24" s="24" t="n">
        <f aca="false">SUM(K19:K23)</f>
        <v>9534905.45386037</v>
      </c>
      <c r="L24" s="24" t="n">
        <f aca="false">SUM(L19:L23)</f>
        <v>9820952.61747619</v>
      </c>
      <c r="M24" s="24" t="n">
        <f aca="false">SUM(M19:M23)</f>
        <v>10115581.1960005</v>
      </c>
      <c r="N24" s="24" t="n">
        <f aca="false">SUM(N19:N23)</f>
        <v>10419048.6318805</v>
      </c>
      <c r="O24" s="24" t="n">
        <f aca="false">SUM(O19:O23)</f>
        <v>10731620.0908369</v>
      </c>
      <c r="P24" s="24" t="n">
        <f aca="false">SUM(P19:P23)</f>
        <v>11053568.693562</v>
      </c>
      <c r="Q24" s="24" t="n">
        <f aca="false">SUM(Q19:Q23)</f>
        <v>11385175.7543689</v>
      </c>
      <c r="R24" s="3"/>
      <c r="S24" s="3"/>
      <c r="T24" s="3"/>
      <c r="U24" s="3"/>
      <c r="V24" s="3"/>
      <c r="W24" s="3"/>
      <c r="X24" s="3"/>
      <c r="Y24" s="3"/>
      <c r="Z24" s="3"/>
    </row>
    <row r="25" customFormat="false" ht="15" hidden="false" customHeight="false" outlineLevel="0" collapsed="false">
      <c r="A25" s="21" t="s">
        <v>130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3"/>
      <c r="S25" s="3"/>
      <c r="T25" s="3"/>
      <c r="U25" s="3"/>
      <c r="V25" s="3"/>
      <c r="W25" s="3"/>
      <c r="X25" s="3"/>
      <c r="Y25" s="3"/>
      <c r="Z25" s="3"/>
    </row>
    <row r="26" customFormat="false" ht="15" hidden="false" customHeight="false" outlineLevel="0" collapsed="false">
      <c r="A26" s="7" t="s">
        <v>131</v>
      </c>
      <c r="B26" s="8" t="n">
        <v>-3000000</v>
      </c>
      <c r="C26" s="8" t="n">
        <v>0</v>
      </c>
      <c r="D26" s="8" t="n">
        <v>0</v>
      </c>
      <c r="E26" s="8" t="n">
        <v>0</v>
      </c>
      <c r="F26" s="8" t="n">
        <v>0</v>
      </c>
      <c r="G26" s="8" t="n">
        <v>0</v>
      </c>
      <c r="H26" s="8" t="n">
        <v>0</v>
      </c>
      <c r="I26" s="8" t="n">
        <v>0</v>
      </c>
      <c r="J26" s="8" t="n">
        <v>0</v>
      </c>
      <c r="K26" s="8" t="n">
        <v>0</v>
      </c>
      <c r="L26" s="8" t="n">
        <v>0</v>
      </c>
      <c r="M26" s="8" t="n">
        <v>0</v>
      </c>
      <c r="N26" s="8" t="n">
        <v>0</v>
      </c>
      <c r="O26" s="8" t="n">
        <v>0</v>
      </c>
      <c r="P26" s="8" t="n">
        <v>0</v>
      </c>
      <c r="Q26" s="8" t="n">
        <v>0</v>
      </c>
      <c r="R26" s="23" t="n">
        <v>3000000</v>
      </c>
      <c r="S26" s="23" t="n">
        <v>3000001</v>
      </c>
      <c r="T26" s="3"/>
      <c r="U26" s="3"/>
      <c r="V26" s="3"/>
      <c r="W26" s="3"/>
      <c r="X26" s="3"/>
      <c r="Y26" s="3"/>
      <c r="Z26" s="3"/>
    </row>
    <row r="27" customFormat="false" ht="12.8" hidden="false" customHeight="false" outlineLevel="0" collapsed="false">
      <c r="A27" s="7" t="s">
        <v>132</v>
      </c>
      <c r="B27" s="8" t="n">
        <v>0</v>
      </c>
      <c r="C27" s="8" t="n">
        <f aca="false">-Premissas!$C$7</f>
        <v>-1300471.98</v>
      </c>
      <c r="D27" s="8" t="n">
        <f aca="false">0</f>
        <v>0</v>
      </c>
      <c r="E27" s="8" t="n">
        <f aca="false">0</f>
        <v>0</v>
      </c>
      <c r="F27" s="8" t="n">
        <f aca="false">0</f>
        <v>0</v>
      </c>
      <c r="G27" s="8" t="n">
        <f aca="false">0</f>
        <v>0</v>
      </c>
      <c r="H27" s="8" t="n">
        <f aca="false">0</f>
        <v>0</v>
      </c>
      <c r="I27" s="8" t="n">
        <f aca="false">0</f>
        <v>0</v>
      </c>
      <c r="J27" s="8" t="n">
        <f aca="false">0</f>
        <v>0</v>
      </c>
      <c r="K27" s="8" t="n">
        <f aca="false">0</f>
        <v>0</v>
      </c>
      <c r="L27" s="8" t="n">
        <f aca="false">0</f>
        <v>0</v>
      </c>
      <c r="M27" s="8" t="n">
        <f aca="false">0</f>
        <v>0</v>
      </c>
      <c r="N27" s="8" t="n">
        <f aca="false">0</f>
        <v>0</v>
      </c>
      <c r="O27" s="8" t="n">
        <f aca="false">0</f>
        <v>0</v>
      </c>
      <c r="P27" s="8" t="n">
        <f aca="false">0</f>
        <v>0</v>
      </c>
      <c r="Q27" s="8" t="n">
        <f aca="false">0</f>
        <v>0</v>
      </c>
      <c r="R27" s="8" t="n">
        <v>1300471.98</v>
      </c>
      <c r="S27" s="8" t="n">
        <v>1300472.98</v>
      </c>
      <c r="T27" s="3"/>
      <c r="U27" s="3"/>
      <c r="V27" s="3"/>
      <c r="W27" s="3"/>
      <c r="X27" s="3"/>
      <c r="Y27" s="3"/>
      <c r="Z27" s="3"/>
    </row>
    <row r="28" customFormat="false" ht="15" hidden="false" customHeight="false" outlineLevel="0" collapsed="false">
      <c r="A28" s="26" t="s">
        <v>133</v>
      </c>
      <c r="B28" s="27" t="n">
        <v>-3000000</v>
      </c>
      <c r="C28" s="27" t="n">
        <f aca="false">SUM(C15,C24,C26:C27)</f>
        <v>-679293.645458021</v>
      </c>
      <c r="D28" s="27" t="n">
        <f aca="false">SUM(D15,D24,D26:D27)</f>
        <v>644783.111254592</v>
      </c>
      <c r="E28" s="27" t="n">
        <f aca="false">SUM(E15,E24,E26:E27)</f>
        <v>667350.520148508</v>
      </c>
      <c r="F28" s="27" t="n">
        <f aca="false">SUM(F15,F24,F26:F27)</f>
        <v>687371.035752947</v>
      </c>
      <c r="G28" s="27" t="n">
        <f aca="false">SUM(G15,G24,G26:G27)</f>
        <v>707992.16682555</v>
      </c>
      <c r="H28" s="27" t="n">
        <f aca="false">SUM(H15,H24,H26:H27)</f>
        <v>729231.9318303</v>
      </c>
      <c r="I28" s="27" t="n">
        <f aca="false">SUM(I15,I24,I26:I27)</f>
        <v>751108.889785228</v>
      </c>
      <c r="J28" s="27" t="n">
        <f aca="false">SUM(J15,J24,J26:J27)</f>
        <v>773642.156478785</v>
      </c>
      <c r="K28" s="27" t="n">
        <f aca="false">SUM(K15,K24,K26:K27)</f>
        <v>796851.421173142</v>
      </c>
      <c r="L28" s="27" t="n">
        <f aca="false">SUM(L15,L24,L26:L27)</f>
        <v>820756.963808335</v>
      </c>
      <c r="M28" s="27" t="n">
        <f aca="false">SUM(M15,M24,M26:M27)</f>
        <v>845379.67272258</v>
      </c>
      <c r="N28" s="27" t="n">
        <f aca="false">SUM(N15,N24,N26:N27)</f>
        <v>870741.06290425</v>
      </c>
      <c r="O28" s="27" t="n">
        <f aca="false">SUM(O15,O24,O26:O27)</f>
        <v>896863.294791391</v>
      </c>
      <c r="P28" s="27" t="n">
        <f aca="false">SUM(P15,P24,P26:P27)</f>
        <v>923769.193635132</v>
      </c>
      <c r="Q28" s="27" t="n">
        <f aca="false">SUM(Q15,Q24,Q26:Q27)</f>
        <v>951482.269444183</v>
      </c>
      <c r="R28" s="3"/>
      <c r="S28" s="3"/>
      <c r="T28" s="3"/>
      <c r="U28" s="3"/>
      <c r="V28" s="3"/>
      <c r="W28" s="3"/>
      <c r="X28" s="3"/>
      <c r="Y28" s="3"/>
      <c r="Z28" s="3"/>
    </row>
    <row r="29" customFormat="false" ht="15" hidden="false" customHeight="false" outlineLevel="0" collapsed="false">
      <c r="A29" s="28" t="s">
        <v>134</v>
      </c>
      <c r="B29" s="29" t="n">
        <v>-3000000</v>
      </c>
      <c r="C29" s="29" t="n">
        <f aca="false">C28/C6</f>
        <v>-651350.700410414</v>
      </c>
      <c r="D29" s="29" t="n">
        <f aca="false">D28/D6</f>
        <v>595625.979999997</v>
      </c>
      <c r="E29" s="29" t="n">
        <f aca="false">E28/E6</f>
        <v>595625.980000001</v>
      </c>
      <c r="F29" s="29" t="n">
        <f aca="false">F28/F6</f>
        <v>595625.979999987</v>
      </c>
      <c r="G29" s="29" t="n">
        <f aca="false">G28/G6</f>
        <v>595625.979999999</v>
      </c>
      <c r="H29" s="29" t="n">
        <f aca="false">H28/H6</f>
        <v>595625.979999986</v>
      </c>
      <c r="I29" s="29" t="n">
        <f aca="false">I28/I6</f>
        <v>595625.980000001</v>
      </c>
      <c r="J29" s="29" t="n">
        <f aca="false">J28/J6</f>
        <v>595625.980000001</v>
      </c>
      <c r="K29" s="29" t="n">
        <f aca="false">K28/K6</f>
        <v>595625.979999996</v>
      </c>
      <c r="L29" s="29" t="n">
        <f aca="false">L28/L6</f>
        <v>595625.979999995</v>
      </c>
      <c r="M29" s="29" t="n">
        <f aca="false">M28/M6</f>
        <v>595625.979999992</v>
      </c>
      <c r="N29" s="29" t="n">
        <f aca="false">N28/N6</f>
        <v>595625.979999986</v>
      </c>
      <c r="O29" s="29" t="n">
        <f aca="false">O28/O6</f>
        <v>595625.979999996</v>
      </c>
      <c r="P29" s="29" t="n">
        <f aca="false">P28/P6</f>
        <v>595625.979999995</v>
      </c>
      <c r="Q29" s="29" t="n">
        <f aca="false">Q28/Q6</f>
        <v>595625.979999993</v>
      </c>
      <c r="R29" s="3"/>
      <c r="S29" s="3"/>
      <c r="T29" s="3"/>
      <c r="U29" s="3"/>
      <c r="V29" s="3"/>
      <c r="W29" s="3"/>
      <c r="X29" s="3"/>
      <c r="Y29" s="3"/>
      <c r="Z29" s="3"/>
    </row>
    <row r="30" customFormat="false" ht="1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Format="false" ht="1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23" t="n">
        <f aca="false">R10+R11+R17</f>
        <v>1060445350.07477</v>
      </c>
      <c r="S31" s="3"/>
      <c r="T31" s="3"/>
      <c r="U31" s="3"/>
      <c r="V31" s="3"/>
      <c r="W31" s="3"/>
      <c r="X31" s="3"/>
      <c r="Y31" s="3"/>
      <c r="Z31" s="3"/>
    </row>
    <row r="32" customFormat="false" ht="1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23" t="n">
        <f aca="false">129439856+38125000+3000000</f>
        <v>170564856</v>
      </c>
      <c r="S32" s="3"/>
      <c r="T32" s="3"/>
      <c r="U32" s="3"/>
      <c r="V32" s="3"/>
      <c r="W32" s="3"/>
      <c r="X32" s="3"/>
      <c r="Y32" s="3"/>
      <c r="Z32" s="3"/>
    </row>
    <row r="33" customFormat="false" ht="1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Format="false" ht="1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Format="false" ht="1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Format="false" ht="1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Format="false" ht="1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Format="false" ht="1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Format="false" ht="1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Format="false" ht="1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Format="false" ht="1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Format="false" ht="1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Format="false" ht="1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Format="false" ht="1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Format="false" ht="1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Format="false" ht="1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Format="false" ht="1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Format="false" ht="1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Format="false" ht="1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Format="false" ht="1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Format="false" ht="1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Format="false" ht="1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Format="false" ht="1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Format="false" ht="1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Format="false" ht="1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Format="false" ht="1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Format="false" ht="1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Format="false" ht="1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Format="false" ht="1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Format="false" ht="1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Format="false" ht="1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Format="false" ht="1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Format="false" ht="1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Format="false" ht="1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Format="false" ht="1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Format="false" ht="1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Format="false" ht="1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Format="false" ht="1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Format="false" ht="1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Format="false" ht="1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Format="false" ht="1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Format="false" ht="1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Format="false" ht="1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Format="false" ht="1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Format="false" ht="1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Format="false" ht="1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Format="false" ht="1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Format="false" ht="1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Format="false" ht="1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Format="false" ht="1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Format="false" ht="1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Format="false" ht="1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Format="false" ht="1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Format="false" ht="1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Format="false" ht="1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Format="false" ht="1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Format="false" ht="1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Format="false" ht="1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Format="false" ht="1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Format="false" ht="1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Format="false" ht="1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Format="false" ht="1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Format="false" ht="1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Format="false" ht="1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Format="false" ht="1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Format="false" ht="1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Format="false" ht="1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Format="false" ht="1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Format="false" ht="1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Format="false" ht="1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</sheetData>
  <mergeCells count="1">
    <mergeCell ref="A1:Q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100"/>
  <sheetViews>
    <sheetView showFormulas="false" showGridLines="false" showRowColHeaders="true" showZeros="true" rightToLeft="false" tabSelected="false" showOutlineSymbols="true" defaultGridColor="true" view="normal" topLeftCell="A1" colorId="64" zoomScale="110" zoomScaleNormal="110" zoomScalePageLayoutView="100" workbookViewId="0">
      <pane xSplit="0" ySplit="3" topLeftCell="A7" activePane="bottomLeft" state="frozen"/>
      <selection pane="topLeft" activeCell="A1" activeCellId="0" sqref="A1"/>
      <selection pane="bottomLeft" activeCell="B27" activeCellId="0" sqref="B27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34"/>
    <col collapsed="false" customWidth="true" hidden="false" outlineLevel="0" max="2" min="2" style="1" width="24"/>
    <col collapsed="false" customWidth="true" hidden="false" outlineLevel="0" max="3" min="3" style="1" width="25"/>
    <col collapsed="false" customWidth="true" hidden="false" outlineLevel="0" max="4" min="4" style="1" width="48"/>
  </cols>
  <sheetData>
    <row r="1" customFormat="false" ht="33.75" hidden="false" customHeight="true" outlineLevel="0" collapsed="false">
      <c r="A1" s="2" t="s">
        <v>135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customFormat="false" ht="15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customFormat="false" ht="15" hidden="false" customHeight="false" outlineLevel="0" collapsed="false">
      <c r="A3" s="12" t="s">
        <v>136</v>
      </c>
      <c r="B3" s="12" t="s">
        <v>29</v>
      </c>
      <c r="C3" s="12" t="s">
        <v>30</v>
      </c>
      <c r="D3" s="12" t="s">
        <v>137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customFormat="false" ht="15" hidden="false" customHeight="false" outlineLevel="0" collapsed="false">
      <c r="A4" s="7" t="s">
        <v>138</v>
      </c>
      <c r="B4" s="22" t="n">
        <v>1010000</v>
      </c>
      <c r="C4" s="7" t="s">
        <v>139</v>
      </c>
      <c r="D4" s="7" t="s">
        <v>140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customFormat="false" ht="15" hidden="false" customHeight="false" outlineLevel="0" collapsed="false">
      <c r="A5" s="7" t="s">
        <v>70</v>
      </c>
      <c r="B5" s="22" t="n">
        <v>702000</v>
      </c>
      <c r="C5" s="7" t="s">
        <v>141</v>
      </c>
      <c r="D5" s="7" t="s">
        <v>142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customFormat="false" ht="15" hidden="false" customHeight="false" outlineLevel="0" collapsed="false">
      <c r="A6" s="7" t="s">
        <v>143</v>
      </c>
      <c r="B6" s="22" t="n">
        <v>396500</v>
      </c>
      <c r="C6" s="7" t="s">
        <v>144</v>
      </c>
      <c r="D6" s="7" t="s">
        <v>140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customFormat="false" ht="15" hidden="false" customHeight="false" outlineLevel="0" collapsed="false">
      <c r="A7" s="7" t="s">
        <v>145</v>
      </c>
      <c r="B7" s="22" t="n">
        <v>72</v>
      </c>
      <c r="C7" s="7" t="s">
        <v>146</v>
      </c>
      <c r="D7" s="7" t="s">
        <v>140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customFormat="false" ht="15" hidden="false" customHeight="false" outlineLevel="0" collapsed="false">
      <c r="A8" s="7" t="s">
        <v>147</v>
      </c>
      <c r="B8" s="22" t="n">
        <v>8</v>
      </c>
      <c r="C8" s="7" t="s">
        <v>146</v>
      </c>
      <c r="D8" s="7" t="s">
        <v>140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customFormat="false" ht="15" hidden="false" customHeight="false" outlineLevel="0" collapsed="false">
      <c r="A9" s="7" t="s">
        <v>148</v>
      </c>
      <c r="B9" s="22" t="n">
        <v>80</v>
      </c>
      <c r="C9" s="7" t="s">
        <v>146</v>
      </c>
      <c r="D9" s="7" t="s">
        <v>149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customFormat="false" ht="15" hidden="false" customHeight="false" outlineLevel="0" collapsed="false">
      <c r="A10" s="7" t="s">
        <v>150</v>
      </c>
      <c r="B10" s="8" t="n">
        <v>1497176.322</v>
      </c>
      <c r="C10" s="7" t="s">
        <v>52</v>
      </c>
      <c r="D10" s="7" t="s">
        <v>151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customFormat="false" ht="15" hidden="false" customHeight="false" outlineLevel="0" collapsed="false">
      <c r="A11" s="7" t="s">
        <v>152</v>
      </c>
      <c r="B11" s="8" t="n">
        <v>3941957.286</v>
      </c>
      <c r="C11" s="7" t="s">
        <v>52</v>
      </c>
      <c r="D11" s="7" t="s">
        <v>151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customFormat="false" ht="15" hidden="false" customHeight="false" outlineLevel="0" collapsed="false">
      <c r="A12" s="7" t="s">
        <v>153</v>
      </c>
      <c r="B12" s="8" t="n">
        <v>6208889.255</v>
      </c>
      <c r="C12" s="7" t="s">
        <v>52</v>
      </c>
      <c r="D12" s="7" t="s">
        <v>154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customFormat="false" ht="15" hidden="false" customHeight="false" outlineLevel="0" collapsed="false">
      <c r="A13" s="7" t="s">
        <v>155</v>
      </c>
      <c r="B13" s="8" t="n">
        <v>540000</v>
      </c>
      <c r="C13" s="7" t="s">
        <v>52</v>
      </c>
      <c r="D13" s="7" t="s">
        <v>156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customFormat="false" ht="15" hidden="false" customHeight="false" outlineLevel="0" collapsed="false">
      <c r="A14" s="7" t="s">
        <v>157</v>
      </c>
      <c r="B14" s="30" t="n">
        <v>8.075340819</v>
      </c>
      <c r="C14" s="7" t="s">
        <v>158</v>
      </c>
      <c r="D14" s="7" t="s">
        <v>159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customFormat="false" ht="15" hidden="false" customHeight="false" outlineLevel="0" collapsed="false">
      <c r="A15" s="7" t="s">
        <v>160</v>
      </c>
      <c r="B15" s="30" t="n">
        <v>7.3</v>
      </c>
      <c r="C15" s="7" t="s">
        <v>158</v>
      </c>
      <c r="D15" s="7" t="s">
        <v>161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customFormat="false" ht="15" hidden="false" customHeight="false" outlineLevel="0" collapsed="false">
      <c r="A16" s="3" t="s">
        <v>162</v>
      </c>
      <c r="B16" s="31" t="n">
        <v>6</v>
      </c>
      <c r="C16" s="3" t="s">
        <v>158</v>
      </c>
      <c r="D16" s="3" t="s">
        <v>43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customFormat="false" ht="15" hidden="false" customHeight="false" outlineLevel="0" collapsed="false">
      <c r="A17" s="5" t="s">
        <v>163</v>
      </c>
      <c r="B17" s="5"/>
      <c r="C17" s="5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customFormat="false" ht="15" hidden="false" customHeight="false" outlineLevel="0" collapsed="false">
      <c r="A18" s="20" t="s">
        <v>164</v>
      </c>
      <c r="B18" s="20" t="s">
        <v>165</v>
      </c>
      <c r="C18" s="20" t="s">
        <v>166</v>
      </c>
      <c r="D18" s="20" t="s">
        <v>167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customFormat="false" ht="15" hidden="false" customHeight="false" outlineLevel="0" collapsed="false">
      <c r="A19" s="7" t="s">
        <v>168</v>
      </c>
      <c r="B19" s="9" t="n">
        <v>0.26</v>
      </c>
      <c r="C19" s="22" t="n">
        <f aca="false">$B$4*B19</f>
        <v>262600</v>
      </c>
      <c r="D19" s="22" t="n">
        <f aca="false">C19</f>
        <v>262600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customFormat="false" ht="15" hidden="false" customHeight="false" outlineLevel="0" collapsed="false">
      <c r="A20" s="7" t="s">
        <v>169</v>
      </c>
      <c r="B20" s="9" t="n">
        <v>0.38</v>
      </c>
      <c r="C20" s="22" t="n">
        <f aca="false">$B$4*B20</f>
        <v>383800</v>
      </c>
      <c r="D20" s="22" t="n">
        <f aca="false">C20</f>
        <v>383800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customFormat="false" ht="15" hidden="false" customHeight="false" outlineLevel="0" collapsed="false">
      <c r="A21" s="7" t="s">
        <v>170</v>
      </c>
      <c r="B21" s="9" t="n">
        <v>0.11</v>
      </c>
      <c r="C21" s="22" t="n">
        <f aca="false">$B$4*B21</f>
        <v>111100</v>
      </c>
      <c r="D21" s="22" t="n">
        <f aca="false">C21*50%</f>
        <v>55550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customFormat="false" ht="15" hidden="false" customHeight="false" outlineLevel="0" collapsed="false">
      <c r="A22" s="7" t="s">
        <v>171</v>
      </c>
      <c r="B22" s="9" t="n">
        <v>0.25</v>
      </c>
      <c r="C22" s="22" t="n">
        <f aca="false">$B$4*B22</f>
        <v>252500</v>
      </c>
      <c r="D22" s="22" t="n">
        <f aca="false">0</f>
        <v>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customFormat="false" ht="15" hidden="false" customHeight="false" outlineLevel="0" collapsed="false">
      <c r="A23" s="6" t="s">
        <v>172</v>
      </c>
      <c r="B23" s="32" t="n">
        <v>1</v>
      </c>
      <c r="C23" s="33" t="n">
        <f aca="false">SUM(C19:C22)</f>
        <v>1010000</v>
      </c>
      <c r="D23" s="33" t="n">
        <f aca="false">SUM(D19:D22)</f>
        <v>701950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customFormat="false" ht="15" hidden="false" customHeight="false" outlineLevel="0" collapsed="false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customFormat="false" ht="15" hidden="false" customHeight="false" outlineLevel="0" collapsed="false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customFormat="false" ht="15" hidden="false" customHeight="true" outlineLevel="0" collapsed="false">
      <c r="A26" s="34" t="s">
        <v>173</v>
      </c>
      <c r="B26" s="35" t="s">
        <v>174</v>
      </c>
      <c r="C26" s="35"/>
      <c r="D26" s="3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customFormat="false" ht="15" hidden="false" customHeight="true" outlineLevel="0" collapsed="false">
      <c r="A27" s="34" t="s">
        <v>175</v>
      </c>
      <c r="B27" s="35" t="s">
        <v>176</v>
      </c>
      <c r="C27" s="35"/>
      <c r="D27" s="3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customFormat="false" ht="15" hidden="false" customHeight="true" outlineLevel="0" collapsed="false">
      <c r="A28" s="34" t="s">
        <v>177</v>
      </c>
      <c r="B28" s="35" t="s">
        <v>178</v>
      </c>
      <c r="C28" s="35"/>
      <c r="D28" s="35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customFormat="false" ht="15" hidden="false" customHeight="false" outlineLevel="0" collapsed="fals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customFormat="false" ht="15" hidden="false" customHeight="false" outlineLevel="0" collapsed="fals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customFormat="false" ht="15" hidden="false" customHeight="false" outlineLevel="0" collapsed="fals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customFormat="false" ht="15" hidden="false" customHeight="false" outlineLevel="0" collapsed="fals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customFormat="false" ht="15" hidden="false" customHeight="false" outlineLevel="0" collapsed="fals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customFormat="false" ht="15" hidden="false" customHeight="false" outlineLevel="0" collapsed="fals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customFormat="false" ht="15" hidden="false" customHeight="false" outlineLevel="0" collapsed="fals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customFormat="false" ht="15" hidden="false" customHeight="false" outlineLevel="0" collapsed="fals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customFormat="false" ht="15" hidden="false" customHeight="fals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customFormat="false" ht="15" hidden="false" customHeight="false" outlineLevel="0" collapsed="fals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customFormat="false" ht="15" hidden="false" customHeight="false" outlineLevel="0" collapsed="fals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customFormat="false" ht="15" hidden="false" customHeight="false" outlineLevel="0" collapsed="fals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customFormat="false" ht="15" hidden="false" customHeight="false" outlineLevel="0" collapsed="fals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customFormat="false" ht="15" hidden="false" customHeight="false" outlineLevel="0" collapsed="fals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customFormat="false" ht="15" hidden="false" customHeight="fals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customFormat="false" ht="15" hidden="false" customHeight="false" outlineLevel="0" collapsed="fals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customFormat="false" ht="15" hidden="false" customHeight="false" outlineLevel="0" collapsed="fals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customFormat="false" ht="15" hidden="false" customHeight="false" outlineLevel="0" collapsed="fals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customFormat="false" ht="15" hidden="false" customHeight="false" outlineLevel="0" collapsed="fals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customFormat="false" ht="15" hidden="false" customHeight="false" outlineLevel="0" collapsed="fals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customFormat="false" ht="15" hidden="false" customHeight="false" outlineLevel="0" collapsed="fals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customFormat="false" ht="15" hidden="false" customHeight="false" outlineLevel="0" collapsed="fals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customFormat="false" ht="15" hidden="false" customHeight="false" outlineLevel="0" collapsed="fals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customFormat="false" ht="15" hidden="false" customHeight="fals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customFormat="false" ht="15" hidden="false" customHeight="fals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customFormat="false" ht="15" hidden="false" customHeight="false" outlineLevel="0" collapsed="fals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customFormat="false" ht="15" hidden="false" customHeight="false" outlineLevel="0" collapsed="fals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customFormat="false" ht="15" hidden="false" customHeight="false" outlineLevel="0" collapsed="fals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customFormat="false" ht="15" hidden="false" customHeight="false" outlineLevel="0" collapsed="fals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customFormat="false" ht="15" hidden="false" customHeight="false" outlineLevel="0" collapsed="fals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customFormat="false" ht="15" hidden="false" customHeight="false" outlineLevel="0" collapsed="fals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customFormat="false" ht="15" hidden="false" customHeight="false" outlineLevel="0" collapsed="fals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customFormat="false" ht="15" hidden="false" customHeight="false" outlineLevel="0" collapsed="fals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customFormat="false" ht="15" hidden="false" customHeight="false" outlineLevel="0" collapsed="fals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customFormat="false" ht="15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customFormat="false" ht="15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customFormat="false" ht="15" hidden="false" customHeight="false" outlineLevel="0" collapsed="fals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customFormat="false" ht="15" hidden="false" customHeight="fals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customFormat="false" ht="15" hidden="false" customHeight="false" outlineLevel="0" collapsed="fals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customFormat="false" ht="15" hidden="false" customHeight="false" outlineLevel="0" collapsed="fals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customFormat="false" ht="15" hidden="false" customHeight="false" outlineLevel="0" collapsed="fals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customFormat="false" ht="15" hidden="false" customHeight="false" outlineLevel="0" collapsed="fals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customFormat="false" ht="15" hidden="false" customHeight="false" outlineLevel="0" collapsed="fals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customFormat="false" ht="15" hidden="false" customHeight="false" outlineLevel="0" collapsed="fals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customFormat="false" ht="15" hidden="false" customHeight="false" outlineLevel="0" collapsed="fals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customFormat="false" ht="15" hidden="false" customHeight="false" outlineLevel="0" collapsed="fals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customFormat="false" ht="15" hidden="false" customHeight="false" outlineLevel="0" collapsed="fals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customFormat="false" ht="15" hidden="false" customHeight="false" outlineLevel="0" collapsed="fals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customFormat="false" ht="15" hidden="false" customHeight="false" outlineLevel="0" collapsed="fals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customFormat="false" ht="15" hidden="false" customHeight="false" outlineLevel="0" collapsed="fals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customFormat="false" ht="15" hidden="false" customHeight="false" outlineLevel="0" collapsed="fals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customFormat="false" ht="15" hidden="false" customHeight="false" outlineLevel="0" collapsed="fals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customFormat="false" ht="15" hidden="false" customHeight="fals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customFormat="false" ht="15" hidden="false" customHeight="fals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customFormat="false" ht="15" hidden="false" customHeight="false" outlineLevel="0" collapsed="fals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customFormat="false" ht="15" hidden="false" customHeight="false" outlineLevel="0" collapsed="fals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customFormat="false" ht="15" hidden="false" customHeight="false" outlineLevel="0" collapsed="fals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customFormat="false" ht="15" hidden="false" customHeight="false" outlineLevel="0" collapsed="fals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customFormat="false" ht="15" hidden="false" customHeight="false" outlineLevel="0" collapsed="fals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customFormat="false" ht="15" hidden="false" customHeight="false" outlineLevel="0" collapsed="fals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customFormat="false" ht="15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customFormat="false" ht="15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customFormat="false" ht="15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customFormat="false" ht="15" hidden="false" customHeight="fals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customFormat="false" ht="15" hidden="false" customHeight="false" outlineLevel="0" collapsed="fals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customFormat="false" ht="15" hidden="false" customHeight="false" outlineLevel="0" collapsed="fals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customFormat="false" ht="15" hidden="false" customHeight="false" outlineLevel="0" collapsed="fals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customFormat="false" ht="15" hidden="false" customHeight="false" outlineLevel="0" collapsed="fals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customFormat="false" ht="15" hidden="false" customHeight="false" outlineLevel="0" collapsed="fals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customFormat="false" ht="15" hidden="false" customHeight="false" outlineLevel="0" collapsed="fals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customFormat="false" ht="15" hidden="false" customHeight="false" outlineLevel="0" collapsed="fals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customFormat="false" ht="15" hidden="false" customHeight="fals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</sheetData>
  <mergeCells count="5">
    <mergeCell ref="A1:D1"/>
    <mergeCell ref="A17:D17"/>
    <mergeCell ref="B26:D26"/>
    <mergeCell ref="B27:D27"/>
    <mergeCell ref="B28:D2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112</TotalTime>
  <Application>LibreOffice/7.6.0.3$Windows_X86_64 LibreOffice_project/69edd8b8ebc41d00b4de3915dc82f8f0fc3b6265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2026-09-16T11:57:13Z</dcterms:created>
  <dc:creator>User</dc:creator>
  <dc:description/>
  <dc:language>pt-BR</dc:language>
  <cp:lastModifiedBy/>
  <dcterms:modified xsi:type="dcterms:W3CDTF">2026-09-17T11:56:34Z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