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5 PROJETOS BÁSICOS E EXECUTIVOS DE PARQUES NAUTICO, CIDADES E LEON FEFFER\P1 INICIAL\ENVIADOS\"/>
    </mc:Choice>
  </mc:AlternateContent>
  <xr:revisionPtr revIDLastSave="0" documentId="13_ncr:1_{64C6F8CA-CE6C-4B04-AA56-E3904DFB4F91}" xr6:coauthVersionLast="47" xr6:coauthVersionMax="47" xr10:uidLastSave="{00000000-0000-0000-0000-000000000000}"/>
  <bookViews>
    <workbookView xWindow="-120" yWindow="-120" windowWidth="29040" windowHeight="15720" tabRatio="850" firstSheet="3" activeTab="4" xr2:uid="{00000000-000D-0000-FFFF-FFFF00000000}"/>
  </bookViews>
  <sheets>
    <sheet name="Plan1" sheetId="75" state="hidden" r:id="rId1"/>
    <sheet name="PQPU PAREDE DE GESSO" sheetId="70" state="hidden" r:id="rId2"/>
    <sheet name="PQPU EUCATEX" sheetId="66" state="hidden" r:id="rId3"/>
    <sheet name="RESUMO" sheetId="90" r:id="rId4"/>
    <sheet name="PQPU PROJETOS PQ TOTAL" sheetId="85" r:id="rId5"/>
    <sheet name="PQPU VER 1" sheetId="77" state="hidden" r:id="rId6"/>
    <sheet name="MC SEM PAREDE GESSO" sheetId="71" state="hidden" r:id="rId7"/>
    <sheet name="CRONOGRAMA EUCATEX" sheetId="68" state="hidden" r:id="rId8"/>
  </sheets>
  <definedNames>
    <definedName name="_xlnm._FilterDatabase" localSheetId="2" hidden="1">'PQPU EUCATEX'!$D$12:$O$114</definedName>
    <definedName name="_xlnm._FilterDatabase" localSheetId="1" hidden="1">'PQPU PAREDE DE GESSO'!$D$12:$O$126</definedName>
    <definedName name="_xlnm._FilterDatabase" localSheetId="4" hidden="1">'PQPU PROJETOS PQ TOTAL'!$C$12:$L$54</definedName>
    <definedName name="_xlnm._FilterDatabase" localSheetId="3" hidden="1">RESUMO!$C$13:$L$25</definedName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7">'CRONOGRAMA EUCATEX'!$A$1:$H$38</definedName>
    <definedName name="_xlnm.Print_Area" localSheetId="0">Plan1!$D$1:$O$127</definedName>
    <definedName name="_xlnm.Print_Area" localSheetId="2">'PQPU EUCATEX'!$D$1:$O$114</definedName>
    <definedName name="_xlnm.Print_Area" localSheetId="1">'PQPU PAREDE DE GESSO'!$D$1:$O$125</definedName>
    <definedName name="_xlnm.Print_Area" localSheetId="4">'PQPU PROJETOS PQ TOTAL'!$A$1:$L$54</definedName>
    <definedName name="_xlnm.Print_Area" localSheetId="3">RESUMO!$A$1:$L$24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MPRESAS" localSheetId="4">OFFSET(#REF!,1,0):OFFSET(#REF!,-1,0)</definedName>
    <definedName name="EMPRESAS" localSheetId="3">OFFSET(#REF!,1,0):OFFSET(#REF!,-1,0)</definedName>
    <definedName name="EMPRESAS">OFFSET(#REF!,1,0):OFFSET(#REF!,-1,0)</definedName>
    <definedName name="ERA" hidden="1">{#N/A,#N/A,FALSE,"ORC-ACKE";#N/A,#N/A,FALSE,"RESUMO"}</definedName>
    <definedName name="FASDF" hidden="1">{#N/A,#N/A,FALSE,"ORC-ACKE";#N/A,#N/A,FALSE,"RESUMO"}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INDICES" localSheetId="4">OFFSET(#REF!,1,0):OFFSET(#REF!,-1,0)</definedName>
    <definedName name="INDICES" localSheetId="3">OFFSET(#REF!,1,0):OFFSET(#REF!,-1,0)</definedName>
    <definedName name="INDICES">OFFSET(#REF!,1,0):OFFSET(#REF!,-1,0)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NCOMPOSICOES" localSheetId="7">6</definedName>
    <definedName name="NCOMPOSICOES">8</definedName>
    <definedName name="NCOTACOES">1</definedName>
    <definedName name="NEMPRESAS">3</definedName>
    <definedName name="NINDICES">0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_xlnm.Print_Titles" localSheetId="2">'PQPU EUCATEX'!$1:$12</definedName>
    <definedName name="_xlnm.Print_Titles" localSheetId="1">'PQPU PAREDE DE GESSO'!$1:$12</definedName>
    <definedName name="_xlnm.Print_Titles" localSheetId="4">'PQPU PROJETOS PQ TOTAL'!$1:$12</definedName>
    <definedName name="_xlnm.Print_Titles" localSheetId="3">RESUMO!$1:$13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85" l="1"/>
  <c r="L19" i="85"/>
  <c r="L20" i="85"/>
  <c r="L44" i="85"/>
  <c r="L43" i="85"/>
  <c r="L42" i="85"/>
  <c r="L18" i="85" l="1"/>
  <c r="L45" i="85"/>
  <c r="L38" i="85"/>
  <c r="L37" i="85"/>
  <c r="L32" i="85"/>
  <c r="L39" i="85" l="1"/>
  <c r="L26" i="85"/>
  <c r="L31" i="85" l="1"/>
  <c r="L24" i="85"/>
  <c r="L15" i="85"/>
  <c r="L33" i="85"/>
  <c r="L25" i="85"/>
  <c r="L16" i="85"/>
  <c r="L21" i="85" l="1"/>
  <c r="L15" i="90" s="1"/>
  <c r="L34" i="85"/>
  <c r="L47" i="85" s="1"/>
  <c r="L17" i="90" s="1"/>
  <c r="L27" i="85"/>
  <c r="L16" i="90" s="1"/>
  <c r="L18" i="90" l="1"/>
  <c r="L49" i="85"/>
  <c r="K16" i="90" l="1"/>
  <c r="K15" i="90"/>
  <c r="K17" i="90" s="1"/>
  <c r="A59" i="77"/>
  <c r="R58" i="77"/>
  <c r="M58" i="77"/>
  <c r="D58" i="77"/>
  <c r="A58" i="77"/>
  <c r="R57" i="77"/>
  <c r="M57" i="77"/>
  <c r="D57" i="77"/>
  <c r="A57" i="77"/>
  <c r="R56" i="77"/>
  <c r="M56" i="77"/>
  <c r="D56" i="77"/>
  <c r="A56" i="77"/>
  <c r="R55" i="77"/>
  <c r="M55" i="77"/>
  <c r="D55" i="77"/>
  <c r="A55" i="77"/>
  <c r="R54" i="77"/>
  <c r="M54" i="77"/>
  <c r="D54" i="77"/>
  <c r="A54" i="77"/>
  <c r="R53" i="77"/>
  <c r="M53" i="77"/>
  <c r="D53" i="77"/>
  <c r="A53" i="77"/>
  <c r="R52" i="77"/>
  <c r="M52" i="77"/>
  <c r="D52" i="77"/>
  <c r="A52" i="77"/>
  <c r="R51" i="77"/>
  <c r="M51" i="77"/>
  <c r="D51" i="77"/>
  <c r="A51" i="77"/>
  <c r="R50" i="77"/>
  <c r="M50" i="77"/>
  <c r="D50" i="77"/>
  <c r="A50" i="77"/>
  <c r="R49" i="77"/>
  <c r="M49" i="77"/>
  <c r="F49" i="77"/>
  <c r="F50" i="77" s="1"/>
  <c r="F51" i="77" s="1"/>
  <c r="F52" i="77" s="1"/>
  <c r="F53" i="77" s="1"/>
  <c r="F54" i="77" s="1"/>
  <c r="F55" i="77" s="1"/>
  <c r="F56" i="77" s="1"/>
  <c r="F57" i="77" s="1"/>
  <c r="F58" i="77" s="1"/>
  <c r="D49" i="77"/>
  <c r="A49" i="77"/>
  <c r="A48" i="77"/>
  <c r="A46" i="77"/>
  <c r="R45" i="77"/>
  <c r="M45" i="77"/>
  <c r="D45" i="77"/>
  <c r="A45" i="77"/>
  <c r="R44" i="77"/>
  <c r="M44" i="77"/>
  <c r="D44" i="77"/>
  <c r="A44" i="77"/>
  <c r="R43" i="77"/>
  <c r="M43" i="77"/>
  <c r="D43" i="77"/>
  <c r="A43" i="77"/>
  <c r="R42" i="77"/>
  <c r="M42" i="77"/>
  <c r="D42" i="77"/>
  <c r="A42" i="77"/>
  <c r="R41" i="77"/>
  <c r="M41" i="77"/>
  <c r="D41" i="77"/>
  <c r="A41" i="77"/>
  <c r="R40" i="77"/>
  <c r="M40" i="77"/>
  <c r="D40" i="77"/>
  <c r="A40" i="77"/>
  <c r="R39" i="77"/>
  <c r="M39" i="77"/>
  <c r="D39" i="77"/>
  <c r="A39" i="77"/>
  <c r="R38" i="77"/>
  <c r="M38" i="77"/>
  <c r="D38" i="77"/>
  <c r="A38" i="77"/>
  <c r="R37" i="77"/>
  <c r="M37" i="77"/>
  <c r="D37" i="77"/>
  <c r="A37" i="77"/>
  <c r="R36" i="77"/>
  <c r="M36" i="77"/>
  <c r="D36" i="77"/>
  <c r="A36" i="77"/>
  <c r="R35" i="77"/>
  <c r="M35" i="77"/>
  <c r="D35" i="77"/>
  <c r="A35" i="77"/>
  <c r="R34" i="77"/>
  <c r="M34" i="77"/>
  <c r="D34" i="77"/>
  <c r="A34" i="77"/>
  <c r="R33" i="77"/>
  <c r="M33" i="77"/>
  <c r="D33" i="77"/>
  <c r="A33" i="77"/>
  <c r="R32" i="77"/>
  <c r="P32" i="77"/>
  <c r="M32" i="77"/>
  <c r="D32" i="77"/>
  <c r="A32" i="77"/>
  <c r="R31" i="77"/>
  <c r="P31" i="77"/>
  <c r="M31" i="77"/>
  <c r="D31" i="77"/>
  <c r="A31" i="77"/>
  <c r="R30" i="77"/>
  <c r="P30" i="77"/>
  <c r="M30" i="77"/>
  <c r="D30" i="77"/>
  <c r="A30" i="77"/>
  <c r="R29" i="77"/>
  <c r="M29" i="77"/>
  <c r="F29" i="77"/>
  <c r="F30" i="77" s="1"/>
  <c r="F32" i="77" s="1"/>
  <c r="F33" i="77" s="1"/>
  <c r="F34" i="77" s="1"/>
  <c r="F35" i="77" s="1"/>
  <c r="F36" i="77" s="1"/>
  <c r="F37" i="77" s="1"/>
  <c r="F38" i="77" s="1"/>
  <c r="F39" i="77" s="1"/>
  <c r="F40" i="77" s="1"/>
  <c r="F41" i="77" s="1"/>
  <c r="F42" i="77" s="1"/>
  <c r="F43" i="77" s="1"/>
  <c r="F44" i="77" s="1"/>
  <c r="F45" i="77" s="1"/>
  <c r="D29" i="77"/>
  <c r="A29" i="77"/>
  <c r="A28" i="77"/>
  <c r="A26" i="77"/>
  <c r="R25" i="77"/>
  <c r="M25" i="77"/>
  <c r="D25" i="77"/>
  <c r="A25" i="77"/>
  <c r="R24" i="77"/>
  <c r="M24" i="77"/>
  <c r="D24" i="77"/>
  <c r="A24" i="77"/>
  <c r="R23" i="77"/>
  <c r="M23" i="77"/>
  <c r="D23" i="77"/>
  <c r="A23" i="77"/>
  <c r="R22" i="77"/>
  <c r="M22" i="77"/>
  <c r="D22" i="77"/>
  <c r="A22" i="77"/>
  <c r="R21" i="77"/>
  <c r="M21" i="77"/>
  <c r="D21" i="77"/>
  <c r="A21" i="77"/>
  <c r="R20" i="77"/>
  <c r="M20" i="77"/>
  <c r="D20" i="77"/>
  <c r="A20" i="77"/>
  <c r="R19" i="77"/>
  <c r="M19" i="77"/>
  <c r="D19" i="77"/>
  <c r="A19" i="77"/>
  <c r="R18" i="77"/>
  <c r="M18" i="77"/>
  <c r="D18" i="77"/>
  <c r="A18" i="77"/>
  <c r="R17" i="77"/>
  <c r="M17" i="77"/>
  <c r="D17" i="77"/>
  <c r="A17" i="77"/>
  <c r="R16" i="77"/>
  <c r="M16" i="77"/>
  <c r="D16" i="77"/>
  <c r="A16" i="77"/>
  <c r="R15" i="77"/>
  <c r="M15" i="77"/>
  <c r="F15" i="77"/>
  <c r="F16" i="77" s="1"/>
  <c r="F17" i="77" s="1"/>
  <c r="F18" i="77" s="1"/>
  <c r="F19" i="77" s="1"/>
  <c r="F20" i="77" s="1"/>
  <c r="F21" i="77" s="1"/>
  <c r="F22" i="77" s="1"/>
  <c r="F23" i="77" s="1"/>
  <c r="F24" i="77" s="1"/>
  <c r="F25" i="77" s="1"/>
  <c r="D15" i="77"/>
  <c r="A15" i="77"/>
  <c r="A14" i="77"/>
  <c r="F31" i="77" l="1"/>
  <c r="J52" i="77" l="1"/>
  <c r="I54" i="77"/>
  <c r="I50" i="77"/>
  <c r="I39" i="77"/>
  <c r="L37" i="77"/>
  <c r="N37" i="77" s="1"/>
  <c r="O37" i="77" s="1"/>
  <c r="Q35" i="77"/>
  <c r="S35" i="77" s="1"/>
  <c r="T35" i="77" s="1"/>
  <c r="L34" i="77"/>
  <c r="N34" i="77" s="1"/>
  <c r="O34" i="77" s="1"/>
  <c r="Q21" i="77"/>
  <c r="S21" i="77" s="1"/>
  <c r="T21" i="77" s="1"/>
  <c r="J16" i="77"/>
  <c r="J34" i="77"/>
  <c r="Q17" i="77"/>
  <c r="S17" i="77" s="1"/>
  <c r="T17" i="77" s="1"/>
  <c r="I37" i="77"/>
  <c r="I53" i="77"/>
  <c r="L51" i="77"/>
  <c r="N51" i="77" s="1"/>
  <c r="O51" i="77" s="1"/>
  <c r="L40" i="77"/>
  <c r="N40" i="77" s="1"/>
  <c r="O40" i="77" s="1"/>
  <c r="J21" i="77"/>
  <c r="L17" i="77"/>
  <c r="N17" i="77" s="1"/>
  <c r="O17" i="77" s="1"/>
  <c r="J40" i="77"/>
  <c r="L35" i="77"/>
  <c r="N35" i="77" s="1"/>
  <c r="O35" i="77" s="1"/>
  <c r="Q31" i="77"/>
  <c r="S31" i="77" s="1"/>
  <c r="T31" i="77" s="1"/>
  <c r="J30" i="77"/>
  <c r="I21" i="77"/>
  <c r="J19" i="77"/>
  <c r="J17" i="77"/>
  <c r="Q25" i="77"/>
  <c r="S25" i="77" s="1"/>
  <c r="T25" i="77" s="1"/>
  <c r="Q15" i="77"/>
  <c r="S15" i="77" s="1"/>
  <c r="T15" i="77" s="1"/>
  <c r="J36" i="77"/>
  <c r="L33" i="77"/>
  <c r="N33" i="77" s="1"/>
  <c r="O33" i="77" s="1"/>
  <c r="I36" i="77"/>
  <c r="J31" i="77"/>
  <c r="L25" i="77"/>
  <c r="N25" i="77" s="1"/>
  <c r="O25" i="77" s="1"/>
  <c r="L15" i="77"/>
  <c r="N15" i="77" s="1"/>
  <c r="O15" i="77" s="1"/>
  <c r="I31" i="77"/>
  <c r="L20" i="77"/>
  <c r="N20" i="77" s="1"/>
  <c r="O20" i="77" s="1"/>
  <c r="J15" i="77"/>
  <c r="L50" i="77"/>
  <c r="N50" i="77" s="1"/>
  <c r="O50" i="77" s="1"/>
  <c r="I41" i="77"/>
  <c r="Q37" i="77"/>
  <c r="S37" i="77" s="1"/>
  <c r="T37" i="77" s="1"/>
  <c r="Q34" i="77"/>
  <c r="S34" i="77" s="1"/>
  <c r="T34" i="77" s="1"/>
  <c r="L29" i="77"/>
  <c r="N29" i="77" s="1"/>
  <c r="O29" i="77" s="1"/>
  <c r="J50" i="77"/>
  <c r="J39" i="77"/>
  <c r="J29" i="77"/>
  <c r="I16" i="77"/>
  <c r="J51" i="77"/>
  <c r="I51" i="77"/>
  <c r="L49" i="77"/>
  <c r="N49" i="77" s="1"/>
  <c r="O49" i="77" s="1"/>
  <c r="I40" i="77"/>
  <c r="L38" i="77"/>
  <c r="N38" i="77" s="1"/>
  <c r="O38" i="77" s="1"/>
  <c r="Q36" i="77"/>
  <c r="S36" i="77" s="1"/>
  <c r="T36" i="77" s="1"/>
  <c r="J35" i="77"/>
  <c r="Q33" i="77"/>
  <c r="S33" i="77" s="1"/>
  <c r="T33" i="77" s="1"/>
  <c r="I30" i="77"/>
  <c r="I19" i="77"/>
  <c r="I17" i="77"/>
  <c r="Q41" i="77"/>
  <c r="S41" i="77" s="1"/>
  <c r="T41" i="77" s="1"/>
  <c r="J38" i="77"/>
  <c r="I35" i="77"/>
  <c r="L31" i="77"/>
  <c r="N31" i="77" s="1"/>
  <c r="O31" i="77" s="1"/>
  <c r="J41" i="77"/>
  <c r="Q16" i="77"/>
  <c r="S16" i="77" s="1"/>
  <c r="T16" i="77" s="1"/>
  <c r="I52" i="77"/>
  <c r="L39" i="77"/>
  <c r="N39" i="77" s="1"/>
  <c r="O39" i="77" s="1"/>
  <c r="J20" i="77"/>
  <c r="I15" i="77"/>
  <c r="I20" i="77"/>
  <c r="L16" i="77"/>
  <c r="N16" i="77" s="1"/>
  <c r="O16" i="77" s="1"/>
  <c r="I42" i="77"/>
  <c r="L21" i="77"/>
  <c r="N21" i="77" s="1"/>
  <c r="O21" i="77" s="1"/>
  <c r="J49" i="77"/>
  <c r="L52" i="77"/>
  <c r="N52" i="77" s="1"/>
  <c r="O52" i="77" s="1"/>
  <c r="L41" i="77"/>
  <c r="N41" i="77" s="1"/>
  <c r="O41" i="77" s="1"/>
  <c r="L58" i="77"/>
  <c r="N58" i="77" s="1"/>
  <c r="O58" i="77" s="1"/>
  <c r="L18" i="77"/>
  <c r="N18" i="77" s="1"/>
  <c r="O18" i="77" s="1"/>
  <c r="I34" i="77"/>
  <c r="Q32" i="77"/>
  <c r="S32" i="77" s="1"/>
  <c r="T32" i="77" s="1"/>
  <c r="J53" i="77"/>
  <c r="L19" i="77"/>
  <c r="N19" i="77" s="1"/>
  <c r="O19" i="77" s="1"/>
  <c r="I45" i="77"/>
  <c r="Q52" i="77"/>
  <c r="S52" i="77" s="1"/>
  <c r="T52" i="77" s="1"/>
  <c r="L44" i="77"/>
  <c r="N44" i="77" s="1"/>
  <c r="O44" i="77" s="1"/>
  <c r="Q23" i="77"/>
  <c r="S23" i="77" s="1"/>
  <c r="T23" i="77" s="1"/>
  <c r="Q29" i="77"/>
  <c r="S29" i="77" s="1"/>
  <c r="T29" i="77" s="1"/>
  <c r="J37" i="77"/>
  <c r="I38" i="77"/>
  <c r="Q18" i="77"/>
  <c r="S18" i="77" s="1"/>
  <c r="T18" i="77" s="1"/>
  <c r="I22" i="77"/>
  <c r="L54" i="77"/>
  <c r="N54" i="77" s="1"/>
  <c r="O54" i="77" s="1"/>
  <c r="I24" i="77"/>
  <c r="Q20" i="77"/>
  <c r="S20" i="77" s="1"/>
  <c r="T20" i="77" s="1"/>
  <c r="J32" i="77"/>
  <c r="Q56" i="77"/>
  <c r="S56" i="77" s="1"/>
  <c r="T56" i="77" s="1"/>
  <c r="Q57" i="77"/>
  <c r="S57" i="77" s="1"/>
  <c r="T57" i="77" s="1"/>
  <c r="Q58" i="77"/>
  <c r="S58" i="77" s="1"/>
  <c r="T58" i="77" s="1"/>
  <c r="L53" i="77"/>
  <c r="N53" i="77" s="1"/>
  <c r="O53" i="77" s="1"/>
  <c r="Q24" i="77"/>
  <c r="S24" i="77" s="1"/>
  <c r="T24" i="77" s="1"/>
  <c r="J44" i="77"/>
  <c r="Q43" i="77"/>
  <c r="S43" i="77" s="1"/>
  <c r="T43" i="77" s="1"/>
  <c r="Q22" i="77"/>
  <c r="S22" i="77" s="1"/>
  <c r="T22" i="77" s="1"/>
  <c r="L45" i="77"/>
  <c r="N45" i="77" s="1"/>
  <c r="O45" i="77" s="1"/>
  <c r="Q44" i="77"/>
  <c r="S44" i="77" s="1"/>
  <c r="T44" i="77" s="1"/>
  <c r="L22" i="77"/>
  <c r="N22" i="77" s="1"/>
  <c r="O22" i="77" s="1"/>
  <c r="J22" i="77"/>
  <c r="J55" i="77"/>
  <c r="J45" i="77"/>
  <c r="Q45" i="77"/>
  <c r="S45" i="77" s="1"/>
  <c r="T45" i="77" s="1"/>
  <c r="L42" i="77"/>
  <c r="N42" i="77" s="1"/>
  <c r="O42" i="77" s="1"/>
  <c r="J43" i="77"/>
  <c r="L57" i="77"/>
  <c r="N57" i="77" s="1"/>
  <c r="O57" i="77" s="1"/>
  <c r="J18" i="77"/>
  <c r="L43" i="77"/>
  <c r="N43" i="77" s="1"/>
  <c r="O43" i="77" s="1"/>
  <c r="J25" i="77"/>
  <c r="J33" i="77"/>
  <c r="L56" i="77"/>
  <c r="N56" i="77" s="1"/>
  <c r="O56" i="77" s="1"/>
  <c r="I49" i="77"/>
  <c r="J23" i="77"/>
  <c r="I23" i="77"/>
  <c r="I56" i="77"/>
  <c r="Q50" i="77"/>
  <c r="S50" i="77" s="1"/>
  <c r="T50" i="77" s="1"/>
  <c r="Q55" i="77"/>
  <c r="S55" i="77" s="1"/>
  <c r="T55" i="77" s="1"/>
  <c r="Q38" i="77"/>
  <c r="S38" i="77" s="1"/>
  <c r="T38" i="77" s="1"/>
  <c r="I43" i="77"/>
  <c r="L23" i="77"/>
  <c r="N23" i="77" s="1"/>
  <c r="O23" i="77" s="1"/>
  <c r="J24" i="77"/>
  <c r="Q51" i="77"/>
  <c r="S51" i="77" s="1"/>
  <c r="T51" i="77" s="1"/>
  <c r="Q39" i="77"/>
  <c r="S39" i="77" s="1"/>
  <c r="T39" i="77" s="1"/>
  <c r="L36" i="77"/>
  <c r="N36" i="77" s="1"/>
  <c r="O36" i="77" s="1"/>
  <c r="Q49" i="77"/>
  <c r="S49" i="77" s="1"/>
  <c r="T49" i="77" s="1"/>
  <c r="J42" i="77"/>
  <c r="J56" i="77"/>
  <c r="Q54" i="77"/>
  <c r="S54" i="77" s="1"/>
  <c r="T54" i="77" s="1"/>
  <c r="I25" i="77"/>
  <c r="J58" i="77"/>
  <c r="I44" i="77"/>
  <c r="I32" i="77"/>
  <c r="Q40" i="77"/>
  <c r="S40" i="77" s="1"/>
  <c r="T40" i="77" s="1"/>
  <c r="Q19" i="77"/>
  <c r="S19" i="77" s="1"/>
  <c r="T19" i="77" s="1"/>
  <c r="I57" i="77"/>
  <c r="I18" i="77"/>
  <c r="I29" i="77"/>
  <c r="L55" i="77"/>
  <c r="N55" i="77" s="1"/>
  <c r="O55" i="77" s="1"/>
  <c r="Q30" i="77"/>
  <c r="S30" i="77" s="1"/>
  <c r="T30" i="77" s="1"/>
  <c r="J57" i="77"/>
  <c r="I33" i="77"/>
  <c r="Q42" i="77"/>
  <c r="S42" i="77" s="1"/>
  <c r="T42" i="77" s="1"/>
  <c r="Q53" i="77"/>
  <c r="S53" i="77" s="1"/>
  <c r="T53" i="77" s="1"/>
  <c r="I58" i="77"/>
  <c r="L30" i="77"/>
  <c r="N30" i="77" s="1"/>
  <c r="O30" i="77" s="1"/>
  <c r="L24" i="77"/>
  <c r="N24" i="77" s="1"/>
  <c r="O24" i="77" s="1"/>
  <c r="I55" i="77"/>
  <c r="L32" i="77"/>
  <c r="N32" i="77" s="1"/>
  <c r="O32" i="77" s="1"/>
  <c r="J54" i="77"/>
  <c r="T26" i="77" l="1"/>
  <c r="T46" i="77"/>
  <c r="T59" i="77"/>
  <c r="O59" i="77"/>
  <c r="O46" i="77"/>
  <c r="O26" i="77"/>
  <c r="O61" i="77" l="1"/>
  <c r="T61" i="77"/>
  <c r="A112" i="75" l="1"/>
  <c r="A110" i="75"/>
  <c r="R109" i="75"/>
  <c r="D109" i="75"/>
  <c r="A109" i="75"/>
  <c r="A108" i="75"/>
  <c r="A105" i="75"/>
  <c r="R104" i="75"/>
  <c r="D104" i="75"/>
  <c r="A103" i="75"/>
  <c r="A100" i="75"/>
  <c r="R99" i="75"/>
  <c r="M99" i="75"/>
  <c r="D99" i="75"/>
  <c r="A99" i="75"/>
  <c r="A98" i="75"/>
  <c r="A97" i="75"/>
  <c r="R96" i="75"/>
  <c r="M96" i="75"/>
  <c r="D96" i="75"/>
  <c r="A96" i="75"/>
  <c r="R95" i="75"/>
  <c r="M95" i="75"/>
  <c r="D95" i="75"/>
  <c r="A95" i="75"/>
  <c r="R94" i="75"/>
  <c r="M94" i="75"/>
  <c r="D94" i="75"/>
  <c r="A94" i="75"/>
  <c r="R93" i="75"/>
  <c r="M93" i="75"/>
  <c r="D93" i="75"/>
  <c r="A93" i="75"/>
  <c r="R92" i="75"/>
  <c r="M92" i="75"/>
  <c r="D92" i="75"/>
  <c r="A92" i="75"/>
  <c r="R91" i="75"/>
  <c r="M91" i="75"/>
  <c r="D91" i="75"/>
  <c r="A91" i="75"/>
  <c r="R90" i="75"/>
  <c r="P90" i="75"/>
  <c r="M90" i="75"/>
  <c r="D90" i="75"/>
  <c r="A90" i="75"/>
  <c r="R89" i="75"/>
  <c r="P89" i="75"/>
  <c r="M89" i="75"/>
  <c r="D89" i="75"/>
  <c r="A89" i="75"/>
  <c r="R88" i="75"/>
  <c r="P88" i="75"/>
  <c r="M88" i="75"/>
  <c r="D88" i="75"/>
  <c r="A88" i="75"/>
  <c r="M87" i="75"/>
  <c r="D87" i="75"/>
  <c r="A87" i="75"/>
  <c r="A86" i="75"/>
  <c r="A85" i="75"/>
  <c r="R84" i="75"/>
  <c r="M84" i="75"/>
  <c r="D84" i="75"/>
  <c r="A84" i="75"/>
  <c r="R83" i="75"/>
  <c r="M83" i="75"/>
  <c r="D83" i="75"/>
  <c r="A83" i="75"/>
  <c r="R81" i="75"/>
  <c r="M81" i="75"/>
  <c r="A81" i="75"/>
  <c r="R80" i="75"/>
  <c r="M80" i="75"/>
  <c r="D80" i="75"/>
  <c r="A80" i="75"/>
  <c r="R79" i="75"/>
  <c r="M79" i="75"/>
  <c r="D79" i="75"/>
  <c r="D81" i="75" s="1"/>
  <c r="A79" i="75"/>
  <c r="R78" i="75"/>
  <c r="M78" i="75"/>
  <c r="D78" i="75"/>
  <c r="A78" i="75"/>
  <c r="R76" i="75"/>
  <c r="M76" i="75"/>
  <c r="D76" i="75"/>
  <c r="A76" i="75"/>
  <c r="R74" i="75"/>
  <c r="M74" i="75"/>
  <c r="A74" i="75"/>
  <c r="R73" i="75"/>
  <c r="M73" i="75"/>
  <c r="D73" i="75"/>
  <c r="D74" i="75" s="1"/>
  <c r="A73" i="75"/>
  <c r="R72" i="75"/>
  <c r="M72" i="75"/>
  <c r="D72" i="75"/>
  <c r="A72" i="75"/>
  <c r="R71" i="75"/>
  <c r="M71" i="75"/>
  <c r="D71" i="75"/>
  <c r="A71" i="75"/>
  <c r="R70" i="75"/>
  <c r="M70" i="75"/>
  <c r="D70" i="75"/>
  <c r="A70" i="75"/>
  <c r="R69" i="75"/>
  <c r="M69" i="75"/>
  <c r="D69" i="75"/>
  <c r="A69" i="75"/>
  <c r="R68" i="75"/>
  <c r="M68" i="75"/>
  <c r="D68" i="75"/>
  <c r="A68" i="75"/>
  <c r="R67" i="75"/>
  <c r="M67" i="75"/>
  <c r="D67" i="75"/>
  <c r="A67" i="75"/>
  <c r="R65" i="75"/>
  <c r="M65" i="75"/>
  <c r="D65" i="75"/>
  <c r="A65" i="75"/>
  <c r="R64" i="75"/>
  <c r="M64" i="75"/>
  <c r="D64" i="75"/>
  <c r="A64" i="75"/>
  <c r="R63" i="75"/>
  <c r="M63" i="75"/>
  <c r="D63" i="75"/>
  <c r="A63" i="75"/>
  <c r="R62" i="75"/>
  <c r="M62" i="75"/>
  <c r="D62" i="75"/>
  <c r="A62" i="75"/>
  <c r="R61" i="75"/>
  <c r="M61" i="75"/>
  <c r="D61" i="75"/>
  <c r="A61" i="75"/>
  <c r="R59" i="75"/>
  <c r="M59" i="75"/>
  <c r="D59" i="75"/>
  <c r="A59" i="75"/>
  <c r="R58" i="75"/>
  <c r="M58" i="75"/>
  <c r="D58" i="75"/>
  <c r="A58" i="75"/>
  <c r="R57" i="75"/>
  <c r="M57" i="75"/>
  <c r="D57" i="75"/>
  <c r="A57" i="75"/>
  <c r="R56" i="75"/>
  <c r="M56" i="75"/>
  <c r="D56" i="75"/>
  <c r="A56" i="75"/>
  <c r="R55" i="75"/>
  <c r="M55" i="75"/>
  <c r="D55" i="75"/>
  <c r="A55" i="75"/>
  <c r="R54" i="75"/>
  <c r="M54" i="75"/>
  <c r="D54" i="75"/>
  <c r="A54" i="75"/>
  <c r="R53" i="75"/>
  <c r="M53" i="75"/>
  <c r="D53" i="75"/>
  <c r="A53" i="75"/>
  <c r="R52" i="75"/>
  <c r="M52" i="75"/>
  <c r="D52" i="75"/>
  <c r="A52" i="75"/>
  <c r="R50" i="75"/>
  <c r="M50" i="75"/>
  <c r="D50" i="75"/>
  <c r="A50" i="75"/>
  <c r="R49" i="75"/>
  <c r="M49" i="75"/>
  <c r="D49" i="75"/>
  <c r="A49" i="75"/>
  <c r="R48" i="75"/>
  <c r="M48" i="75"/>
  <c r="D48" i="75"/>
  <c r="A48" i="75"/>
  <c r="R46" i="75"/>
  <c r="M46" i="75"/>
  <c r="D46" i="75"/>
  <c r="A46" i="75"/>
  <c r="R45" i="75"/>
  <c r="M45" i="75"/>
  <c r="D45" i="75"/>
  <c r="A45" i="75"/>
  <c r="R44" i="75"/>
  <c r="M44" i="75"/>
  <c r="D44" i="75"/>
  <c r="A44" i="75"/>
  <c r="A42" i="75"/>
  <c r="A41" i="75"/>
  <c r="R40" i="75"/>
  <c r="M40" i="75"/>
  <c r="D40" i="75"/>
  <c r="A40" i="75"/>
  <c r="R38" i="75"/>
  <c r="M38" i="75"/>
  <c r="D38" i="75"/>
  <c r="A38" i="75"/>
  <c r="R36" i="75"/>
  <c r="M36" i="75"/>
  <c r="D36" i="75"/>
  <c r="A36" i="75"/>
  <c r="R34" i="75"/>
  <c r="M34" i="75"/>
  <c r="D34" i="75"/>
  <c r="A34" i="75"/>
  <c r="R32" i="75"/>
  <c r="M32" i="75"/>
  <c r="D32" i="75"/>
  <c r="A32" i="75"/>
  <c r="R30" i="75"/>
  <c r="M30" i="75"/>
  <c r="D30" i="75"/>
  <c r="A30" i="75"/>
  <c r="R28" i="75"/>
  <c r="M28" i="75"/>
  <c r="F28" i="75"/>
  <c r="F30" i="75" s="1"/>
  <c r="F32" i="75" s="1"/>
  <c r="F34" i="75" s="1"/>
  <c r="F36" i="75" s="1"/>
  <c r="F38" i="75" s="1"/>
  <c r="F40" i="75" s="1"/>
  <c r="D28" i="75"/>
  <c r="A28" i="75"/>
  <c r="R27" i="75"/>
  <c r="M27" i="75"/>
  <c r="D27" i="75"/>
  <c r="A27" i="75"/>
  <c r="R26" i="75"/>
  <c r="M26" i="75"/>
  <c r="D26" i="75"/>
  <c r="A26" i="75"/>
  <c r="R24" i="75"/>
  <c r="M24" i="75"/>
  <c r="D24" i="75"/>
  <c r="A24" i="75"/>
  <c r="R23" i="75"/>
  <c r="M23" i="75"/>
  <c r="D23" i="75"/>
  <c r="A23" i="75"/>
  <c r="R22" i="75"/>
  <c r="M22" i="75"/>
  <c r="D22" i="75"/>
  <c r="A22" i="75"/>
  <c r="A20" i="75"/>
  <c r="A19" i="75"/>
  <c r="R18" i="75"/>
  <c r="M18" i="75"/>
  <c r="D18" i="75"/>
  <c r="A18" i="75"/>
  <c r="R17" i="75"/>
  <c r="M17" i="75"/>
  <c r="D17" i="75"/>
  <c r="A17" i="75"/>
  <c r="R16" i="75"/>
  <c r="M16" i="75"/>
  <c r="D16" i="75"/>
  <c r="A16" i="75"/>
  <c r="R15" i="75"/>
  <c r="M15" i="75"/>
  <c r="F15" i="75"/>
  <c r="F16" i="75" s="1"/>
  <c r="F17" i="75" s="1"/>
  <c r="F18" i="75" s="1"/>
  <c r="D15" i="75"/>
  <c r="A15" i="75"/>
  <c r="A14" i="75"/>
  <c r="R89" i="70"/>
  <c r="P89" i="70"/>
  <c r="M89" i="70"/>
  <c r="D89" i="70"/>
  <c r="A89" i="70"/>
  <c r="K94" i="70"/>
  <c r="K83" i="70"/>
  <c r="K84" i="70"/>
  <c r="P88" i="70"/>
  <c r="P90" i="70"/>
  <c r="R93" i="70"/>
  <c r="M93" i="70"/>
  <c r="D93" i="70"/>
  <c r="A93" i="70"/>
  <c r="R26" i="70"/>
  <c r="M26" i="70"/>
  <c r="D26" i="70"/>
  <c r="A26" i="70"/>
  <c r="R22" i="70"/>
  <c r="M22" i="70"/>
  <c r="D22" i="70"/>
  <c r="A22" i="70"/>
  <c r="K88" i="70" l="1"/>
  <c r="K72" i="70"/>
  <c r="K93" i="70"/>
  <c r="B24" i="68" l="1"/>
  <c r="B22" i="68"/>
  <c r="B20" i="68"/>
  <c r="B16" i="68"/>
  <c r="N302" i="71" l="1"/>
  <c r="J272" i="71" l="1"/>
  <c r="D272" i="71"/>
  <c r="F272" i="71" s="1"/>
  <c r="D292" i="71"/>
  <c r="F292" i="71" s="1"/>
  <c r="D287" i="71"/>
  <c r="D277" i="71"/>
  <c r="F277" i="71" s="1"/>
  <c r="L282" i="71"/>
  <c r="C369" i="71"/>
  <c r="G361" i="71"/>
  <c r="G360" i="71"/>
  <c r="G359" i="71"/>
  <c r="G358" i="71"/>
  <c r="G357" i="71"/>
  <c r="G356" i="71"/>
  <c r="G355" i="71"/>
  <c r="G354" i="71"/>
  <c r="G353" i="71"/>
  <c r="G352" i="71"/>
  <c r="G351" i="71"/>
  <c r="G350" i="71"/>
  <c r="G349" i="71"/>
  <c r="G348" i="71"/>
  <c r="G347" i="71"/>
  <c r="G346" i="71"/>
  <c r="G345" i="71"/>
  <c r="G344" i="71"/>
  <c r="G343" i="71"/>
  <c r="G342" i="71"/>
  <c r="G341" i="71"/>
  <c r="G340" i="71"/>
  <c r="G339" i="71"/>
  <c r="G338" i="71"/>
  <c r="G337" i="71"/>
  <c r="G336" i="71"/>
  <c r="G331" i="71"/>
  <c r="G330" i="71"/>
  <c r="G329" i="71"/>
  <c r="G328" i="71"/>
  <c r="G327" i="71"/>
  <c r="G326" i="71"/>
  <c r="G325" i="71"/>
  <c r="G324" i="71"/>
  <c r="G323" i="71"/>
  <c r="G322" i="71"/>
  <c r="G321" i="71"/>
  <c r="G320" i="71"/>
  <c r="G319" i="71"/>
  <c r="G318" i="71"/>
  <c r="G317" i="71"/>
  <c r="G316" i="71"/>
  <c r="G315" i="71"/>
  <c r="G314" i="71"/>
  <c r="G313" i="71"/>
  <c r="G312" i="71"/>
  <c r="I305" i="71"/>
  <c r="E305" i="71"/>
  <c r="F305" i="71" s="1"/>
  <c r="H305" i="71" s="1"/>
  <c r="I304" i="71"/>
  <c r="E304" i="71"/>
  <c r="F304" i="71" s="1"/>
  <c r="H304" i="71" s="1"/>
  <c r="I303" i="71"/>
  <c r="I306" i="71" s="1"/>
  <c r="I302" i="71"/>
  <c r="F302" i="71"/>
  <c r="H302" i="71" s="1"/>
  <c r="D295" i="71"/>
  <c r="F295" i="71" s="1"/>
  <c r="D294" i="71"/>
  <c r="F294" i="71" s="1"/>
  <c r="D293" i="71"/>
  <c r="F293" i="71" s="1"/>
  <c r="D291" i="71"/>
  <c r="C291" i="71"/>
  <c r="D290" i="71"/>
  <c r="C290" i="71"/>
  <c r="D289" i="71"/>
  <c r="F289" i="71" s="1"/>
  <c r="D288" i="71"/>
  <c r="F288" i="71" s="1"/>
  <c r="F287" i="71"/>
  <c r="D286" i="71"/>
  <c r="F286" i="71" s="1"/>
  <c r="O285" i="71"/>
  <c r="K285" i="71"/>
  <c r="L285" i="71" s="1"/>
  <c r="N285" i="71" s="1"/>
  <c r="D285" i="71"/>
  <c r="F285" i="71" s="1"/>
  <c r="O284" i="71"/>
  <c r="K284" i="71"/>
  <c r="L284" i="71" s="1"/>
  <c r="N284" i="71" s="1"/>
  <c r="D284" i="71"/>
  <c r="F284" i="71" s="1"/>
  <c r="O283" i="71"/>
  <c r="O286" i="71" s="1"/>
  <c r="D283" i="71"/>
  <c r="F283" i="71" s="1"/>
  <c r="O282" i="71"/>
  <c r="N282" i="71"/>
  <c r="D282" i="71"/>
  <c r="F282" i="71" s="1"/>
  <c r="D281" i="71"/>
  <c r="F281" i="71" s="1"/>
  <c r="D280" i="71"/>
  <c r="F280" i="71" s="1"/>
  <c r="D279" i="71"/>
  <c r="F279" i="71" s="1"/>
  <c r="D278" i="71"/>
  <c r="F278" i="71" s="1"/>
  <c r="D276" i="71"/>
  <c r="F276" i="71" s="1"/>
  <c r="D275" i="71"/>
  <c r="C275" i="71"/>
  <c r="D274" i="71"/>
  <c r="C274" i="71"/>
  <c r="D273" i="71"/>
  <c r="C273" i="71"/>
  <c r="E263" i="71"/>
  <c r="B262" i="71"/>
  <c r="B254" i="71"/>
  <c r="E254" i="71" s="1"/>
  <c r="D256" i="71" s="1"/>
  <c r="E250" i="71"/>
  <c r="G250" i="71" s="1"/>
  <c r="I250" i="71" s="1"/>
  <c r="C245" i="71"/>
  <c r="E245" i="71" s="1"/>
  <c r="I244" i="71"/>
  <c r="C244" i="71"/>
  <c r="C237" i="71"/>
  <c r="E237" i="71" s="1"/>
  <c r="E238" i="71" s="1"/>
  <c r="B237" i="71"/>
  <c r="B229" i="71"/>
  <c r="E229" i="71" s="1"/>
  <c r="D231" i="71" s="1"/>
  <c r="E225" i="71"/>
  <c r="G225" i="71" s="1"/>
  <c r="I225" i="71" s="1"/>
  <c r="L283" i="71" s="1"/>
  <c r="C221" i="71"/>
  <c r="B220" i="71"/>
  <c r="E215" i="71"/>
  <c r="E216" i="71" s="1"/>
  <c r="D209" i="71"/>
  <c r="B209" i="71"/>
  <c r="D204" i="71"/>
  <c r="B204" i="71"/>
  <c r="C199" i="71"/>
  <c r="C209" i="71" s="1"/>
  <c r="B199" i="71"/>
  <c r="B215" i="71" s="1"/>
  <c r="C193" i="71"/>
  <c r="E193" i="71" s="1"/>
  <c r="E194" i="71" s="1"/>
  <c r="D187" i="71"/>
  <c r="C187" i="71"/>
  <c r="B187" i="71"/>
  <c r="D182" i="71"/>
  <c r="C182" i="71"/>
  <c r="B182" i="71"/>
  <c r="H177" i="71"/>
  <c r="J177" i="71" s="1"/>
  <c r="J178" i="71" s="1"/>
  <c r="E177" i="71"/>
  <c r="E178" i="71" s="1"/>
  <c r="B177" i="71"/>
  <c r="B193" i="71" s="1"/>
  <c r="G177" i="71" s="1"/>
  <c r="C172" i="71"/>
  <c r="B171" i="71"/>
  <c r="D160" i="71"/>
  <c r="B160" i="71"/>
  <c r="D155" i="71"/>
  <c r="B155" i="71"/>
  <c r="C150" i="71"/>
  <c r="C166" i="71" s="1"/>
  <c r="E166" i="71" s="1"/>
  <c r="E167" i="71" s="1"/>
  <c r="B150" i="71"/>
  <c r="B166" i="71" s="1"/>
  <c r="G150" i="71" s="1"/>
  <c r="E144" i="71"/>
  <c r="E145" i="71" s="1"/>
  <c r="B144" i="71"/>
  <c r="B139" i="71"/>
  <c r="E134" i="71"/>
  <c r="E135" i="71" s="1"/>
  <c r="B134" i="71"/>
  <c r="E128" i="71"/>
  <c r="E129" i="71" s="1"/>
  <c r="B128" i="71"/>
  <c r="B123" i="71"/>
  <c r="E118" i="71"/>
  <c r="E119" i="71" s="1"/>
  <c r="B118" i="71"/>
  <c r="D109" i="71"/>
  <c r="F108" i="71"/>
  <c r="B108" i="71"/>
  <c r="B107" i="71"/>
  <c r="B106" i="71"/>
  <c r="B105" i="71"/>
  <c r="B103" i="71"/>
  <c r="B102" i="71"/>
  <c r="E97" i="71"/>
  <c r="D108" i="71" s="1"/>
  <c r="B96" i="71"/>
  <c r="E89" i="71"/>
  <c r="E88" i="71"/>
  <c r="E81" i="71"/>
  <c r="E82" i="71" s="1"/>
  <c r="C106" i="71" s="1"/>
  <c r="F106" i="71" s="1"/>
  <c r="B81" i="71"/>
  <c r="E74" i="71"/>
  <c r="E75" i="71" s="1"/>
  <c r="B74" i="71"/>
  <c r="E67" i="71"/>
  <c r="E68" i="71" s="1"/>
  <c r="B67" i="71"/>
  <c r="E60" i="71"/>
  <c r="E61" i="71" s="1"/>
  <c r="C139" i="71" s="1"/>
  <c r="E139" i="71" s="1"/>
  <c r="E140" i="71" s="1"/>
  <c r="F55" i="71"/>
  <c r="F56" i="71" s="1"/>
  <c r="F49" i="71"/>
  <c r="F50" i="71" s="1"/>
  <c r="B49" i="71"/>
  <c r="B55" i="71" s="1"/>
  <c r="B60" i="71" s="1"/>
  <c r="E42" i="71"/>
  <c r="E43" i="71" s="1"/>
  <c r="B104" i="71"/>
  <c r="I39" i="71"/>
  <c r="F37" i="71"/>
  <c r="F38" i="71" s="1"/>
  <c r="F31" i="71"/>
  <c r="F32" i="71" s="1"/>
  <c r="B31" i="71"/>
  <c r="B37" i="71" s="1"/>
  <c r="B42" i="71" s="1"/>
  <c r="D23" i="71"/>
  <c r="D24" i="71" s="1"/>
  <c r="D17" i="71"/>
  <c r="C17" i="71"/>
  <c r="B17" i="71"/>
  <c r="F17" i="71" s="1"/>
  <c r="D16" i="71"/>
  <c r="C16" i="71"/>
  <c r="B16" i="71"/>
  <c r="E11" i="71"/>
  <c r="E10" i="71"/>
  <c r="E12" i="71" s="1"/>
  <c r="E5" i="71"/>
  <c r="E6" i="71" s="1"/>
  <c r="A104" i="66"/>
  <c r="A102" i="66"/>
  <c r="R101" i="66"/>
  <c r="D101" i="66"/>
  <c r="A101" i="66"/>
  <c r="A100" i="66"/>
  <c r="A97" i="66"/>
  <c r="R96" i="66"/>
  <c r="D96" i="66"/>
  <c r="A95" i="66"/>
  <c r="A92" i="66"/>
  <c r="R91" i="66"/>
  <c r="M91" i="66"/>
  <c r="D91" i="66"/>
  <c r="A91" i="66"/>
  <c r="A90" i="66"/>
  <c r="A89" i="66"/>
  <c r="R88" i="66"/>
  <c r="M88" i="66"/>
  <c r="D88" i="66"/>
  <c r="A88" i="66"/>
  <c r="R87" i="66"/>
  <c r="M87" i="66"/>
  <c r="D87" i="66"/>
  <c r="A87" i="66"/>
  <c r="R86" i="66"/>
  <c r="M86" i="66"/>
  <c r="D86" i="66"/>
  <c r="A86" i="66"/>
  <c r="R85" i="66"/>
  <c r="M85" i="66"/>
  <c r="D85" i="66"/>
  <c r="A85" i="66"/>
  <c r="R84" i="66"/>
  <c r="M84" i="66"/>
  <c r="D84" i="66"/>
  <c r="A84" i="66"/>
  <c r="R83" i="66"/>
  <c r="M83" i="66"/>
  <c r="D83" i="66"/>
  <c r="A83" i="66"/>
  <c r="R82" i="66"/>
  <c r="M82" i="66"/>
  <c r="D82" i="66"/>
  <c r="A82" i="66"/>
  <c r="A81" i="66"/>
  <c r="A80" i="66"/>
  <c r="R79" i="66"/>
  <c r="M79" i="66"/>
  <c r="D79" i="66"/>
  <c r="A79" i="66"/>
  <c r="R78" i="66"/>
  <c r="M78" i="66"/>
  <c r="D78" i="66"/>
  <c r="A78" i="66"/>
  <c r="R76" i="66"/>
  <c r="M76" i="66"/>
  <c r="A76" i="66"/>
  <c r="R75" i="66"/>
  <c r="M75" i="66"/>
  <c r="D75" i="66"/>
  <c r="A75" i="66"/>
  <c r="R74" i="66"/>
  <c r="M74" i="66"/>
  <c r="D74" i="66"/>
  <c r="D76" i="66" s="1"/>
  <c r="A74" i="66"/>
  <c r="R73" i="66"/>
  <c r="M73" i="66"/>
  <c r="D73" i="66"/>
  <c r="A73" i="66"/>
  <c r="R71" i="66"/>
  <c r="M71" i="66"/>
  <c r="D71" i="66"/>
  <c r="A71" i="66"/>
  <c r="R69" i="66"/>
  <c r="M69" i="66"/>
  <c r="A69" i="66"/>
  <c r="R68" i="66"/>
  <c r="M68" i="66"/>
  <c r="D68" i="66"/>
  <c r="D69" i="66" s="1"/>
  <c r="A68" i="66"/>
  <c r="R67" i="66"/>
  <c r="M67" i="66"/>
  <c r="D67" i="66"/>
  <c r="A67" i="66"/>
  <c r="R66" i="66"/>
  <c r="M66" i="66"/>
  <c r="D66" i="66"/>
  <c r="A66" i="66"/>
  <c r="R65" i="66"/>
  <c r="M65" i="66"/>
  <c r="D65" i="66"/>
  <c r="A65" i="66"/>
  <c r="R64" i="66"/>
  <c r="M64" i="66"/>
  <c r="D64" i="66"/>
  <c r="A64" i="66"/>
  <c r="R63" i="66"/>
  <c r="M63" i="66"/>
  <c r="D63" i="66"/>
  <c r="A63" i="66"/>
  <c r="R61" i="66"/>
  <c r="M61" i="66"/>
  <c r="D61" i="66"/>
  <c r="A61" i="66"/>
  <c r="R60" i="66"/>
  <c r="M60" i="66"/>
  <c r="D60" i="66"/>
  <c r="A60" i="66"/>
  <c r="R59" i="66"/>
  <c r="M59" i="66"/>
  <c r="D59" i="66"/>
  <c r="A59" i="66"/>
  <c r="R58" i="66"/>
  <c r="M58" i="66"/>
  <c r="D58" i="66"/>
  <c r="A58" i="66"/>
  <c r="R57" i="66"/>
  <c r="M57" i="66"/>
  <c r="D57" i="66"/>
  <c r="A57" i="66"/>
  <c r="R55" i="66"/>
  <c r="M55" i="66"/>
  <c r="D55" i="66"/>
  <c r="A55" i="66"/>
  <c r="R54" i="66"/>
  <c r="M54" i="66"/>
  <c r="D54" i="66"/>
  <c r="A54" i="66"/>
  <c r="R53" i="66"/>
  <c r="M53" i="66"/>
  <c r="D53" i="66"/>
  <c r="A53" i="66"/>
  <c r="R52" i="66"/>
  <c r="M52" i="66"/>
  <c r="D52" i="66"/>
  <c r="A52" i="66"/>
  <c r="R51" i="66"/>
  <c r="M51" i="66"/>
  <c r="D51" i="66"/>
  <c r="A51" i="66"/>
  <c r="R50" i="66"/>
  <c r="M50" i="66"/>
  <c r="D50" i="66"/>
  <c r="A50" i="66"/>
  <c r="R48" i="66"/>
  <c r="M48" i="66"/>
  <c r="D48" i="66"/>
  <c r="A48" i="66"/>
  <c r="R47" i="66"/>
  <c r="M47" i="66"/>
  <c r="D47" i="66"/>
  <c r="A47" i="66"/>
  <c r="R46" i="66"/>
  <c r="M46" i="66"/>
  <c r="D46" i="66"/>
  <c r="A46" i="66"/>
  <c r="R44" i="66"/>
  <c r="M44" i="66"/>
  <c r="D44" i="66"/>
  <c r="A44" i="66"/>
  <c r="R43" i="66"/>
  <c r="M43" i="66"/>
  <c r="D43" i="66"/>
  <c r="A43" i="66"/>
  <c r="R42" i="66"/>
  <c r="M42" i="66"/>
  <c r="D42" i="66"/>
  <c r="A42" i="66"/>
  <c r="A40" i="66"/>
  <c r="A39" i="66"/>
  <c r="R38" i="66"/>
  <c r="M38" i="66"/>
  <c r="D38" i="66"/>
  <c r="A38" i="66"/>
  <c r="R36" i="66"/>
  <c r="M36" i="66"/>
  <c r="D36" i="66"/>
  <c r="A36" i="66"/>
  <c r="R34" i="66"/>
  <c r="M34" i="66"/>
  <c r="D34" i="66"/>
  <c r="A34" i="66"/>
  <c r="R32" i="66"/>
  <c r="M32" i="66"/>
  <c r="D32" i="66"/>
  <c r="A32" i="66"/>
  <c r="R30" i="66"/>
  <c r="M30" i="66"/>
  <c r="D30" i="66"/>
  <c r="A30" i="66"/>
  <c r="R28" i="66"/>
  <c r="M28" i="66"/>
  <c r="D28" i="66"/>
  <c r="A28" i="66"/>
  <c r="R26" i="66"/>
  <c r="M26" i="66"/>
  <c r="F26" i="66"/>
  <c r="F28" i="66" s="1"/>
  <c r="F30" i="66" s="1"/>
  <c r="F32" i="66" s="1"/>
  <c r="F34" i="66" s="1"/>
  <c r="F36" i="66" s="1"/>
  <c r="F38" i="66" s="1"/>
  <c r="D26" i="66"/>
  <c r="A26" i="66"/>
  <c r="R25" i="66"/>
  <c r="M25" i="66"/>
  <c r="D25" i="66"/>
  <c r="A25" i="66"/>
  <c r="R23" i="66"/>
  <c r="M23" i="66"/>
  <c r="D23" i="66"/>
  <c r="A23" i="66"/>
  <c r="R22" i="66"/>
  <c r="M22" i="66"/>
  <c r="D22" i="66"/>
  <c r="A22" i="66"/>
  <c r="A20" i="66"/>
  <c r="A19" i="66"/>
  <c r="R18" i="66"/>
  <c r="M18" i="66"/>
  <c r="D18" i="66"/>
  <c r="A18" i="66"/>
  <c r="R17" i="66"/>
  <c r="M17" i="66"/>
  <c r="D17" i="66"/>
  <c r="A17" i="66"/>
  <c r="R16" i="66"/>
  <c r="M16" i="66"/>
  <c r="D16" i="66"/>
  <c r="A16" i="66"/>
  <c r="R15" i="66"/>
  <c r="M15" i="66"/>
  <c r="F15" i="66"/>
  <c r="F16" i="66" s="1"/>
  <c r="F17" i="66" s="1"/>
  <c r="F18" i="66" s="1"/>
  <c r="D15" i="66"/>
  <c r="A15" i="66"/>
  <c r="A14" i="66"/>
  <c r="F187" i="71" l="1"/>
  <c r="F188" i="71" s="1"/>
  <c r="H244" i="71"/>
  <c r="J244" i="71" s="1"/>
  <c r="J245" i="71" s="1"/>
  <c r="F273" i="71"/>
  <c r="F291" i="71"/>
  <c r="E102" i="71"/>
  <c r="F102" i="71" s="1"/>
  <c r="F274" i="71"/>
  <c r="E90" i="71"/>
  <c r="E107" i="71" s="1"/>
  <c r="F107" i="71" s="1"/>
  <c r="H199" i="71"/>
  <c r="J199" i="71" s="1"/>
  <c r="J200" i="71" s="1"/>
  <c r="F275" i="71"/>
  <c r="E103" i="71"/>
  <c r="F103" i="71" s="1"/>
  <c r="G362" i="71"/>
  <c r="C105" i="71"/>
  <c r="F105" i="71" s="1"/>
  <c r="H150" i="71"/>
  <c r="J150" i="71" s="1"/>
  <c r="J151" i="71" s="1"/>
  <c r="F290" i="71"/>
  <c r="H271" i="71"/>
  <c r="J271" i="71" s="1"/>
  <c r="H275" i="71" s="1"/>
  <c r="F16" i="71"/>
  <c r="F18" i="71" s="1"/>
  <c r="F209" i="71"/>
  <c r="F210" i="71" s="1"/>
  <c r="G332" i="71"/>
  <c r="L271" i="71"/>
  <c r="F182" i="71"/>
  <c r="F183" i="71" s="1"/>
  <c r="G199" i="71"/>
  <c r="L275" i="71"/>
  <c r="I291" i="71" s="1"/>
  <c r="N283" i="71"/>
  <c r="N286" i="71" s="1"/>
  <c r="H291" i="71" s="1"/>
  <c r="I226" i="71"/>
  <c r="C104" i="71"/>
  <c r="F104" i="71" s="1"/>
  <c r="C123" i="71"/>
  <c r="E123" i="71" s="1"/>
  <c r="E124" i="71" s="1"/>
  <c r="I251" i="71"/>
  <c r="I253" i="71" s="1"/>
  <c r="C227" i="71"/>
  <c r="E227" i="71" s="1"/>
  <c r="C231" i="71" s="1"/>
  <c r="E231" i="71" s="1"/>
  <c r="E150" i="71"/>
  <c r="E151" i="71" s="1"/>
  <c r="C160" i="71"/>
  <c r="F160" i="71" s="1"/>
  <c r="F161" i="71" s="1"/>
  <c r="C204" i="71"/>
  <c r="F204" i="71" s="1"/>
  <c r="F205" i="71" s="1"/>
  <c r="E244" i="71"/>
  <c r="E246" i="71" s="1"/>
  <c r="C252" i="71"/>
  <c r="E252" i="71" s="1"/>
  <c r="C256" i="71" s="1"/>
  <c r="E256" i="71" s="1"/>
  <c r="F303" i="71"/>
  <c r="H303" i="71" s="1"/>
  <c r="H306" i="71" s="1"/>
  <c r="C155" i="71"/>
  <c r="F155" i="71" s="1"/>
  <c r="F156" i="71" s="1"/>
  <c r="E199" i="71"/>
  <c r="E200" i="71" s="1"/>
  <c r="A105" i="70"/>
  <c r="R104" i="70"/>
  <c r="D104" i="70"/>
  <c r="A103" i="70"/>
  <c r="L304" i="71" l="1"/>
  <c r="N304" i="71" s="1"/>
  <c r="N306" i="71" s="1"/>
  <c r="I228" i="71"/>
  <c r="E109" i="71"/>
  <c r="F109" i="71" s="1"/>
  <c r="F110" i="71" s="1"/>
  <c r="F112" i="71" s="1"/>
  <c r="D87" i="70"/>
  <c r="M87" i="70"/>
  <c r="A87" i="70"/>
  <c r="A80" i="70"/>
  <c r="D80" i="70"/>
  <c r="M80" i="70"/>
  <c r="R80" i="70"/>
  <c r="R49" i="70"/>
  <c r="M49" i="70"/>
  <c r="D49" i="70"/>
  <c r="A49" i="70"/>
  <c r="R45" i="70"/>
  <c r="M45" i="70"/>
  <c r="D45" i="70"/>
  <c r="A45" i="70"/>
  <c r="R84" i="70"/>
  <c r="M84" i="70"/>
  <c r="D84" i="70"/>
  <c r="A84" i="70"/>
  <c r="R83" i="70" l="1"/>
  <c r="M83" i="70"/>
  <c r="D83" i="70"/>
  <c r="A83" i="70"/>
  <c r="R94" i="70"/>
  <c r="M94" i="70"/>
  <c r="D94" i="70"/>
  <c r="A94" i="70"/>
  <c r="R59" i="70"/>
  <c r="M59" i="70"/>
  <c r="D59" i="70"/>
  <c r="A59" i="70"/>
  <c r="R58" i="70"/>
  <c r="M58" i="70"/>
  <c r="D58" i="70"/>
  <c r="A58" i="70"/>
  <c r="R57" i="70"/>
  <c r="M57" i="70"/>
  <c r="D57" i="70"/>
  <c r="A57" i="70"/>
  <c r="R64" i="70"/>
  <c r="M64" i="70"/>
  <c r="D64" i="70"/>
  <c r="A64" i="70"/>
  <c r="R71" i="70"/>
  <c r="M71" i="70"/>
  <c r="D71" i="70"/>
  <c r="A71" i="70"/>
  <c r="K70" i="70" l="1"/>
  <c r="A112" i="70"/>
  <c r="A110" i="70"/>
  <c r="R109" i="70"/>
  <c r="D109" i="70"/>
  <c r="A109" i="70"/>
  <c r="A108" i="70"/>
  <c r="A100" i="70"/>
  <c r="R99" i="70"/>
  <c r="M99" i="70"/>
  <c r="D99" i="70"/>
  <c r="A99" i="70"/>
  <c r="A98" i="70"/>
  <c r="A97" i="70"/>
  <c r="R96" i="70"/>
  <c r="M96" i="70"/>
  <c r="D96" i="70"/>
  <c r="A96" i="70"/>
  <c r="R95" i="70"/>
  <c r="M95" i="70"/>
  <c r="D95" i="70"/>
  <c r="A95" i="70"/>
  <c r="R92" i="70"/>
  <c r="M92" i="70"/>
  <c r="D92" i="70"/>
  <c r="A92" i="70"/>
  <c r="R91" i="70"/>
  <c r="M91" i="70"/>
  <c r="D91" i="70"/>
  <c r="A91" i="70"/>
  <c r="R90" i="70"/>
  <c r="M90" i="70"/>
  <c r="D90" i="70"/>
  <c r="A90" i="70"/>
  <c r="R88" i="70"/>
  <c r="M88" i="70"/>
  <c r="D88" i="70"/>
  <c r="A88" i="70"/>
  <c r="A86" i="70"/>
  <c r="A85" i="70"/>
  <c r="R79" i="70"/>
  <c r="M79" i="70"/>
  <c r="D79" i="70"/>
  <c r="D81" i="70" s="1"/>
  <c r="A79" i="70"/>
  <c r="R78" i="70"/>
  <c r="M78" i="70"/>
  <c r="D78" i="70"/>
  <c r="A78" i="70"/>
  <c r="R76" i="70"/>
  <c r="M76" i="70"/>
  <c r="D76" i="70"/>
  <c r="A76" i="70"/>
  <c r="R73" i="70"/>
  <c r="M73" i="70"/>
  <c r="D73" i="70"/>
  <c r="D74" i="70" s="1"/>
  <c r="A73" i="70"/>
  <c r="R72" i="70"/>
  <c r="M72" i="70"/>
  <c r="D72" i="70"/>
  <c r="A72" i="70"/>
  <c r="R70" i="70"/>
  <c r="M70" i="70"/>
  <c r="D70" i="70"/>
  <c r="A70" i="70"/>
  <c r="R69" i="70"/>
  <c r="M69" i="70"/>
  <c r="D69" i="70"/>
  <c r="A69" i="70"/>
  <c r="R68" i="70"/>
  <c r="M68" i="70"/>
  <c r="D68" i="70"/>
  <c r="A68" i="70"/>
  <c r="R67" i="70"/>
  <c r="M67" i="70"/>
  <c r="D67" i="70"/>
  <c r="A67" i="70"/>
  <c r="R65" i="70"/>
  <c r="M65" i="70"/>
  <c r="D65" i="70"/>
  <c r="A65" i="70"/>
  <c r="R63" i="70"/>
  <c r="M63" i="70"/>
  <c r="D63" i="70"/>
  <c r="A63" i="70"/>
  <c r="R62" i="70"/>
  <c r="M62" i="70"/>
  <c r="D62" i="70"/>
  <c r="A62" i="70"/>
  <c r="R61" i="70"/>
  <c r="M61" i="70"/>
  <c r="D61" i="70"/>
  <c r="A61" i="70"/>
  <c r="R56" i="70"/>
  <c r="M56" i="70"/>
  <c r="D56" i="70"/>
  <c r="A56" i="70"/>
  <c r="R55" i="70"/>
  <c r="M55" i="70"/>
  <c r="D55" i="70"/>
  <c r="A55" i="70"/>
  <c r="R54" i="70"/>
  <c r="M54" i="70"/>
  <c r="D54" i="70"/>
  <c r="A54" i="70"/>
  <c r="R53" i="70"/>
  <c r="M53" i="70"/>
  <c r="D53" i="70"/>
  <c r="A53" i="70"/>
  <c r="R52" i="70"/>
  <c r="M52" i="70"/>
  <c r="D52" i="70"/>
  <c r="A52" i="70"/>
  <c r="R50" i="70"/>
  <c r="M50" i="70"/>
  <c r="D50" i="70"/>
  <c r="A50" i="70"/>
  <c r="R48" i="70"/>
  <c r="M48" i="70"/>
  <c r="D48" i="70"/>
  <c r="A48" i="70"/>
  <c r="R46" i="70"/>
  <c r="M46" i="70"/>
  <c r="D46" i="70"/>
  <c r="A46" i="70"/>
  <c r="R44" i="70"/>
  <c r="M44" i="70"/>
  <c r="D44" i="70"/>
  <c r="A44" i="70"/>
  <c r="A42" i="70"/>
  <c r="R81" i="70"/>
  <c r="M81" i="70"/>
  <c r="A81" i="70"/>
  <c r="R74" i="70"/>
  <c r="M74" i="70"/>
  <c r="A74" i="70"/>
  <c r="A41" i="70"/>
  <c r="R40" i="70"/>
  <c r="M40" i="70"/>
  <c r="D40" i="70"/>
  <c r="A40" i="70"/>
  <c r="R38" i="70"/>
  <c r="M38" i="70"/>
  <c r="D38" i="70"/>
  <c r="A38" i="70"/>
  <c r="R36" i="70"/>
  <c r="M36" i="70"/>
  <c r="D36" i="70"/>
  <c r="A36" i="70"/>
  <c r="R34" i="70"/>
  <c r="M34" i="70"/>
  <c r="D34" i="70"/>
  <c r="A34" i="70"/>
  <c r="R32" i="70"/>
  <c r="M32" i="70"/>
  <c r="D32" i="70"/>
  <c r="A32" i="70"/>
  <c r="R30" i="70"/>
  <c r="M30" i="70"/>
  <c r="D30" i="70"/>
  <c r="A30" i="70"/>
  <c r="R28" i="70"/>
  <c r="M28" i="70"/>
  <c r="D28" i="70"/>
  <c r="A28" i="70"/>
  <c r="R27" i="70"/>
  <c r="M27" i="70"/>
  <c r="D27" i="70"/>
  <c r="A27" i="70"/>
  <c r="R24" i="70"/>
  <c r="M24" i="70"/>
  <c r="D24" i="70"/>
  <c r="A24" i="70"/>
  <c r="R23" i="70"/>
  <c r="M23" i="70"/>
  <c r="F30" i="70"/>
  <c r="F32" i="70" s="1"/>
  <c r="F34" i="70" s="1"/>
  <c r="F36" i="70" s="1"/>
  <c r="F38" i="70" s="1"/>
  <c r="F40" i="70" s="1"/>
  <c r="D23" i="70"/>
  <c r="A23" i="70"/>
  <c r="A20" i="70"/>
  <c r="A19" i="70"/>
  <c r="R18" i="70"/>
  <c r="M18" i="70"/>
  <c r="D18" i="70"/>
  <c r="A18" i="70"/>
  <c r="R17" i="70"/>
  <c r="M17" i="70"/>
  <c r="D17" i="70"/>
  <c r="A17" i="70"/>
  <c r="R16" i="70"/>
  <c r="M16" i="70"/>
  <c r="D16" i="70"/>
  <c r="A16" i="70"/>
  <c r="R15" i="70"/>
  <c r="M15" i="70"/>
  <c r="F15" i="70"/>
  <c r="F16" i="70" s="1"/>
  <c r="F17" i="70" s="1"/>
  <c r="F18" i="70" s="1"/>
  <c r="D15" i="70"/>
  <c r="A15" i="70"/>
  <c r="A14" i="70"/>
  <c r="K55" i="70" l="1"/>
  <c r="K80" i="70" l="1"/>
  <c r="K78" i="70" l="1"/>
  <c r="K79" i="70"/>
  <c r="K22" i="70" l="1"/>
  <c r="K23" i="70"/>
  <c r="K36" i="70"/>
  <c r="K26" i="70"/>
  <c r="K48" i="70" l="1"/>
  <c r="K67" i="70"/>
  <c r="K73" i="70"/>
  <c r="K92" i="70"/>
  <c r="K49" i="70"/>
  <c r="K76" i="70"/>
  <c r="K56" i="70"/>
  <c r="K59" i="70"/>
  <c r="K58" i="70"/>
  <c r="K57" i="70"/>
  <c r="K71" i="70"/>
  <c r="K68" i="70" l="1"/>
  <c r="K52" i="70"/>
  <c r="K30" i="70"/>
  <c r="K53" i="70"/>
  <c r="K81" i="70"/>
  <c r="K32" i="70"/>
  <c r="K69" i="70"/>
  <c r="K63" i="70"/>
  <c r="K45" i="70"/>
  <c r="K62" i="70"/>
  <c r="K61" i="70"/>
  <c r="K54" i="70"/>
  <c r="K90" i="70"/>
  <c r="K65" i="70"/>
  <c r="K38" i="70"/>
  <c r="K27" i="70"/>
  <c r="K28" i="70"/>
  <c r="K34" i="70"/>
  <c r="K64" i="70"/>
  <c r="K18" i="70"/>
  <c r="K15" i="70" l="1"/>
  <c r="K87" i="70"/>
  <c r="K96" i="70"/>
  <c r="K50" i="70"/>
  <c r="K74" i="70"/>
  <c r="K89" i="70"/>
  <c r="K99" i="70"/>
  <c r="K99" i="75"/>
  <c r="K95" i="70"/>
  <c r="K24" i="70"/>
  <c r="K17" i="70" l="1"/>
  <c r="K16" i="70"/>
  <c r="K91" i="70"/>
  <c r="K44" i="70" l="1"/>
  <c r="K46" i="70"/>
  <c r="K40" i="70"/>
  <c r="J74" i="75" l="1"/>
  <c r="Q52" i="75"/>
  <c r="S52" i="75" s="1"/>
  <c r="T52" i="75" s="1"/>
  <c r="I89" i="75"/>
  <c r="I73" i="75"/>
  <c r="J63" i="75"/>
  <c r="Q71" i="75"/>
  <c r="S71" i="75" s="1"/>
  <c r="T71" i="75" s="1"/>
  <c r="L27" i="75"/>
  <c r="N27" i="75" s="1"/>
  <c r="O27" i="75" s="1"/>
  <c r="J67" i="75"/>
  <c r="Q80" i="75"/>
  <c r="S80" i="75" s="1"/>
  <c r="T80" i="75" s="1"/>
  <c r="L59" i="75"/>
  <c r="N59" i="75" s="1"/>
  <c r="O59" i="75" s="1"/>
  <c r="L88" i="75"/>
  <c r="N88" i="75" s="1"/>
  <c r="O88" i="75" s="1"/>
  <c r="L89" i="70"/>
  <c r="N89" i="70" s="1"/>
  <c r="O89" i="70" s="1"/>
  <c r="Q58" i="75"/>
  <c r="S58" i="75" s="1"/>
  <c r="T58" i="75" s="1"/>
  <c r="I68" i="75"/>
  <c r="J46" i="75"/>
  <c r="Q34" i="75"/>
  <c r="S34" i="75" s="1"/>
  <c r="T34" i="75" s="1"/>
  <c r="Q18" i="75"/>
  <c r="S18" i="75" s="1"/>
  <c r="T18" i="75" s="1"/>
  <c r="J89" i="70"/>
  <c r="Q44" i="75"/>
  <c r="S44" i="75" s="1"/>
  <c r="T44" i="75" s="1"/>
  <c r="I90" i="75"/>
  <c r="Q22" i="75"/>
  <c r="S22" i="75" s="1"/>
  <c r="T22" i="75" s="1"/>
  <c r="J32" i="75"/>
  <c r="Q89" i="70"/>
  <c r="S89" i="70" s="1"/>
  <c r="T89" i="70" s="1"/>
  <c r="Q94" i="75"/>
  <c r="S94" i="75" s="1"/>
  <c r="T94" i="75" s="1"/>
  <c r="J91" i="75"/>
  <c r="J56" i="75"/>
  <c r="L24" i="75"/>
  <c r="N24" i="75" s="1"/>
  <c r="O24" i="75" s="1"/>
  <c r="J83" i="75"/>
  <c r="J76" i="75"/>
  <c r="Q23" i="75"/>
  <c r="S23" i="75" s="1"/>
  <c r="T23" i="75" s="1"/>
  <c r="L92" i="75"/>
  <c r="N92" i="75" s="1"/>
  <c r="O92" i="75" s="1"/>
  <c r="Q79" i="75"/>
  <c r="S79" i="75" s="1"/>
  <c r="T79" i="75" s="1"/>
  <c r="J61" i="75"/>
  <c r="L26" i="75"/>
  <c r="N26" i="75" s="1"/>
  <c r="O26" i="75" s="1"/>
  <c r="I99" i="75"/>
  <c r="Q59" i="75"/>
  <c r="S59" i="75" s="1"/>
  <c r="T59" i="75" s="1"/>
  <c r="I55" i="75"/>
  <c r="J30" i="75"/>
  <c r="J79" i="75"/>
  <c r="J68" i="75"/>
  <c r="L79" i="75"/>
  <c r="N79" i="75" s="1"/>
  <c r="O79" i="75" s="1"/>
  <c r="J58" i="75"/>
  <c r="I87" i="75"/>
  <c r="J95" i="75"/>
  <c r="J89" i="75"/>
  <c r="Q56" i="75"/>
  <c r="S56" i="75" s="1"/>
  <c r="T56" i="75" s="1"/>
  <c r="L94" i="75"/>
  <c r="N94" i="75" s="1"/>
  <c r="O94" i="75" s="1"/>
  <c r="J22" i="75"/>
  <c r="L48" i="75"/>
  <c r="N48" i="75" s="1"/>
  <c r="O48" i="75" s="1"/>
  <c r="L16" i="75"/>
  <c r="N16" i="75" s="1"/>
  <c r="O16" i="75" s="1"/>
  <c r="Q65" i="75"/>
  <c r="S65" i="75" s="1"/>
  <c r="T65" i="75" s="1"/>
  <c r="Q83" i="75"/>
  <c r="S83" i="75" s="1"/>
  <c r="T83" i="75" s="1"/>
  <c r="I44" i="75"/>
  <c r="I88" i="75"/>
  <c r="Q55" i="75"/>
  <c r="S55" i="75" s="1"/>
  <c r="T55" i="75" s="1"/>
  <c r="Q95" i="75"/>
  <c r="S95" i="75" s="1"/>
  <c r="T95" i="75" s="1"/>
  <c r="L83" i="75"/>
  <c r="N83" i="75" s="1"/>
  <c r="O83" i="75" s="1"/>
  <c r="J84" i="75"/>
  <c r="I79" i="75"/>
  <c r="I94" i="75"/>
  <c r="Q68" i="75"/>
  <c r="S68" i="75" s="1"/>
  <c r="T68" i="75" s="1"/>
  <c r="Q57" i="75"/>
  <c r="S57" i="75" s="1"/>
  <c r="T57" i="75" s="1"/>
  <c r="J17" i="75"/>
  <c r="Q93" i="70"/>
  <c r="S93" i="70" s="1"/>
  <c r="T93" i="70" s="1"/>
  <c r="L36" i="75"/>
  <c r="N36" i="75" s="1"/>
  <c r="O36" i="75" s="1"/>
  <c r="I64" i="75"/>
  <c r="L52" i="75"/>
  <c r="N52" i="75" s="1"/>
  <c r="O52" i="75" s="1"/>
  <c r="I76" i="75"/>
  <c r="J69" i="75"/>
  <c r="I52" i="75"/>
  <c r="J64" i="75"/>
  <c r="Q96" i="75"/>
  <c r="S96" i="75" s="1"/>
  <c r="T96" i="75" s="1"/>
  <c r="J81" i="75"/>
  <c r="Q91" i="75"/>
  <c r="S91" i="75" s="1"/>
  <c r="T91" i="75" s="1"/>
  <c r="L78" i="75"/>
  <c r="N78" i="75" s="1"/>
  <c r="O78" i="75" s="1"/>
  <c r="L15" i="75"/>
  <c r="N15" i="75" s="1"/>
  <c r="O15" i="75" s="1"/>
  <c r="L67" i="75"/>
  <c r="N67" i="75" s="1"/>
  <c r="O67" i="75" s="1"/>
  <c r="L84" i="75"/>
  <c r="N84" i="75" s="1"/>
  <c r="O84" i="75" s="1"/>
  <c r="Q16" i="75"/>
  <c r="S16" i="75" s="1"/>
  <c r="T16" i="75" s="1"/>
  <c r="Q28" i="75"/>
  <c r="S28" i="75" s="1"/>
  <c r="T28" i="75" s="1"/>
  <c r="J54" i="75"/>
  <c r="Q61" i="75"/>
  <c r="S61" i="75" s="1"/>
  <c r="T61" i="75" s="1"/>
  <c r="J45" i="75"/>
  <c r="I23" i="75"/>
  <c r="I49" i="75"/>
  <c r="Q54" i="75"/>
  <c r="S54" i="75" s="1"/>
  <c r="T54" i="75" s="1"/>
  <c r="J18" i="75"/>
  <c r="J70" i="75"/>
  <c r="Q63" i="75"/>
  <c r="S63" i="75" s="1"/>
  <c r="T63" i="75" s="1"/>
  <c r="I54" i="75"/>
  <c r="J44" i="75"/>
  <c r="L49" i="75"/>
  <c r="N49" i="75" s="1"/>
  <c r="O49" i="75" s="1"/>
  <c r="Q15" i="75"/>
  <c r="S15" i="75" s="1"/>
  <c r="T15" i="75" s="1"/>
  <c r="L45" i="75"/>
  <c r="N45" i="75" s="1"/>
  <c r="O45" i="75" s="1"/>
  <c r="L61" i="75"/>
  <c r="N61" i="75" s="1"/>
  <c r="O61" i="75" s="1"/>
  <c r="Q22" i="70"/>
  <c r="S22" i="70" s="1"/>
  <c r="T22" i="70" s="1"/>
  <c r="L91" i="75"/>
  <c r="N91" i="75" s="1"/>
  <c r="O91" i="75" s="1"/>
  <c r="Q26" i="75"/>
  <c r="S26" i="75" s="1"/>
  <c r="T26" i="75" s="1"/>
  <c r="J71" i="75"/>
  <c r="L72" i="75"/>
  <c r="N72" i="75" s="1"/>
  <c r="O72" i="75" s="1"/>
  <c r="L96" i="75"/>
  <c r="N96" i="75" s="1"/>
  <c r="O96" i="75" s="1"/>
  <c r="J52" i="75"/>
  <c r="I28" i="75"/>
  <c r="L18" i="75"/>
  <c r="N18" i="75" s="1"/>
  <c r="O18" i="75" s="1"/>
  <c r="L62" i="75"/>
  <c r="N62" i="75" s="1"/>
  <c r="O62" i="75" s="1"/>
  <c r="L28" i="75"/>
  <c r="N28" i="75" s="1"/>
  <c r="O28" i="75" s="1"/>
  <c r="L50" i="75"/>
  <c r="N50" i="75" s="1"/>
  <c r="O50" i="75" s="1"/>
  <c r="J78" i="75"/>
  <c r="Q62" i="75"/>
  <c r="S62" i="75" s="1"/>
  <c r="T62" i="75" s="1"/>
  <c r="J87" i="75"/>
  <c r="L73" i="75"/>
  <c r="N73" i="75" s="1"/>
  <c r="O73" i="75" s="1"/>
  <c r="I70" i="75"/>
  <c r="L17" i="75"/>
  <c r="N17" i="75" s="1"/>
  <c r="O17" i="75" s="1"/>
  <c r="L22" i="70"/>
  <c r="N22" i="70" s="1"/>
  <c r="O22" i="70" s="1"/>
  <c r="Q24" i="75"/>
  <c r="S24" i="75" s="1"/>
  <c r="T24" i="75" s="1"/>
  <c r="L90" i="75"/>
  <c r="N90" i="75" s="1"/>
  <c r="O90" i="75" s="1"/>
  <c r="J94" i="75"/>
  <c r="J48" i="75"/>
  <c r="J40" i="75"/>
  <c r="Q40" i="75"/>
  <c r="S40" i="75" s="1"/>
  <c r="T40" i="75" s="1"/>
  <c r="J59" i="75"/>
  <c r="L69" i="75"/>
  <c r="N69" i="75" s="1"/>
  <c r="O69" i="75" s="1"/>
  <c r="L23" i="75"/>
  <c r="N23" i="75" s="1"/>
  <c r="O23" i="75" s="1"/>
  <c r="J93" i="70"/>
  <c r="Q27" i="75"/>
  <c r="S27" i="75" s="1"/>
  <c r="T27" i="75" s="1"/>
  <c r="I45" i="75"/>
  <c r="J72" i="75"/>
  <c r="Q45" i="75"/>
  <c r="S45" i="75" s="1"/>
  <c r="T45" i="75" s="1"/>
  <c r="L38" i="75"/>
  <c r="N38" i="75" s="1"/>
  <c r="O38" i="75" s="1"/>
  <c r="J24" i="75"/>
  <c r="J50" i="75"/>
  <c r="J38" i="75"/>
  <c r="L93" i="75"/>
  <c r="N93" i="75" s="1"/>
  <c r="O93" i="75" s="1"/>
  <c r="Q26" i="70"/>
  <c r="S26" i="70" s="1"/>
  <c r="T26" i="70" s="1"/>
  <c r="L63" i="75"/>
  <c r="N63" i="75" s="1"/>
  <c r="O63" i="75" s="1"/>
  <c r="L55" i="75"/>
  <c r="N55" i="75" s="1"/>
  <c r="O55" i="75" s="1"/>
  <c r="I38" i="75"/>
  <c r="J90" i="75"/>
  <c r="L32" i="75"/>
  <c r="N32" i="75" s="1"/>
  <c r="O32" i="75" s="1"/>
  <c r="I56" i="75"/>
  <c r="J34" i="75"/>
  <c r="L99" i="75"/>
  <c r="N99" i="75" s="1"/>
  <c r="O99" i="75" s="1"/>
  <c r="O100" i="75" s="1"/>
  <c r="I96" i="75"/>
  <c r="Q67" i="75"/>
  <c r="S67" i="75" s="1"/>
  <c r="T67" i="75" s="1"/>
  <c r="I62" i="75"/>
  <c r="I93" i="70"/>
  <c r="L34" i="75"/>
  <c r="N34" i="75" s="1"/>
  <c r="O34" i="75" s="1"/>
  <c r="Q81" i="75"/>
  <c r="S81" i="75" s="1"/>
  <c r="T81" i="75" s="1"/>
  <c r="I63" i="75"/>
  <c r="I36" i="75"/>
  <c r="I57" i="75"/>
  <c r="J22" i="70"/>
  <c r="I48" i="75"/>
  <c r="Q50" i="75"/>
  <c r="S50" i="75" s="1"/>
  <c r="T50" i="75" s="1"/>
  <c r="I59" i="75"/>
  <c r="Q73" i="75"/>
  <c r="S73" i="75" s="1"/>
  <c r="T73" i="75" s="1"/>
  <c r="Q38" i="75"/>
  <c r="S38" i="75" s="1"/>
  <c r="T38" i="75" s="1"/>
  <c r="I27" i="75"/>
  <c r="I40" i="75"/>
  <c r="I72" i="75"/>
  <c r="Q78" i="75"/>
  <c r="S78" i="75" s="1"/>
  <c r="T78" i="75" s="1"/>
  <c r="Q46" i="75"/>
  <c r="S46" i="75" s="1"/>
  <c r="T46" i="75" s="1"/>
  <c r="Q48" i="75"/>
  <c r="S48" i="75" s="1"/>
  <c r="T48" i="75" s="1"/>
  <c r="Q70" i="75"/>
  <c r="S70" i="75" s="1"/>
  <c r="T70" i="75" s="1"/>
  <c r="Q92" i="75"/>
  <c r="S92" i="75" s="1"/>
  <c r="T92" i="75" s="1"/>
  <c r="J23" i="75"/>
  <c r="L68" i="75"/>
  <c r="N68" i="75" s="1"/>
  <c r="O68" i="75" s="1"/>
  <c r="I18" i="75"/>
  <c r="Q88" i="75"/>
  <c r="S88" i="75" s="1"/>
  <c r="T88" i="75" s="1"/>
  <c r="I89" i="70"/>
  <c r="L53" i="75"/>
  <c r="N53" i="75" s="1"/>
  <c r="O53" i="75" s="1"/>
  <c r="Q72" i="75"/>
  <c r="S72" i="75" s="1"/>
  <c r="T72" i="75" s="1"/>
  <c r="J96" i="75"/>
  <c r="J53" i="75"/>
  <c r="L89" i="75"/>
  <c r="N89" i="75" s="1"/>
  <c r="O89" i="75" s="1"/>
  <c r="L54" i="75"/>
  <c r="N54" i="75" s="1"/>
  <c r="O54" i="75" s="1"/>
  <c r="J26" i="70"/>
  <c r="I46" i="75"/>
  <c r="L81" i="75"/>
  <c r="N81" i="75" s="1"/>
  <c r="O81" i="75" s="1"/>
  <c r="I78" i="75"/>
  <c r="J73" i="75"/>
  <c r="J15" i="75"/>
  <c r="Q90" i="75"/>
  <c r="S90" i="75" s="1"/>
  <c r="T90" i="75" s="1"/>
  <c r="I80" i="75"/>
  <c r="I93" i="75"/>
  <c r="L87" i="75"/>
  <c r="N87" i="75" s="1"/>
  <c r="O87" i="75" s="1"/>
  <c r="J26" i="75"/>
  <c r="I24" i="75"/>
  <c r="I34" i="75"/>
  <c r="I61" i="75"/>
  <c r="I30" i="75"/>
  <c r="L30" i="75"/>
  <c r="N30" i="75" s="1"/>
  <c r="O30" i="75" s="1"/>
  <c r="J65" i="75"/>
  <c r="J16" i="75"/>
  <c r="I58" i="75"/>
  <c r="I53" i="75"/>
  <c r="I69" i="75"/>
  <c r="L74" i="75"/>
  <c r="N74" i="75" s="1"/>
  <c r="O74" i="75" s="1"/>
  <c r="Q93" i="75"/>
  <c r="S93" i="75" s="1"/>
  <c r="T93" i="75" s="1"/>
  <c r="J28" i="75"/>
  <c r="J88" i="75"/>
  <c r="L80" i="75"/>
  <c r="N80" i="75" s="1"/>
  <c r="O80" i="75" s="1"/>
  <c r="I65" i="75"/>
  <c r="Q17" i="75"/>
  <c r="S17" i="75" s="1"/>
  <c r="T17" i="75" s="1"/>
  <c r="I67" i="75"/>
  <c r="I95" i="75"/>
  <c r="L40" i="75"/>
  <c r="N40" i="75" s="1"/>
  <c r="O40" i="75" s="1"/>
  <c r="Q69" i="75"/>
  <c r="S69" i="75" s="1"/>
  <c r="T69" i="75" s="1"/>
  <c r="I16" i="75"/>
  <c r="J62" i="75"/>
  <c r="J49" i="75"/>
  <c r="J57" i="75"/>
  <c r="J36" i="75"/>
  <c r="Q64" i="75"/>
  <c r="S64" i="75" s="1"/>
  <c r="T64" i="75" s="1"/>
  <c r="J92" i="75"/>
  <c r="Q36" i="75"/>
  <c r="S36" i="75" s="1"/>
  <c r="T36" i="75" s="1"/>
  <c r="L58" i="75"/>
  <c r="N58" i="75" s="1"/>
  <c r="O58" i="75" s="1"/>
  <c r="L70" i="75"/>
  <c r="N70" i="75" s="1"/>
  <c r="O70" i="75" s="1"/>
  <c r="I17" i="75"/>
  <c r="Q89" i="75"/>
  <c r="S89" i="75" s="1"/>
  <c r="T89" i="75" s="1"/>
  <c r="I15" i="75"/>
  <c r="I50" i="75"/>
  <c r="J99" i="75"/>
  <c r="L56" i="75"/>
  <c r="N56" i="75" s="1"/>
  <c r="O56" i="75" s="1"/>
  <c r="L93" i="70"/>
  <c r="N93" i="70" s="1"/>
  <c r="O93" i="70" s="1"/>
  <c r="L46" i="75"/>
  <c r="N46" i="75" s="1"/>
  <c r="O46" i="75" s="1"/>
  <c r="L71" i="75"/>
  <c r="N71" i="75" s="1"/>
  <c r="O71" i="75" s="1"/>
  <c r="L64" i="75"/>
  <c r="N64" i="75" s="1"/>
  <c r="O64" i="75" s="1"/>
  <c r="Q30" i="75"/>
  <c r="S30" i="75" s="1"/>
  <c r="T30" i="75" s="1"/>
  <c r="I92" i="75"/>
  <c r="L76" i="75"/>
  <c r="N76" i="75" s="1"/>
  <c r="O76" i="75" s="1"/>
  <c r="L22" i="75"/>
  <c r="N22" i="75" s="1"/>
  <c r="O22" i="75" s="1"/>
  <c r="I91" i="75"/>
  <c r="Q84" i="75"/>
  <c r="S84" i="75" s="1"/>
  <c r="T84" i="75" s="1"/>
  <c r="Q99" i="75"/>
  <c r="S99" i="75" s="1"/>
  <c r="T99" i="75" s="1"/>
  <c r="T100" i="75" s="1"/>
  <c r="Q53" i="75"/>
  <c r="S53" i="75" s="1"/>
  <c r="T53" i="75" s="1"/>
  <c r="J27" i="75"/>
  <c r="Q32" i="75"/>
  <c r="S32" i="75" s="1"/>
  <c r="T32" i="75" s="1"/>
  <c r="I32" i="75"/>
  <c r="L44" i="75"/>
  <c r="N44" i="75" s="1"/>
  <c r="O44" i="75" s="1"/>
  <c r="L57" i="75"/>
  <c r="N57" i="75" s="1"/>
  <c r="O57" i="75" s="1"/>
  <c r="J80" i="75"/>
  <c r="Q49" i="75"/>
  <c r="S49" i="75" s="1"/>
  <c r="T49" i="75" s="1"/>
  <c r="J55" i="75"/>
  <c r="Q76" i="75"/>
  <c r="S76" i="75" s="1"/>
  <c r="T76" i="75" s="1"/>
  <c r="L26" i="70"/>
  <c r="N26" i="70" s="1"/>
  <c r="O26" i="70" s="1"/>
  <c r="J93" i="75"/>
  <c r="I71" i="75"/>
  <c r="L65" i="75"/>
  <c r="N65" i="75" s="1"/>
  <c r="O65" i="75" s="1"/>
  <c r="Q74" i="75"/>
  <c r="S74" i="75" s="1"/>
  <c r="T74" i="75" s="1"/>
  <c r="L95" i="75"/>
  <c r="N95" i="75" s="1"/>
  <c r="O95" i="75" s="1"/>
  <c r="I55" i="66"/>
  <c r="I48" i="66"/>
  <c r="J15" i="66"/>
  <c r="I57" i="66"/>
  <c r="I85" i="66"/>
  <c r="Q50" i="66"/>
  <c r="S50" i="66" s="1"/>
  <c r="T50" i="66" s="1"/>
  <c r="I23" i="66"/>
  <c r="J78" i="66"/>
  <c r="L61" i="66"/>
  <c r="N61" i="66" s="1"/>
  <c r="O61" i="66" s="1"/>
  <c r="I47" i="66"/>
  <c r="Q46" i="66"/>
  <c r="S46" i="66" s="1"/>
  <c r="T46" i="66" s="1"/>
  <c r="J76" i="66"/>
  <c r="L46" i="66"/>
  <c r="N46" i="66" s="1"/>
  <c r="O46" i="66" s="1"/>
  <c r="L76" i="66"/>
  <c r="N76" i="66" s="1"/>
  <c r="O76" i="66" s="1"/>
  <c r="Q78" i="66"/>
  <c r="S78" i="66" s="1"/>
  <c r="T78" i="66" s="1"/>
  <c r="L28" i="66"/>
  <c r="N28" i="66" s="1"/>
  <c r="O28" i="66" s="1"/>
  <c r="L50" i="66"/>
  <c r="N50" i="66" s="1"/>
  <c r="O50" i="66" s="1"/>
  <c r="I88" i="66"/>
  <c r="J18" i="66"/>
  <c r="I28" i="66"/>
  <c r="I44" i="66"/>
  <c r="Q23" i="66"/>
  <c r="S23" i="66" s="1"/>
  <c r="T23" i="66" s="1"/>
  <c r="I53" i="66"/>
  <c r="L57" i="66"/>
  <c r="N57" i="66" s="1"/>
  <c r="O57" i="66" s="1"/>
  <c r="I34" i="66"/>
  <c r="Q44" i="66"/>
  <c r="S44" i="66" s="1"/>
  <c r="T44" i="66" s="1"/>
  <c r="I22" i="66"/>
  <c r="I86" i="66"/>
  <c r="J38" i="66"/>
  <c r="J46" i="66"/>
  <c r="I75" i="66"/>
  <c r="I36" i="66"/>
  <c r="J75" i="66"/>
  <c r="Q73" i="66"/>
  <c r="S73" i="66" s="1"/>
  <c r="T73" i="66" s="1"/>
  <c r="Q71" i="66"/>
  <c r="S71" i="66" s="1"/>
  <c r="T71" i="66" s="1"/>
  <c r="I83" i="66"/>
  <c r="Q61" i="66"/>
  <c r="S61" i="66" s="1"/>
  <c r="T61" i="66" s="1"/>
  <c r="I38" i="66"/>
  <c r="J51" i="66"/>
  <c r="L51" i="66"/>
  <c r="N51" i="66" s="1"/>
  <c r="O51" i="66" s="1"/>
  <c r="I50" i="66"/>
  <c r="I15" i="66"/>
  <c r="L83" i="66"/>
  <c r="N83" i="66" s="1"/>
  <c r="O83" i="66" s="1"/>
  <c r="I87" i="66"/>
  <c r="L63" i="66"/>
  <c r="N63" i="66" s="1"/>
  <c r="O63" i="66" s="1"/>
  <c r="Q57" i="66"/>
  <c r="S57" i="66" s="1"/>
  <c r="T57" i="66" s="1"/>
  <c r="Q84" i="66"/>
  <c r="S84" i="66" s="1"/>
  <c r="T84" i="66" s="1"/>
  <c r="L26" i="66"/>
  <c r="N26" i="66" s="1"/>
  <c r="O26" i="66" s="1"/>
  <c r="I74" i="66"/>
  <c r="L79" i="66"/>
  <c r="N79" i="66" s="1"/>
  <c r="O79" i="66" s="1"/>
  <c r="L54" i="66"/>
  <c r="N54" i="66" s="1"/>
  <c r="O54" i="66" s="1"/>
  <c r="I65" i="66"/>
  <c r="I42" i="66"/>
  <c r="I87" i="70"/>
  <c r="I80" i="70"/>
  <c r="J49" i="70"/>
  <c r="L49" i="70"/>
  <c r="N49" i="70" s="1"/>
  <c r="O49" i="70" s="1"/>
  <c r="L58" i="70"/>
  <c r="N58" i="70" s="1"/>
  <c r="O58" i="70" s="1"/>
  <c r="I64" i="70"/>
  <c r="Q57" i="70"/>
  <c r="S57" i="70" s="1"/>
  <c r="T57" i="70" s="1"/>
  <c r="I32" i="70"/>
  <c r="I58" i="70"/>
  <c r="Q71" i="70"/>
  <c r="S71" i="70" s="1"/>
  <c r="T71" i="70" s="1"/>
  <c r="L30" i="70"/>
  <c r="N30" i="70" s="1"/>
  <c r="O30" i="70" s="1"/>
  <c r="J32" i="70"/>
  <c r="I60" i="66"/>
  <c r="I66" i="66"/>
  <c r="J84" i="66"/>
  <c r="L15" i="66"/>
  <c r="N15" i="66" s="1"/>
  <c r="O15" i="66" s="1"/>
  <c r="J17" i="66"/>
  <c r="J59" i="66"/>
  <c r="I46" i="66"/>
  <c r="J53" i="66"/>
  <c r="Q30" i="66"/>
  <c r="S30" i="66" s="1"/>
  <c r="T30" i="66" s="1"/>
  <c r="Q59" i="66"/>
  <c r="S59" i="66" s="1"/>
  <c r="T59" i="66" s="1"/>
  <c r="J34" i="66"/>
  <c r="J86" i="66"/>
  <c r="Q60" i="66"/>
  <c r="S60" i="66" s="1"/>
  <c r="T60" i="66" s="1"/>
  <c r="L38" i="66"/>
  <c r="N38" i="66" s="1"/>
  <c r="O38" i="66" s="1"/>
  <c r="J55" i="66"/>
  <c r="L58" i="66"/>
  <c r="N58" i="66" s="1"/>
  <c r="O58" i="66" s="1"/>
  <c r="I63" i="66"/>
  <c r="J54" i="66"/>
  <c r="Q36" i="66"/>
  <c r="S36" i="66" s="1"/>
  <c r="T36" i="66" s="1"/>
  <c r="J67" i="66"/>
  <c r="Q18" i="66"/>
  <c r="S18" i="66" s="1"/>
  <c r="T18" i="66" s="1"/>
  <c r="Q87" i="66"/>
  <c r="S87" i="66" s="1"/>
  <c r="T87" i="66" s="1"/>
  <c r="I43" i="66"/>
  <c r="J50" i="66"/>
  <c r="J79" i="66"/>
  <c r="Q48" i="66"/>
  <c r="S48" i="66" s="1"/>
  <c r="T48" i="66" s="1"/>
  <c r="J61" i="66"/>
  <c r="L48" i="66"/>
  <c r="N48" i="66" s="1"/>
  <c r="O48" i="66" s="1"/>
  <c r="Q42" i="66"/>
  <c r="S42" i="66" s="1"/>
  <c r="T42" i="66" s="1"/>
  <c r="Q91" i="66"/>
  <c r="S91" i="66" s="1"/>
  <c r="T91" i="66" s="1"/>
  <c r="T92" i="66" s="1"/>
  <c r="I71" i="66"/>
  <c r="L25" i="66"/>
  <c r="N25" i="66" s="1"/>
  <c r="O25" i="66" s="1"/>
  <c r="J71" i="66"/>
  <c r="Q83" i="66"/>
  <c r="S83" i="66" s="1"/>
  <c r="T83" i="66" s="1"/>
  <c r="L34" i="66"/>
  <c r="N34" i="66" s="1"/>
  <c r="O34" i="66" s="1"/>
  <c r="Q65" i="66"/>
  <c r="S65" i="66" s="1"/>
  <c r="T65" i="66" s="1"/>
  <c r="L65" i="66"/>
  <c r="N65" i="66" s="1"/>
  <c r="O65" i="66" s="1"/>
  <c r="I52" i="66"/>
  <c r="L86" i="66"/>
  <c r="N86" i="66" s="1"/>
  <c r="O86" i="66" s="1"/>
  <c r="L78" i="66"/>
  <c r="N78" i="66" s="1"/>
  <c r="O78" i="66" s="1"/>
  <c r="Q86" i="66"/>
  <c r="S86" i="66" s="1"/>
  <c r="T86" i="66" s="1"/>
  <c r="Q75" i="66"/>
  <c r="S75" i="66" s="1"/>
  <c r="T75" i="66" s="1"/>
  <c r="I26" i="66"/>
  <c r="L60" i="66"/>
  <c r="N60" i="66" s="1"/>
  <c r="O60" i="66" s="1"/>
  <c r="Q28" i="66"/>
  <c r="S28" i="66" s="1"/>
  <c r="T28" i="66" s="1"/>
  <c r="J87" i="66"/>
  <c r="I82" i="66"/>
  <c r="L42" i="66"/>
  <c r="N42" i="66" s="1"/>
  <c r="O42" i="66" s="1"/>
  <c r="L91" i="66"/>
  <c r="N91" i="66" s="1"/>
  <c r="O91" i="66" s="1"/>
  <c r="O92" i="66" s="1"/>
  <c r="L23" i="66"/>
  <c r="N23" i="66" s="1"/>
  <c r="O23" i="66" s="1"/>
  <c r="J69" i="66"/>
  <c r="L73" i="66"/>
  <c r="N73" i="66" s="1"/>
  <c r="O73" i="66" s="1"/>
  <c r="J28" i="66"/>
  <c r="Q66" i="66"/>
  <c r="S66" i="66" s="1"/>
  <c r="T66" i="66" s="1"/>
  <c r="Q43" i="66"/>
  <c r="S43" i="66" s="1"/>
  <c r="T43" i="66" s="1"/>
  <c r="I84" i="66"/>
  <c r="L68" i="66"/>
  <c r="N68" i="66" s="1"/>
  <c r="O68" i="66" s="1"/>
  <c r="L18" i="66"/>
  <c r="N18" i="66" s="1"/>
  <c r="O18" i="66" s="1"/>
  <c r="Q22" i="66"/>
  <c r="S22" i="66" s="1"/>
  <c r="T22" i="66" s="1"/>
  <c r="J44" i="66"/>
  <c r="Q51" i="66"/>
  <c r="S51" i="66" s="1"/>
  <c r="T51" i="66" s="1"/>
  <c r="Q32" i="66"/>
  <c r="S32" i="66" s="1"/>
  <c r="T32" i="66" s="1"/>
  <c r="Q58" i="66"/>
  <c r="S58" i="66" s="1"/>
  <c r="T58" i="66" s="1"/>
  <c r="Q15" i="66"/>
  <c r="S15" i="66" s="1"/>
  <c r="T15" i="66" s="1"/>
  <c r="L59" i="66"/>
  <c r="N59" i="66" s="1"/>
  <c r="O59" i="66" s="1"/>
  <c r="I18" i="66"/>
  <c r="J32" i="66"/>
  <c r="L69" i="66"/>
  <c r="N69" i="66" s="1"/>
  <c r="O69" i="66" s="1"/>
  <c r="J22" i="66"/>
  <c r="L87" i="66"/>
  <c r="N87" i="66" s="1"/>
  <c r="O87" i="66" s="1"/>
  <c r="J65" i="66"/>
  <c r="Q45" i="70"/>
  <c r="S45" i="70" s="1"/>
  <c r="T45" i="70" s="1"/>
  <c r="J87" i="70"/>
  <c r="L45" i="70"/>
  <c r="N45" i="70" s="1"/>
  <c r="O45" i="70" s="1"/>
  <c r="L71" i="70"/>
  <c r="N71" i="70" s="1"/>
  <c r="O71" i="70" s="1"/>
  <c r="Q58" i="70"/>
  <c r="S58" i="70" s="1"/>
  <c r="T58" i="70" s="1"/>
  <c r="J59" i="70"/>
  <c r="J30" i="70"/>
  <c r="J57" i="70"/>
  <c r="J64" i="70"/>
  <c r="J58" i="70"/>
  <c r="L24" i="70"/>
  <c r="N24" i="70" s="1"/>
  <c r="O24" i="70" s="1"/>
  <c r="L32" i="70"/>
  <c r="N32" i="70" s="1"/>
  <c r="O32" i="70" s="1"/>
  <c r="J24" i="70"/>
  <c r="I94" i="70"/>
  <c r="Q28" i="70"/>
  <c r="S28" i="70" s="1"/>
  <c r="T28" i="70" s="1"/>
  <c r="J36" i="66"/>
  <c r="Q53" i="66"/>
  <c r="S53" i="66" s="1"/>
  <c r="T53" i="66" s="1"/>
  <c r="I32" i="66"/>
  <c r="I30" i="66"/>
  <c r="Q55" i="66"/>
  <c r="S55" i="66" s="1"/>
  <c r="T55" i="66" s="1"/>
  <c r="L85" i="66"/>
  <c r="N85" i="66" s="1"/>
  <c r="O85" i="66" s="1"/>
  <c r="L74" i="66"/>
  <c r="N74" i="66" s="1"/>
  <c r="O74" i="66" s="1"/>
  <c r="J83" i="66"/>
  <c r="J58" i="66"/>
  <c r="I58" i="66"/>
  <c r="I64" i="66"/>
  <c r="Q16" i="66"/>
  <c r="S16" i="66" s="1"/>
  <c r="T16" i="66" s="1"/>
  <c r="L44" i="66"/>
  <c r="N44" i="66" s="1"/>
  <c r="O44" i="66" s="1"/>
  <c r="J47" i="66"/>
  <c r="L84" i="66"/>
  <c r="N84" i="66" s="1"/>
  <c r="O84" i="66" s="1"/>
  <c r="I91" i="66"/>
  <c r="I59" i="66"/>
  <c r="L17" i="66"/>
  <c r="N17" i="66" s="1"/>
  <c r="O17" i="66" s="1"/>
  <c r="L67" i="66"/>
  <c r="N67" i="66" s="1"/>
  <c r="O67" i="66" s="1"/>
  <c r="Q26" i="66"/>
  <c r="S26" i="66" s="1"/>
  <c r="T26" i="66" s="1"/>
  <c r="Q17" i="66"/>
  <c r="S17" i="66" s="1"/>
  <c r="T17" i="66" s="1"/>
  <c r="Q64" i="66"/>
  <c r="S64" i="66" s="1"/>
  <c r="T64" i="66" s="1"/>
  <c r="L36" i="66"/>
  <c r="N36" i="66" s="1"/>
  <c r="O36" i="66" s="1"/>
  <c r="I67" i="66"/>
  <c r="L16" i="66"/>
  <c r="N16" i="66" s="1"/>
  <c r="O16" i="66" s="1"/>
  <c r="Q52" i="66"/>
  <c r="S52" i="66" s="1"/>
  <c r="T52" i="66" s="1"/>
  <c r="L64" i="66"/>
  <c r="N64" i="66" s="1"/>
  <c r="O64" i="66" s="1"/>
  <c r="J57" i="66"/>
  <c r="J82" i="66"/>
  <c r="L55" i="66"/>
  <c r="N55" i="66" s="1"/>
  <c r="O55" i="66" s="1"/>
  <c r="L75" i="66"/>
  <c r="N75" i="66" s="1"/>
  <c r="O75" i="66" s="1"/>
  <c r="Q74" i="66"/>
  <c r="S74" i="66" s="1"/>
  <c r="T74" i="66" s="1"/>
  <c r="L32" i="66"/>
  <c r="N32" i="66" s="1"/>
  <c r="O32" i="66" s="1"/>
  <c r="J43" i="66"/>
  <c r="Q67" i="66"/>
  <c r="S67" i="66" s="1"/>
  <c r="T67" i="66" s="1"/>
  <c r="L87" i="70"/>
  <c r="N87" i="70" s="1"/>
  <c r="O87" i="70" s="1"/>
  <c r="J45" i="70"/>
  <c r="L57" i="70"/>
  <c r="N57" i="70" s="1"/>
  <c r="O57" i="70" s="1"/>
  <c r="I71" i="70"/>
  <c r="L64" i="70"/>
  <c r="N64" i="70" s="1"/>
  <c r="O64" i="70" s="1"/>
  <c r="Q32" i="70"/>
  <c r="S32" i="70" s="1"/>
  <c r="T32" i="70" s="1"/>
  <c r="Q69" i="66"/>
  <c r="S69" i="66" s="1"/>
  <c r="T69" i="66" s="1"/>
  <c r="J52" i="66"/>
  <c r="J42" i="66"/>
  <c r="L66" i="66"/>
  <c r="N66" i="66" s="1"/>
  <c r="O66" i="66" s="1"/>
  <c r="Q88" i="66"/>
  <c r="S88" i="66" s="1"/>
  <c r="T88" i="66" s="1"/>
  <c r="Q34" i="66"/>
  <c r="S34" i="66" s="1"/>
  <c r="T34" i="66" s="1"/>
  <c r="Q79" i="66"/>
  <c r="S79" i="66" s="1"/>
  <c r="T79" i="66" s="1"/>
  <c r="J74" i="66"/>
  <c r="I68" i="66"/>
  <c r="Q49" i="70"/>
  <c r="S49" i="70" s="1"/>
  <c r="T49" i="70" s="1"/>
  <c r="Q64" i="70"/>
  <c r="S64" i="70" s="1"/>
  <c r="T64" i="70" s="1"/>
  <c r="J16" i="66"/>
  <c r="J68" i="66"/>
  <c r="I73" i="66"/>
  <c r="L82" i="66"/>
  <c r="N82" i="66" s="1"/>
  <c r="O82" i="66" s="1"/>
  <c r="L53" i="66"/>
  <c r="N53" i="66" s="1"/>
  <c r="O53" i="66" s="1"/>
  <c r="I54" i="66"/>
  <c r="Q82" i="66"/>
  <c r="S82" i="66" s="1"/>
  <c r="T82" i="66" s="1"/>
  <c r="Q80" i="70"/>
  <c r="S80" i="70" s="1"/>
  <c r="T80" i="70" s="1"/>
  <c r="I24" i="70"/>
  <c r="Q59" i="70"/>
  <c r="S59" i="70" s="1"/>
  <c r="T59" i="70" s="1"/>
  <c r="Q25" i="66"/>
  <c r="S25" i="66" s="1"/>
  <c r="T25" i="66" s="1"/>
  <c r="J23" i="66"/>
  <c r="I16" i="66"/>
  <c r="J88" i="66"/>
  <c r="J73" i="66"/>
  <c r="I25" i="66"/>
  <c r="I17" i="66"/>
  <c r="J64" i="66"/>
  <c r="J25" i="66"/>
  <c r="Q76" i="66"/>
  <c r="S76" i="66" s="1"/>
  <c r="T76" i="66" s="1"/>
  <c r="Q47" i="66"/>
  <c r="S47" i="66" s="1"/>
  <c r="T47" i="66" s="1"/>
  <c r="L30" i="66"/>
  <c r="N30" i="66" s="1"/>
  <c r="O30" i="66" s="1"/>
  <c r="L22" i="66"/>
  <c r="N22" i="66" s="1"/>
  <c r="O22" i="66" s="1"/>
  <c r="J30" i="66"/>
  <c r="I61" i="66"/>
  <c r="J66" i="66"/>
  <c r="I49" i="70"/>
  <c r="J80" i="70"/>
  <c r="J94" i="70"/>
  <c r="J28" i="70"/>
  <c r="Q94" i="70"/>
  <c r="S94" i="70" s="1"/>
  <c r="T94" i="70" s="1"/>
  <c r="J71" i="70"/>
  <c r="Q30" i="70"/>
  <c r="S30" i="70" s="1"/>
  <c r="T30" i="70" s="1"/>
  <c r="I28" i="70"/>
  <c r="Q54" i="66"/>
  <c r="S54" i="66" s="1"/>
  <c r="T54" i="66" s="1"/>
  <c r="I51" i="66"/>
  <c r="J91" i="66"/>
  <c r="J63" i="66"/>
  <c r="L47" i="66"/>
  <c r="N47" i="66" s="1"/>
  <c r="O47" i="66" s="1"/>
  <c r="L71" i="66"/>
  <c r="N71" i="66" s="1"/>
  <c r="O71" i="66" s="1"/>
  <c r="L43" i="66"/>
  <c r="N43" i="66" s="1"/>
  <c r="O43" i="66" s="1"/>
  <c r="L52" i="66"/>
  <c r="N52" i="66" s="1"/>
  <c r="O52" i="66" s="1"/>
  <c r="I45" i="70"/>
  <c r="I59" i="70"/>
  <c r="I57" i="70"/>
  <c r="I30" i="70"/>
  <c r="J48" i="66"/>
  <c r="Q63" i="66"/>
  <c r="S63" i="66" s="1"/>
  <c r="T63" i="66" s="1"/>
  <c r="Q85" i="66"/>
  <c r="S85" i="66" s="1"/>
  <c r="T85" i="66" s="1"/>
  <c r="J60" i="66"/>
  <c r="L88" i="66"/>
  <c r="N88" i="66" s="1"/>
  <c r="O88" i="66" s="1"/>
  <c r="J26" i="66"/>
  <c r="Q38" i="66"/>
  <c r="S38" i="66" s="1"/>
  <c r="T38" i="66" s="1"/>
  <c r="Q68" i="66"/>
  <c r="S68" i="66" s="1"/>
  <c r="T68" i="66" s="1"/>
  <c r="J85" i="66"/>
  <c r="L80" i="70"/>
  <c r="N80" i="70" s="1"/>
  <c r="O80" i="70" s="1"/>
  <c r="L59" i="70"/>
  <c r="N59" i="70" s="1"/>
  <c r="O59" i="70" s="1"/>
  <c r="L94" i="70"/>
  <c r="N94" i="70" s="1"/>
  <c r="O94" i="70" s="1"/>
  <c r="Q24" i="70"/>
  <c r="S24" i="70" s="1"/>
  <c r="T24" i="70" s="1"/>
  <c r="L28" i="70"/>
  <c r="N28" i="70" s="1"/>
  <c r="O28" i="70" s="1"/>
  <c r="Q84" i="70"/>
  <c r="S84" i="70" s="1"/>
  <c r="T84" i="70" s="1"/>
  <c r="L83" i="70"/>
  <c r="N83" i="70" s="1"/>
  <c r="O83" i="70" s="1"/>
  <c r="J84" i="70"/>
  <c r="J83" i="70"/>
  <c r="L84" i="70"/>
  <c r="N84" i="70" s="1"/>
  <c r="O84" i="70" s="1"/>
  <c r="Q83" i="70"/>
  <c r="S83" i="70" s="1"/>
  <c r="T83" i="70" s="1"/>
  <c r="J99" i="70"/>
  <c r="J96" i="70"/>
  <c r="Q95" i="70"/>
  <c r="S95" i="70" s="1"/>
  <c r="T95" i="70" s="1"/>
  <c r="L92" i="70"/>
  <c r="N92" i="70" s="1"/>
  <c r="O92" i="70" s="1"/>
  <c r="Q90" i="70"/>
  <c r="S90" i="70" s="1"/>
  <c r="T90" i="70" s="1"/>
  <c r="L88" i="70"/>
  <c r="N88" i="70" s="1"/>
  <c r="O88" i="70" s="1"/>
  <c r="I69" i="70"/>
  <c r="I53" i="70"/>
  <c r="Q81" i="70"/>
  <c r="S81" i="70" s="1"/>
  <c r="T81" i="70" s="1"/>
  <c r="J36" i="70"/>
  <c r="L23" i="70"/>
  <c r="N23" i="70" s="1"/>
  <c r="O23" i="70" s="1"/>
  <c r="L79" i="70"/>
  <c r="N79" i="70" s="1"/>
  <c r="O79" i="70" s="1"/>
  <c r="J73" i="70"/>
  <c r="Q69" i="70"/>
  <c r="S69" i="70" s="1"/>
  <c r="T69" i="70" s="1"/>
  <c r="Q65" i="70"/>
  <c r="S65" i="70" s="1"/>
  <c r="T65" i="70" s="1"/>
  <c r="L63" i="70"/>
  <c r="N63" i="70" s="1"/>
  <c r="O63" i="70" s="1"/>
  <c r="L16" i="70"/>
  <c r="N16" i="70" s="1"/>
  <c r="O16" i="70" s="1"/>
  <c r="L15" i="70"/>
  <c r="N15" i="70" s="1"/>
  <c r="O15" i="70" s="1"/>
  <c r="Q99" i="70"/>
  <c r="S99" i="70" s="1"/>
  <c r="T99" i="70" s="1"/>
  <c r="T100" i="70" s="1"/>
  <c r="Q96" i="70"/>
  <c r="S96" i="70" s="1"/>
  <c r="T96" i="70" s="1"/>
  <c r="L95" i="70"/>
  <c r="N95" i="70" s="1"/>
  <c r="O95" i="70" s="1"/>
  <c r="J90" i="70"/>
  <c r="J79" i="70"/>
  <c r="I63" i="70"/>
  <c r="I18" i="70"/>
  <c r="J95" i="70"/>
  <c r="Q79" i="70"/>
  <c r="S79" i="70" s="1"/>
  <c r="T79" i="70" s="1"/>
  <c r="L78" i="70"/>
  <c r="N78" i="70" s="1"/>
  <c r="O78" i="70" s="1"/>
  <c r="Q73" i="70"/>
  <c r="S73" i="70" s="1"/>
  <c r="T73" i="70" s="1"/>
  <c r="Q70" i="70"/>
  <c r="S70" i="70" s="1"/>
  <c r="T70" i="70" s="1"/>
  <c r="L69" i="70"/>
  <c r="N69" i="70" s="1"/>
  <c r="O69" i="70" s="1"/>
  <c r="I65" i="70"/>
  <c r="Q63" i="70"/>
  <c r="S63" i="70" s="1"/>
  <c r="T63" i="70" s="1"/>
  <c r="L40" i="70"/>
  <c r="N40" i="70" s="1"/>
  <c r="O40" i="70" s="1"/>
  <c r="I38" i="70"/>
  <c r="L17" i="70"/>
  <c r="N17" i="70" s="1"/>
  <c r="O17" i="70" s="1"/>
  <c r="Q16" i="70"/>
  <c r="S16" i="70" s="1"/>
  <c r="T16" i="70" s="1"/>
  <c r="Q15" i="70"/>
  <c r="S15" i="70" s="1"/>
  <c r="T15" i="70" s="1"/>
  <c r="Q38" i="70"/>
  <c r="S38" i="70" s="1"/>
  <c r="T38" i="70" s="1"/>
  <c r="J88" i="70"/>
  <c r="Q72" i="70"/>
  <c r="S72" i="70" s="1"/>
  <c r="T72" i="70" s="1"/>
  <c r="I70" i="70"/>
  <c r="L68" i="70"/>
  <c r="N68" i="70" s="1"/>
  <c r="O68" i="70" s="1"/>
  <c r="L50" i="70"/>
  <c r="N50" i="70" s="1"/>
  <c r="O50" i="70" s="1"/>
  <c r="Q40" i="70"/>
  <c r="S40" i="70" s="1"/>
  <c r="T40" i="70" s="1"/>
  <c r="I23" i="70"/>
  <c r="J18" i="70"/>
  <c r="Q88" i="70"/>
  <c r="S88" i="70" s="1"/>
  <c r="T88" i="70" s="1"/>
  <c r="Q53" i="70"/>
  <c r="S53" i="70" s="1"/>
  <c r="T53" i="70" s="1"/>
  <c r="L48" i="70"/>
  <c r="N48" i="70" s="1"/>
  <c r="O48" i="70" s="1"/>
  <c r="L81" i="70"/>
  <c r="N81" i="70" s="1"/>
  <c r="O81" i="70" s="1"/>
  <c r="L38" i="70"/>
  <c r="N38" i="70" s="1"/>
  <c r="O38" i="70" s="1"/>
  <c r="Q23" i="70"/>
  <c r="S23" i="70" s="1"/>
  <c r="T23" i="70" s="1"/>
  <c r="I15" i="70"/>
  <c r="J69" i="70"/>
  <c r="I27" i="70"/>
  <c r="J65" i="70"/>
  <c r="I88" i="70"/>
  <c r="J53" i="70"/>
  <c r="J56" i="70"/>
  <c r="I79" i="70"/>
  <c r="I56" i="70"/>
  <c r="I44" i="70"/>
  <c r="Q46" i="70"/>
  <c r="S46" i="70" s="1"/>
  <c r="T46" i="70" s="1"/>
  <c r="J17" i="70"/>
  <c r="L34" i="70"/>
  <c r="N34" i="70" s="1"/>
  <c r="O34" i="70" s="1"/>
  <c r="J55" i="70"/>
  <c r="Q61" i="70"/>
  <c r="S61" i="70" s="1"/>
  <c r="T61" i="70" s="1"/>
  <c r="Q68" i="70"/>
  <c r="S68" i="70" s="1"/>
  <c r="T68" i="70" s="1"/>
  <c r="Q44" i="70"/>
  <c r="S44" i="70" s="1"/>
  <c r="T44" i="70" s="1"/>
  <c r="I91" i="70"/>
  <c r="Q54" i="70"/>
  <c r="S54" i="70" s="1"/>
  <c r="T54" i="70" s="1"/>
  <c r="Q62" i="70"/>
  <c r="S62" i="70" s="1"/>
  <c r="T62" i="70" s="1"/>
  <c r="I67" i="70"/>
  <c r="Q18" i="70"/>
  <c r="S18" i="70" s="1"/>
  <c r="T18" i="70" s="1"/>
  <c r="Q27" i="70"/>
  <c r="S27" i="70" s="1"/>
  <c r="T27" i="70" s="1"/>
  <c r="I48" i="70"/>
  <c r="I50" i="70"/>
  <c r="J76" i="70"/>
  <c r="J40" i="70"/>
  <c r="Q78" i="70"/>
  <c r="S78" i="70" s="1"/>
  <c r="T78" i="70" s="1"/>
  <c r="L53" i="70"/>
  <c r="N53" i="70" s="1"/>
  <c r="O53" i="70" s="1"/>
  <c r="L73" i="70"/>
  <c r="N73" i="70" s="1"/>
  <c r="O73" i="70" s="1"/>
  <c r="I92" i="70"/>
  <c r="J38" i="70"/>
  <c r="I78" i="70"/>
  <c r="I34" i="70"/>
  <c r="J15" i="70"/>
  <c r="J72" i="70"/>
  <c r="I90" i="70"/>
  <c r="Q56" i="70"/>
  <c r="S56" i="70" s="1"/>
  <c r="T56" i="70" s="1"/>
  <c r="J44" i="70"/>
  <c r="Q17" i="70"/>
  <c r="S17" i="70" s="1"/>
  <c r="T17" i="70" s="1"/>
  <c r="I36" i="70"/>
  <c r="Q55" i="70"/>
  <c r="S55" i="70" s="1"/>
  <c r="T55" i="70" s="1"/>
  <c r="I61" i="70"/>
  <c r="I68" i="70"/>
  <c r="I52" i="70"/>
  <c r="Q91" i="70"/>
  <c r="S91" i="70" s="1"/>
  <c r="T91" i="70" s="1"/>
  <c r="I62" i="70"/>
  <c r="L18" i="70"/>
  <c r="N18" i="70" s="1"/>
  <c r="O18" i="70" s="1"/>
  <c r="J50" i="70"/>
  <c r="I96" i="70"/>
  <c r="J70" i="70"/>
  <c r="I17" i="70"/>
  <c r="L62" i="70"/>
  <c r="N62" i="70" s="1"/>
  <c r="O62" i="70" s="1"/>
  <c r="Q36" i="70"/>
  <c r="S36" i="70" s="1"/>
  <c r="T36" i="70" s="1"/>
  <c r="L74" i="70"/>
  <c r="N74" i="70" s="1"/>
  <c r="O74" i="70" s="1"/>
  <c r="J91" i="70"/>
  <c r="L54" i="70"/>
  <c r="N54" i="70" s="1"/>
  <c r="O54" i="70" s="1"/>
  <c r="I16" i="70"/>
  <c r="Q74" i="70"/>
  <c r="S74" i="70" s="1"/>
  <c r="T74" i="70" s="1"/>
  <c r="Q48" i="70"/>
  <c r="S48" i="70" s="1"/>
  <c r="T48" i="70" s="1"/>
  <c r="I76" i="70"/>
  <c r="I72" i="70"/>
  <c r="L65" i="70"/>
  <c r="N65" i="70" s="1"/>
  <c r="O65" i="70" s="1"/>
  <c r="I99" i="70"/>
  <c r="I73" i="70"/>
  <c r="I40" i="70"/>
  <c r="L55" i="70"/>
  <c r="N55" i="70" s="1"/>
  <c r="O55" i="70" s="1"/>
  <c r="J63" i="70"/>
  <c r="J46" i="70"/>
  <c r="L36" i="70"/>
  <c r="N36" i="70" s="1"/>
  <c r="O36" i="70" s="1"/>
  <c r="J61" i="70"/>
  <c r="J68" i="70"/>
  <c r="Q52" i="70"/>
  <c r="S52" i="70" s="1"/>
  <c r="T52" i="70" s="1"/>
  <c r="L91" i="70"/>
  <c r="N91" i="70" s="1"/>
  <c r="O91" i="70" s="1"/>
  <c r="J54" i="70"/>
  <c r="J62" i="70"/>
  <c r="Q67" i="70"/>
  <c r="S67" i="70" s="1"/>
  <c r="T67" i="70" s="1"/>
  <c r="J16" i="70"/>
  <c r="J27" i="70"/>
  <c r="Q34" i="70"/>
  <c r="S34" i="70" s="1"/>
  <c r="T34" i="70" s="1"/>
  <c r="L44" i="70"/>
  <c r="N44" i="70" s="1"/>
  <c r="O44" i="70" s="1"/>
  <c r="L46" i="70"/>
  <c r="N46" i="70" s="1"/>
  <c r="O46" i="70" s="1"/>
  <c r="L52" i="70"/>
  <c r="N52" i="70" s="1"/>
  <c r="O52" i="70" s="1"/>
  <c r="Q76" i="70"/>
  <c r="S76" i="70" s="1"/>
  <c r="T76" i="70" s="1"/>
  <c r="J78" i="70"/>
  <c r="L72" i="70"/>
  <c r="N72" i="70" s="1"/>
  <c r="O72" i="70" s="1"/>
  <c r="L70" i="70"/>
  <c r="N70" i="70" s="1"/>
  <c r="O70" i="70" s="1"/>
  <c r="L99" i="70"/>
  <c r="N99" i="70" s="1"/>
  <c r="O99" i="70" s="1"/>
  <c r="O100" i="70" s="1"/>
  <c r="I54" i="70"/>
  <c r="L67" i="70"/>
  <c r="N67" i="70" s="1"/>
  <c r="O67" i="70" s="1"/>
  <c r="J74" i="70"/>
  <c r="J48" i="70"/>
  <c r="L76" i="70"/>
  <c r="N76" i="70" s="1"/>
  <c r="O76" i="70" s="1"/>
  <c r="J92" i="70"/>
  <c r="L90" i="70"/>
  <c r="N90" i="70" s="1"/>
  <c r="O90" i="70" s="1"/>
  <c r="J23" i="70"/>
  <c r="J81" i="70"/>
  <c r="I95" i="70"/>
  <c r="L56" i="70"/>
  <c r="N56" i="70" s="1"/>
  <c r="O56" i="70" s="1"/>
  <c r="I46" i="70"/>
  <c r="L27" i="70"/>
  <c r="N27" i="70" s="1"/>
  <c r="O27" i="70" s="1"/>
  <c r="I55" i="70"/>
  <c r="L61" i="70"/>
  <c r="N61" i="70" s="1"/>
  <c r="O61" i="70" s="1"/>
  <c r="J52" i="70"/>
  <c r="J67" i="70"/>
  <c r="J34" i="70"/>
  <c r="Q50" i="70"/>
  <c r="S50" i="70" s="1"/>
  <c r="T50" i="70" s="1"/>
  <c r="Q92" i="70"/>
  <c r="S92" i="70" s="1"/>
  <c r="T92" i="70" s="1"/>
  <c r="L96" i="70"/>
  <c r="N96" i="70" s="1"/>
  <c r="O96" i="70" s="1"/>
  <c r="O97" i="75" l="1"/>
  <c r="T97" i="75"/>
  <c r="O85" i="75"/>
  <c r="T41" i="75"/>
  <c r="O19" i="75"/>
  <c r="O41" i="75"/>
  <c r="T85" i="75"/>
  <c r="T19" i="75"/>
  <c r="O97" i="70"/>
  <c r="D22" i="68"/>
  <c r="O89" i="66"/>
  <c r="D20" i="68" s="1"/>
  <c r="G20" i="68" s="1"/>
  <c r="O39" i="66"/>
  <c r="D16" i="68" s="1"/>
  <c r="E16" i="68" s="1"/>
  <c r="T89" i="66"/>
  <c r="T19" i="66"/>
  <c r="T80" i="66"/>
  <c r="T39" i="66"/>
  <c r="O80" i="66"/>
  <c r="D18" i="68" s="1"/>
  <c r="F18" i="68" s="1"/>
  <c r="O19" i="66"/>
  <c r="D14" i="68" s="1"/>
  <c r="T19" i="70"/>
  <c r="T85" i="70"/>
  <c r="T41" i="70"/>
  <c r="T97" i="70"/>
  <c r="O41" i="70"/>
  <c r="O19" i="70"/>
  <c r="O85" i="70"/>
  <c r="D10" i="68"/>
  <c r="T102" i="75" l="1"/>
  <c r="S104" i="75" s="1"/>
  <c r="T104" i="75" s="1"/>
  <c r="T105" i="75" s="1"/>
  <c r="T107" i="75" s="1"/>
  <c r="S109" i="75" s="1"/>
  <c r="T109" i="75" s="1"/>
  <c r="T110" i="75" s="1"/>
  <c r="T112" i="75" s="1"/>
  <c r="T114" i="75" s="1"/>
  <c r="O102" i="75"/>
  <c r="L104" i="75" s="1"/>
  <c r="N104" i="75" s="1"/>
  <c r="O104" i="75" s="1"/>
  <c r="O105" i="75" s="1"/>
  <c r="O107" i="75" s="1"/>
  <c r="L109" i="75" s="1"/>
  <c r="N109" i="75" s="1"/>
  <c r="O109" i="75" s="1"/>
  <c r="O110" i="75" s="1"/>
  <c r="O94" i="66"/>
  <c r="L96" i="66" s="1"/>
  <c r="N96" i="66" s="1"/>
  <c r="O96" i="66" s="1"/>
  <c r="O97" i="66" s="1"/>
  <c r="O99" i="66" s="1"/>
  <c r="L101" i="66" s="1"/>
  <c r="N101" i="66" s="1"/>
  <c r="O101" i="66" s="1"/>
  <c r="O102" i="66" s="1"/>
  <c r="T94" i="66"/>
  <c r="S96" i="66" s="1"/>
  <c r="T96" i="66" s="1"/>
  <c r="T97" i="66" s="1"/>
  <c r="T99" i="66" s="1"/>
  <c r="S101" i="66" s="1"/>
  <c r="T101" i="66" s="1"/>
  <c r="T102" i="66" s="1"/>
  <c r="T104" i="66" s="1"/>
  <c r="T106" i="66" s="1"/>
  <c r="O102" i="70"/>
  <c r="L104" i="70" s="1"/>
  <c r="N104" i="70" s="1"/>
  <c r="T102" i="70"/>
  <c r="S104" i="70" s="1"/>
  <c r="T104" i="70" s="1"/>
  <c r="T105" i="70" s="1"/>
  <c r="T107" i="70" s="1"/>
  <c r="S109" i="70" s="1"/>
  <c r="T109" i="70" s="1"/>
  <c r="T110" i="70" s="1"/>
  <c r="T112" i="70" s="1"/>
  <c r="T114" i="70" s="1"/>
  <c r="H17" i="68"/>
  <c r="B18" i="68"/>
  <c r="B14" i="68"/>
  <c r="B8" i="68"/>
  <c r="B7" i="68"/>
  <c r="O112" i="75" l="1"/>
  <c r="O114" i="75" s="1"/>
  <c r="O104" i="66"/>
  <c r="O106" i="66" s="1"/>
  <c r="O104" i="70"/>
  <c r="O105" i="70" s="1"/>
  <c r="D24" i="68" l="1"/>
  <c r="D27" i="68" s="1"/>
  <c r="O107" i="70"/>
  <c r="L109" i="70" s="1"/>
  <c r="N109" i="70" s="1"/>
  <c r="O109" i="70" s="1"/>
  <c r="H23" i="68"/>
  <c r="H15" i="68"/>
  <c r="H19" i="68"/>
  <c r="H25" i="68"/>
  <c r="O110" i="70" l="1"/>
  <c r="O112" i="70" s="1"/>
  <c r="O114" i="70" l="1"/>
  <c r="G22" i="68"/>
  <c r="H22" i="68" s="1"/>
  <c r="H18" i="68"/>
  <c r="G24" i="68"/>
  <c r="H24" i="68" s="1"/>
  <c r="H20" i="68" l="1"/>
  <c r="H16" i="68"/>
  <c r="H21" i="68" l="1"/>
  <c r="E14" i="68" l="1"/>
  <c r="E27" i="68" s="1"/>
  <c r="G14" i="68"/>
  <c r="G27" i="68" s="1"/>
  <c r="G28" i="68" s="1"/>
  <c r="F14" i="68"/>
  <c r="F27" i="68" s="1"/>
  <c r="F28" i="68" s="1"/>
  <c r="H14" i="68" l="1"/>
  <c r="H27" i="68" s="1"/>
  <c r="E28" i="68" l="1"/>
  <c r="H28" i="68" s="1"/>
</calcChain>
</file>

<file path=xl/sharedStrings.xml><?xml version="1.0" encoding="utf-8"?>
<sst xmlns="http://schemas.openxmlformats.org/spreadsheetml/2006/main" count="1554" uniqueCount="276">
  <si>
    <t>DESONERADO</t>
  </si>
  <si>
    <t>PQPU - PLANILHA DE QUANTIDADES E PREÇOS UNITÁRIOS</t>
  </si>
  <si>
    <t>OBRA:</t>
  </si>
  <si>
    <t>REFORMA UBS SANTO ANGELO</t>
  </si>
  <si>
    <t>LOCAL:</t>
  </si>
  <si>
    <t>RUA SÃO SIMÃO, 59 - CONJ. RES. SANTO ANGELO, MOGI DAS CRUZES - SP, 08763-240</t>
  </si>
  <si>
    <t>DATA:</t>
  </si>
  <si>
    <t>MAIO/2024</t>
  </si>
  <si>
    <t>JUL/2022</t>
  </si>
  <si>
    <r>
      <rPr>
        <sz val="10"/>
        <color rgb="FF000000"/>
        <rFont val="Arial"/>
        <family val="2"/>
      </rPr>
      <t xml:space="preserve">PLANILHA DE QUANTIDADES E PREÇOS UNITÁRIOS </t>
    </r>
    <r>
      <rPr>
        <b/>
        <sz val="10"/>
        <color rgb="FFFF0000"/>
        <rFont val="Arial"/>
        <family val="2"/>
      </rPr>
      <t>SEM DESONERAÇÃO</t>
    </r>
  </si>
  <si>
    <t>BDI:</t>
  </si>
  <si>
    <t>COD-REF</t>
  </si>
  <si>
    <t>REF</t>
  </si>
  <si>
    <t>CÓDIGO</t>
  </si>
  <si>
    <t>ITEM</t>
  </si>
  <si>
    <t>DESCRIÇÃO DOS SERVIÇOS</t>
  </si>
  <si>
    <t>UN</t>
  </si>
  <si>
    <t>QUANTIDADE</t>
  </si>
  <si>
    <t>$ UNITÁRIO S/ BDI</t>
  </si>
  <si>
    <t>BDI</t>
  </si>
  <si>
    <t>PREÇO UNITÁRIO</t>
  </si>
  <si>
    <t>PREÇO TOTAL</t>
  </si>
  <si>
    <t>.</t>
  </si>
  <si>
    <t xml:space="preserve">SERVIÇOS PRELIMINARES </t>
  </si>
  <si>
    <t>SIURB EDIF</t>
  </si>
  <si>
    <t>TOTAL DO ITEM</t>
  </si>
  <si>
    <t>DEMOLIÇÕES E RETIRADAS</t>
  </si>
  <si>
    <t>RECEPÇÃO</t>
  </si>
  <si>
    <t>RETIRADA DE TAMPO</t>
  </si>
  <si>
    <t>CDHU</t>
  </si>
  <si>
    <t>04.14.020</t>
  </si>
  <si>
    <t>FARMÁCIA</t>
  </si>
  <si>
    <t>COLETA</t>
  </si>
  <si>
    <t>04.01.040</t>
  </si>
  <si>
    <t>CIRCULAÇÃO (ACESSO RESTRITO)</t>
  </si>
  <si>
    <t>AREA EXTERNA</t>
  </si>
  <si>
    <t>CALÇADA/ESTACIONAMENTO</t>
  </si>
  <si>
    <t>RESERVATÓRIOS</t>
  </si>
  <si>
    <t>FDE</t>
  </si>
  <si>
    <t>08.60.013</t>
  </si>
  <si>
    <t>BOTA-FORA</t>
  </si>
  <si>
    <t>CONSTRUÇÃO</t>
  </si>
  <si>
    <t>26.20.020</t>
  </si>
  <si>
    <t>14.30.260</t>
  </si>
  <si>
    <t>CIRCULAÇÃO</t>
  </si>
  <si>
    <t>25.02.042</t>
  </si>
  <si>
    <t>RECUPERAÇÃO/REFORMA DE ESQUADRIAS METALICAS COM FORNECIMENTO DE MATERIAIS E MAO DE OBRA (CHAPA, PERFIS, SOLDAS E ACESSÓRIOS)</t>
  </si>
  <si>
    <t>COMP SINAPI</t>
  </si>
  <si>
    <t>CAIXA D´ÁGUA EM POLIETILENO, 2000 LITROS, TIPO TANQUE COM TAMPA DE ROSCA (INCLUSOS TUBOS, CONEXÕES E TORNEIRA DE BÓIA) - FORNECIMENTO E INSTALAÇÃO. AF_06/2021</t>
  </si>
  <si>
    <t>SINAPI</t>
  </si>
  <si>
    <t>102623</t>
  </si>
  <si>
    <t>CAIXA D´ÁGUA EM POLIETILENO, 1000 LITROS, TIPO TANQUE COM TAMPA DE ROSCA (INCLUSOS TUBOS, CONEXÕES E TORNEIRA DE BÓIA) - FORNECIMENTO E INSTALAÇÃO. AF_06/2021</t>
  </si>
  <si>
    <t>PINTURA</t>
  </si>
  <si>
    <t>33.02.080</t>
  </si>
  <si>
    <t>33.06.020</t>
  </si>
  <si>
    <t>30.06.100</t>
  </si>
  <si>
    <t>LIMPEZA FINAL</t>
  </si>
  <si>
    <t>SOMATORIA ITEM 2.0 A 5.0 PARA INSTALAÇÕES</t>
  </si>
  <si>
    <t>SOMATORIA ITEM 2.0 A 8.0 PARA EVENTUAIS</t>
  </si>
  <si>
    <t xml:space="preserve">INSTALAÇÕES </t>
  </si>
  <si>
    <t>INSTALAÇÕES HIDRAULICAS</t>
  </si>
  <si>
    <t>%</t>
  </si>
  <si>
    <t>SOMATORIA ITEM 2.0 A 6.0 PARA SERVIÇOS EVENTUAIS</t>
  </si>
  <si>
    <t>SERVIÇOS EVENTUAIS</t>
  </si>
  <si>
    <t xml:space="preserve">SOMATORIA ITEM 1.0 A 7.0 </t>
  </si>
  <si>
    <t>TOTAL GERAL C/ BDI 25% (SEM DES) CDHU 193, SIURB JAN-2024, SINAPI FEV-2024, DER DEZ-2023</t>
  </si>
  <si>
    <t xml:space="preserve">   ENGº ALEXANDRE KOPPERSCHMID PIGNATON</t>
  </si>
  <si>
    <t xml:space="preserve">        ENGª GIULIANA SILVERIO MUNIZ CAMARGO</t>
  </si>
  <si>
    <t xml:space="preserve">         Chefe de Divisão</t>
  </si>
  <si>
    <t>Diretora do Departamento de Obras e Edificações Públicas</t>
  </si>
  <si>
    <t>JUN/2024</t>
  </si>
  <si>
    <t>05.05.086</t>
  </si>
  <si>
    <t>14.30.190</t>
  </si>
  <si>
    <t>28.01.080</t>
  </si>
  <si>
    <t xml:space="preserve"> </t>
  </si>
  <si>
    <t>RESUMO DA PQPU - PLANILHA DE QUANTIDADES E PREÇOS UNITÁRIOS</t>
  </si>
  <si>
    <t>CONTRATAÇÃO DE EMPRESA ESPECIALIZADA CAPACITADA PARA A ELABORAÇÃO DE PROJETOS BÁSICOS E EXECUTIVOS, ABRANGENDO A ELABORAÇÃO DE PEÇAS TÉCNICAS E GRÁFICAS, LEVANTAMENTOS, SONDAGENS, ORÇAMENTOS E ESTUDOS DIVERSOS, COM A FINALIDADE DE ASSEGURAR AS OBRAS DE: (A)-REVITALIZAÇÃO E AMPLIAÇÃO DO PARQUE DA CIDADE, (B)-REVITALIZAÇÃO DO PARQUE LEON FEFFER E (C)-IMPLANTAÇÃO DO PARQUE NÁUTICO MOGIANO, NO MUNICÍPIO DE MOGI DAS CRUZES</t>
  </si>
  <si>
    <t>MOGI DAS CRUZES - SP</t>
  </si>
  <si>
    <r>
      <rPr>
        <sz val="10"/>
        <color rgb="FF000000"/>
        <rFont val="Arial"/>
        <family val="2"/>
      </rPr>
      <t xml:space="preserve">PLANILHA DE QUANTIDADES E PREÇOS UNITÁRIOS </t>
    </r>
    <r>
      <rPr>
        <sz val="10"/>
        <color rgb="FFFF0000"/>
        <rFont val="Arial"/>
        <family val="2"/>
      </rPr>
      <t>SEM DESONERAÇÃO</t>
    </r>
  </si>
  <si>
    <t xml:space="preserve">SERVIÇOS TOPOGRÁFICOS E ESTUDOS INICIAIS </t>
  </si>
  <si>
    <t>SONDAGEM</t>
  </si>
  <si>
    <t>PROJETOS E SERVIÇOS TÉCNICOS</t>
  </si>
  <si>
    <t>TOTAL GERAL C/ BDI 25% (SEM DES) CDHU 200, SIURB JUL-2025</t>
  </si>
  <si>
    <t>Engª LEILA ALCANTARA GALVÃO</t>
  </si>
  <si>
    <t>Secretaria Adjunta de Obras e Infraestrutura</t>
  </si>
  <si>
    <t>PERFURAÇÃO E EXECUÇÃO  DE  ENSAIO PENETOMÉTRICO OU DE LAVAGEM POR TEMPO</t>
  </si>
  <si>
    <t>SIURB INFRA</t>
  </si>
  <si>
    <t>LEVANTAMENTO PLANIALTIMÉTRICO CADASTRAL</t>
  </si>
  <si>
    <t>M2</t>
  </si>
  <si>
    <t>COMPOSIÇÃO 1</t>
  </si>
  <si>
    <t>RELATÓRIO TÉCNICO PARA REVITALIZAÇÃO E IMPLANTAÇÃO DO PARQUE DA CIDADE</t>
  </si>
  <si>
    <t>GL</t>
  </si>
  <si>
    <t>COMPOSIÇÃO 2</t>
  </si>
  <si>
    <t>RELATÓRIO TÉCNICO PARA REVITALIZAÇÃO E IMPLANTAÇÃO DO PARQUE LEON FEFFER</t>
  </si>
  <si>
    <t>COMPOSIÇÃO 3</t>
  </si>
  <si>
    <t>RELATÓRIO TÉCNICO PARA REVITALIZAÇÃO E IMPLANTAÇÃO DO PARQUE NÁUTICO MOGIANO</t>
  </si>
  <si>
    <t>COMPOSIÇÃO 10</t>
  </si>
  <si>
    <t>RELATÓRIO AMBIENTAL E OBTENÇÃO DA LAP</t>
  </si>
  <si>
    <t>TOTAL DO ITEM 1.0</t>
  </si>
  <si>
    <t>PERFURAÇÃO E EXECUÇÃO DE ENSAIO PENETROMÉTRICO OU DE LAVAGEM POR TEMPO</t>
  </si>
  <si>
    <t>M</t>
  </si>
  <si>
    <t>MOBILIZAÇÃO E INSTALAÇÃO DE 1  EQUIPAMENTO PARA EXECUÇÃO DE SONDAGEM A PERCUSSÃO</t>
  </si>
  <si>
    <t>DESLOCAMENTO DE EQUIPAMENTO ENTRE FUROS EM TERRENO PLANO, CONSIDERANDO A DISTÂNCIA ATÉ 100M, PARA SONDAGEM A PERCUSSÃO</t>
  </si>
  <si>
    <t>TOTAL DO ITEM 2.0</t>
  </si>
  <si>
    <t>PARQUE DA CIDADE</t>
  </si>
  <si>
    <t>COMPOSIÇÃO 4</t>
  </si>
  <si>
    <t xml:space="preserve">PROJETO BÁSICO </t>
  </si>
  <si>
    <t>COMPOSIÇÃO 7</t>
  </si>
  <si>
    <t xml:space="preserve">PROJETO EXECUTIVO  </t>
  </si>
  <si>
    <t>01.06.031</t>
  </si>
  <si>
    <t>ELABORAÇÃO DE PROJETO DE ADEQUAÇÃO DE ENTRADA DE ENERGIA ELÉTRICA JUNTO A CONCESSIONÁRIA, COM MEDIÇÃO EM MÉDIA TENSÃO, SUBESTAÇÃO SIMPLIFICADA E DEMANDA DE 75 KVA A 300 KVA</t>
  </si>
  <si>
    <t>TOTAL DO SUB ITEM 3.1</t>
  </si>
  <si>
    <t>PARQUE LEON FEFFER</t>
  </si>
  <si>
    <t>COMPOSIÇÃO 5</t>
  </si>
  <si>
    <t>COMPOSIÇÃO 8</t>
  </si>
  <si>
    <t>TOTAL DO SUB ITEM 3.2</t>
  </si>
  <si>
    <t>PARQUE NÁUTICO MOGIANO</t>
  </si>
  <si>
    <t>COMPOSIÇÃO 6</t>
  </si>
  <si>
    <t>COMPOSIÇÃO 9</t>
  </si>
  <si>
    <t>TOTAL DO SUB ITEM 3.3</t>
  </si>
  <si>
    <t>TOTAL DO  ITEM 3.0</t>
  </si>
  <si>
    <t>ATA DE PROJETOS</t>
  </si>
  <si>
    <t>01.02.071</t>
  </si>
  <si>
    <t>01.02.081</t>
  </si>
  <si>
    <t>01.02.091</t>
  </si>
  <si>
    <t>01.02.101</t>
  </si>
  <si>
    <t>SONDAGEM, ENSAIOS E CONTROLE TECNÓLOGICO</t>
  </si>
  <si>
    <t>PROJETOS</t>
  </si>
  <si>
    <t>01.06.021</t>
  </si>
  <si>
    <t>TOTAL GERAL C/ BDI 25% (SEM DES) CDHU 196, SIURB JUL-2024, SINAPI DEZ-2024, FDE OUT-2024</t>
  </si>
  <si>
    <t>SERVIÇOS INICIAIS</t>
  </si>
  <si>
    <t>PLACA DE OBRA EM CHAPA DE AÇO GALVANIZADO</t>
  </si>
  <si>
    <t>TIPO</t>
  </si>
  <si>
    <t>COMPRIMENTO</t>
  </si>
  <si>
    <t>ALTURA</t>
  </si>
  <si>
    <t>ÁREA TOTAL</t>
  </si>
  <si>
    <t>MUNICIPAL (PLACA MÉDIA)</t>
  </si>
  <si>
    <t>m2</t>
  </si>
  <si>
    <t>ANDAIMES METÁLICOS - FORNECIMENTO</t>
  </si>
  <si>
    <t>LARGURA</t>
  </si>
  <si>
    <t>VOLUME TOTAL</t>
  </si>
  <si>
    <t>m3xMÊS</t>
  </si>
  <si>
    <t>ANDAIMES METÁLICOS – MONTAGEM E DESMONTAGEM</t>
  </si>
  <si>
    <t>VEZES MONTADO</t>
  </si>
  <si>
    <t>m3</t>
  </si>
  <si>
    <t>PROJETO EXECUTIVO (PRANCHA A1)</t>
  </si>
  <si>
    <t>LOCAL</t>
  </si>
  <si>
    <t>UNIDADE</t>
  </si>
  <si>
    <t>UNIDADE TOTAL</t>
  </si>
  <si>
    <t>TOTAL</t>
  </si>
  <si>
    <t>UNID</t>
  </si>
  <si>
    <t>DEMOLIÇÃO</t>
  </si>
  <si>
    <t>DEMOLIÇÃO DE ALVENARIA</t>
  </si>
  <si>
    <t>ESPESSURA</t>
  </si>
  <si>
    <t>VOLUME</t>
  </si>
  <si>
    <t>m</t>
  </si>
  <si>
    <t>RETIRADA DE BALCÃO</t>
  </si>
  <si>
    <t>ÁREA</t>
  </si>
  <si>
    <t>RETIRADA DE ESQUADRIA EM VIDRO</t>
  </si>
  <si>
    <t>RETIRADA DE DIVISÓRIA</t>
  </si>
  <si>
    <t>ÁREA EXTERNA</t>
  </si>
  <si>
    <t>DEMOLIÇÃO DE ALAMBRADO</t>
  </si>
  <si>
    <t>DEMOLIÇÃO DE PISO</t>
  </si>
  <si>
    <t>AREA</t>
  </si>
  <si>
    <t>CALÇADA</t>
  </si>
  <si>
    <t>ESTACIONAMENTO</t>
  </si>
  <si>
    <t>RESERVATORIOS</t>
  </si>
  <si>
    <t>DEMOLIÇÃO DE CAIXAS D'AGUA</t>
  </si>
  <si>
    <t>uni</t>
  </si>
  <si>
    <t>REMOÇÃO DE ENTULHO COM CAÇAMBA METÁLICA, INCLUSIVE CARGA MANUAL E DESCARGA EM BOTA-FORA</t>
  </si>
  <si>
    <t>SERVIÇO</t>
  </si>
  <si>
    <t>VOLUME/ESPESSURA</t>
  </si>
  <si>
    <t>REFORMA ESQUADRIAS</t>
  </si>
  <si>
    <t>INSTALAÇÃO DE BALCÃO EM GRANITO (2,00X0,60M)</t>
  </si>
  <si>
    <t>INSTALAÇÃO DE ESQUADRIA EM ALUMINIO E VIDRO</t>
  </si>
  <si>
    <t>-</t>
  </si>
  <si>
    <t>INSTALAÇÃO DE PISO PODOTATIL</t>
  </si>
  <si>
    <t>FARMACIA</t>
  </si>
  <si>
    <t>MURETA</t>
  </si>
  <si>
    <t>RODAPÉ</t>
  </si>
  <si>
    <t>LADOS</t>
  </si>
  <si>
    <t>CHAPISCO</t>
  </si>
  <si>
    <t>EMBOÇO</t>
  </si>
  <si>
    <t>DIVISÓRIA</t>
  </si>
  <si>
    <t>PORTA, BATENTE E COMPONENTES METALICOS</t>
  </si>
  <si>
    <t>UNI</t>
  </si>
  <si>
    <t>CIRCULAÇÃO (AREA RESTRITA)</t>
  </si>
  <si>
    <t>REFORMA DE PORTA/PORTÃO</t>
  </si>
  <si>
    <t>LARGURA DA FOLHA</t>
  </si>
  <si>
    <t>ALTURA CORTE</t>
  </si>
  <si>
    <t>QUANTIDADE DE FOLHAS</t>
  </si>
  <si>
    <t>CHAPA</t>
  </si>
  <si>
    <t>ÁREA CORTE</t>
  </si>
  <si>
    <t>PESO DA CHAPA (kg/m2)</t>
  </si>
  <si>
    <t>KG</t>
  </si>
  <si>
    <t>kg</t>
  </si>
  <si>
    <t>PERFIL( METALON RETANGULAR)</t>
  </si>
  <si>
    <t>PESO DO PERFIL(kg/m)</t>
  </si>
  <si>
    <t>PESO TOTAL</t>
  </si>
  <si>
    <t>PERFIL</t>
  </si>
  <si>
    <t>ALAMBRADO</t>
  </si>
  <si>
    <t xml:space="preserve"> n</t>
  </si>
  <si>
    <t>PISO DE CONCRETO</t>
  </si>
  <si>
    <t>ARMADURA CA-60 TELA</t>
  </si>
  <si>
    <t>AREA TOTAL</t>
  </si>
  <si>
    <t>PESO AÇO</t>
  </si>
  <si>
    <t>PESO</t>
  </si>
  <si>
    <t>KG/M2</t>
  </si>
  <si>
    <t>RESERVATORIOS DE AGUA</t>
  </si>
  <si>
    <t>1000l</t>
  </si>
  <si>
    <t>2000l</t>
  </si>
  <si>
    <t>PINTURA LATEX INTERNA</t>
  </si>
  <si>
    <t>LOCAL / AMBIENTE</t>
  </si>
  <si>
    <t>ÁREA DO TETO</t>
  </si>
  <si>
    <t>COMPRIMENTO TOTAL</t>
  </si>
  <si>
    <t>ALTURA ESMALTE</t>
  </si>
  <si>
    <t>ESPERA</t>
  </si>
  <si>
    <t>SANIT. PUBLICO MASC</t>
  </si>
  <si>
    <t>TOTAL PINTURA LATEX</t>
  </si>
  <si>
    <t>TOTAL PINTURA ESMALTE</t>
  </si>
  <si>
    <t>SANIT. PUBLICO FEM</t>
  </si>
  <si>
    <t>SANITARIO DEFICIENTE</t>
  </si>
  <si>
    <t>ENFERMAGEM</t>
  </si>
  <si>
    <t xml:space="preserve">PINTURA EXTERNA </t>
  </si>
  <si>
    <t>PAREDE</t>
  </si>
  <si>
    <t>TIPO DE PINTURA</t>
  </si>
  <si>
    <t>COMPRIMENTO CAD</t>
  </si>
  <si>
    <t>PINTURA LÁTEX ACRÍLICA</t>
  </si>
  <si>
    <t>PINTURA ESMALTE SINTÉTICO</t>
  </si>
  <si>
    <t>DEPOSITO</t>
  </si>
  <si>
    <t>CONSULTORIO 2 PEDIATRIA</t>
  </si>
  <si>
    <t>(L.A. / E.S.)</t>
  </si>
  <si>
    <t>CONSULTORIO 5 ODONTO</t>
  </si>
  <si>
    <t>FACHADA</t>
  </si>
  <si>
    <t>L.A.</t>
  </si>
  <si>
    <t>CONSULTORIO 6 PEDIATRIA</t>
  </si>
  <si>
    <t>CONSULTORIO 7</t>
  </si>
  <si>
    <t>MURO EXTERNO</t>
  </si>
  <si>
    <t>ALMOX. DE INSUMOS</t>
  </si>
  <si>
    <t>ABRIGO</t>
  </si>
  <si>
    <t>INALAÇÃO</t>
  </si>
  <si>
    <t>SUBTOTAL</t>
  </si>
  <si>
    <t>IMUNIZAÇÃO</t>
  </si>
  <si>
    <t>PINTURA LATEX TOTAL</t>
  </si>
  <si>
    <t>PINTURA ESMALTE TOTAL</t>
  </si>
  <si>
    <t>COZINHA</t>
  </si>
  <si>
    <t>VESTIARIO FUNC. MASC</t>
  </si>
  <si>
    <t>VESTIARIO FUNC. FEM</t>
  </si>
  <si>
    <t>DML</t>
  </si>
  <si>
    <t xml:space="preserve">ESTERILIZAÇÃO </t>
  </si>
  <si>
    <t>AREA DE SERVIÇO</t>
  </si>
  <si>
    <t>LIXAMENTO E RESINA PISO DE GANILITE</t>
  </si>
  <si>
    <t xml:space="preserve">ÁREA </t>
  </si>
  <si>
    <t>PISO</t>
  </si>
  <si>
    <t>PINTURA ESQUADRIAS</t>
  </si>
  <si>
    <t>ESMALTE SINTÉTICO - ESQUADRIAS E PEÇAS DE MARCENARIA, SEM EMASSAMENTO</t>
  </si>
  <si>
    <t>FATOR DE MULTIPLICAÇÃO</t>
  </si>
  <si>
    <t>ESMALTE SINTÉTICO - ESQUADRIAS E PEÇAS DE SERRALHERIA</t>
  </si>
  <si>
    <t>ESPERA PORTÃO</t>
  </si>
  <si>
    <t>LIMPEZA GERAL</t>
  </si>
  <si>
    <t>LIMPEZA GERAL DA OBRA</t>
  </si>
  <si>
    <t xml:space="preserve">ÁREA DO PRÉDIO </t>
  </si>
  <si>
    <t>ABRIL/2024</t>
  </si>
  <si>
    <r>
      <rPr>
        <sz val="11"/>
        <color rgb="FF000000"/>
        <rFont val="Arial"/>
        <family val="2"/>
      </rPr>
      <t xml:space="preserve">CRONOGRAMA </t>
    </r>
    <r>
      <rPr>
        <b/>
        <sz val="11"/>
        <color rgb="FFFF0000"/>
        <rFont val="Arial"/>
        <family val="2"/>
      </rPr>
      <t>SEM DESONERAÇÃO</t>
    </r>
  </si>
  <si>
    <t>1º MÊS</t>
  </si>
  <si>
    <t>2º MÊS</t>
  </si>
  <si>
    <t>3º MÊS</t>
  </si>
  <si>
    <t xml:space="preserve">TOTAL GERAL C/ BDI 25% (SEM DES) </t>
  </si>
  <si>
    <t>ENGº ALEXANDRE KOPPERSCHMID PIGNATON</t>
  </si>
  <si>
    <t>ENGª GIULIANA SILVERIO MUNIZ CAMARGO</t>
  </si>
  <si>
    <t>Chefe de Divisão</t>
  </si>
  <si>
    <t>MMM</t>
  </si>
  <si>
    <t>Dir. Dep de Obras e Edificações</t>
  </si>
  <si>
    <t>PREÇO UNITÁRIO C/ BDI</t>
  </si>
  <si>
    <t>OBS: Para a Elaboração da proposta, na coluna PREÇO TOTAL, utilizar a função arredondar para duas casas decimais.</t>
  </si>
  <si>
    <t>LEVANTAMENTO CADASTRAL DE EDIFICAÇÃO ENTRE 501M2 À 2000M2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</si>
</sst>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#,##0.0000"/>
    <numFmt numFmtId="169" formatCode="_-&quot;R$ &quot;* #,##0.00_-;&quot;-R$ &quot;* #,##0.00_-;_-&quot;R$ &quot;* \-??_-;_-@_-"/>
    <numFmt numFmtId="170" formatCode="_-* #,##0.00_-;\-* #,##0.00_-;_-* \-??_-;_-@_-"/>
    <numFmt numFmtId="171" formatCode="_(&quot;$&quot;* #,##0.00_);_(&quot;$&quot;* \(#,##0.00\);_(&quot;$&quot;* &quot;-&quot;??_);_(@_)"/>
    <numFmt numFmtId="172" formatCode="0.00_ "/>
    <numFmt numFmtId="173" formatCode="00\-000\-000"/>
    <numFmt numFmtId="174" formatCode="0.0000"/>
    <numFmt numFmtId="175" formatCode="0.00000000"/>
    <numFmt numFmtId="176" formatCode="0.0%"/>
    <numFmt numFmtId="177" formatCode="&quot; R$ &quot;#,##0.00&quot; &quot;;&quot;-R$ &quot;#,##0.00&quot; &quot;;&quot; R$ &quot;&quot;-&quot;00&quot; &quot;;&quot; &quot;@&quot; &quot;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color theme="1"/>
      <name val="Times New Roman"/>
      <family val="1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000000"/>
      <name val="Century Gothic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sz val="8"/>
      <color indexed="8"/>
      <name val="Times New Roman"/>
      <family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sz val="12"/>
      <color theme="1"/>
      <name val="Arial1"/>
    </font>
    <font>
      <sz val="10"/>
      <color theme="1"/>
      <name val="Liberation Sans"/>
    </font>
    <font>
      <sz val="12"/>
      <color theme="1"/>
      <name val="Arial2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rgb="FF003300"/>
      </patternFill>
    </fill>
    <fill>
      <patternFill patternType="solid">
        <fgColor theme="3" tint="0.59999389629810485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rgb="FFBFBFB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99"/>
        <bgColor rgb="FF003300"/>
      </patternFill>
    </fill>
    <fill>
      <patternFill patternType="solid">
        <fgColor rgb="FFFFCCCC"/>
        <bgColor rgb="FFC0C0C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C0C0C0"/>
      </patternFill>
    </fill>
    <fill>
      <patternFill patternType="solid">
        <fgColor theme="4" tint="0.39997558519241921"/>
        <bgColor rgb="FF0033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rgb="FFC0C0C0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9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0" fontId="9" fillId="0" borderId="0"/>
    <xf numFmtId="164" fontId="6" fillId="0" borderId="0" applyFont="0" applyFill="0" applyBorder="0" applyAlignment="0" applyProtection="0"/>
    <xf numFmtId="0" fontId="6" fillId="0" borderId="0"/>
    <xf numFmtId="43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5" borderId="0" applyNumberFormat="0" applyBorder="0" applyAlignment="0" applyProtection="0"/>
    <xf numFmtId="0" fontId="12" fillId="17" borderId="12" applyNumberFormat="0" applyAlignment="0" applyProtection="0"/>
    <xf numFmtId="0" fontId="13" fillId="18" borderId="13" applyNumberFormat="0" applyAlignment="0" applyProtection="0"/>
    <xf numFmtId="0" fontId="14" fillId="0" borderId="14" applyNumberFormat="0" applyFill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2" borderId="0" applyNumberFormat="0" applyBorder="0" applyAlignment="0" applyProtection="0"/>
    <xf numFmtId="0" fontId="15" fillId="8" borderId="12" applyNumberFormat="0" applyAlignment="0" applyProtection="0"/>
    <xf numFmtId="0" fontId="7" fillId="0" borderId="0"/>
    <xf numFmtId="0" fontId="16" fillId="4" borderId="0" applyNumberFormat="0" applyBorder="0" applyAlignment="0" applyProtection="0"/>
    <xf numFmtId="167" fontId="6" fillId="0" borderId="0" applyFill="0" applyBorder="0" applyAlignment="0" applyProtection="0"/>
    <xf numFmtId="0" fontId="17" fillId="23" borderId="0" applyNumberFormat="0" applyBorder="0" applyAlignment="0" applyProtection="0"/>
    <xf numFmtId="0" fontId="5" fillId="0" borderId="0"/>
    <xf numFmtId="0" fontId="6" fillId="24" borderId="15" applyNumberFormat="0" applyAlignment="0" applyProtection="0"/>
    <xf numFmtId="9" fontId="6" fillId="0" borderId="0" applyFill="0" applyBorder="0" applyAlignment="0" applyProtection="0"/>
    <xf numFmtId="0" fontId="18" fillId="17" borderId="1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166" fontId="6" fillId="0" borderId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38" fillId="0" borderId="0"/>
    <xf numFmtId="169" fontId="39" fillId="0" borderId="0" applyBorder="0" applyProtection="0"/>
    <xf numFmtId="169" fontId="38" fillId="0" borderId="0" applyBorder="0" applyProtection="0"/>
    <xf numFmtId="169" fontId="38" fillId="0" borderId="0" applyBorder="0" applyProtection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9" fontId="38" fillId="0" borderId="0" applyBorder="0" applyProtection="0"/>
    <xf numFmtId="9" fontId="38" fillId="0" borderId="0" applyBorder="0" applyProtection="0"/>
    <xf numFmtId="9" fontId="38" fillId="0" borderId="0" applyBorder="0" applyProtection="0"/>
    <xf numFmtId="9" fontId="38" fillId="0" borderId="0" applyBorder="0" applyProtection="0"/>
    <xf numFmtId="166" fontId="38" fillId="0" borderId="0" applyBorder="0" applyProtection="0"/>
    <xf numFmtId="166" fontId="38" fillId="0" borderId="0" applyBorder="0" applyProtection="0"/>
    <xf numFmtId="170" fontId="38" fillId="0" borderId="0" applyBorder="0" applyProtection="0"/>
    <xf numFmtId="170" fontId="38" fillId="0" borderId="0" applyBorder="0" applyProtection="0"/>
    <xf numFmtId="170" fontId="38" fillId="0" borderId="0" applyBorder="0" applyProtection="0"/>
    <xf numFmtId="0" fontId="5" fillId="0" borderId="0"/>
    <xf numFmtId="171" fontId="37" fillId="0" borderId="0" applyFont="0" applyFill="0" applyBorder="0" applyAlignment="0" applyProtection="0"/>
    <xf numFmtId="0" fontId="40" fillId="0" borderId="0"/>
    <xf numFmtId="9" fontId="40" fillId="0" borderId="0" applyBorder="0" applyProtection="0"/>
    <xf numFmtId="0" fontId="42" fillId="0" borderId="0"/>
    <xf numFmtId="0" fontId="5" fillId="0" borderId="0"/>
    <xf numFmtId="0" fontId="6" fillId="0" borderId="0">
      <alignment vertical="center"/>
    </xf>
    <xf numFmtId="44" fontId="1" fillId="0" borderId="0" applyFont="0" applyFill="0" applyBorder="0" applyAlignment="0" applyProtection="0"/>
    <xf numFmtId="0" fontId="6" fillId="0" borderId="0"/>
    <xf numFmtId="177" fontId="59" fillId="0" borderId="0" applyFont="0" applyFill="0" applyBorder="0" applyProtection="0"/>
  </cellStyleXfs>
  <cellXfs count="512">
    <xf numFmtId="0" fontId="0" fillId="0" borderId="0" xfId="0"/>
    <xf numFmtId="0" fontId="3" fillId="0" borderId="0" xfId="55" applyFont="1" applyAlignment="1">
      <alignment vertical="center"/>
    </xf>
    <xf numFmtId="0" fontId="4" fillId="0" borderId="0" xfId="55" applyFont="1" applyAlignment="1">
      <alignment vertical="center"/>
    </xf>
    <xf numFmtId="0" fontId="2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4" fontId="29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49" fontId="30" fillId="0" borderId="0" xfId="0" applyNumberFormat="1" applyFont="1" applyAlignment="1">
      <alignment horizontal="center" vertical="center"/>
    </xf>
    <xf numFmtId="0" fontId="31" fillId="28" borderId="2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168" fontId="30" fillId="0" borderId="1" xfId="0" applyNumberFormat="1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27" fillId="25" borderId="10" xfId="0" applyNumberFormat="1" applyFont="1" applyFill="1" applyBorder="1" applyAlignment="1">
      <alignment horizontal="center" vertical="center"/>
    </xf>
    <xf numFmtId="43" fontId="36" fillId="0" borderId="0" xfId="0" applyNumberFormat="1" applyFont="1" applyAlignment="1">
      <alignment vertical="center"/>
    </xf>
    <xf numFmtId="43" fontId="8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0" fillId="0" borderId="0" xfId="91" applyAlignment="1">
      <alignment horizontal="center" vertical="center"/>
    </xf>
    <xf numFmtId="0" fontId="40" fillId="0" borderId="0" xfId="91" applyAlignment="1">
      <alignment horizontal="center"/>
    </xf>
    <xf numFmtId="0" fontId="40" fillId="0" borderId="0" xfId="91"/>
    <xf numFmtId="0" fontId="35" fillId="27" borderId="0" xfId="91" applyFont="1" applyFill="1" applyAlignment="1">
      <alignment horizontal="center" vertical="center"/>
    </xf>
    <xf numFmtId="4" fontId="35" fillId="27" borderId="0" xfId="91" applyNumberFormat="1" applyFont="1" applyFill="1" applyAlignment="1">
      <alignment horizontal="center" vertical="center" wrapText="1"/>
    </xf>
    <xf numFmtId="0" fontId="40" fillId="25" borderId="0" xfId="91" applyFill="1"/>
    <xf numFmtId="4" fontId="40" fillId="0" borderId="0" xfId="91" applyNumberFormat="1" applyAlignment="1">
      <alignment horizontal="center" vertical="center"/>
    </xf>
    <xf numFmtId="0" fontId="40" fillId="0" borderId="8" xfId="91" applyBorder="1" applyAlignment="1">
      <alignment horizontal="center"/>
    </xf>
    <xf numFmtId="4" fontId="41" fillId="29" borderId="25" xfId="91" applyNumberFormat="1" applyFont="1" applyFill="1" applyBorder="1" applyAlignment="1">
      <alignment horizontal="center"/>
    </xf>
    <xf numFmtId="4" fontId="40" fillId="0" borderId="0" xfId="91" applyNumberFormat="1"/>
    <xf numFmtId="0" fontId="40" fillId="28" borderId="0" xfId="91" applyFill="1"/>
    <xf numFmtId="10" fontId="40" fillId="0" borderId="26" xfId="91" applyNumberFormat="1" applyBorder="1" applyAlignment="1">
      <alignment horizontal="center"/>
    </xf>
    <xf numFmtId="10" fontId="40" fillId="0" borderId="27" xfId="91" applyNumberFormat="1" applyBorder="1" applyAlignment="1">
      <alignment horizontal="center"/>
    </xf>
    <xf numFmtId="4" fontId="27" fillId="25" borderId="25" xfId="91" applyNumberFormat="1" applyFont="1" applyFill="1" applyBorder="1" applyAlignment="1">
      <alignment horizontal="center" vertical="center"/>
    </xf>
    <xf numFmtId="10" fontId="40" fillId="0" borderId="28" xfId="91" applyNumberFormat="1" applyBorder="1" applyAlignment="1">
      <alignment horizontal="center"/>
    </xf>
    <xf numFmtId="10" fontId="40" fillId="0" borderId="29" xfId="91" applyNumberFormat="1" applyBorder="1" applyAlignment="1">
      <alignment horizontal="center"/>
    </xf>
    <xf numFmtId="0" fontId="26" fillId="0" borderId="0" xfId="91" applyFont="1" applyAlignment="1">
      <alignment vertical="center"/>
    </xf>
    <xf numFmtId="49" fontId="30" fillId="2" borderId="0" xfId="91" applyNumberFormat="1" applyFont="1" applyFill="1" applyAlignment="1">
      <alignment horizontal="center" vertical="center"/>
    </xf>
    <xf numFmtId="0" fontId="40" fillId="2" borderId="0" xfId="91" applyFill="1"/>
    <xf numFmtId="0" fontId="40" fillId="2" borderId="0" xfId="91" applyFill="1" applyAlignment="1">
      <alignment horizontal="center"/>
    </xf>
    <xf numFmtId="10" fontId="40" fillId="2" borderId="0" xfId="91" applyNumberFormat="1" applyFill="1" applyAlignment="1">
      <alignment horizontal="center"/>
    </xf>
    <xf numFmtId="0" fontId="26" fillId="2" borderId="0" xfId="91" applyFont="1" applyFill="1" applyAlignment="1">
      <alignment vertical="center"/>
    </xf>
    <xf numFmtId="43" fontId="36" fillId="2" borderId="0" xfId="91" applyNumberFormat="1" applyFont="1" applyFill="1" applyAlignment="1">
      <alignment horizontal="center" vertical="center"/>
    </xf>
    <xf numFmtId="43" fontId="36" fillId="2" borderId="0" xfId="91" applyNumberFormat="1" applyFont="1" applyFill="1" applyAlignment="1">
      <alignment horizontal="left" vertical="center"/>
    </xf>
    <xf numFmtId="0" fontId="26" fillId="2" borderId="0" xfId="91" applyFont="1" applyFill="1" applyAlignment="1">
      <alignment horizontal="center" vertical="center"/>
    </xf>
    <xf numFmtId="43" fontId="8" fillId="2" borderId="0" xfId="91" applyNumberFormat="1" applyFont="1" applyFill="1" applyAlignment="1">
      <alignment horizontal="center" vertical="center"/>
    </xf>
    <xf numFmtId="0" fontId="30" fillId="2" borderId="0" xfId="91" applyFont="1" applyFill="1" applyAlignment="1">
      <alignment vertical="center" wrapText="1"/>
    </xf>
    <xf numFmtId="43" fontId="8" fillId="2" borderId="0" xfId="91" applyNumberFormat="1" applyFont="1" applyFill="1" applyAlignment="1">
      <alignment vertical="center"/>
    </xf>
    <xf numFmtId="0" fontId="40" fillId="2" borderId="0" xfId="91" applyFill="1" applyAlignment="1">
      <alignment horizontal="center" vertical="center"/>
    </xf>
    <xf numFmtId="43" fontId="36" fillId="2" borderId="0" xfId="91" applyNumberFormat="1" applyFont="1" applyFill="1" applyAlignment="1">
      <alignment vertical="center"/>
    </xf>
    <xf numFmtId="0" fontId="3" fillId="2" borderId="0" xfId="55" applyFont="1" applyFill="1" applyAlignment="1">
      <alignment horizontal="center" vertical="center"/>
    </xf>
    <xf numFmtId="165" fontId="2" fillId="2" borderId="0" xfId="55" applyNumberFormat="1" applyFont="1" applyFill="1" applyAlignment="1">
      <alignment horizontal="right" vertical="center"/>
    </xf>
    <xf numFmtId="0" fontId="3" fillId="2" borderId="0" xfId="55" applyFont="1" applyFill="1" applyAlignment="1">
      <alignment vertical="center"/>
    </xf>
    <xf numFmtId="165" fontId="3" fillId="2" borderId="0" xfId="2" applyNumberFormat="1" applyFont="1" applyFill="1" applyAlignment="1">
      <alignment horizontal="right" vertical="center"/>
    </xf>
    <xf numFmtId="0" fontId="2" fillId="2" borderId="0" xfId="55" applyFont="1" applyFill="1" applyAlignment="1">
      <alignment horizontal="center" vertical="center"/>
    </xf>
    <xf numFmtId="0" fontId="2" fillId="2" borderId="0" xfId="55" applyFont="1" applyFill="1" applyAlignment="1">
      <alignment vertical="center" wrapText="1"/>
    </xf>
    <xf numFmtId="0" fontId="4" fillId="2" borderId="0" xfId="55" applyFont="1" applyFill="1" applyAlignment="1">
      <alignment vertical="center"/>
    </xf>
    <xf numFmtId="0" fontId="4" fillId="2" borderId="0" xfId="55" applyFont="1" applyFill="1" applyAlignment="1">
      <alignment horizontal="center" vertical="center"/>
    </xf>
    <xf numFmtId="0" fontId="6" fillId="2" borderId="0" xfId="91" applyFont="1" applyFill="1" applyAlignment="1">
      <alignment horizontal="left" vertical="center"/>
    </xf>
    <xf numFmtId="0" fontId="31" fillId="2" borderId="0" xfId="91" applyFont="1" applyFill="1" applyAlignment="1">
      <alignment horizontal="left" vertical="center"/>
    </xf>
    <xf numFmtId="0" fontId="31" fillId="2" borderId="0" xfId="91" applyFont="1" applyFill="1" applyAlignment="1">
      <alignment horizontal="center" vertical="center"/>
    </xf>
    <xf numFmtId="0" fontId="30" fillId="2" borderId="0" xfId="91" applyFont="1" applyFill="1" applyAlignment="1">
      <alignment horizontal="left" vertical="center"/>
    </xf>
    <xf numFmtId="0" fontId="32" fillId="2" borderId="0" xfId="91" applyFont="1" applyFill="1" applyAlignment="1">
      <alignment horizontal="center" vertical="center"/>
    </xf>
    <xf numFmtId="10" fontId="0" fillId="2" borderId="0" xfId="92" applyNumberFormat="1" applyFont="1" applyFill="1" applyBorder="1" applyAlignment="1" applyProtection="1">
      <alignment horizontal="center" vertical="center"/>
    </xf>
    <xf numFmtId="4" fontId="29" fillId="2" borderId="0" xfId="91" applyNumberFormat="1" applyFont="1" applyFill="1" applyAlignment="1">
      <alignment horizontal="center" vertical="center"/>
    </xf>
    <xf numFmtId="0" fontId="30" fillId="0" borderId="2" xfId="0" applyFont="1" applyBorder="1" applyAlignment="1">
      <alignment horizontal="center" vertical="center" wrapText="1"/>
    </xf>
    <xf numFmtId="0" fontId="27" fillId="25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165" fontId="27" fillId="2" borderId="0" xfId="0" applyNumberFormat="1" applyFont="1" applyFill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4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" fontId="43" fillId="0" borderId="0" xfId="0" applyNumberFormat="1" applyFont="1" applyAlignment="1">
      <alignment horizontal="center" vertical="center" wrapText="1"/>
    </xf>
    <xf numFmtId="0" fontId="8" fillId="0" borderId="0" xfId="0" applyFont="1"/>
    <xf numFmtId="4" fontId="6" fillId="0" borderId="33" xfId="0" applyNumberFormat="1" applyFont="1" applyBorder="1" applyAlignment="1">
      <alignment horizontal="center" vertical="center" wrapText="1"/>
    </xf>
    <xf numFmtId="0" fontId="43" fillId="0" borderId="0" xfId="0" applyFont="1" applyAlignment="1">
      <alignment horizontal="left" vertical="center" wrapText="1"/>
    </xf>
    <xf numFmtId="4" fontId="43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center" vertical="center" wrapText="1"/>
    </xf>
    <xf numFmtId="4" fontId="43" fillId="31" borderId="1" xfId="0" applyNumberFormat="1" applyFont="1" applyFill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4" fontId="43" fillId="0" borderId="34" xfId="0" applyNumberFormat="1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4" fontId="6" fillId="0" borderId="34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43" fillId="0" borderId="0" xfId="0" applyNumberFormat="1" applyFont="1" applyAlignment="1">
      <alignment horizontal="right" vertical="center" wrapText="1"/>
    </xf>
    <xf numFmtId="0" fontId="44" fillId="0" borderId="0" xfId="0" applyFont="1"/>
    <xf numFmtId="0" fontId="43" fillId="0" borderId="1" xfId="0" applyFont="1" applyBorder="1" applyAlignment="1">
      <alignment horizontal="center" vertical="center" wrapText="1"/>
    </xf>
    <xf numFmtId="4" fontId="43" fillId="31" borderId="33" xfId="0" applyNumberFormat="1" applyFont="1" applyFill="1" applyBorder="1" applyAlignment="1">
      <alignment horizontal="center" vertical="center" wrapText="1"/>
    </xf>
    <xf numFmtId="4" fontId="43" fillId="0" borderId="1" xfId="95" applyNumberFormat="1" applyFont="1" applyBorder="1" applyAlignment="1">
      <alignment horizontal="center" vertical="center" wrapText="1"/>
    </xf>
    <xf numFmtId="0" fontId="6" fillId="0" borderId="1" xfId="95" applyBorder="1" applyAlignment="1">
      <alignment horizontal="center" vertical="center" wrapText="1"/>
    </xf>
    <xf numFmtId="4" fontId="6" fillId="0" borderId="1" xfId="95" applyNumberFormat="1" applyBorder="1" applyAlignment="1">
      <alignment horizontal="center" vertical="center" wrapText="1"/>
    </xf>
    <xf numFmtId="4" fontId="43" fillId="0" borderId="0" xfId="95" applyNumberFormat="1" applyFont="1" applyAlignment="1">
      <alignment horizontal="left" vertical="center" wrapText="1"/>
    </xf>
    <xf numFmtId="4" fontId="43" fillId="0" borderId="0" xfId="95" applyNumberFormat="1" applyFont="1" applyAlignment="1">
      <alignment horizontal="right" vertical="center" wrapText="1"/>
    </xf>
    <xf numFmtId="4" fontId="43" fillId="31" borderId="1" xfId="95" applyNumberFormat="1" applyFont="1" applyFill="1" applyBorder="1" applyAlignment="1">
      <alignment horizontal="center" vertical="center" wrapText="1"/>
    </xf>
    <xf numFmtId="0" fontId="43" fillId="0" borderId="1" xfId="95" applyFont="1" applyBorder="1" applyAlignment="1">
      <alignment horizontal="center" vertical="center" wrapText="1"/>
    </xf>
    <xf numFmtId="0" fontId="43" fillId="0" borderId="0" xfId="95" applyFont="1" applyAlignment="1">
      <alignment horizontal="left" vertical="center" wrapText="1"/>
    </xf>
    <xf numFmtId="4" fontId="43" fillId="0" borderId="0" xfId="95" applyNumberFormat="1" applyFont="1" applyAlignment="1">
      <alignment horizontal="center" vertical="center" wrapText="1"/>
    </xf>
    <xf numFmtId="0" fontId="6" fillId="0" borderId="0" xfId="0" applyFont="1" applyAlignment="1">
      <alignment vertical="center" textRotation="90" wrapText="1"/>
    </xf>
    <xf numFmtId="2" fontId="6" fillId="0" borderId="0" xfId="0" applyNumberFormat="1" applyFont="1" applyAlignment="1">
      <alignment vertical="center" wrapText="1"/>
    </xf>
    <xf numFmtId="2" fontId="6" fillId="0" borderId="1" xfId="95" applyNumberForma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3" fillId="0" borderId="0" xfId="95" applyFont="1" applyAlignment="1">
      <alignment horizontal="center" vertical="center" wrapText="1"/>
    </xf>
    <xf numFmtId="0" fontId="43" fillId="32" borderId="1" xfId="95" applyFont="1" applyFill="1" applyBorder="1" applyAlignment="1">
      <alignment horizontal="center" vertical="center" wrapText="1"/>
    </xf>
    <xf numFmtId="4" fontId="6" fillId="0" borderId="0" xfId="95" applyNumberFormat="1" applyAlignment="1">
      <alignment vertical="center" wrapText="1"/>
    </xf>
    <xf numFmtId="0" fontId="36" fillId="0" borderId="0" xfId="0" applyFont="1"/>
    <xf numFmtId="4" fontId="43" fillId="0" borderId="0" xfId="95" applyNumberFormat="1" applyFont="1" applyAlignment="1">
      <alignment vertical="center" wrapText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4" fontId="6" fillId="0" borderId="0" xfId="0" applyNumberFormat="1" applyFont="1" applyAlignment="1">
      <alignment vertical="center" wrapText="1"/>
    </xf>
    <xf numFmtId="0" fontId="4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3" fillId="31" borderId="1" xfId="0" applyFont="1" applyFill="1" applyBorder="1" applyAlignment="1">
      <alignment horizontal="center" vertical="center" wrapText="1"/>
    </xf>
    <xf numFmtId="0" fontId="43" fillId="31" borderId="1" xfId="0" applyFont="1" applyFill="1" applyBorder="1" applyAlignment="1">
      <alignment horizontal="center" vertical="center"/>
    </xf>
    <xf numFmtId="4" fontId="6" fillId="0" borderId="1" xfId="84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4" fontId="43" fillId="0" borderId="0" xfId="84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" fontId="43" fillId="0" borderId="0" xfId="84" applyNumberFormat="1" applyFont="1" applyAlignment="1">
      <alignment horizontal="center" vertical="center" wrapText="1"/>
    </xf>
    <xf numFmtId="4" fontId="6" fillId="0" borderId="0" xfId="84" applyNumberFormat="1" applyFont="1" applyBorder="1" applyAlignment="1">
      <alignment horizontal="center" vertical="center" wrapText="1"/>
    </xf>
    <xf numFmtId="0" fontId="43" fillId="0" borderId="38" xfId="0" applyFont="1" applyBorder="1" applyAlignment="1">
      <alignment vertical="center" wrapText="1"/>
    </xf>
    <xf numFmtId="2" fontId="43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6" fillId="0" borderId="1" xfId="84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6" fillId="0" borderId="0" xfId="84" applyFont="1" applyBorder="1" applyAlignment="1">
      <alignment horizontal="center" vertical="center" wrapText="1"/>
    </xf>
    <xf numFmtId="172" fontId="43" fillId="0" borderId="0" xfId="0" applyNumberFormat="1" applyFont="1" applyAlignment="1">
      <alignment horizontal="center" vertical="center" wrapText="1"/>
    </xf>
    <xf numFmtId="4" fontId="43" fillId="0" borderId="37" xfId="0" applyNumberFormat="1" applyFont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center" wrapText="1"/>
    </xf>
    <xf numFmtId="0" fontId="6" fillId="0" borderId="0" xfId="0" applyFont="1"/>
    <xf numFmtId="4" fontId="43" fillId="31" borderId="4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2" fontId="6" fillId="0" borderId="1" xfId="0" applyNumberFormat="1" applyFont="1" applyBorder="1" applyAlignment="1">
      <alignment horizontal="center" vertical="center"/>
    </xf>
    <xf numFmtId="4" fontId="43" fillId="0" borderId="0" xfId="84" applyNumberFormat="1" applyFont="1" applyBorder="1" applyAlignment="1">
      <alignment horizontal="right" vertical="center"/>
    </xf>
    <xf numFmtId="172" fontId="43" fillId="31" borderId="1" xfId="84" applyNumberFormat="1" applyFont="1" applyFill="1" applyBorder="1" applyAlignment="1">
      <alignment horizontal="center" vertical="center"/>
    </xf>
    <xf numFmtId="0" fontId="43" fillId="0" borderId="0" xfId="0" applyFont="1"/>
    <xf numFmtId="0" fontId="6" fillId="0" borderId="42" xfId="95" applyBorder="1" applyAlignment="1">
      <alignment horizontal="center" vertical="center" wrapText="1"/>
    </xf>
    <xf numFmtId="4" fontId="6" fillId="0" borderId="43" xfId="0" applyNumberFormat="1" applyFont="1" applyBorder="1" applyAlignment="1">
      <alignment horizontal="center" vertical="center" wrapText="1"/>
    </xf>
    <xf numFmtId="4" fontId="6" fillId="0" borderId="44" xfId="0" applyNumberFormat="1" applyFont="1" applyBorder="1" applyAlignment="1">
      <alignment horizontal="center" vertical="center" wrapText="1"/>
    </xf>
    <xf numFmtId="2" fontId="6" fillId="2" borderId="1" xfId="1" applyNumberFormat="1" applyFont="1" applyFill="1" applyBorder="1" applyAlignment="1">
      <alignment horizontal="center" vertical="center" wrapText="1"/>
    </xf>
    <xf numFmtId="44" fontId="6" fillId="2" borderId="2" xfId="2" applyFont="1" applyFill="1" applyBorder="1" applyAlignment="1">
      <alignment horizontal="righ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1" fontId="8" fillId="0" borderId="3" xfId="96" applyNumberFormat="1" applyFont="1" applyBorder="1" applyAlignment="1">
      <alignment horizontal="center" vertical="center" wrapText="1"/>
    </xf>
    <xf numFmtId="0" fontId="6" fillId="0" borderId="0" xfId="55" applyFont="1" applyAlignment="1">
      <alignment horizontal="center" vertical="center"/>
    </xf>
    <xf numFmtId="0" fontId="43" fillId="0" borderId="0" xfId="55" applyFont="1" applyAlignment="1">
      <alignment vertical="center"/>
    </xf>
    <xf numFmtId="4" fontId="43" fillId="0" borderId="0" xfId="55" applyNumberFormat="1" applyFont="1" applyAlignment="1">
      <alignment vertical="center"/>
    </xf>
    <xf numFmtId="0" fontId="43" fillId="0" borderId="0" xfId="55" applyFont="1" applyAlignment="1">
      <alignment horizontal="center" vertical="center"/>
    </xf>
    <xf numFmtId="165" fontId="43" fillId="0" borderId="0" xfId="55" applyNumberFormat="1" applyFont="1" applyAlignment="1">
      <alignment horizontal="right" vertical="center"/>
    </xf>
    <xf numFmtId="165" fontId="6" fillId="0" borderId="0" xfId="55" applyNumberFormat="1" applyFont="1" applyAlignment="1">
      <alignment horizontal="right" vertical="center"/>
    </xf>
    <xf numFmtId="0" fontId="6" fillId="0" borderId="0" xfId="55" applyFont="1" applyAlignment="1">
      <alignment vertical="center"/>
    </xf>
    <xf numFmtId="4" fontId="6" fillId="0" borderId="0" xfId="55" applyNumberFormat="1" applyFont="1" applyAlignment="1">
      <alignment horizontal="center" vertical="center"/>
    </xf>
    <xf numFmtId="43" fontId="6" fillId="0" borderId="0" xfId="55" applyNumberFormat="1" applyFont="1" applyAlignment="1">
      <alignment horizontal="center" vertical="center"/>
    </xf>
    <xf numFmtId="165" fontId="6" fillId="0" borderId="0" xfId="2" applyNumberFormat="1" applyFont="1" applyFill="1" applyAlignment="1">
      <alignment horizontal="right" vertical="center"/>
    </xf>
    <xf numFmtId="0" fontId="43" fillId="0" borderId="9" xfId="55" applyFont="1" applyBorder="1" applyAlignment="1">
      <alignment vertical="center" wrapText="1"/>
    </xf>
    <xf numFmtId="0" fontId="43" fillId="0" borderId="9" xfId="55" applyFont="1" applyBorder="1" applyAlignment="1">
      <alignment horizontal="center" vertical="center" wrapText="1"/>
    </xf>
    <xf numFmtId="0" fontId="43" fillId="0" borderId="0" xfId="55" applyFont="1" applyAlignment="1">
      <alignment vertical="center" wrapText="1"/>
    </xf>
    <xf numFmtId="0" fontId="43" fillId="0" borderId="0" xfId="55" applyFont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10" fontId="46" fillId="0" borderId="0" xfId="69" applyNumberFormat="1" applyFont="1" applyFill="1" applyBorder="1" applyAlignment="1" applyProtection="1">
      <alignment horizontal="center" vertical="center"/>
    </xf>
    <xf numFmtId="0" fontId="46" fillId="26" borderId="0" xfId="0" applyFont="1" applyFill="1"/>
    <xf numFmtId="10" fontId="46" fillId="0" borderId="0" xfId="69" applyNumberFormat="1" applyFont="1" applyBorder="1" applyAlignment="1" applyProtection="1">
      <alignment horizontal="center" vertical="center"/>
    </xf>
    <xf numFmtId="0" fontId="46" fillId="0" borderId="0" xfId="0" applyFont="1"/>
    <xf numFmtId="0" fontId="46" fillId="25" borderId="0" xfId="0" applyFont="1" applyFill="1"/>
    <xf numFmtId="0" fontId="46" fillId="0" borderId="7" xfId="0" applyFont="1" applyBorder="1"/>
    <xf numFmtId="4" fontId="46" fillId="0" borderId="0" xfId="0" applyNumberFormat="1" applyFont="1" applyAlignment="1">
      <alignment horizontal="center" vertical="center"/>
    </xf>
    <xf numFmtId="4" fontId="46" fillId="0" borderId="8" xfId="0" applyNumberFormat="1" applyFont="1" applyBorder="1" applyAlignment="1">
      <alignment horizontal="center" vertical="center"/>
    </xf>
    <xf numFmtId="0" fontId="46" fillId="28" borderId="0" xfId="0" applyFont="1" applyFill="1"/>
    <xf numFmtId="165" fontId="46" fillId="0" borderId="0" xfId="0" applyNumberFormat="1" applyFont="1"/>
    <xf numFmtId="0" fontId="46" fillId="0" borderId="0" xfId="0" applyFont="1" applyAlignment="1">
      <alignment horizontal="center"/>
    </xf>
    <xf numFmtId="165" fontId="46" fillId="0" borderId="8" xfId="0" applyNumberFormat="1" applyFont="1" applyBorder="1" applyAlignment="1">
      <alignment horizontal="center" vertical="center"/>
    </xf>
    <xf numFmtId="10" fontId="6" fillId="2" borderId="2" xfId="2" applyNumberFormat="1" applyFont="1" applyFill="1" applyBorder="1" applyAlignment="1">
      <alignment horizontal="right" vertical="center" wrapText="1"/>
    </xf>
    <xf numFmtId="0" fontId="46" fillId="2" borderId="0" xfId="0" applyFont="1" applyFill="1"/>
    <xf numFmtId="0" fontId="46" fillId="2" borderId="0" xfId="0" applyFont="1" applyFill="1" applyAlignment="1">
      <alignment horizontal="center"/>
    </xf>
    <xf numFmtId="4" fontId="46" fillId="2" borderId="0" xfId="0" applyNumberFormat="1" applyFont="1" applyFill="1" applyAlignment="1">
      <alignment horizontal="center" vertical="center"/>
    </xf>
    <xf numFmtId="165" fontId="46" fillId="0" borderId="0" xfId="0" applyNumberFormat="1" applyFont="1" applyAlignment="1">
      <alignment horizontal="center"/>
    </xf>
    <xf numFmtId="0" fontId="47" fillId="2" borderId="0" xfId="0" applyFont="1" applyFill="1" applyAlignment="1">
      <alignment vertical="center"/>
    </xf>
    <xf numFmtId="0" fontId="47" fillId="2" borderId="0" xfId="0" applyFont="1" applyFill="1" applyAlignment="1">
      <alignment horizontal="center" vertical="center"/>
    </xf>
    <xf numFmtId="0" fontId="47" fillId="2" borderId="0" xfId="0" applyFont="1" applyFill="1"/>
    <xf numFmtId="0" fontId="48" fillId="0" borderId="0" xfId="0" applyFont="1" applyAlignment="1">
      <alignment vertical="center"/>
    </xf>
    <xf numFmtId="0" fontId="46" fillId="2" borderId="0" xfId="0" applyFont="1" applyFill="1" applyAlignment="1">
      <alignment vertical="center"/>
    </xf>
    <xf numFmtId="165" fontId="48" fillId="0" borderId="0" xfId="0" applyNumberFormat="1" applyFont="1" applyAlignment="1">
      <alignment vertical="center"/>
    </xf>
    <xf numFmtId="175" fontId="8" fillId="0" borderId="0" xfId="0" applyNumberFormat="1" applyFont="1"/>
    <xf numFmtId="2" fontId="43" fillId="32" borderId="1" xfId="95" applyNumberFormat="1" applyFont="1" applyFill="1" applyBorder="1" applyAlignment="1">
      <alignment horizontal="center" vertical="center" wrapText="1"/>
    </xf>
    <xf numFmtId="0" fontId="43" fillId="0" borderId="38" xfId="0" applyFont="1" applyBorder="1" applyAlignment="1">
      <alignment horizontal="left" vertical="center" wrapText="1"/>
    </xf>
    <xf numFmtId="4" fontId="43" fillId="0" borderId="0" xfId="0" applyNumberFormat="1" applyFont="1" applyAlignment="1">
      <alignment vertical="center" wrapText="1"/>
    </xf>
    <xf numFmtId="0" fontId="6" fillId="0" borderId="0" xfId="84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4" fontId="43" fillId="0" borderId="0" xfId="84" applyNumberFormat="1" applyFont="1" applyBorder="1" applyAlignment="1">
      <alignment horizontal="left" vertical="top" wrapText="1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165" fontId="6" fillId="2" borderId="2" xfId="2" applyNumberFormat="1" applyFont="1" applyFill="1" applyBorder="1" applyAlignment="1">
      <alignment horizontal="right" vertical="center" wrapText="1"/>
    </xf>
    <xf numFmtId="0" fontId="31" fillId="0" borderId="2" xfId="0" applyFont="1" applyBorder="1" applyAlignment="1">
      <alignment horizontal="center" vertical="center"/>
    </xf>
    <xf numFmtId="176" fontId="6" fillId="2" borderId="1" xfId="69" applyNumberFormat="1" applyFont="1" applyFill="1" applyBorder="1" applyAlignment="1">
      <alignment horizontal="center" vertical="center" wrapText="1"/>
    </xf>
    <xf numFmtId="2" fontId="6" fillId="2" borderId="0" xfId="1" applyNumberFormat="1" applyFont="1" applyFill="1" applyAlignment="1">
      <alignment horizontal="center" vertical="center" wrapText="1"/>
    </xf>
    <xf numFmtId="2" fontId="46" fillId="0" borderId="0" xfId="0" applyNumberFormat="1" applyFont="1"/>
    <xf numFmtId="2" fontId="46" fillId="0" borderId="0" xfId="0" applyNumberFormat="1" applyFont="1" applyAlignment="1">
      <alignment horizont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44" fontId="6" fillId="0" borderId="2" xfId="2" applyFont="1" applyFill="1" applyBorder="1" applyAlignment="1">
      <alignment horizontal="right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49" fillId="0" borderId="0" xfId="0" applyFont="1"/>
    <xf numFmtId="0" fontId="46" fillId="33" borderId="0" xfId="0" applyFont="1" applyFill="1"/>
    <xf numFmtId="0" fontId="51" fillId="34" borderId="0" xfId="0" applyFont="1" applyFill="1"/>
    <xf numFmtId="0" fontId="3" fillId="34" borderId="2" xfId="0" applyFont="1" applyFill="1" applyBorder="1" applyAlignment="1">
      <alignment horizontal="center" vertical="center" wrapText="1"/>
    </xf>
    <xf numFmtId="0" fontId="52" fillId="34" borderId="0" xfId="0" applyFont="1" applyFill="1"/>
    <xf numFmtId="0" fontId="30" fillId="33" borderId="2" xfId="0" applyFont="1" applyFill="1" applyBorder="1" applyAlignment="1">
      <alignment horizontal="center" vertical="center" wrapText="1"/>
    </xf>
    <xf numFmtId="0" fontId="46" fillId="36" borderId="0" xfId="0" applyFont="1" applyFill="1"/>
    <xf numFmtId="0" fontId="50" fillId="35" borderId="53" xfId="0" applyFont="1" applyFill="1" applyBorder="1" applyAlignment="1">
      <alignment horizontal="center" vertical="center"/>
    </xf>
    <xf numFmtId="0" fontId="50" fillId="35" borderId="9" xfId="0" applyFont="1" applyFill="1" applyBorder="1" applyAlignment="1">
      <alignment horizontal="center" vertical="center"/>
    </xf>
    <xf numFmtId="4" fontId="50" fillId="35" borderId="9" xfId="0" applyNumberFormat="1" applyFont="1" applyFill="1" applyBorder="1" applyAlignment="1">
      <alignment horizontal="center" vertical="center"/>
    </xf>
    <xf numFmtId="4" fontId="50" fillId="35" borderId="9" xfId="0" applyNumberFormat="1" applyFont="1" applyFill="1" applyBorder="1" applyAlignment="1">
      <alignment horizontal="center" vertical="center" wrapText="1"/>
    </xf>
    <xf numFmtId="4" fontId="50" fillId="35" borderId="54" xfId="0" applyNumberFormat="1" applyFont="1" applyFill="1" applyBorder="1" applyAlignment="1">
      <alignment horizontal="center" vertical="center" wrapText="1"/>
    </xf>
    <xf numFmtId="0" fontId="46" fillId="0" borderId="47" xfId="0" applyFont="1" applyBorder="1"/>
    <xf numFmtId="4" fontId="46" fillId="0" borderId="48" xfId="0" applyNumberFormat="1" applyFont="1" applyBorder="1" applyAlignment="1">
      <alignment horizontal="center" vertical="center"/>
    </xf>
    <xf numFmtId="0" fontId="3" fillId="34" borderId="56" xfId="0" applyFont="1" applyFill="1" applyBorder="1" applyAlignment="1">
      <alignment horizontal="center" vertical="center" wrapText="1"/>
    </xf>
    <xf numFmtId="1" fontId="3" fillId="34" borderId="49" xfId="96" applyNumberFormat="1" applyFont="1" applyFill="1" applyBorder="1" applyAlignment="1">
      <alignment horizontal="center" vertical="center" wrapText="1"/>
    </xf>
    <xf numFmtId="0" fontId="2" fillId="34" borderId="21" xfId="0" applyFont="1" applyFill="1" applyBorder="1" applyAlignment="1">
      <alignment vertical="center"/>
    </xf>
    <xf numFmtId="165" fontId="2" fillId="34" borderId="52" xfId="0" applyNumberFormat="1" applyFont="1" applyFill="1" applyBorder="1" applyAlignment="1">
      <alignment horizontal="center" vertical="center"/>
    </xf>
    <xf numFmtId="10" fontId="6" fillId="0" borderId="0" xfId="55" applyNumberFormat="1" applyFont="1" applyAlignment="1">
      <alignment horizontal="center" vertical="center"/>
    </xf>
    <xf numFmtId="0" fontId="54" fillId="0" borderId="0" xfId="0" applyFont="1"/>
    <xf numFmtId="4" fontId="54" fillId="0" borderId="0" xfId="0" applyNumberFormat="1" applyFont="1" applyAlignment="1">
      <alignment horizontal="center" vertical="center"/>
    </xf>
    <xf numFmtId="0" fontId="3" fillId="33" borderId="50" xfId="0" applyFont="1" applyFill="1" applyBorder="1" applyAlignment="1">
      <alignment horizontal="center" vertical="center" wrapText="1"/>
    </xf>
    <xf numFmtId="0" fontId="55" fillId="36" borderId="2" xfId="0" applyFont="1" applyFill="1" applyBorder="1" applyAlignment="1">
      <alignment horizontal="center" vertical="center"/>
    </xf>
    <xf numFmtId="165" fontId="55" fillId="36" borderId="51" xfId="0" applyNumberFormat="1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165" fontId="56" fillId="0" borderId="1" xfId="0" applyNumberFormat="1" applyFont="1" applyBorder="1" applyAlignment="1">
      <alignment horizontal="center" vertical="center"/>
    </xf>
    <xf numFmtId="165" fontId="56" fillId="0" borderId="55" xfId="0" applyNumberFormat="1" applyFont="1" applyBorder="1" applyAlignment="1">
      <alignment horizontal="center" vertical="center"/>
    </xf>
    <xf numFmtId="0" fontId="55" fillId="33" borderId="2" xfId="0" applyFont="1" applyFill="1" applyBorder="1" applyAlignment="1">
      <alignment horizontal="center" vertical="center"/>
    </xf>
    <xf numFmtId="165" fontId="55" fillId="33" borderId="51" xfId="0" applyNumberFormat="1" applyFont="1" applyFill="1" applyBorder="1" applyAlignment="1">
      <alignment horizontal="center" vertical="center"/>
    </xf>
    <xf numFmtId="0" fontId="54" fillId="0" borderId="7" xfId="0" applyFont="1" applyBorder="1"/>
    <xf numFmtId="0" fontId="54" fillId="0" borderId="0" xfId="0" applyFont="1" applyAlignment="1">
      <alignment horizontal="center"/>
    </xf>
    <xf numFmtId="165" fontId="54" fillId="0" borderId="4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" fontId="6" fillId="0" borderId="0" xfId="55" applyNumberFormat="1" applyFont="1" applyAlignment="1">
      <alignment horizontal="center" vertical="center"/>
    </xf>
    <xf numFmtId="0" fontId="46" fillId="37" borderId="0" xfId="0" applyFont="1" applyFill="1"/>
    <xf numFmtId="0" fontId="3" fillId="34" borderId="57" xfId="0" applyFont="1" applyFill="1" applyBorder="1"/>
    <xf numFmtId="0" fontId="3" fillId="34" borderId="21" xfId="0" applyFont="1" applyFill="1" applyBorder="1"/>
    <xf numFmtId="0" fontId="3" fillId="34" borderId="21" xfId="0" applyFont="1" applyFill="1" applyBorder="1" applyAlignment="1">
      <alignment horizontal="center"/>
    </xf>
    <xf numFmtId="4" fontId="3" fillId="34" borderId="21" xfId="0" applyNumberFormat="1" applyFont="1" applyFill="1" applyBorder="1" applyAlignment="1">
      <alignment horizontal="center" vertical="center"/>
    </xf>
    <xf numFmtId="44" fontId="3" fillId="2" borderId="2" xfId="2" applyFont="1" applyFill="1" applyBorder="1" applyAlignment="1">
      <alignment horizontal="right" vertical="center" wrapText="1"/>
    </xf>
    <xf numFmtId="168" fontId="56" fillId="0" borderId="1" xfId="0" applyNumberFormat="1" applyFont="1" applyBorder="1" applyAlignment="1">
      <alignment horizontal="center" vertical="center"/>
    </xf>
    <xf numFmtId="173" fontId="54" fillId="0" borderId="22" xfId="94" applyNumberFormat="1" applyFont="1" applyBorder="1" applyAlignment="1">
      <alignment horizontal="center" wrapText="1"/>
    </xf>
    <xf numFmtId="173" fontId="57" fillId="0" borderId="22" xfId="94" applyNumberFormat="1" applyFont="1" applyBorder="1" applyAlignment="1">
      <alignment horizontal="center" wrapText="1"/>
    </xf>
    <xf numFmtId="44" fontId="3" fillId="0" borderId="2" xfId="2" applyFont="1" applyFill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center" vertical="center"/>
    </xf>
    <xf numFmtId="165" fontId="55" fillId="36" borderId="22" xfId="0" applyNumberFormat="1" applyFont="1" applyFill="1" applyBorder="1" applyAlignment="1">
      <alignment horizontal="center" vertical="center"/>
    </xf>
    <xf numFmtId="165" fontId="56" fillId="0" borderId="2" xfId="0" applyNumberFormat="1" applyFont="1" applyBorder="1" applyAlignment="1">
      <alignment horizontal="center" vertical="center"/>
    </xf>
    <xf numFmtId="165" fontId="55" fillId="33" borderId="22" xfId="0" applyNumberFormat="1" applyFont="1" applyFill="1" applyBorder="1" applyAlignment="1">
      <alignment horizontal="center" vertical="center"/>
    </xf>
    <xf numFmtId="165" fontId="54" fillId="0" borderId="0" xfId="0" applyNumberFormat="1" applyFont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2" fillId="34" borderId="21" xfId="0" applyNumberFormat="1" applyFont="1" applyFill="1" applyBorder="1" applyAlignment="1">
      <alignment horizontal="center" vertical="center"/>
    </xf>
    <xf numFmtId="0" fontId="6" fillId="37" borderId="60" xfId="55" applyFont="1" applyFill="1" applyBorder="1" applyAlignment="1">
      <alignment vertical="center"/>
    </xf>
    <xf numFmtId="0" fontId="6" fillId="37" borderId="61" xfId="55" applyFont="1" applyFill="1" applyBorder="1" applyAlignment="1">
      <alignment vertical="center"/>
    </xf>
    <xf numFmtId="0" fontId="46" fillId="37" borderId="61" xfId="0" applyFont="1" applyFill="1" applyBorder="1" applyAlignment="1">
      <alignment horizontal="center" vertical="center"/>
    </xf>
    <xf numFmtId="0" fontId="46" fillId="37" borderId="61" xfId="0" applyFont="1" applyFill="1" applyBorder="1"/>
    <xf numFmtId="0" fontId="51" fillId="37" borderId="61" xfId="0" applyFont="1" applyFill="1" applyBorder="1"/>
    <xf numFmtId="0" fontId="54" fillId="38" borderId="61" xfId="0" applyFont="1" applyFill="1" applyBorder="1"/>
    <xf numFmtId="0" fontId="54" fillId="37" borderId="61" xfId="0" applyFont="1" applyFill="1" applyBorder="1"/>
    <xf numFmtId="0" fontId="3" fillId="37" borderId="61" xfId="0" applyFont="1" applyFill="1" applyBorder="1"/>
    <xf numFmtId="165" fontId="54" fillId="37" borderId="61" xfId="0" applyNumberFormat="1" applyFont="1" applyFill="1" applyBorder="1"/>
    <xf numFmtId="0" fontId="3" fillId="37" borderId="62" xfId="0" applyFont="1" applyFill="1" applyBorder="1"/>
    <xf numFmtId="4" fontId="50" fillId="35" borderId="53" xfId="0" applyNumberFormat="1" applyFont="1" applyFill="1" applyBorder="1" applyAlignment="1">
      <alignment horizontal="center" vertical="center" wrapText="1"/>
    </xf>
    <xf numFmtId="4" fontId="46" fillId="0" borderId="47" xfId="0" applyNumberFormat="1" applyFont="1" applyBorder="1" applyAlignment="1">
      <alignment horizontal="center" vertical="center"/>
    </xf>
    <xf numFmtId="4" fontId="56" fillId="36" borderId="58" xfId="0" applyNumberFormat="1" applyFont="1" applyFill="1" applyBorder="1" applyAlignment="1">
      <alignment horizontal="center" vertical="center"/>
    </xf>
    <xf numFmtId="168" fontId="56" fillId="36" borderId="22" xfId="0" applyNumberFormat="1" applyFont="1" applyFill="1" applyBorder="1" applyAlignment="1">
      <alignment horizontal="center" vertical="center"/>
    </xf>
    <xf numFmtId="165" fontId="56" fillId="36" borderId="22" xfId="0" applyNumberFormat="1" applyFont="1" applyFill="1" applyBorder="1" applyAlignment="1">
      <alignment horizontal="center" vertical="center"/>
    </xf>
    <xf numFmtId="44" fontId="3" fillId="2" borderId="58" xfId="2" applyFont="1" applyFill="1" applyBorder="1" applyAlignment="1">
      <alignment horizontal="right" vertical="center" wrapText="1"/>
    </xf>
    <xf numFmtId="4" fontId="56" fillId="33" borderId="58" xfId="0" applyNumberFormat="1" applyFont="1" applyFill="1" applyBorder="1" applyAlignment="1">
      <alignment horizontal="center" vertical="center"/>
    </xf>
    <xf numFmtId="168" fontId="56" fillId="33" borderId="22" xfId="0" applyNumberFormat="1" applyFont="1" applyFill="1" applyBorder="1" applyAlignment="1">
      <alignment horizontal="center" vertical="center"/>
    </xf>
    <xf numFmtId="165" fontId="56" fillId="33" borderId="22" xfId="0" applyNumberFormat="1" applyFont="1" applyFill="1" applyBorder="1" applyAlignment="1">
      <alignment horizontal="center" vertical="center"/>
    </xf>
    <xf numFmtId="4" fontId="54" fillId="0" borderId="47" xfId="0" applyNumberFormat="1" applyFont="1" applyBorder="1" applyAlignment="1">
      <alignment horizontal="center" vertical="center"/>
    </xf>
    <xf numFmtId="44" fontId="3" fillId="0" borderId="58" xfId="2" applyFont="1" applyFill="1" applyBorder="1" applyAlignment="1">
      <alignment horizontal="right" vertical="center" wrapText="1"/>
    </xf>
    <xf numFmtId="0" fontId="3" fillId="34" borderId="59" xfId="0" applyFont="1" applyFill="1" applyBorder="1"/>
    <xf numFmtId="4" fontId="3" fillId="2" borderId="1" xfId="1" applyNumberFormat="1" applyFont="1" applyFill="1" applyBorder="1" applyAlignment="1">
      <alignment horizontal="center" vertical="center" wrapText="1"/>
    </xf>
    <xf numFmtId="4" fontId="6" fillId="0" borderId="0" xfId="55" applyNumberFormat="1" applyFont="1" applyAlignment="1">
      <alignment vertical="center"/>
    </xf>
    <xf numFmtId="0" fontId="58" fillId="0" borderId="64" xfId="0" applyFont="1" applyBorder="1" applyAlignment="1">
      <alignment horizontal="center" vertical="center" wrapText="1"/>
    </xf>
    <xf numFmtId="0" fontId="58" fillId="0" borderId="64" xfId="1" applyFont="1" applyBorder="1" applyAlignment="1">
      <alignment horizontal="left" vertical="center" wrapText="1"/>
    </xf>
    <xf numFmtId="0" fontId="58" fillId="0" borderId="64" xfId="1" applyFont="1" applyBorder="1" applyAlignment="1">
      <alignment horizontal="center" vertical="center" wrapText="1"/>
    </xf>
    <xf numFmtId="1" fontId="58" fillId="0" borderId="65" xfId="98" applyNumberFormat="1" applyFont="1" applyFill="1" applyBorder="1" applyAlignment="1">
      <alignment horizontal="center" vertical="center" wrapText="1"/>
    </xf>
    <xf numFmtId="0" fontId="60" fillId="0" borderId="64" xfId="1" applyFont="1" applyBorder="1" applyAlignment="1">
      <alignment horizontal="left" vertical="center" wrapText="1"/>
    </xf>
    <xf numFmtId="173" fontId="57" fillId="0" borderId="22" xfId="94" applyNumberFormat="1" applyFont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1" fontId="54" fillId="2" borderId="22" xfId="96" applyNumberFormat="1" applyFont="1" applyFill="1" applyBorder="1" applyAlignment="1">
      <alignment horizontal="center" vertical="center" wrapText="1"/>
    </xf>
    <xf numFmtId="0" fontId="55" fillId="2" borderId="2" xfId="0" applyFont="1" applyFill="1" applyBorder="1" applyAlignment="1">
      <alignment horizontal="center" vertical="center"/>
    </xf>
    <xf numFmtId="0" fontId="55" fillId="2" borderId="22" xfId="0" applyFont="1" applyFill="1" applyBorder="1" applyAlignment="1">
      <alignment horizontal="center" vertical="center"/>
    </xf>
    <xf numFmtId="0" fontId="55" fillId="2" borderId="22" xfId="0" applyFont="1" applyFill="1" applyBorder="1" applyAlignment="1">
      <alignment vertical="center"/>
    </xf>
    <xf numFmtId="0" fontId="55" fillId="2" borderId="22" xfId="0" applyFont="1" applyFill="1" applyBorder="1" applyAlignment="1">
      <alignment horizontal="right" vertical="center"/>
    </xf>
    <xf numFmtId="165" fontId="55" fillId="2" borderId="22" xfId="0" applyNumberFormat="1" applyFont="1" applyFill="1" applyBorder="1" applyAlignment="1">
      <alignment horizontal="center" vertical="center"/>
    </xf>
    <xf numFmtId="0" fontId="3" fillId="31" borderId="50" xfId="0" applyFont="1" applyFill="1" applyBorder="1" applyAlignment="1">
      <alignment horizontal="center" vertical="center" wrapText="1"/>
    </xf>
    <xf numFmtId="1" fontId="54" fillId="31" borderId="22" xfId="96" applyNumberFormat="1" applyFont="1" applyFill="1" applyBorder="1" applyAlignment="1">
      <alignment horizontal="center" vertical="center" wrapText="1"/>
    </xf>
    <xf numFmtId="0" fontId="55" fillId="31" borderId="2" xfId="0" applyFont="1" applyFill="1" applyBorder="1" applyAlignment="1">
      <alignment horizontal="center" vertical="center"/>
    </xf>
    <xf numFmtId="0" fontId="55" fillId="31" borderId="22" xfId="0" applyFont="1" applyFill="1" applyBorder="1" applyAlignment="1">
      <alignment horizontal="center" vertical="center"/>
    </xf>
    <xf numFmtId="0" fontId="55" fillId="31" borderId="22" xfId="0" applyFont="1" applyFill="1" applyBorder="1" applyAlignment="1">
      <alignment horizontal="left" vertical="center"/>
    </xf>
    <xf numFmtId="4" fontId="56" fillId="31" borderId="22" xfId="0" applyNumberFormat="1" applyFont="1" applyFill="1" applyBorder="1" applyAlignment="1">
      <alignment horizontal="center" vertical="center"/>
    </xf>
    <xf numFmtId="165" fontId="56" fillId="31" borderId="22" xfId="0" applyNumberFormat="1" applyFont="1" applyFill="1" applyBorder="1" applyAlignment="1">
      <alignment horizontal="center" vertical="center"/>
    </xf>
    <xf numFmtId="165" fontId="55" fillId="31" borderId="22" xfId="0" applyNumberFormat="1" applyFont="1" applyFill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 wrapText="1"/>
    </xf>
    <xf numFmtId="0" fontId="50" fillId="39" borderId="53" xfId="0" applyFont="1" applyFill="1" applyBorder="1" applyAlignment="1">
      <alignment horizontal="center" vertical="center"/>
    </xf>
    <xf numFmtId="0" fontId="50" fillId="39" borderId="9" xfId="0" applyFont="1" applyFill="1" applyBorder="1" applyAlignment="1">
      <alignment horizontal="center" vertical="center"/>
    </xf>
    <xf numFmtId="4" fontId="50" fillId="39" borderId="9" xfId="0" applyNumberFormat="1" applyFont="1" applyFill="1" applyBorder="1" applyAlignment="1">
      <alignment horizontal="center" vertical="center"/>
    </xf>
    <xf numFmtId="4" fontId="50" fillId="39" borderId="9" xfId="0" applyNumberFormat="1" applyFont="1" applyFill="1" applyBorder="1" applyAlignment="1">
      <alignment horizontal="center" vertical="center" wrapText="1"/>
    </xf>
    <xf numFmtId="0" fontId="51" fillId="40" borderId="0" xfId="0" applyFont="1" applyFill="1"/>
    <xf numFmtId="0" fontId="55" fillId="41" borderId="2" xfId="0" applyFont="1" applyFill="1" applyBorder="1" applyAlignment="1">
      <alignment horizontal="center" vertical="center"/>
    </xf>
    <xf numFmtId="165" fontId="55" fillId="41" borderId="22" xfId="0" applyNumberFormat="1" applyFont="1" applyFill="1" applyBorder="1" applyAlignment="1">
      <alignment horizontal="center" vertical="center"/>
    </xf>
    <xf numFmtId="0" fontId="46" fillId="41" borderId="0" xfId="0" applyFont="1" applyFill="1"/>
    <xf numFmtId="0" fontId="46" fillId="31" borderId="0" xfId="0" applyFont="1" applyFill="1"/>
    <xf numFmtId="0" fontId="3" fillId="32" borderId="50" xfId="0" applyFont="1" applyFill="1" applyBorder="1" applyAlignment="1">
      <alignment horizontal="center" vertical="center" wrapText="1"/>
    </xf>
    <xf numFmtId="0" fontId="55" fillId="32" borderId="2" xfId="0" applyFont="1" applyFill="1" applyBorder="1" applyAlignment="1">
      <alignment horizontal="center" vertical="center"/>
    </xf>
    <xf numFmtId="165" fontId="55" fillId="32" borderId="22" xfId="0" applyNumberFormat="1" applyFont="1" applyFill="1" applyBorder="1" applyAlignment="1">
      <alignment horizontal="center" vertical="center"/>
    </xf>
    <xf numFmtId="0" fontId="46" fillId="32" borderId="0" xfId="0" applyFont="1" applyFill="1"/>
    <xf numFmtId="0" fontId="3" fillId="40" borderId="63" xfId="0" applyFont="1" applyFill="1" applyBorder="1" applyAlignment="1">
      <alignment horizontal="center" vertical="center" wrapText="1"/>
    </xf>
    <xf numFmtId="1" fontId="3" fillId="40" borderId="21" xfId="96" applyNumberFormat="1" applyFont="1" applyFill="1" applyBorder="1" applyAlignment="1">
      <alignment horizontal="center" vertical="center" wrapText="1"/>
    </xf>
    <xf numFmtId="0" fontId="3" fillId="40" borderId="57" xfId="0" applyFont="1" applyFill="1" applyBorder="1"/>
    <xf numFmtId="0" fontId="3" fillId="40" borderId="21" xfId="0" applyFont="1" applyFill="1" applyBorder="1"/>
    <xf numFmtId="0" fontId="2" fillId="40" borderId="21" xfId="0" applyFont="1" applyFill="1" applyBorder="1" applyAlignment="1">
      <alignment vertical="center"/>
    </xf>
    <xf numFmtId="0" fontId="3" fillId="40" borderId="21" xfId="0" applyFont="1" applyFill="1" applyBorder="1" applyAlignment="1">
      <alignment horizontal="center"/>
    </xf>
    <xf numFmtId="4" fontId="3" fillId="40" borderId="21" xfId="0" applyNumberFormat="1" applyFont="1" applyFill="1" applyBorder="1" applyAlignment="1">
      <alignment horizontal="center" vertical="center"/>
    </xf>
    <xf numFmtId="165" fontId="2" fillId="40" borderId="21" xfId="0" applyNumberFormat="1" applyFont="1" applyFill="1" applyBorder="1" applyAlignment="1">
      <alignment horizontal="center" vertical="center"/>
    </xf>
    <xf numFmtId="0" fontId="52" fillId="40" borderId="0" xfId="0" applyFont="1" applyFill="1"/>
    <xf numFmtId="0" fontId="56" fillId="2" borderId="2" xfId="0" applyFont="1" applyFill="1" applyBorder="1" applyAlignment="1">
      <alignment horizontal="center" vertical="center"/>
    </xf>
    <xf numFmtId="165" fontId="56" fillId="2" borderId="1" xfId="0" applyNumberFormat="1" applyFont="1" applyFill="1" applyBorder="1" applyAlignment="1">
      <alignment horizontal="center" vertical="center"/>
    </xf>
    <xf numFmtId="165" fontId="56" fillId="2" borderId="2" xfId="0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10" fontId="56" fillId="0" borderId="1" xfId="69" applyNumberFormat="1" applyFont="1" applyBorder="1" applyAlignment="1">
      <alignment horizontal="center" vertical="center"/>
    </xf>
    <xf numFmtId="1" fontId="8" fillId="0" borderId="22" xfId="96" applyNumberFormat="1" applyFont="1" applyBorder="1" applyAlignment="1">
      <alignment horizontal="center" vertical="center" wrapText="1"/>
    </xf>
    <xf numFmtId="0" fontId="35" fillId="27" borderId="66" xfId="0" applyFont="1" applyFill="1" applyBorder="1" applyAlignment="1">
      <alignment horizontal="center" vertical="center"/>
    </xf>
    <xf numFmtId="0" fontId="35" fillId="27" borderId="40" xfId="0" applyFont="1" applyFill="1" applyBorder="1" applyAlignment="1">
      <alignment horizontal="center" vertical="center"/>
    </xf>
    <xf numFmtId="4" fontId="35" fillId="27" borderId="40" xfId="0" applyNumberFormat="1" applyFont="1" applyFill="1" applyBorder="1" applyAlignment="1">
      <alignment horizontal="center" vertical="center"/>
    </xf>
    <xf numFmtId="4" fontId="35" fillId="27" borderId="40" xfId="0" applyNumberFormat="1" applyFont="1" applyFill="1" applyBorder="1" applyAlignment="1">
      <alignment horizontal="center" vertical="center" wrapText="1"/>
    </xf>
    <xf numFmtId="4" fontId="35" fillId="27" borderId="24" xfId="0" applyNumberFormat="1" applyFont="1" applyFill="1" applyBorder="1" applyAlignment="1">
      <alignment horizontal="center" vertical="center" wrapText="1"/>
    </xf>
    <xf numFmtId="0" fontId="31" fillId="28" borderId="22" xfId="0" applyFont="1" applyFill="1" applyBorder="1" applyAlignment="1">
      <alignment horizontal="center" vertical="center"/>
    </xf>
    <xf numFmtId="0" fontId="31" fillId="28" borderId="22" xfId="0" applyFont="1" applyFill="1" applyBorder="1" applyAlignment="1">
      <alignment horizontal="left" vertical="center"/>
    </xf>
    <xf numFmtId="4" fontId="30" fillId="28" borderId="22" xfId="0" applyNumberFormat="1" applyFont="1" applyFill="1" applyBorder="1" applyAlignment="1">
      <alignment horizontal="center" vertical="center"/>
    </xf>
    <xf numFmtId="168" fontId="30" fillId="28" borderId="22" xfId="0" applyNumberFormat="1" applyFont="1" applyFill="1" applyBorder="1" applyAlignment="1">
      <alignment horizontal="center" vertical="center"/>
    </xf>
    <xf numFmtId="165" fontId="30" fillId="28" borderId="22" xfId="0" applyNumberFormat="1" applyFont="1" applyFill="1" applyBorder="1" applyAlignment="1">
      <alignment horizontal="center" vertical="center"/>
    </xf>
    <xf numFmtId="165" fontId="31" fillId="28" borderId="23" xfId="0" applyNumberFormat="1" applyFont="1" applyFill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1" fillId="28" borderId="22" xfId="0" applyFont="1" applyFill="1" applyBorder="1" applyAlignment="1">
      <alignment horizontal="right" vertical="center"/>
    </xf>
    <xf numFmtId="1" fontId="6" fillId="0" borderId="22" xfId="96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4" fontId="6" fillId="0" borderId="22" xfId="2" applyFont="1" applyFill="1" applyBorder="1" applyAlignment="1">
      <alignment horizontal="right" vertical="center" wrapText="1"/>
    </xf>
    <xf numFmtId="168" fontId="30" fillId="0" borderId="22" xfId="0" applyNumberFormat="1" applyFont="1" applyBorder="1" applyAlignment="1">
      <alignment horizontal="center" vertical="center"/>
    </xf>
    <xf numFmtId="165" fontId="30" fillId="0" borderId="22" xfId="0" applyNumberFormat="1" applyFont="1" applyBorder="1" applyAlignment="1">
      <alignment horizontal="center" vertical="center"/>
    </xf>
    <xf numFmtId="165" fontId="30" fillId="0" borderId="23" xfId="0" applyNumberFormat="1" applyFont="1" applyBorder="1" applyAlignment="1">
      <alignment horizontal="center" vertical="center"/>
    </xf>
    <xf numFmtId="1" fontId="8" fillId="0" borderId="22" xfId="96" applyNumberFormat="1" applyFont="1" applyFill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horizontal="right" vertical="center"/>
    </xf>
    <xf numFmtId="165" fontId="31" fillId="0" borderId="23" xfId="0" applyNumberFormat="1" applyFont="1" applyBorder="1" applyAlignment="1">
      <alignment horizontal="center" vertical="center"/>
    </xf>
    <xf numFmtId="4" fontId="30" fillId="0" borderId="22" xfId="0" applyNumberFormat="1" applyFont="1" applyBorder="1" applyAlignment="1">
      <alignment horizontal="center" vertical="center"/>
    </xf>
    <xf numFmtId="0" fontId="46" fillId="25" borderId="46" xfId="0" applyFont="1" applyFill="1" applyBorder="1"/>
    <xf numFmtId="0" fontId="46" fillId="25" borderId="38" xfId="0" applyFont="1" applyFill="1" applyBorder="1"/>
    <xf numFmtId="0" fontId="46" fillId="25" borderId="38" xfId="0" applyFont="1" applyFill="1" applyBorder="1" applyAlignment="1">
      <alignment horizontal="center"/>
    </xf>
    <xf numFmtId="4" fontId="46" fillId="25" borderId="38" xfId="0" applyNumberFormat="1" applyFont="1" applyFill="1" applyBorder="1" applyAlignment="1">
      <alignment horizontal="center" vertical="center"/>
    </xf>
    <xf numFmtId="0" fontId="46" fillId="0" borderId="38" xfId="0" applyFont="1" applyBorder="1"/>
    <xf numFmtId="1" fontId="54" fillId="0" borderId="22" xfId="96" applyNumberFormat="1" applyFont="1" applyBorder="1" applyAlignment="1">
      <alignment horizontal="center" vertical="center" wrapText="1"/>
    </xf>
    <xf numFmtId="0" fontId="55" fillId="0" borderId="22" xfId="0" applyFont="1" applyBorder="1" applyAlignment="1">
      <alignment horizontal="center" vertical="center"/>
    </xf>
    <xf numFmtId="0" fontId="55" fillId="41" borderId="22" xfId="0" applyFont="1" applyFill="1" applyBorder="1" applyAlignment="1">
      <alignment horizontal="center" vertical="center"/>
    </xf>
    <xf numFmtId="0" fontId="55" fillId="41" borderId="22" xfId="0" applyFont="1" applyFill="1" applyBorder="1" applyAlignment="1">
      <alignment horizontal="left" vertical="center"/>
    </xf>
    <xf numFmtId="4" fontId="56" fillId="41" borderId="22" xfId="0" applyNumberFormat="1" applyFont="1" applyFill="1" applyBorder="1" applyAlignment="1">
      <alignment horizontal="center" vertical="center"/>
    </xf>
    <xf numFmtId="165" fontId="56" fillId="41" borderId="22" xfId="0" applyNumberFormat="1" applyFont="1" applyFill="1" applyBorder="1" applyAlignment="1">
      <alignment horizontal="center" vertical="center"/>
    </xf>
    <xf numFmtId="0" fontId="56" fillId="0" borderId="22" xfId="0" applyFont="1" applyBorder="1" applyAlignment="1">
      <alignment horizontal="center" vertical="center"/>
    </xf>
    <xf numFmtId="0" fontId="56" fillId="2" borderId="22" xfId="0" applyFont="1" applyFill="1" applyBorder="1" applyAlignment="1">
      <alignment horizontal="center" vertical="center"/>
    </xf>
    <xf numFmtId="1" fontId="54" fillId="32" borderId="22" xfId="96" applyNumberFormat="1" applyFont="1" applyFill="1" applyBorder="1" applyAlignment="1">
      <alignment horizontal="center" vertical="center" wrapText="1"/>
    </xf>
    <xf numFmtId="0" fontId="55" fillId="32" borderId="22" xfId="0" applyFont="1" applyFill="1" applyBorder="1" applyAlignment="1">
      <alignment horizontal="center" vertical="center"/>
    </xf>
    <xf numFmtId="0" fontId="55" fillId="32" borderId="22" xfId="0" applyFont="1" applyFill="1" applyBorder="1" applyAlignment="1">
      <alignment vertical="center"/>
    </xf>
    <xf numFmtId="0" fontId="55" fillId="32" borderId="22" xfId="0" applyFont="1" applyFill="1" applyBorder="1" applyAlignment="1">
      <alignment horizontal="right" vertical="center"/>
    </xf>
    <xf numFmtId="0" fontId="55" fillId="32" borderId="22" xfId="0" applyFont="1" applyFill="1" applyBorder="1" applyAlignment="1">
      <alignment horizontal="left" vertical="center"/>
    </xf>
    <xf numFmtId="4" fontId="56" fillId="32" borderId="22" xfId="0" applyNumberFormat="1" applyFont="1" applyFill="1" applyBorder="1" applyAlignment="1">
      <alignment horizontal="center" vertical="center"/>
    </xf>
    <xf numFmtId="165" fontId="56" fillId="32" borderId="22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5" fillId="31" borderId="22" xfId="0" applyFont="1" applyFill="1" applyBorder="1" applyAlignment="1">
      <alignment vertical="center"/>
    </xf>
    <xf numFmtId="0" fontId="55" fillId="31" borderId="22" xfId="0" applyFont="1" applyFill="1" applyBorder="1" applyAlignment="1">
      <alignment horizontal="right" vertical="center"/>
    </xf>
    <xf numFmtId="0" fontId="50" fillId="35" borderId="40" xfId="0" applyFont="1" applyFill="1" applyBorder="1" applyAlignment="1">
      <alignment horizontal="center" vertical="center"/>
    </xf>
    <xf numFmtId="1" fontId="54" fillId="33" borderId="22" xfId="96" applyNumberFormat="1" applyFont="1" applyFill="1" applyBorder="1" applyAlignment="1">
      <alignment horizontal="center" vertical="center" wrapText="1"/>
    </xf>
    <xf numFmtId="0" fontId="55" fillId="36" borderId="22" xfId="0" applyFont="1" applyFill="1" applyBorder="1" applyAlignment="1">
      <alignment horizontal="center" vertical="center"/>
    </xf>
    <xf numFmtId="0" fontId="55" fillId="36" borderId="22" xfId="0" applyFont="1" applyFill="1" applyBorder="1" applyAlignment="1">
      <alignment horizontal="left" vertical="center"/>
    </xf>
    <xf numFmtId="4" fontId="56" fillId="36" borderId="22" xfId="0" applyNumberFormat="1" applyFont="1" applyFill="1" applyBorder="1" applyAlignment="1">
      <alignment horizontal="center" vertical="center"/>
    </xf>
    <xf numFmtId="0" fontId="55" fillId="33" borderId="22" xfId="0" applyFont="1" applyFill="1" applyBorder="1" applyAlignment="1">
      <alignment horizontal="center" vertical="center"/>
    </xf>
    <xf numFmtId="0" fontId="55" fillId="33" borderId="22" xfId="0" applyFont="1" applyFill="1" applyBorder="1" applyAlignment="1">
      <alignment vertical="center"/>
    </xf>
    <xf numFmtId="0" fontId="55" fillId="33" borderId="22" xfId="0" applyFont="1" applyFill="1" applyBorder="1" applyAlignment="1">
      <alignment horizontal="right" vertical="center"/>
    </xf>
    <xf numFmtId="0" fontId="55" fillId="33" borderId="22" xfId="0" applyFont="1" applyFill="1" applyBorder="1" applyAlignment="1">
      <alignment horizontal="left" vertical="center"/>
    </xf>
    <xf numFmtId="4" fontId="56" fillId="33" borderId="22" xfId="0" applyNumberFormat="1" applyFont="1" applyFill="1" applyBorder="1" applyAlignment="1">
      <alignment horizontal="center" vertical="center"/>
    </xf>
    <xf numFmtId="1" fontId="3" fillId="0" borderId="22" xfId="96" applyNumberFormat="1" applyFont="1" applyFill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4" fontId="43" fillId="0" borderId="41" xfId="0" applyNumberFormat="1" applyFont="1" applyBorder="1" applyAlignment="1">
      <alignment horizontal="center" vertical="center" wrapText="1"/>
    </xf>
    <xf numFmtId="4" fontId="6" fillId="0" borderId="67" xfId="0" applyNumberFormat="1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3" fillId="0" borderId="45" xfId="95" applyFont="1" applyBorder="1" applyAlignment="1">
      <alignment horizontal="center" vertical="center" wrapText="1"/>
    </xf>
    <xf numFmtId="2" fontId="43" fillId="32" borderId="45" xfId="95" applyNumberFormat="1" applyFont="1" applyFill="1" applyBorder="1" applyAlignment="1">
      <alignment horizontal="center" vertical="center" wrapText="1"/>
    </xf>
    <xf numFmtId="4" fontId="43" fillId="0" borderId="45" xfId="95" applyNumberFormat="1" applyFont="1" applyBorder="1" applyAlignment="1">
      <alignment horizontal="center" vertical="center" wrapText="1"/>
    </xf>
    <xf numFmtId="174" fontId="43" fillId="32" borderId="45" xfId="95" applyNumberFormat="1" applyFont="1" applyFill="1" applyBorder="1" applyAlignment="1">
      <alignment horizontal="center" vertical="center" wrapText="1"/>
    </xf>
    <xf numFmtId="4" fontId="43" fillId="0" borderId="71" xfId="95" applyNumberFormat="1" applyFont="1" applyBorder="1" applyAlignment="1">
      <alignment horizontal="center" vertical="center" wrapText="1"/>
    </xf>
    <xf numFmtId="4" fontId="6" fillId="0" borderId="70" xfId="95" applyNumberFormat="1" applyBorder="1" applyAlignment="1">
      <alignment horizontal="center" vertical="center" wrapText="1"/>
    </xf>
    <xf numFmtId="0" fontId="43" fillId="0" borderId="38" xfId="0" applyFont="1" applyBorder="1" applyAlignment="1">
      <alignment vertical="center"/>
    </xf>
    <xf numFmtId="4" fontId="43" fillId="31" borderId="71" xfId="0" applyNumberFormat="1" applyFont="1" applyFill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31" borderId="71" xfId="0" applyFont="1" applyFill="1" applyBorder="1" applyAlignment="1">
      <alignment horizontal="center" vertical="center" wrapText="1"/>
    </xf>
    <xf numFmtId="4" fontId="6" fillId="31" borderId="71" xfId="0" applyNumberFormat="1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4" fontId="6" fillId="2" borderId="71" xfId="0" applyNumberFormat="1" applyFont="1" applyFill="1" applyBorder="1" applyAlignment="1">
      <alignment horizontal="center" vertical="center" wrapText="1"/>
    </xf>
    <xf numFmtId="2" fontId="6" fillId="2" borderId="71" xfId="0" applyNumberFormat="1" applyFont="1" applyFill="1" applyBorder="1" applyAlignment="1">
      <alignment horizontal="center" vertical="center" wrapText="1"/>
    </xf>
    <xf numFmtId="4" fontId="43" fillId="31" borderId="45" xfId="84" applyNumberFormat="1" applyFont="1" applyFill="1" applyBorder="1" applyAlignment="1">
      <alignment horizontal="center" vertical="center" wrapText="1"/>
    </xf>
    <xf numFmtId="4" fontId="43" fillId="31" borderId="73" xfId="0" applyNumberFormat="1" applyFont="1" applyFill="1" applyBorder="1" applyAlignment="1">
      <alignment horizontal="center" vertical="center" wrapText="1"/>
    </xf>
    <xf numFmtId="4" fontId="43" fillId="0" borderId="45" xfId="0" applyNumberFormat="1" applyFont="1" applyBorder="1" applyAlignment="1">
      <alignment horizontal="center" vertical="center" wrapText="1"/>
    </xf>
    <xf numFmtId="4" fontId="6" fillId="0" borderId="70" xfId="0" applyNumberFormat="1" applyFont="1" applyBorder="1" applyAlignment="1">
      <alignment horizontal="center" vertical="center" wrapText="1"/>
    </xf>
    <xf numFmtId="0" fontId="35" fillId="27" borderId="74" xfId="91" applyFont="1" applyFill="1" applyBorder="1" applyAlignment="1">
      <alignment horizontal="center" vertical="center"/>
    </xf>
    <xf numFmtId="0" fontId="35" fillId="27" borderId="72" xfId="91" applyFont="1" applyFill="1" applyBorder="1" applyAlignment="1">
      <alignment horizontal="center" vertical="center"/>
    </xf>
    <xf numFmtId="0" fontId="31" fillId="28" borderId="2" xfId="91" applyFont="1" applyFill="1" applyBorder="1" applyAlignment="1">
      <alignment horizontal="center" vertical="center"/>
    </xf>
    <xf numFmtId="0" fontId="31" fillId="28" borderId="69" xfId="91" applyFont="1" applyFill="1" applyBorder="1" applyAlignment="1">
      <alignment vertical="center"/>
    </xf>
    <xf numFmtId="4" fontId="30" fillId="28" borderId="69" xfId="91" applyNumberFormat="1" applyFont="1" applyFill="1" applyBorder="1" applyAlignment="1">
      <alignment horizontal="center" vertical="center"/>
    </xf>
    <xf numFmtId="4" fontId="31" fillId="28" borderId="70" xfId="91" applyNumberFormat="1" applyFont="1" applyFill="1" applyBorder="1" applyAlignment="1">
      <alignment horizontal="center" vertical="center"/>
    </xf>
    <xf numFmtId="4" fontId="31" fillId="30" borderId="70" xfId="91" applyNumberFormat="1" applyFont="1" applyFill="1" applyBorder="1" applyAlignment="1">
      <alignment horizontal="center" vertical="center"/>
    </xf>
    <xf numFmtId="4" fontId="53" fillId="0" borderId="4" xfId="55" applyNumberFormat="1" applyFont="1" applyBorder="1" applyAlignment="1">
      <alignment horizontal="center" vertical="center"/>
    </xf>
    <xf numFmtId="4" fontId="53" fillId="0" borderId="5" xfId="55" applyNumberFormat="1" applyFont="1" applyBorder="1" applyAlignment="1">
      <alignment horizontal="center" vertical="center"/>
    </xf>
    <xf numFmtId="4" fontId="2" fillId="0" borderId="0" xfId="55" applyNumberFormat="1" applyFont="1" applyAlignment="1">
      <alignment horizontal="center" vertical="center"/>
    </xf>
    <xf numFmtId="4" fontId="2" fillId="0" borderId="0" xfId="55" applyNumberFormat="1" applyFont="1" applyAlignment="1">
      <alignment horizontal="left" vertical="center" wrapText="1"/>
    </xf>
    <xf numFmtId="4" fontId="2" fillId="0" borderId="0" xfId="55" applyNumberFormat="1" applyFont="1" applyAlignment="1">
      <alignment horizontal="left" vertical="center"/>
    </xf>
    <xf numFmtId="0" fontId="31" fillId="28" borderId="22" xfId="0" applyFont="1" applyFill="1" applyBorder="1" applyAlignment="1">
      <alignment horizontal="right" vertical="center"/>
    </xf>
    <xf numFmtId="0" fontId="31" fillId="28" borderId="2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23" xfId="0" applyFont="1" applyBorder="1" applyAlignment="1">
      <alignment horizontal="left" vertical="center"/>
    </xf>
    <xf numFmtId="0" fontId="45" fillId="0" borderId="0" xfId="55" applyFont="1" applyAlignment="1">
      <alignment horizontal="center" vertical="center"/>
    </xf>
    <xf numFmtId="0" fontId="45" fillId="0" borderId="21" xfId="55" applyFont="1" applyBorder="1" applyAlignment="1">
      <alignment horizontal="center" vertical="center"/>
    </xf>
    <xf numFmtId="0" fontId="43" fillId="0" borderId="4" xfId="55" applyFont="1" applyBorder="1" applyAlignment="1">
      <alignment horizontal="center" vertical="center"/>
    </xf>
    <xf numFmtId="0" fontId="43" fillId="0" borderId="5" xfId="55" applyFont="1" applyBorder="1" applyAlignment="1">
      <alignment horizontal="center" vertical="center"/>
    </xf>
    <xf numFmtId="0" fontId="43" fillId="0" borderId="6" xfId="55" applyFont="1" applyBorder="1" applyAlignment="1">
      <alignment horizontal="center" vertical="center"/>
    </xf>
    <xf numFmtId="0" fontId="43" fillId="0" borderId="0" xfId="55" applyFont="1" applyAlignment="1">
      <alignment horizontal="center" vertical="center"/>
    </xf>
    <xf numFmtId="0" fontId="43" fillId="0" borderId="0" xfId="55" applyFont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22" xfId="1" applyFont="1" applyFill="1" applyBorder="1" applyAlignment="1">
      <alignment horizontal="left" vertical="center" wrapText="1"/>
    </xf>
    <xf numFmtId="0" fontId="2" fillId="2" borderId="23" xfId="1" applyFont="1" applyFill="1" applyBorder="1" applyAlignment="1">
      <alignment horizontal="left" vertical="center" wrapText="1"/>
    </xf>
    <xf numFmtId="4" fontId="6" fillId="0" borderId="71" xfId="84" applyNumberFormat="1" applyFont="1" applyBorder="1" applyAlignment="1">
      <alignment horizontal="center" vertical="center" wrapText="1"/>
    </xf>
    <xf numFmtId="4" fontId="6" fillId="0" borderId="45" xfId="84" applyNumberFormat="1" applyFont="1" applyBorder="1" applyAlignment="1">
      <alignment horizontal="center" vertical="center" wrapText="1"/>
    </xf>
    <xf numFmtId="4" fontId="6" fillId="0" borderId="39" xfId="84" applyNumberFormat="1" applyFont="1" applyBorder="1" applyAlignment="1">
      <alignment horizontal="center" vertical="center" wrapText="1"/>
    </xf>
    <xf numFmtId="4" fontId="6" fillId="0" borderId="72" xfId="84" applyNumberFormat="1" applyFont="1" applyBorder="1" applyAlignment="1">
      <alignment horizontal="center" vertical="center" wrapText="1"/>
    </xf>
    <xf numFmtId="4" fontId="6" fillId="0" borderId="11" xfId="84" applyNumberFormat="1" applyFont="1" applyBorder="1" applyAlignment="1">
      <alignment horizontal="center" vertical="center" wrapText="1"/>
    </xf>
    <xf numFmtId="4" fontId="6" fillId="0" borderId="10" xfId="84" applyNumberFormat="1" applyFont="1" applyBorder="1" applyAlignment="1">
      <alignment horizontal="center" vertical="center" wrapText="1"/>
    </xf>
    <xf numFmtId="4" fontId="43" fillId="31" borderId="2" xfId="84" applyNumberFormat="1" applyFont="1" applyFill="1" applyBorder="1" applyAlignment="1">
      <alignment horizontal="center" vertical="center" wrapText="1"/>
    </xf>
    <xf numFmtId="4" fontId="43" fillId="31" borderId="70" xfId="84" applyNumberFormat="1" applyFont="1" applyFill="1" applyBorder="1" applyAlignment="1">
      <alignment horizontal="center" vertical="center" wrapText="1"/>
    </xf>
    <xf numFmtId="0" fontId="43" fillId="31" borderId="68" xfId="0" applyFont="1" applyFill="1" applyBorder="1" applyAlignment="1">
      <alignment horizontal="center" vertical="center" wrapText="1"/>
    </xf>
    <xf numFmtId="0" fontId="43" fillId="31" borderId="69" xfId="0" applyFont="1" applyFill="1" applyBorder="1" applyAlignment="1">
      <alignment horizontal="center" vertical="center" wrapText="1"/>
    </xf>
    <xf numFmtId="0" fontId="43" fillId="31" borderId="70" xfId="0" applyFont="1" applyFill="1" applyBorder="1" applyAlignment="1">
      <alignment horizontal="center" vertical="center" wrapText="1"/>
    </xf>
    <xf numFmtId="0" fontId="43" fillId="0" borderId="71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3" fillId="31" borderId="1" xfId="0" applyFont="1" applyFill="1" applyBorder="1" applyAlignment="1">
      <alignment horizontal="center" vertical="center" wrapText="1"/>
    </xf>
    <xf numFmtId="4" fontId="43" fillId="31" borderId="2" xfId="95" applyNumberFormat="1" applyFont="1" applyFill="1" applyBorder="1" applyAlignment="1">
      <alignment horizontal="center" vertical="center" wrapText="1"/>
    </xf>
    <xf numFmtId="4" fontId="43" fillId="31" borderId="69" xfId="95" applyNumberFormat="1" applyFont="1" applyFill="1" applyBorder="1" applyAlignment="1">
      <alignment horizontal="center" vertical="center" wrapText="1"/>
    </xf>
    <xf numFmtId="4" fontId="43" fillId="31" borderId="70" xfId="95" applyNumberFormat="1" applyFont="1" applyFill="1" applyBorder="1" applyAlignment="1">
      <alignment horizontal="center" vertical="center" wrapText="1"/>
    </xf>
    <xf numFmtId="0" fontId="43" fillId="0" borderId="39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3" fillId="0" borderId="72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69" xfId="0" applyNumberFormat="1" applyFont="1" applyBorder="1" applyAlignment="1">
      <alignment horizontal="center" vertical="center" wrapText="1"/>
    </xf>
    <xf numFmtId="2" fontId="6" fillId="0" borderId="70" xfId="0" applyNumberFormat="1" applyFont="1" applyBorder="1" applyAlignment="1">
      <alignment horizontal="center" vertical="center" wrapText="1"/>
    </xf>
    <xf numFmtId="0" fontId="43" fillId="31" borderId="2" xfId="95" applyFont="1" applyFill="1" applyBorder="1" applyAlignment="1">
      <alignment horizontal="center" vertical="center" wrapText="1"/>
    </xf>
    <xf numFmtId="0" fontId="43" fillId="31" borderId="69" xfId="95" applyFont="1" applyFill="1" applyBorder="1" applyAlignment="1">
      <alignment horizontal="center" vertical="center" wrapText="1"/>
    </xf>
    <xf numFmtId="0" fontId="43" fillId="31" borderId="70" xfId="95" applyFont="1" applyFill="1" applyBorder="1" applyAlignment="1">
      <alignment horizontal="center" vertical="center" wrapText="1"/>
    </xf>
    <xf numFmtId="0" fontId="43" fillId="0" borderId="71" xfId="95" applyFont="1" applyBorder="1" applyAlignment="1">
      <alignment horizontal="center" vertical="center" wrapText="1"/>
    </xf>
    <xf numFmtId="0" fontId="43" fillId="0" borderId="45" xfId="95" applyFont="1" applyBorder="1" applyAlignment="1">
      <alignment horizontal="center" vertical="center" wrapText="1"/>
    </xf>
    <xf numFmtId="0" fontId="43" fillId="31" borderId="30" xfId="0" applyFont="1" applyFill="1" applyBorder="1" applyAlignment="1">
      <alignment horizontal="center" vertical="center" wrapText="1"/>
    </xf>
    <xf numFmtId="0" fontId="43" fillId="31" borderId="31" xfId="0" applyFont="1" applyFill="1" applyBorder="1" applyAlignment="1">
      <alignment horizontal="center" vertical="center" wrapText="1"/>
    </xf>
    <xf numFmtId="0" fontId="43" fillId="31" borderId="32" xfId="0" applyFont="1" applyFill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4" fontId="43" fillId="31" borderId="1" xfId="95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43" fillId="31" borderId="71" xfId="0" applyNumberFormat="1" applyFont="1" applyFill="1" applyBorder="1" applyAlignment="1">
      <alignment horizontal="center" vertical="center" wrapText="1"/>
    </xf>
    <xf numFmtId="4" fontId="43" fillId="31" borderId="37" xfId="0" applyNumberFormat="1" applyFont="1" applyFill="1" applyBorder="1" applyAlignment="1">
      <alignment horizontal="center" vertical="center" wrapText="1"/>
    </xf>
    <xf numFmtId="0" fontId="43" fillId="31" borderId="71" xfId="0" applyFont="1" applyFill="1" applyBorder="1" applyAlignment="1">
      <alignment horizontal="center" vertical="center" wrapText="1"/>
    </xf>
    <xf numFmtId="0" fontId="43" fillId="31" borderId="37" xfId="0" applyFont="1" applyFill="1" applyBorder="1" applyAlignment="1">
      <alignment horizontal="center" vertical="center" wrapText="1"/>
    </xf>
    <xf numFmtId="0" fontId="43" fillId="31" borderId="45" xfId="0" applyFont="1" applyFill="1" applyBorder="1" applyAlignment="1">
      <alignment horizontal="center" vertical="center" wrapText="1"/>
    </xf>
    <xf numFmtId="0" fontId="43" fillId="31" borderId="2" xfId="0" applyFont="1" applyFill="1" applyBorder="1" applyAlignment="1">
      <alignment horizontal="center" vertical="center"/>
    </xf>
    <xf numFmtId="0" fontId="43" fillId="31" borderId="70" xfId="0" applyFont="1" applyFill="1" applyBorder="1" applyAlignment="1">
      <alignment horizontal="center" vertical="center"/>
    </xf>
    <xf numFmtId="4" fontId="43" fillId="31" borderId="45" xfId="0" applyNumberFormat="1" applyFont="1" applyFill="1" applyBorder="1" applyAlignment="1">
      <alignment horizontal="center" vertical="center" wrapText="1"/>
    </xf>
    <xf numFmtId="4" fontId="43" fillId="31" borderId="1" xfId="0" applyNumberFormat="1" applyFont="1" applyFill="1" applyBorder="1" applyAlignment="1">
      <alignment horizontal="center" vertical="center" wrapText="1"/>
    </xf>
    <xf numFmtId="0" fontId="6" fillId="31" borderId="71" xfId="0" applyFont="1" applyFill="1" applyBorder="1" applyAlignment="1">
      <alignment horizontal="center" vertical="center" wrapText="1"/>
    </xf>
    <xf numFmtId="0" fontId="6" fillId="31" borderId="37" xfId="0" applyFont="1" applyFill="1" applyBorder="1" applyAlignment="1">
      <alignment horizontal="center" vertical="center" wrapText="1"/>
    </xf>
    <xf numFmtId="0" fontId="6" fillId="31" borderId="45" xfId="0" applyFont="1" applyFill="1" applyBorder="1" applyAlignment="1">
      <alignment horizontal="center" vertical="center" wrapText="1"/>
    </xf>
    <xf numFmtId="4" fontId="6" fillId="31" borderId="71" xfId="0" applyNumberFormat="1" applyFont="1" applyFill="1" applyBorder="1" applyAlignment="1">
      <alignment horizontal="center" vertical="center" wrapText="1"/>
    </xf>
    <xf numFmtId="4" fontId="6" fillId="31" borderId="45" xfId="0" applyNumberFormat="1" applyFont="1" applyFill="1" applyBorder="1" applyAlignment="1">
      <alignment horizontal="center" vertical="center" wrapText="1"/>
    </xf>
    <xf numFmtId="0" fontId="43" fillId="31" borderId="2" xfId="0" applyFont="1" applyFill="1" applyBorder="1" applyAlignment="1">
      <alignment horizontal="center" vertical="center" wrapText="1"/>
    </xf>
    <xf numFmtId="4" fontId="6" fillId="0" borderId="1" xfId="84" applyNumberFormat="1" applyFont="1" applyBorder="1" applyAlignment="1">
      <alignment horizontal="center" vertical="center" wrapText="1"/>
    </xf>
    <xf numFmtId="43" fontId="8" fillId="2" borderId="0" xfId="91" applyNumberFormat="1" applyFont="1" applyFill="1" applyAlignment="1">
      <alignment horizontal="center" vertical="center"/>
    </xf>
    <xf numFmtId="0" fontId="40" fillId="25" borderId="0" xfId="91" applyFill="1" applyAlignment="1">
      <alignment horizontal="center"/>
    </xf>
    <xf numFmtId="0" fontId="27" fillId="25" borderId="0" xfId="91" applyFont="1" applyFill="1" applyAlignment="1">
      <alignment horizontal="center" vertical="center"/>
    </xf>
    <xf numFmtId="4" fontId="40" fillId="25" borderId="0" xfId="91" applyNumberFormat="1" applyFill="1" applyAlignment="1">
      <alignment horizontal="center" vertical="center"/>
    </xf>
    <xf numFmtId="4" fontId="27" fillId="25" borderId="0" xfId="91" applyNumberFormat="1" applyFont="1" applyFill="1" applyAlignment="1">
      <alignment horizontal="center" vertical="center"/>
    </xf>
    <xf numFmtId="43" fontId="36" fillId="2" borderId="0" xfId="91" applyNumberFormat="1" applyFont="1" applyFill="1" applyAlignment="1">
      <alignment horizontal="center" vertical="center"/>
    </xf>
    <xf numFmtId="4" fontId="50" fillId="0" borderId="0" xfId="55" applyNumberFormat="1" applyFont="1" applyAlignment="1">
      <alignment horizontal="left" vertical="center" wrapText="1"/>
    </xf>
  </cellXfs>
  <cellStyles count="99">
    <cellStyle name="20% - Ênfase1 2" xfId="22" xr:uid="{00000000-0005-0000-0000-000000000000}"/>
    <cellStyle name="20% - Ênfase2 2" xfId="23" xr:uid="{00000000-0005-0000-0000-000001000000}"/>
    <cellStyle name="20% - Ênfase3 2" xfId="24" xr:uid="{00000000-0005-0000-0000-000002000000}"/>
    <cellStyle name="20% - Ênfase4 2" xfId="25" xr:uid="{00000000-0005-0000-0000-000003000000}"/>
    <cellStyle name="20% - Ênfase5 2" xfId="26" xr:uid="{00000000-0005-0000-0000-000004000000}"/>
    <cellStyle name="20% - Ênfase6 2" xfId="27" xr:uid="{00000000-0005-0000-0000-000005000000}"/>
    <cellStyle name="40% - Ênfase1 2" xfId="28" xr:uid="{00000000-0005-0000-0000-000006000000}"/>
    <cellStyle name="40% - Ênfase2 2" xfId="29" xr:uid="{00000000-0005-0000-0000-000007000000}"/>
    <cellStyle name="40% - Ênfase3 2" xfId="30" xr:uid="{00000000-0005-0000-0000-000008000000}"/>
    <cellStyle name="40% - Ênfase4 2" xfId="31" xr:uid="{00000000-0005-0000-0000-000009000000}"/>
    <cellStyle name="40% - Ênfase5 2" xfId="32" xr:uid="{00000000-0005-0000-0000-00000A000000}"/>
    <cellStyle name="40% - Ênfase6 2" xfId="33" xr:uid="{00000000-0005-0000-0000-00000B000000}"/>
    <cellStyle name="60% - Ênfase1 2" xfId="34" xr:uid="{00000000-0005-0000-0000-00000C000000}"/>
    <cellStyle name="60% - Ênfase2 2" xfId="35" xr:uid="{00000000-0005-0000-0000-00000D000000}"/>
    <cellStyle name="60% - Ênfase3 2" xfId="36" xr:uid="{00000000-0005-0000-0000-00000E000000}"/>
    <cellStyle name="60% - Ênfase4 2" xfId="37" xr:uid="{00000000-0005-0000-0000-00000F000000}"/>
    <cellStyle name="60% - Ênfase5 2" xfId="38" xr:uid="{00000000-0005-0000-0000-000010000000}"/>
    <cellStyle name="60% - Ênfase6 2" xfId="39" xr:uid="{00000000-0005-0000-0000-000011000000}"/>
    <cellStyle name="Bom 2" xfId="40" xr:uid="{00000000-0005-0000-0000-000012000000}"/>
    <cellStyle name="Cálculo 2" xfId="41" xr:uid="{00000000-0005-0000-0000-000013000000}"/>
    <cellStyle name="Célula de Verificação 2" xfId="42" xr:uid="{00000000-0005-0000-0000-000014000000}"/>
    <cellStyle name="Célula Vinculada 2" xfId="43" xr:uid="{00000000-0005-0000-0000-000015000000}"/>
    <cellStyle name="Ênfase1 2" xfId="44" xr:uid="{00000000-0005-0000-0000-000016000000}"/>
    <cellStyle name="Ênfase2 2" xfId="45" xr:uid="{00000000-0005-0000-0000-000017000000}"/>
    <cellStyle name="Ênfase3 2" xfId="46" xr:uid="{00000000-0005-0000-0000-000018000000}"/>
    <cellStyle name="Ênfase4 2" xfId="47" xr:uid="{00000000-0005-0000-0000-000019000000}"/>
    <cellStyle name="Ênfase5 2" xfId="48" xr:uid="{00000000-0005-0000-0000-00001A000000}"/>
    <cellStyle name="Ênfase6 2" xfId="49" xr:uid="{00000000-0005-0000-0000-00001B000000}"/>
    <cellStyle name="Entrada 2" xfId="50" xr:uid="{00000000-0005-0000-0000-00001C000000}"/>
    <cellStyle name="Excel Built-in Currency" xfId="98" xr:uid="{3355F823-EA0F-4EAE-82D6-7E3345B18345}"/>
    <cellStyle name="Excel Built-in Normal" xfId="51" xr:uid="{00000000-0005-0000-0000-00001D000000}"/>
    <cellStyle name="Incorreto 2" xfId="52" xr:uid="{00000000-0005-0000-0000-00001E000000}"/>
    <cellStyle name="Moeda" xfId="96" builtinId="4"/>
    <cellStyle name="Moeda 2" xfId="2" xr:uid="{00000000-0005-0000-0000-000020000000}"/>
    <cellStyle name="Moeda 2 2" xfId="15" xr:uid="{00000000-0005-0000-0000-000021000000}"/>
    <cellStyle name="Moeda 2 2 2" xfId="73" xr:uid="{00000000-0005-0000-0000-000022000000}"/>
    <cellStyle name="Moeda 2 3" xfId="72" xr:uid="{00000000-0005-0000-0000-000023000000}"/>
    <cellStyle name="Moeda 3" xfId="14" xr:uid="{00000000-0005-0000-0000-000024000000}"/>
    <cellStyle name="Moeda 3 2" xfId="90" xr:uid="{00000000-0005-0000-0000-000025000000}"/>
    <cellStyle name="Moeda 4" xfId="53" xr:uid="{00000000-0005-0000-0000-000026000000}"/>
    <cellStyle name="Moeda 5" xfId="71" xr:uid="{00000000-0005-0000-0000-000027000000}"/>
    <cellStyle name="Neutra 2" xfId="54" xr:uid="{00000000-0005-0000-0000-000028000000}"/>
    <cellStyle name="Normal" xfId="0" builtinId="0"/>
    <cellStyle name="Normal 11" xfId="8" xr:uid="{00000000-0005-0000-0000-00002A000000}"/>
    <cellStyle name="Normal 11 2" xfId="10" xr:uid="{00000000-0005-0000-0000-00002B000000}"/>
    <cellStyle name="Normal 15" xfId="95" xr:uid="{00000000-0005-0000-0000-00002C000000}"/>
    <cellStyle name="Normal 2" xfId="1" xr:uid="{00000000-0005-0000-0000-00002D000000}"/>
    <cellStyle name="Normal 2 2" xfId="7" xr:uid="{00000000-0005-0000-0000-00002E000000}"/>
    <cellStyle name="Normal 2 2 2" xfId="13" xr:uid="{00000000-0005-0000-0000-00002F000000}"/>
    <cellStyle name="Normal 2 2 2 2" xfId="76" xr:uid="{00000000-0005-0000-0000-000030000000}"/>
    <cellStyle name="Normal 2 2 3" xfId="75" xr:uid="{00000000-0005-0000-0000-000031000000}"/>
    <cellStyle name="Normal 2 3" xfId="55" xr:uid="{00000000-0005-0000-0000-000032000000}"/>
    <cellStyle name="Normal 2 4" xfId="74" xr:uid="{00000000-0005-0000-0000-000033000000}"/>
    <cellStyle name="Normal 20" xfId="77" xr:uid="{00000000-0005-0000-0000-000034000000}"/>
    <cellStyle name="Normal 3" xfId="4" xr:uid="{00000000-0005-0000-0000-000035000000}"/>
    <cellStyle name="Normal 3 2" xfId="78" xr:uid="{00000000-0005-0000-0000-000036000000}"/>
    <cellStyle name="Normal 4" xfId="16" xr:uid="{00000000-0005-0000-0000-000037000000}"/>
    <cellStyle name="Normal 4 2" xfId="79" xr:uid="{00000000-0005-0000-0000-000038000000}"/>
    <cellStyle name="Normal 5" xfId="68" xr:uid="{00000000-0005-0000-0000-000039000000}"/>
    <cellStyle name="Normal 5 2" xfId="89" xr:uid="{00000000-0005-0000-0000-00003A000000}"/>
    <cellStyle name="Normal 5 3" xfId="97" xr:uid="{00000000-0005-0000-0000-00003B000000}"/>
    <cellStyle name="Normal 6" xfId="70" xr:uid="{00000000-0005-0000-0000-00003C000000}"/>
    <cellStyle name="Normal 7" xfId="91" xr:uid="{00000000-0005-0000-0000-00003D000000}"/>
    <cellStyle name="Normal 8" xfId="93" xr:uid="{00000000-0005-0000-0000-00003E000000}"/>
    <cellStyle name="Normal_Plan1" xfId="94" xr:uid="{00000000-0005-0000-0000-00003F000000}"/>
    <cellStyle name="Nota 2" xfId="56" xr:uid="{00000000-0005-0000-0000-000040000000}"/>
    <cellStyle name="Porcentagem" xfId="69" builtinId="5"/>
    <cellStyle name="Porcentagem 2" xfId="3" xr:uid="{00000000-0005-0000-0000-000042000000}"/>
    <cellStyle name="Porcentagem 2 2" xfId="81" xr:uid="{00000000-0005-0000-0000-000043000000}"/>
    <cellStyle name="Porcentagem 2 3" xfId="80" xr:uid="{00000000-0005-0000-0000-000044000000}"/>
    <cellStyle name="Porcentagem 3" xfId="57" xr:uid="{00000000-0005-0000-0000-000045000000}"/>
    <cellStyle name="Porcentagem 3 2" xfId="82" xr:uid="{00000000-0005-0000-0000-000046000000}"/>
    <cellStyle name="Porcentagem 4" xfId="83" xr:uid="{00000000-0005-0000-0000-000047000000}"/>
    <cellStyle name="Porcentagem 5" xfId="92" xr:uid="{00000000-0005-0000-0000-000048000000}"/>
    <cellStyle name="Saída 2" xfId="58" xr:uid="{00000000-0005-0000-0000-000049000000}"/>
    <cellStyle name="Separador de milhares" xfId="84" xr:uid="{00000000-0005-0000-0000-00004A000000}"/>
    <cellStyle name="Separador de milhares 2" xfId="5" xr:uid="{00000000-0005-0000-0000-00004B000000}"/>
    <cellStyle name="Separador de milhares 2 2" xfId="6" xr:uid="{00000000-0005-0000-0000-00004C000000}"/>
    <cellStyle name="Separador de milhares 2 2 2" xfId="18" xr:uid="{00000000-0005-0000-0000-00004D000000}"/>
    <cellStyle name="Separador de milhares 2 3" xfId="17" xr:uid="{00000000-0005-0000-0000-00004E000000}"/>
    <cellStyle name="Separador de milhares 2 4" xfId="85" xr:uid="{00000000-0005-0000-0000-00004F000000}"/>
    <cellStyle name="Texto de Aviso 2" xfId="59" xr:uid="{00000000-0005-0000-0000-000050000000}"/>
    <cellStyle name="Texto Explicativo 2" xfId="60" xr:uid="{00000000-0005-0000-0000-000051000000}"/>
    <cellStyle name="Título 1 1" xfId="62" xr:uid="{00000000-0005-0000-0000-000052000000}"/>
    <cellStyle name="Título 1 2" xfId="61" xr:uid="{00000000-0005-0000-0000-000053000000}"/>
    <cellStyle name="Título 2 2" xfId="63" xr:uid="{00000000-0005-0000-0000-000054000000}"/>
    <cellStyle name="Título 3 2" xfId="64" xr:uid="{00000000-0005-0000-0000-000055000000}"/>
    <cellStyle name="Título 4 2" xfId="65" xr:uid="{00000000-0005-0000-0000-000056000000}"/>
    <cellStyle name="Total 2" xfId="66" xr:uid="{00000000-0005-0000-0000-000057000000}"/>
    <cellStyle name="Vírgula 2" xfId="9" xr:uid="{00000000-0005-0000-0000-000058000000}"/>
    <cellStyle name="Vírgula 2 2" xfId="12" xr:uid="{00000000-0005-0000-0000-000059000000}"/>
    <cellStyle name="Vírgula 2 2 2" xfId="21" xr:uid="{00000000-0005-0000-0000-00005A000000}"/>
    <cellStyle name="Vírgula 2 3" xfId="20" xr:uid="{00000000-0005-0000-0000-00005B000000}"/>
    <cellStyle name="Vírgula 2 4" xfId="86" xr:uid="{00000000-0005-0000-0000-00005C000000}"/>
    <cellStyle name="Vírgula 3" xfId="11" xr:uid="{00000000-0005-0000-0000-00005D000000}"/>
    <cellStyle name="Vírgula 3 2" xfId="87" xr:uid="{00000000-0005-0000-0000-00005E000000}"/>
    <cellStyle name="Vírgula 4" xfId="19" xr:uid="{00000000-0005-0000-0000-00005F000000}"/>
    <cellStyle name="Vírgula 4 2" xfId="88" xr:uid="{00000000-0005-0000-0000-000060000000}"/>
    <cellStyle name="Vírgula 5" xfId="67" xr:uid="{00000000-0005-0000-0000-000061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CCCC"/>
      <color rgb="FFFF99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74239</xdr:colOff>
      <xdr:row>0</xdr:row>
      <xdr:rowOff>2800</xdr:rowOff>
    </xdr:from>
    <xdr:to>
      <xdr:col>14</xdr:col>
      <xdr:colOff>447057</xdr:colOff>
      <xdr:row>5</xdr:row>
      <xdr:rowOff>1052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5564" y="2800"/>
          <a:ext cx="8621468" cy="8745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74239</xdr:colOff>
      <xdr:row>0</xdr:row>
      <xdr:rowOff>2800</xdr:rowOff>
    </xdr:from>
    <xdr:to>
      <xdr:col>14</xdr:col>
      <xdr:colOff>447057</xdr:colOff>
      <xdr:row>4</xdr:row>
      <xdr:rowOff>29627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4614" y="2800"/>
          <a:ext cx="8623849" cy="884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193301</xdr:colOff>
      <xdr:row>0</xdr:row>
      <xdr:rowOff>62332</xdr:rowOff>
    </xdr:from>
    <xdr:to>
      <xdr:col>14</xdr:col>
      <xdr:colOff>697087</xdr:colOff>
      <xdr:row>4</xdr:row>
      <xdr:rowOff>47090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0360" y="62332"/>
          <a:ext cx="8615222" cy="836405"/>
        </a:xfrm>
        <a:prstGeom prst="rect">
          <a:avLst/>
        </a:prstGeom>
      </xdr:spPr>
    </xdr:pic>
    <xdr:clientData/>
  </xdr:twoCellAnchor>
  <xdr:twoCellAnchor editAs="oneCell">
    <xdr:from>
      <xdr:col>7</xdr:col>
      <xdr:colOff>193301</xdr:colOff>
      <xdr:row>0</xdr:row>
      <xdr:rowOff>62332</xdr:rowOff>
    </xdr:from>
    <xdr:to>
      <xdr:col>14</xdr:col>
      <xdr:colOff>697087</xdr:colOff>
      <xdr:row>5</xdr:row>
      <xdr:rowOff>5815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626" y="62332"/>
          <a:ext cx="8621468" cy="8769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84605</xdr:colOff>
      <xdr:row>0</xdr:row>
      <xdr:rowOff>50986</xdr:rowOff>
    </xdr:from>
    <xdr:to>
      <xdr:col>10</xdr:col>
      <xdr:colOff>87967</xdr:colOff>
      <xdr:row>4</xdr:row>
      <xdr:rowOff>39780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E88E294-5265-425B-8646-D3A06DFF4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830" y="50986"/>
          <a:ext cx="8013887" cy="8365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84605</xdr:colOff>
      <xdr:row>0</xdr:row>
      <xdr:rowOff>50986</xdr:rowOff>
    </xdr:from>
    <xdr:to>
      <xdr:col>10</xdr:col>
      <xdr:colOff>87967</xdr:colOff>
      <xdr:row>4</xdr:row>
      <xdr:rowOff>39780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A2F8D4A-EF8E-4729-8926-DA33ED99D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955" y="50986"/>
          <a:ext cx="8013887" cy="83651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56030</xdr:colOff>
      <xdr:row>0</xdr:row>
      <xdr:rowOff>22411</xdr:rowOff>
    </xdr:from>
    <xdr:to>
      <xdr:col>11</xdr:col>
      <xdr:colOff>668992</xdr:colOff>
      <xdr:row>5</xdr:row>
      <xdr:rowOff>1680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15D7649-849A-4F16-9D5E-495AA7A18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5005" y="22411"/>
          <a:ext cx="8013887" cy="83651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96456</xdr:colOff>
      <xdr:row>0</xdr:row>
      <xdr:rowOff>104775</xdr:rowOff>
    </xdr:from>
    <xdr:to>
      <xdr:col>3</xdr:col>
      <xdr:colOff>828675</xdr:colOff>
      <xdr:row>5</xdr:row>
      <xdr:rowOff>40481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56" y="104775"/>
          <a:ext cx="7723569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7"/>
  <sheetViews>
    <sheetView view="pageBreakPreview" zoomScale="85" zoomScaleNormal="100" zoomScaleSheetLayoutView="85" workbookViewId="0">
      <selection activeCell="A3" sqref="A3"/>
    </sheetView>
  </sheetViews>
  <sheetFormatPr defaultRowHeight="30" customHeight="1"/>
  <cols>
    <col min="1" max="1" width="8.7109375" style="63" customWidth="1"/>
    <col min="2" max="2" width="8.7109375" style="17" customWidth="1"/>
    <col min="3" max="3" width="16.42578125" style="146" customWidth="1"/>
    <col min="4" max="4" width="3.7109375" style="165" customWidth="1"/>
    <col min="5" max="5" width="1.7109375" style="165" customWidth="1"/>
    <col min="6" max="6" width="3.7109375" style="165" customWidth="1"/>
    <col min="7" max="7" width="1.7109375" style="165" customWidth="1"/>
    <col min="8" max="8" width="3.7109375" style="165" customWidth="1"/>
    <col min="9" max="9" width="80.7109375" style="165" customWidth="1"/>
    <col min="10" max="10" width="10" style="165" customWidth="1"/>
    <col min="11" max="11" width="14.140625" style="172" customWidth="1"/>
    <col min="12" max="12" width="15.5703125" style="172" hidden="1" customWidth="1"/>
    <col min="13" max="13" width="21.28515625" style="172" hidden="1" customWidth="1"/>
    <col min="14" max="14" width="15.140625" style="172" customWidth="1"/>
    <col min="15" max="15" width="17.85546875" style="172" customWidth="1"/>
    <col min="16" max="16" width="13.5703125" style="165" bestFit="1" customWidth="1"/>
    <col min="17" max="17" width="17.28515625" style="172" bestFit="1" customWidth="1"/>
    <col min="18" max="18" width="12.7109375" style="172" customWidth="1"/>
    <col min="19" max="19" width="15" style="172" customWidth="1"/>
    <col min="20" max="20" width="17.85546875" style="172" customWidth="1"/>
    <col min="21" max="21" width="9.140625" style="165"/>
    <col min="22" max="22" width="16.85546875" style="165" customWidth="1"/>
    <col min="23" max="16384" width="9.140625" style="165"/>
  </cols>
  <sheetData>
    <row r="1" spans="1:22" s="153" customFormat="1" ht="11.25" customHeight="1">
      <c r="A1" s="63"/>
      <c r="B1" s="17"/>
      <c r="C1" s="341"/>
      <c r="D1" s="147"/>
      <c r="E1" s="148"/>
      <c r="F1" s="149"/>
      <c r="G1" s="150"/>
      <c r="H1" s="151"/>
      <c r="I1" s="151"/>
      <c r="J1" s="152"/>
      <c r="K1" s="147"/>
    </row>
    <row r="2" spans="1:22" s="153" customFormat="1" ht="20.25" customHeight="1">
      <c r="A2" s="63"/>
      <c r="B2" s="17"/>
      <c r="C2" s="341"/>
      <c r="D2" s="147"/>
      <c r="E2" s="148"/>
      <c r="F2" s="149"/>
      <c r="G2" s="150"/>
      <c r="H2" s="151"/>
      <c r="I2" s="151"/>
      <c r="J2" s="152"/>
      <c r="K2" s="147"/>
      <c r="Q2" s="439" t="s">
        <v>0</v>
      </c>
      <c r="R2" s="439"/>
      <c r="S2" s="439"/>
      <c r="T2" s="439"/>
    </row>
    <row r="3" spans="1:22" s="153" customFormat="1" ht="20.25" customHeight="1">
      <c r="A3" s="63"/>
      <c r="B3" s="17"/>
      <c r="C3" s="341"/>
      <c r="D3" s="147"/>
      <c r="E3" s="148"/>
      <c r="F3" s="149"/>
      <c r="G3" s="150"/>
      <c r="H3" s="151"/>
      <c r="I3" s="151"/>
      <c r="J3" s="152"/>
      <c r="K3" s="147"/>
      <c r="Q3" s="439"/>
      <c r="R3" s="439"/>
      <c r="S3" s="439"/>
      <c r="T3" s="439"/>
    </row>
    <row r="4" spans="1:22" s="153" customFormat="1" ht="15" customHeight="1">
      <c r="A4" s="63"/>
      <c r="B4" s="17"/>
      <c r="C4" s="341"/>
      <c r="D4" s="147"/>
      <c r="E4" s="148"/>
      <c r="F4" s="149"/>
      <c r="G4" s="150"/>
      <c r="H4" s="151"/>
      <c r="I4" s="151"/>
      <c r="J4" s="152"/>
      <c r="K4" s="147"/>
      <c r="Q4" s="439"/>
      <c r="R4" s="439"/>
      <c r="S4" s="439"/>
      <c r="T4" s="439"/>
    </row>
    <row r="5" spans="1:22" s="153" customFormat="1" ht="6.75" customHeight="1" thickBot="1">
      <c r="A5" s="63"/>
      <c r="B5" s="17"/>
      <c r="C5" s="341"/>
      <c r="D5" s="147"/>
      <c r="F5" s="154"/>
      <c r="G5" s="155"/>
      <c r="H5" s="156"/>
      <c r="I5" s="156"/>
      <c r="J5" s="152"/>
      <c r="K5" s="147"/>
      <c r="Q5" s="439"/>
      <c r="R5" s="439"/>
      <c r="S5" s="439"/>
      <c r="T5" s="439"/>
    </row>
    <row r="6" spans="1:22" s="153" customFormat="1" ht="22.5" customHeight="1" thickBot="1">
      <c r="A6" s="63"/>
      <c r="B6" s="17"/>
      <c r="C6" s="341"/>
      <c r="D6" s="441" t="s">
        <v>1</v>
      </c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3"/>
      <c r="Q6" s="440"/>
      <c r="R6" s="440"/>
      <c r="S6" s="440"/>
      <c r="T6" s="440"/>
    </row>
    <row r="7" spans="1:22" s="153" customFormat="1" ht="6.75" customHeight="1">
      <c r="A7" s="63"/>
      <c r="B7" s="17"/>
      <c r="C7" s="341"/>
      <c r="D7" s="150"/>
      <c r="E7" s="157"/>
      <c r="F7" s="157"/>
      <c r="G7" s="157"/>
      <c r="H7" s="157"/>
      <c r="I7" s="157"/>
      <c r="J7" s="157"/>
      <c r="K7" s="158"/>
      <c r="L7" s="157"/>
      <c r="M7" s="157"/>
      <c r="N7" s="157"/>
      <c r="O7" s="157"/>
      <c r="Q7" s="157"/>
      <c r="R7" s="157"/>
      <c r="S7" s="157"/>
      <c r="T7" s="157"/>
    </row>
    <row r="8" spans="1:22" s="153" customFormat="1" ht="29.25" customHeight="1">
      <c r="A8" s="63"/>
      <c r="B8" s="17"/>
      <c r="C8" s="341"/>
      <c r="D8" s="444" t="s">
        <v>2</v>
      </c>
      <c r="E8" s="444"/>
      <c r="F8" s="444"/>
      <c r="G8" s="444"/>
      <c r="H8" s="444"/>
      <c r="I8" s="159" t="s">
        <v>3</v>
      </c>
      <c r="J8" s="159"/>
      <c r="K8" s="160"/>
      <c r="L8" s="159"/>
      <c r="M8" s="159"/>
      <c r="N8" s="159"/>
      <c r="O8" s="159"/>
    </row>
    <row r="9" spans="1:22" s="153" customFormat="1" ht="16.5" customHeight="1">
      <c r="A9" s="63"/>
      <c r="B9" s="17"/>
      <c r="C9" s="341"/>
      <c r="D9" s="445" t="s">
        <v>4</v>
      </c>
      <c r="E9" s="445"/>
      <c r="F9" s="445"/>
      <c r="G9" s="445"/>
      <c r="H9" s="445"/>
      <c r="I9" s="148" t="s">
        <v>5</v>
      </c>
      <c r="J9" s="159"/>
      <c r="K9" s="160"/>
      <c r="L9" s="159"/>
      <c r="M9" s="159"/>
      <c r="N9" s="159"/>
      <c r="O9" s="159"/>
      <c r="Q9" s="159"/>
      <c r="R9" s="159"/>
      <c r="S9" s="159"/>
      <c r="T9" s="159"/>
    </row>
    <row r="10" spans="1:22" s="161" customFormat="1" ht="15" customHeight="1">
      <c r="A10" s="63"/>
      <c r="B10" s="17"/>
      <c r="C10" s="341"/>
      <c r="D10" s="4"/>
      <c r="E10" s="3"/>
      <c r="F10" s="3"/>
      <c r="G10" s="3"/>
      <c r="H10" s="5"/>
      <c r="I10" s="6"/>
      <c r="J10" s="3"/>
      <c r="K10" s="7"/>
      <c r="L10" s="7"/>
      <c r="M10" s="7"/>
      <c r="N10" s="8" t="s">
        <v>6</v>
      </c>
      <c r="O10" s="9" t="s">
        <v>7</v>
      </c>
      <c r="Q10" s="7"/>
      <c r="R10" s="7"/>
      <c r="S10" s="8" t="s">
        <v>6</v>
      </c>
      <c r="T10" s="9" t="s">
        <v>8</v>
      </c>
    </row>
    <row r="11" spans="1:22" ht="20.25" customHeight="1">
      <c r="C11" s="341"/>
      <c r="D11" s="5"/>
      <c r="E11" s="3"/>
      <c r="F11" s="3"/>
      <c r="G11" s="3"/>
      <c r="H11" s="5"/>
      <c r="I11" s="8" t="s">
        <v>9</v>
      </c>
      <c r="J11" s="3"/>
      <c r="K11" s="7"/>
      <c r="L11" s="7"/>
      <c r="M11" s="7"/>
      <c r="N11" s="8" t="s">
        <v>10</v>
      </c>
      <c r="O11" s="162">
        <v>0.25</v>
      </c>
      <c r="P11" s="163"/>
      <c r="Q11" s="7"/>
      <c r="R11" s="7"/>
      <c r="S11" s="8" t="s">
        <v>10</v>
      </c>
      <c r="T11" s="164">
        <v>0.2757</v>
      </c>
    </row>
    <row r="12" spans="1:22" s="166" customFormat="1" ht="30" customHeight="1">
      <c r="A12" s="63" t="s">
        <v>11</v>
      </c>
      <c r="B12" s="17" t="s">
        <v>12</v>
      </c>
      <c r="C12" s="341" t="s">
        <v>13</v>
      </c>
      <c r="D12" s="342"/>
      <c r="E12" s="343"/>
      <c r="F12" s="343"/>
      <c r="G12" s="343" t="s">
        <v>14</v>
      </c>
      <c r="H12" s="343"/>
      <c r="I12" s="343" t="s">
        <v>15</v>
      </c>
      <c r="J12" s="343" t="s">
        <v>16</v>
      </c>
      <c r="K12" s="344" t="s">
        <v>17</v>
      </c>
      <c r="L12" s="345" t="s">
        <v>18</v>
      </c>
      <c r="M12" s="344" t="s">
        <v>19</v>
      </c>
      <c r="N12" s="345" t="s">
        <v>20</v>
      </c>
      <c r="O12" s="346" t="s">
        <v>21</v>
      </c>
      <c r="Q12" s="345" t="s">
        <v>18</v>
      </c>
      <c r="R12" s="344" t="s">
        <v>19</v>
      </c>
      <c r="S12" s="345" t="s">
        <v>20</v>
      </c>
      <c r="T12" s="346" t="s">
        <v>21</v>
      </c>
    </row>
    <row r="13" spans="1:22" ht="6.75" customHeight="1">
      <c r="C13" s="341"/>
      <c r="D13" s="167"/>
      <c r="K13" s="168"/>
      <c r="L13" s="168"/>
      <c r="M13" s="168"/>
      <c r="N13" s="168"/>
      <c r="O13" s="169"/>
      <c r="Q13" s="168"/>
      <c r="R13" s="168"/>
      <c r="S13" s="168"/>
      <c r="T13" s="169"/>
    </row>
    <row r="14" spans="1:22" s="170" customFormat="1" ht="19.5" customHeight="1">
      <c r="A14" s="63" t="str">
        <f t="shared" ref="A14:A20" si="0">B14&amp;C14</f>
        <v/>
      </c>
      <c r="B14" s="17"/>
      <c r="C14" s="341"/>
      <c r="D14" s="10">
        <v>1</v>
      </c>
      <c r="E14" s="347" t="s">
        <v>22</v>
      </c>
      <c r="F14" s="347">
        <v>0</v>
      </c>
      <c r="G14" s="347"/>
      <c r="H14" s="347"/>
      <c r="I14" s="348" t="s">
        <v>23</v>
      </c>
      <c r="J14" s="347"/>
      <c r="K14" s="349"/>
      <c r="L14" s="349"/>
      <c r="M14" s="350"/>
      <c r="N14" s="351"/>
      <c r="O14" s="352"/>
      <c r="Q14" s="349"/>
      <c r="R14" s="350"/>
      <c r="S14" s="351"/>
      <c r="T14" s="352"/>
    </row>
    <row r="15" spans="1:22" ht="30" customHeight="1">
      <c r="A15" s="63" t="str">
        <f t="shared" si="0"/>
        <v>SIURB EDIF17030002</v>
      </c>
      <c r="B15" s="17" t="s">
        <v>24</v>
      </c>
      <c r="C15" s="341">
        <v>17030002</v>
      </c>
      <c r="D15" s="11">
        <f>$D$14</f>
        <v>1</v>
      </c>
      <c r="E15" s="353" t="s">
        <v>22</v>
      </c>
      <c r="F15" s="353">
        <f>F14+1</f>
        <v>1</v>
      </c>
      <c r="G15" s="353"/>
      <c r="H15" s="353"/>
      <c r="I15" s="145" t="e">
        <f>INDEX(#REF!,MATCH(A15,#REF!,0),0)</f>
        <v>#REF!</v>
      </c>
      <c r="J15" s="144" t="e">
        <f>INDEX(#REF!,MATCH(A15,#REF!,0),0)</f>
        <v>#REF!</v>
      </c>
      <c r="K15" s="142">
        <v>3.38</v>
      </c>
      <c r="L15" s="143" t="e">
        <f>INDEX(#REF!,MATCH(A15,#REF!,0),0)</f>
        <v>#REF!</v>
      </c>
      <c r="M15" s="12">
        <f t="shared" ref="M15:M18" si="1">1+$O$11</f>
        <v>1.25</v>
      </c>
      <c r="N15" s="13" t="e">
        <f t="shared" ref="N15:N18" si="2">ROUND(L15*M15,2)</f>
        <v>#REF!</v>
      </c>
      <c r="O15" s="13" t="e">
        <f t="shared" ref="O15:O18" si="3">ROUND(K15*N15,2)</f>
        <v>#REF!</v>
      </c>
      <c r="Q15" s="143" t="e">
        <f>INDEX(#REF!,MATCH(A15,#REF!,0),0)</f>
        <v>#REF!</v>
      </c>
      <c r="R15" s="12">
        <f t="shared" ref="R15:R18" si="4">1+$T$11</f>
        <v>1.2757000000000001</v>
      </c>
      <c r="S15" s="13" t="e">
        <f>Q15*K15</f>
        <v>#REF!</v>
      </c>
      <c r="T15" s="13" t="e">
        <f>S15</f>
        <v>#REF!</v>
      </c>
    </row>
    <row r="16" spans="1:22" ht="34.5" customHeight="1">
      <c r="A16" s="63" t="str">
        <f t="shared" si="0"/>
        <v>SIURB EDIF17045001</v>
      </c>
      <c r="B16" s="17" t="s">
        <v>24</v>
      </c>
      <c r="C16" s="341">
        <v>17045001</v>
      </c>
      <c r="D16" s="11">
        <f t="shared" ref="D16:D18" si="5">$D$14</f>
        <v>1</v>
      </c>
      <c r="E16" s="353" t="s">
        <v>22</v>
      </c>
      <c r="F16" s="353">
        <f>F15+1</f>
        <v>2</v>
      </c>
      <c r="G16" s="353"/>
      <c r="H16" s="353"/>
      <c r="I16" s="145" t="e">
        <f>INDEX(#REF!,MATCH(A16,#REF!,0),0)</f>
        <v>#REF!</v>
      </c>
      <c r="J16" s="144" t="e">
        <f>INDEX(#REF!,MATCH(A16,#REF!,0),0)</f>
        <v>#REF!</v>
      </c>
      <c r="K16" s="142">
        <v>157.5</v>
      </c>
      <c r="L16" s="143" t="e">
        <f>INDEX(#REF!,MATCH(A16,#REF!,0),0)</f>
        <v>#REF!</v>
      </c>
      <c r="M16" s="12">
        <f t="shared" si="1"/>
        <v>1.25</v>
      </c>
      <c r="N16" s="13" t="e">
        <f t="shared" si="2"/>
        <v>#REF!</v>
      </c>
      <c r="O16" s="13" t="e">
        <f t="shared" si="3"/>
        <v>#REF!</v>
      </c>
      <c r="Q16" s="143" t="e">
        <f>INDEX(#REF!,MATCH(A16,#REF!,0),0)</f>
        <v>#REF!</v>
      </c>
      <c r="R16" s="12">
        <f t="shared" si="4"/>
        <v>1.2757000000000001</v>
      </c>
      <c r="S16" s="13" t="e">
        <f>Q16*K16</f>
        <v>#REF!</v>
      </c>
      <c r="T16" s="13" t="e">
        <f>S16</f>
        <v>#REF!</v>
      </c>
      <c r="V16" s="171"/>
    </row>
    <row r="17" spans="1:20" ht="30" customHeight="1">
      <c r="A17" s="63" t="str">
        <f t="shared" si="0"/>
        <v>SIURB EDIF17045002</v>
      </c>
      <c r="B17" s="17" t="s">
        <v>24</v>
      </c>
      <c r="C17" s="341">
        <v>17045002</v>
      </c>
      <c r="D17" s="11">
        <f t="shared" si="5"/>
        <v>1</v>
      </c>
      <c r="E17" s="353" t="s">
        <v>22</v>
      </c>
      <c r="F17" s="353">
        <f>F16+1</f>
        <v>3</v>
      </c>
      <c r="G17" s="353"/>
      <c r="H17" s="353"/>
      <c r="I17" s="145" t="e">
        <f>INDEX(#REF!,MATCH(A17,#REF!,0),0)</f>
        <v>#REF!</v>
      </c>
      <c r="J17" s="144" t="e">
        <f>INDEX(#REF!,MATCH(A17,#REF!,0),0)</f>
        <v>#REF!</v>
      </c>
      <c r="K17" s="142">
        <v>315</v>
      </c>
      <c r="L17" s="143" t="e">
        <f>INDEX(#REF!,MATCH(A17,#REF!,0),0)</f>
        <v>#REF!</v>
      </c>
      <c r="M17" s="12">
        <f t="shared" si="1"/>
        <v>1.25</v>
      </c>
      <c r="N17" s="13" t="e">
        <f t="shared" si="2"/>
        <v>#REF!</v>
      </c>
      <c r="O17" s="13" t="e">
        <f t="shared" si="3"/>
        <v>#REF!</v>
      </c>
      <c r="Q17" s="143" t="e">
        <f>INDEX(#REF!,MATCH(A17,#REF!,0),0)</f>
        <v>#REF!</v>
      </c>
      <c r="R17" s="12">
        <f t="shared" si="4"/>
        <v>1.2757000000000001</v>
      </c>
      <c r="S17" s="13" t="e">
        <f>Q17*K17</f>
        <v>#REF!</v>
      </c>
      <c r="T17" s="13" t="e">
        <f>S17</f>
        <v>#REF!</v>
      </c>
    </row>
    <row r="18" spans="1:20" ht="30" customHeight="1">
      <c r="A18" s="63" t="str">
        <f t="shared" si="0"/>
        <v>SIURB EDIF20003061</v>
      </c>
      <c r="B18" s="17" t="s">
        <v>24</v>
      </c>
      <c r="C18" s="341">
        <v>20003061</v>
      </c>
      <c r="D18" s="11">
        <f t="shared" si="5"/>
        <v>1</v>
      </c>
      <c r="E18" s="353" t="s">
        <v>22</v>
      </c>
      <c r="F18" s="353">
        <f>F17+1</f>
        <v>4</v>
      </c>
      <c r="G18" s="353"/>
      <c r="H18" s="353"/>
      <c r="I18" s="145" t="e">
        <f>INDEX(#REF!,MATCH(A18,#REF!,0),0)</f>
        <v>#REF!</v>
      </c>
      <c r="J18" s="144" t="e">
        <f>INDEX(#REF!,MATCH(A18,#REF!,0),0)</f>
        <v>#REF!</v>
      </c>
      <c r="K18" s="142">
        <v>1</v>
      </c>
      <c r="L18" s="143" t="e">
        <f>INDEX(#REF!,MATCH(A18,#REF!,0),0)</f>
        <v>#REF!</v>
      </c>
      <c r="M18" s="12">
        <f t="shared" si="1"/>
        <v>1.25</v>
      </c>
      <c r="N18" s="13" t="e">
        <f t="shared" si="2"/>
        <v>#REF!</v>
      </c>
      <c r="O18" s="13" t="e">
        <f t="shared" si="3"/>
        <v>#REF!</v>
      </c>
      <c r="Q18" s="143" t="e">
        <f>INDEX(#REF!,MATCH(A18,#REF!,0),0)</f>
        <v>#REF!</v>
      </c>
      <c r="R18" s="12">
        <f t="shared" si="4"/>
        <v>1.2757000000000001</v>
      </c>
      <c r="S18" s="13" t="e">
        <f t="shared" ref="S18" si="6">ROUND(Q18*R18,2)</f>
        <v>#REF!</v>
      </c>
      <c r="T18" s="13" t="e">
        <f t="shared" ref="T18" si="7">ROUND(K18*S18,2)</f>
        <v>#REF!</v>
      </c>
    </row>
    <row r="19" spans="1:20" s="170" customFormat="1" ht="12.75">
      <c r="A19" s="63" t="str">
        <f t="shared" si="0"/>
        <v/>
      </c>
      <c r="B19" s="17"/>
      <c r="C19" s="341"/>
      <c r="D19" s="10"/>
      <c r="E19" s="347"/>
      <c r="F19" s="347"/>
      <c r="G19" s="347"/>
      <c r="H19" s="347"/>
      <c r="I19" s="434" t="s">
        <v>25</v>
      </c>
      <c r="J19" s="434"/>
      <c r="K19" s="434"/>
      <c r="L19" s="434"/>
      <c r="M19" s="434"/>
      <c r="N19" s="434"/>
      <c r="O19" s="352" t="e">
        <f>SUM(O15:O18)</f>
        <v>#REF!</v>
      </c>
      <c r="Q19" s="349"/>
      <c r="R19" s="350"/>
      <c r="S19" s="351"/>
      <c r="T19" s="352" t="e">
        <f>SUM(T15:T18)</f>
        <v>#REF!</v>
      </c>
    </row>
    <row r="20" spans="1:20" s="170" customFormat="1" ht="19.5" customHeight="1">
      <c r="A20" s="63" t="str">
        <f t="shared" si="0"/>
        <v/>
      </c>
      <c r="B20" s="17"/>
      <c r="C20" s="341"/>
      <c r="D20" s="10">
        <v>2</v>
      </c>
      <c r="E20" s="347" t="s">
        <v>22</v>
      </c>
      <c r="F20" s="347">
        <v>0</v>
      </c>
      <c r="G20" s="347"/>
      <c r="H20" s="347"/>
      <c r="I20" s="348" t="s">
        <v>26</v>
      </c>
      <c r="J20" s="347"/>
      <c r="K20" s="349"/>
      <c r="L20" s="349"/>
      <c r="M20" s="350"/>
      <c r="N20" s="351"/>
      <c r="O20" s="352"/>
      <c r="Q20" s="349"/>
      <c r="R20" s="350"/>
      <c r="S20" s="351"/>
      <c r="T20" s="352"/>
    </row>
    <row r="21" spans="1:20" ht="20.25" customHeight="1">
      <c r="C21" s="341"/>
      <c r="D21" s="436" t="s">
        <v>27</v>
      </c>
      <c r="E21" s="437"/>
      <c r="F21" s="437"/>
      <c r="G21" s="437"/>
      <c r="H21" s="437"/>
      <c r="I21" s="437"/>
      <c r="J21" s="437"/>
      <c r="K21" s="437"/>
      <c r="L21" s="437"/>
      <c r="M21" s="437"/>
      <c r="N21" s="437"/>
      <c r="O21" s="438"/>
      <c r="Q21" s="143"/>
      <c r="R21" s="12"/>
      <c r="S21" s="13"/>
      <c r="T21" s="13"/>
    </row>
    <row r="22" spans="1:20" s="209" customFormat="1" ht="27" customHeight="1">
      <c r="A22" s="205" t="str">
        <f t="shared" ref="A22:A30" si="8">B22&amp;C22</f>
        <v>SIURB EDIF10060050</v>
      </c>
      <c r="B22" s="17" t="s">
        <v>24</v>
      </c>
      <c r="C22" s="355">
        <v>10060050</v>
      </c>
      <c r="D22" s="206">
        <f t="shared" ref="D22:D40" si="9">$D$20</f>
        <v>2</v>
      </c>
      <c r="E22" s="356" t="s">
        <v>22</v>
      </c>
      <c r="F22" s="356">
        <v>1</v>
      </c>
      <c r="G22" s="356"/>
      <c r="H22" s="356"/>
      <c r="I22" s="201" t="s">
        <v>28</v>
      </c>
      <c r="J22" s="202" t="e">
        <f>INDEX(#REF!,MATCH(A22,#REF!,0),0)</f>
        <v>#REF!</v>
      </c>
      <c r="K22" s="204">
        <v>0.7</v>
      </c>
      <c r="L22" s="203" t="e">
        <f>INDEX(#REF!,MATCH(A22,#REF!,0),0)</f>
        <v>#REF!</v>
      </c>
      <c r="M22" s="207">
        <f t="shared" ref="M22:M40" si="10">1+$O$11</f>
        <v>1.25</v>
      </c>
      <c r="N22" s="208" t="e">
        <f t="shared" ref="N22:N30" si="11">ROUND(L22*M22,2)</f>
        <v>#REF!</v>
      </c>
      <c r="O22" s="208" t="e">
        <f t="shared" ref="O22:O30" si="12">ROUND(K22*N22,2)</f>
        <v>#REF!</v>
      </c>
      <c r="Q22" s="203" t="e">
        <f>INDEX(#REF!,MATCH(A22,#REF!,0),0)</f>
        <v>#REF!</v>
      </c>
      <c r="R22" s="207">
        <f t="shared" ref="R22:R40" si="13">1+$T$11</f>
        <v>1.2757000000000001</v>
      </c>
      <c r="S22" s="208" t="e">
        <f t="shared" ref="S22" si="14">ROUND(Q22*R22,2)</f>
        <v>#REF!</v>
      </c>
      <c r="T22" s="208" t="e">
        <f t="shared" ref="T22" si="15">ROUND(K22*S22,2)</f>
        <v>#REF!</v>
      </c>
    </row>
    <row r="23" spans="1:20" ht="27" customHeight="1">
      <c r="A23" s="63" t="str">
        <f t="shared" si="8"/>
        <v>SIURB EDIF4050004</v>
      </c>
      <c r="B23" s="17" t="s">
        <v>24</v>
      </c>
      <c r="C23" s="341">
        <v>4050004</v>
      </c>
      <c r="D23" s="11">
        <f>$D$20</f>
        <v>2</v>
      </c>
      <c r="E23" s="353" t="s">
        <v>22</v>
      </c>
      <c r="F23" s="353">
        <v>2</v>
      </c>
      <c r="G23" s="353"/>
      <c r="H23" s="353"/>
      <c r="I23" s="145" t="e">
        <f>INDEX(#REF!,MATCH(A23,#REF!,0),0)</f>
        <v>#REF!</v>
      </c>
      <c r="J23" s="144" t="e">
        <f>INDEX(#REF!,MATCH(A23,#REF!,0),0)</f>
        <v>#REF!</v>
      </c>
      <c r="K23" s="142">
        <v>7.0000000000000007E-2</v>
      </c>
      <c r="L23" s="143" t="e">
        <f>INDEX(#REF!,MATCH(A23,#REF!,0),0)</f>
        <v>#REF!</v>
      </c>
      <c r="M23" s="12">
        <f t="shared" si="10"/>
        <v>1.25</v>
      </c>
      <c r="N23" s="13" t="e">
        <f t="shared" si="11"/>
        <v>#REF!</v>
      </c>
      <c r="O23" s="13" t="e">
        <f t="shared" si="12"/>
        <v>#REF!</v>
      </c>
      <c r="Q23" s="143" t="e">
        <f>INDEX(#REF!,MATCH(A23,#REF!,0),0)</f>
        <v>#REF!</v>
      </c>
      <c r="R23" s="12">
        <f t="shared" si="13"/>
        <v>1.2757000000000001</v>
      </c>
      <c r="S23" s="13" t="e">
        <f>ROUND(Q23*R23,2)</f>
        <v>#REF!</v>
      </c>
      <c r="T23" s="13" t="e">
        <f>ROUND(K23*S23,2)</f>
        <v>#REF!</v>
      </c>
    </row>
    <row r="24" spans="1:20" ht="27" customHeight="1">
      <c r="A24" s="63" t="str">
        <f t="shared" si="8"/>
        <v>CDHU04.14.020</v>
      </c>
      <c r="B24" s="17" t="s">
        <v>29</v>
      </c>
      <c r="C24" s="341" t="s">
        <v>30</v>
      </c>
      <c r="D24" s="11">
        <f t="shared" si="9"/>
        <v>2</v>
      </c>
      <c r="E24" s="353" t="s">
        <v>22</v>
      </c>
      <c r="F24" s="353">
        <v>3</v>
      </c>
      <c r="G24" s="353"/>
      <c r="H24" s="353"/>
      <c r="I24" s="145" t="e">
        <f>INDEX(#REF!,MATCH(A24,#REF!,0),0)</f>
        <v>#REF!</v>
      </c>
      <c r="J24" s="144" t="e">
        <f>INDEX(#REF!,MATCH(A24,#REF!,0),0)</f>
        <v>#REF!</v>
      </c>
      <c r="K24" s="142">
        <v>2</v>
      </c>
      <c r="L24" s="143" t="e">
        <f>INDEX(#REF!,MATCH(A24,#REF!,0),0)</f>
        <v>#REF!</v>
      </c>
      <c r="M24" s="12">
        <f t="shared" si="10"/>
        <v>1.25</v>
      </c>
      <c r="N24" s="13" t="e">
        <f t="shared" si="11"/>
        <v>#REF!</v>
      </c>
      <c r="O24" s="13" t="e">
        <f t="shared" si="12"/>
        <v>#REF!</v>
      </c>
      <c r="Q24" s="143" t="e">
        <f>INDEX(#REF!,MATCH(A24,#REF!,0),0)</f>
        <v>#REF!</v>
      </c>
      <c r="R24" s="12">
        <f t="shared" si="13"/>
        <v>1.2757000000000001</v>
      </c>
      <c r="S24" s="13" t="e">
        <f t="shared" ref="S24:S30" si="16">ROUND(Q24*R24,2)</f>
        <v>#REF!</v>
      </c>
      <c r="T24" s="13" t="e">
        <f t="shared" ref="T24:T30" si="17">ROUND(K24*S24,2)</f>
        <v>#REF!</v>
      </c>
    </row>
    <row r="25" spans="1:20" ht="20.25" customHeight="1">
      <c r="C25" s="341"/>
      <c r="D25" s="436" t="s">
        <v>31</v>
      </c>
      <c r="E25" s="437"/>
      <c r="F25" s="437"/>
      <c r="G25" s="437"/>
      <c r="H25" s="437"/>
      <c r="I25" s="437"/>
      <c r="J25" s="437"/>
      <c r="K25" s="437"/>
      <c r="L25" s="437"/>
      <c r="M25" s="437"/>
      <c r="N25" s="437"/>
      <c r="O25" s="438"/>
      <c r="Q25" s="143"/>
      <c r="R25" s="12"/>
      <c r="S25" s="13"/>
      <c r="T25" s="13"/>
    </row>
    <row r="26" spans="1:20" s="209" customFormat="1" ht="27" customHeight="1">
      <c r="A26" s="205" t="str">
        <f t="shared" ref="A26:A28" si="18">B26&amp;C26</f>
        <v>SIURB EDIF10060050</v>
      </c>
      <c r="B26" s="17" t="s">
        <v>24</v>
      </c>
      <c r="C26" s="355">
        <v>10060050</v>
      </c>
      <c r="D26" s="206">
        <f t="shared" si="9"/>
        <v>2</v>
      </c>
      <c r="E26" s="356" t="s">
        <v>22</v>
      </c>
      <c r="F26" s="356">
        <v>4</v>
      </c>
      <c r="G26" s="356"/>
      <c r="H26" s="356"/>
      <c r="I26" s="201" t="s">
        <v>28</v>
      </c>
      <c r="J26" s="202" t="e">
        <f>INDEX(#REF!,MATCH(A26,#REF!,0),0)</f>
        <v>#REF!</v>
      </c>
      <c r="K26" s="204">
        <v>0.35</v>
      </c>
      <c r="L26" s="203" t="e">
        <f>INDEX(#REF!,MATCH(A26,#REF!,0),0)</f>
        <v>#REF!</v>
      </c>
      <c r="M26" s="207">
        <f t="shared" si="10"/>
        <v>1.25</v>
      </c>
      <c r="N26" s="208" t="e">
        <f t="shared" ref="N26:N28" si="19">ROUND(L26*M26,2)</f>
        <v>#REF!</v>
      </c>
      <c r="O26" s="208" t="e">
        <f t="shared" ref="O26:O28" si="20">ROUND(K26*N26,2)</f>
        <v>#REF!</v>
      </c>
      <c r="Q26" s="203" t="e">
        <f>INDEX(#REF!,MATCH(A26,#REF!,0),0)</f>
        <v>#REF!</v>
      </c>
      <c r="R26" s="207">
        <f t="shared" si="13"/>
        <v>1.2757000000000001</v>
      </c>
      <c r="S26" s="208" t="e">
        <f t="shared" ref="S26" si="21">ROUND(Q26*R26,2)</f>
        <v>#REF!</v>
      </c>
      <c r="T26" s="208" t="e">
        <f t="shared" ref="T26" si="22">ROUND(K26*S26,2)</f>
        <v>#REF!</v>
      </c>
    </row>
    <row r="27" spans="1:20" ht="27" customHeight="1">
      <c r="A27" s="63" t="str">
        <f t="shared" si="18"/>
        <v>SIURB EDIF4050004</v>
      </c>
      <c r="B27" s="17" t="s">
        <v>24</v>
      </c>
      <c r="C27" s="341">
        <v>4050004</v>
      </c>
      <c r="D27" s="11">
        <f>$D$20</f>
        <v>2</v>
      </c>
      <c r="E27" s="353" t="s">
        <v>22</v>
      </c>
      <c r="F27" s="353">
        <v>5</v>
      </c>
      <c r="G27" s="353"/>
      <c r="H27" s="353"/>
      <c r="I27" s="145" t="e">
        <f>INDEX(#REF!,MATCH(A27,#REF!,0),0)</f>
        <v>#REF!</v>
      </c>
      <c r="J27" s="144" t="e">
        <f>INDEX(#REF!,MATCH(A27,#REF!,0),0)</f>
        <v>#REF!</v>
      </c>
      <c r="K27" s="142">
        <v>7.0000000000000007E-2</v>
      </c>
      <c r="L27" s="143" t="e">
        <f>INDEX(#REF!,MATCH(A27,#REF!,0),0)</f>
        <v>#REF!</v>
      </c>
      <c r="M27" s="12">
        <f t="shared" si="10"/>
        <v>1.25</v>
      </c>
      <c r="N27" s="13" t="e">
        <f t="shared" si="19"/>
        <v>#REF!</v>
      </c>
      <c r="O27" s="13" t="e">
        <f t="shared" si="20"/>
        <v>#REF!</v>
      </c>
      <c r="Q27" s="143" t="e">
        <f>INDEX(#REF!,MATCH(A27,#REF!,0),0)</f>
        <v>#REF!</v>
      </c>
      <c r="R27" s="12">
        <f t="shared" si="13"/>
        <v>1.2757000000000001</v>
      </c>
      <c r="S27" s="13" t="e">
        <f>ROUND(Q27*R27,2)</f>
        <v>#REF!</v>
      </c>
      <c r="T27" s="13" t="e">
        <f>ROUND(K27*S27,2)</f>
        <v>#REF!</v>
      </c>
    </row>
    <row r="28" spans="1:20" ht="27" customHeight="1">
      <c r="A28" s="63" t="str">
        <f t="shared" si="18"/>
        <v>CDHU04.14.020</v>
      </c>
      <c r="B28" s="17" t="s">
        <v>29</v>
      </c>
      <c r="C28" s="341" t="s">
        <v>30</v>
      </c>
      <c r="D28" s="11">
        <f t="shared" si="9"/>
        <v>2</v>
      </c>
      <c r="E28" s="353" t="s">
        <v>22</v>
      </c>
      <c r="F28" s="353">
        <f>F27+1</f>
        <v>6</v>
      </c>
      <c r="G28" s="353"/>
      <c r="H28" s="353"/>
      <c r="I28" s="145" t="e">
        <f>INDEX(#REF!,MATCH(A28,#REF!,0),0)</f>
        <v>#REF!</v>
      </c>
      <c r="J28" s="144" t="e">
        <f>INDEX(#REF!,MATCH(A28,#REF!,0),0)</f>
        <v>#REF!</v>
      </c>
      <c r="K28" s="142">
        <v>1</v>
      </c>
      <c r="L28" s="143" t="e">
        <f>INDEX(#REF!,MATCH(A28,#REF!,0),0)</f>
        <v>#REF!</v>
      </c>
      <c r="M28" s="12">
        <f t="shared" si="10"/>
        <v>1.25</v>
      </c>
      <c r="N28" s="13" t="e">
        <f t="shared" si="19"/>
        <v>#REF!</v>
      </c>
      <c r="O28" s="13" t="e">
        <f t="shared" si="20"/>
        <v>#REF!</v>
      </c>
      <c r="Q28" s="143" t="e">
        <f>INDEX(#REF!,MATCH(A28,#REF!,0),0)</f>
        <v>#REF!</v>
      </c>
      <c r="R28" s="12">
        <f t="shared" si="13"/>
        <v>1.2757000000000001</v>
      </c>
      <c r="S28" s="13" t="e">
        <f t="shared" ref="S28" si="23">ROUND(Q28*R28,2)</f>
        <v>#REF!</v>
      </c>
      <c r="T28" s="13" t="e">
        <f t="shared" ref="T28" si="24">ROUND(K28*S28,2)</f>
        <v>#REF!</v>
      </c>
    </row>
    <row r="29" spans="1:20" ht="20.25" customHeight="1">
      <c r="C29" s="341"/>
      <c r="D29" s="436" t="s">
        <v>32</v>
      </c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8"/>
      <c r="Q29" s="143"/>
      <c r="R29" s="12"/>
      <c r="S29" s="13"/>
      <c r="T29" s="13"/>
    </row>
    <row r="30" spans="1:20" ht="28.5" customHeight="1">
      <c r="A30" s="63" t="str">
        <f t="shared" si="8"/>
        <v>CDHU04.01.040</v>
      </c>
      <c r="B30" s="17" t="s">
        <v>29</v>
      </c>
      <c r="C30" s="341" t="s">
        <v>33</v>
      </c>
      <c r="D30" s="11">
        <f t="shared" si="9"/>
        <v>2</v>
      </c>
      <c r="E30" s="353" t="s">
        <v>22</v>
      </c>
      <c r="F30" s="353">
        <f>F28+1</f>
        <v>7</v>
      </c>
      <c r="G30" s="353"/>
      <c r="H30" s="353"/>
      <c r="I30" s="145" t="e">
        <f>INDEX(#REF!,MATCH(A30,#REF!,0),0)</f>
        <v>#REF!</v>
      </c>
      <c r="J30" s="144" t="e">
        <f>INDEX(#REF!,MATCH(A30,#REF!,0),0)</f>
        <v>#REF!</v>
      </c>
      <c r="K30" s="142">
        <v>6.51</v>
      </c>
      <c r="L30" s="143" t="e">
        <f>INDEX(#REF!,MATCH(A30,#REF!,0),0)</f>
        <v>#REF!</v>
      </c>
      <c r="M30" s="12">
        <f t="shared" si="10"/>
        <v>1.25</v>
      </c>
      <c r="N30" s="13" t="e">
        <f t="shared" si="11"/>
        <v>#REF!</v>
      </c>
      <c r="O30" s="13" t="e">
        <f t="shared" si="12"/>
        <v>#REF!</v>
      </c>
      <c r="Q30" s="143" t="e">
        <f>INDEX(#REF!,MATCH(A30,#REF!,0),0)</f>
        <v>#REF!</v>
      </c>
      <c r="R30" s="12">
        <f t="shared" si="13"/>
        <v>1.2757000000000001</v>
      </c>
      <c r="S30" s="13" t="e">
        <f t="shared" si="16"/>
        <v>#REF!</v>
      </c>
      <c r="T30" s="13" t="e">
        <f t="shared" si="17"/>
        <v>#REF!</v>
      </c>
    </row>
    <row r="31" spans="1:20" ht="20.25" customHeight="1">
      <c r="C31" s="341"/>
      <c r="D31" s="436" t="s">
        <v>34</v>
      </c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8"/>
      <c r="Q31" s="143"/>
      <c r="R31" s="12"/>
      <c r="S31" s="13"/>
      <c r="T31" s="13"/>
    </row>
    <row r="32" spans="1:20" ht="28.5" customHeight="1">
      <c r="A32" s="63" t="str">
        <f t="shared" ref="A32" si="25">B32&amp;C32</f>
        <v>CDHU04.01.040</v>
      </c>
      <c r="B32" s="17" t="s">
        <v>29</v>
      </c>
      <c r="C32" s="341" t="s">
        <v>33</v>
      </c>
      <c r="D32" s="11">
        <f t="shared" si="9"/>
        <v>2</v>
      </c>
      <c r="E32" s="353" t="s">
        <v>22</v>
      </c>
      <c r="F32" s="353">
        <f>F30+1</f>
        <v>8</v>
      </c>
      <c r="G32" s="353"/>
      <c r="H32" s="353"/>
      <c r="I32" s="145" t="e">
        <f>INDEX(#REF!,MATCH(A32,#REF!,0),0)</f>
        <v>#REF!</v>
      </c>
      <c r="J32" s="144" t="e">
        <f>INDEX(#REF!,MATCH(A32,#REF!,0),0)</f>
        <v>#REF!</v>
      </c>
      <c r="K32" s="142">
        <v>6.3</v>
      </c>
      <c r="L32" s="143" t="e">
        <f>INDEX(#REF!,MATCH(A32,#REF!,0),0)</f>
        <v>#REF!</v>
      </c>
      <c r="M32" s="12">
        <f t="shared" si="10"/>
        <v>1.25</v>
      </c>
      <c r="N32" s="13" t="e">
        <f t="shared" ref="N32" si="26">ROUND(L32*M32,2)</f>
        <v>#REF!</v>
      </c>
      <c r="O32" s="13" t="e">
        <f t="shared" ref="O32" si="27">ROUND(K32*N32,2)</f>
        <v>#REF!</v>
      </c>
      <c r="Q32" s="143" t="e">
        <f>INDEX(#REF!,MATCH(A32,#REF!,0),0)</f>
        <v>#REF!</v>
      </c>
      <c r="R32" s="12">
        <f t="shared" si="13"/>
        <v>1.2757000000000001</v>
      </c>
      <c r="S32" s="13" t="e">
        <f t="shared" ref="S32" si="28">ROUND(Q32*R32,2)</f>
        <v>#REF!</v>
      </c>
      <c r="T32" s="13" t="e">
        <f t="shared" ref="T32" si="29">ROUND(K32*S32,2)</f>
        <v>#REF!</v>
      </c>
    </row>
    <row r="33" spans="1:20" ht="20.25" customHeight="1">
      <c r="C33" s="341"/>
      <c r="D33" s="436" t="s">
        <v>35</v>
      </c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8"/>
      <c r="Q33" s="143"/>
      <c r="R33" s="12"/>
      <c r="S33" s="13"/>
      <c r="T33" s="13"/>
    </row>
    <row r="34" spans="1:20" ht="28.5" customHeight="1">
      <c r="A34" s="63" t="str">
        <f>B34&amp;C34</f>
        <v>SIURB EDIF17050015</v>
      </c>
      <c r="B34" s="17" t="s">
        <v>24</v>
      </c>
      <c r="C34" s="341">
        <v>17050015</v>
      </c>
      <c r="D34" s="11">
        <f t="shared" si="9"/>
        <v>2</v>
      </c>
      <c r="E34" s="353" t="s">
        <v>22</v>
      </c>
      <c r="F34" s="353">
        <f>F32+1</f>
        <v>9</v>
      </c>
      <c r="G34" s="353"/>
      <c r="H34" s="353"/>
      <c r="I34" s="145" t="e">
        <f>INDEX(#REF!,MATCH(A34,#REF!,0),0)</f>
        <v>#REF!</v>
      </c>
      <c r="J34" s="144" t="e">
        <f>INDEX(#REF!,MATCH(A34,#REF!,0),0)</f>
        <v>#REF!</v>
      </c>
      <c r="K34" s="142">
        <v>24.85</v>
      </c>
      <c r="L34" s="143" t="e">
        <f>INDEX(#REF!,MATCH(A34,#REF!,0),0)</f>
        <v>#REF!</v>
      </c>
      <c r="M34" s="12">
        <f t="shared" si="10"/>
        <v>1.25</v>
      </c>
      <c r="N34" s="13" t="e">
        <f t="shared" ref="N34" si="30">ROUND(L34*M34,2)</f>
        <v>#REF!</v>
      </c>
      <c r="O34" s="13" t="e">
        <f t="shared" ref="O34" si="31">ROUND(K34*N34,2)</f>
        <v>#REF!</v>
      </c>
      <c r="Q34" s="143" t="e">
        <f>INDEX(#REF!,MATCH(A34,#REF!,0),0)</f>
        <v>#REF!</v>
      </c>
      <c r="R34" s="12">
        <f t="shared" si="13"/>
        <v>1.2757000000000001</v>
      </c>
      <c r="S34" s="13" t="e">
        <f t="shared" ref="S34" si="32">ROUND(Q34*R34,2)</f>
        <v>#REF!</v>
      </c>
      <c r="T34" s="13" t="e">
        <f t="shared" ref="T34" si="33">ROUND(K34*S34,2)</f>
        <v>#REF!</v>
      </c>
    </row>
    <row r="35" spans="1:20" ht="20.25" customHeight="1">
      <c r="C35" s="341"/>
      <c r="D35" s="436" t="s">
        <v>36</v>
      </c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8"/>
      <c r="Q35" s="143"/>
      <c r="R35" s="12"/>
      <c r="S35" s="13"/>
      <c r="T35" s="13"/>
    </row>
    <row r="36" spans="1:20" ht="28.5" customHeight="1">
      <c r="A36" s="63" t="str">
        <f>B36&amp;C36</f>
        <v>SIURB EDIF13050001</v>
      </c>
      <c r="B36" s="17" t="s">
        <v>24</v>
      </c>
      <c r="C36" s="341">
        <v>13050001</v>
      </c>
      <c r="D36" s="11">
        <f t="shared" si="9"/>
        <v>2</v>
      </c>
      <c r="E36" s="353" t="s">
        <v>22</v>
      </c>
      <c r="F36" s="353">
        <f>F34+1</f>
        <v>10</v>
      </c>
      <c r="G36" s="353"/>
      <c r="H36" s="353"/>
      <c r="I36" s="145" t="e">
        <f>INDEX(#REF!,MATCH(A36,#REF!,0),0)</f>
        <v>#REF!</v>
      </c>
      <c r="J36" s="144" t="e">
        <f>INDEX(#REF!,MATCH(A36,#REF!,0),0)</f>
        <v>#REF!</v>
      </c>
      <c r="K36" s="142">
        <v>9.85</v>
      </c>
      <c r="L36" s="143" t="e">
        <f>INDEX(#REF!,MATCH(A36,#REF!,0),0)</f>
        <v>#REF!</v>
      </c>
      <c r="M36" s="12">
        <f t="shared" si="10"/>
        <v>1.25</v>
      </c>
      <c r="N36" s="13" t="e">
        <f t="shared" ref="N36" si="34">ROUND(L36*M36,2)</f>
        <v>#REF!</v>
      </c>
      <c r="O36" s="13" t="e">
        <f t="shared" ref="O36" si="35">ROUND(K36*N36,2)</f>
        <v>#REF!</v>
      </c>
      <c r="Q36" s="143" t="e">
        <f>INDEX(#REF!,MATCH(A36,#REF!,0),0)</f>
        <v>#REF!</v>
      </c>
      <c r="R36" s="12">
        <f t="shared" si="13"/>
        <v>1.2757000000000001</v>
      </c>
      <c r="S36" s="13" t="e">
        <f t="shared" ref="S36" si="36">ROUND(Q36*R36,2)</f>
        <v>#REF!</v>
      </c>
      <c r="T36" s="13" t="e">
        <f t="shared" ref="T36" si="37">ROUND(K36*S36,2)</f>
        <v>#REF!</v>
      </c>
    </row>
    <row r="37" spans="1:20" ht="20.25" customHeight="1">
      <c r="C37" s="341"/>
      <c r="D37" s="436" t="s">
        <v>37</v>
      </c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8"/>
      <c r="Q37" s="143"/>
      <c r="R37" s="12"/>
      <c r="S37" s="13"/>
      <c r="T37" s="13"/>
    </row>
    <row r="38" spans="1:20" ht="28.5" customHeight="1">
      <c r="A38" s="63" t="str">
        <f>B38&amp;C38</f>
        <v>FDE08.60.013</v>
      </c>
      <c r="B38" s="17" t="s">
        <v>38</v>
      </c>
      <c r="C38" s="341" t="s">
        <v>39</v>
      </c>
      <c r="D38" s="11">
        <f t="shared" si="9"/>
        <v>2</v>
      </c>
      <c r="E38" s="353" t="s">
        <v>22</v>
      </c>
      <c r="F38" s="353">
        <f>F36+1</f>
        <v>11</v>
      </c>
      <c r="G38" s="353"/>
      <c r="H38" s="353"/>
      <c r="I38" s="145" t="e">
        <f>INDEX(#REF!,MATCH(A38,#REF!,0),0)</f>
        <v>#REF!</v>
      </c>
      <c r="J38" s="144" t="e">
        <f>INDEX(#REF!,MATCH(A38,#REF!,0),0)</f>
        <v>#REF!</v>
      </c>
      <c r="K38" s="142">
        <v>3</v>
      </c>
      <c r="L38" s="143" t="e">
        <f>INDEX(#REF!,MATCH(A38,#REF!,0),0)</f>
        <v>#REF!</v>
      </c>
      <c r="M38" s="12">
        <f t="shared" si="10"/>
        <v>1.25</v>
      </c>
      <c r="N38" s="13" t="e">
        <f t="shared" ref="N38" si="38">ROUND(L38*M38,2)</f>
        <v>#REF!</v>
      </c>
      <c r="O38" s="13" t="e">
        <f t="shared" ref="O38" si="39">ROUND(K38*N38,2)</f>
        <v>#REF!</v>
      </c>
      <c r="Q38" s="143" t="e">
        <f>INDEX(#REF!,MATCH(A38,#REF!,0),0)</f>
        <v>#REF!</v>
      </c>
      <c r="R38" s="12">
        <f t="shared" si="13"/>
        <v>1.2757000000000001</v>
      </c>
      <c r="S38" s="13" t="e">
        <f t="shared" ref="S38" si="40">ROUND(Q38*R38,2)</f>
        <v>#REF!</v>
      </c>
      <c r="T38" s="13" t="e">
        <f t="shared" ref="T38" si="41">ROUND(K38*S38,2)</f>
        <v>#REF!</v>
      </c>
    </row>
    <row r="39" spans="1:20" ht="20.25" customHeight="1">
      <c r="C39" s="341"/>
      <c r="D39" s="436" t="s">
        <v>40</v>
      </c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8"/>
      <c r="Q39" s="143"/>
      <c r="R39" s="12"/>
      <c r="S39" s="13"/>
      <c r="T39" s="13"/>
    </row>
    <row r="40" spans="1:20" ht="28.5" customHeight="1">
      <c r="A40" s="63" t="str">
        <f>B40&amp;C40</f>
        <v>SIURB EDIF1001007</v>
      </c>
      <c r="B40" s="17" t="s">
        <v>24</v>
      </c>
      <c r="C40" s="341">
        <v>1001007</v>
      </c>
      <c r="D40" s="11">
        <f t="shared" si="9"/>
        <v>2</v>
      </c>
      <c r="E40" s="353" t="s">
        <v>22</v>
      </c>
      <c r="F40" s="353">
        <f>F38+1</f>
        <v>12</v>
      </c>
      <c r="G40" s="353"/>
      <c r="H40" s="353"/>
      <c r="I40" s="145" t="e">
        <f>INDEX(#REF!,MATCH(A40,#REF!,0),0)</f>
        <v>#REF!</v>
      </c>
      <c r="J40" s="144" t="e">
        <f>INDEX(#REF!,MATCH(A40,#REF!,0),0)</f>
        <v>#REF!</v>
      </c>
      <c r="K40" s="142">
        <v>16.79</v>
      </c>
      <c r="L40" s="143" t="e">
        <f>INDEX(#REF!,MATCH(A40,#REF!,0),0)</f>
        <v>#REF!</v>
      </c>
      <c r="M40" s="12">
        <f t="shared" si="10"/>
        <v>1.25</v>
      </c>
      <c r="N40" s="13" t="e">
        <f t="shared" ref="N40" si="42">ROUND(L40*M40,2)</f>
        <v>#REF!</v>
      </c>
      <c r="O40" s="13" t="e">
        <f t="shared" ref="O40" si="43">ROUND(K40*N40,2)</f>
        <v>#REF!</v>
      </c>
      <c r="Q40" s="143" t="e">
        <f>INDEX(#REF!,MATCH(A40,#REF!,0),0)</f>
        <v>#REF!</v>
      </c>
      <c r="R40" s="12">
        <f t="shared" si="13"/>
        <v>1.2757000000000001</v>
      </c>
      <c r="S40" s="13" t="e">
        <f t="shared" ref="S40" si="44">ROUND(Q40*R40,2)</f>
        <v>#REF!</v>
      </c>
      <c r="T40" s="13" t="e">
        <f t="shared" ref="T40" si="45">ROUND(K40*S40,2)</f>
        <v>#REF!</v>
      </c>
    </row>
    <row r="41" spans="1:20" s="170" customFormat="1" ht="12.75">
      <c r="A41" s="63" t="str">
        <f t="shared" ref="A41:A46" si="46">B41&amp;C41</f>
        <v/>
      </c>
      <c r="B41" s="17"/>
      <c r="C41" s="341"/>
      <c r="D41" s="10"/>
      <c r="E41" s="347"/>
      <c r="F41" s="347"/>
      <c r="G41" s="347"/>
      <c r="H41" s="347"/>
      <c r="I41" s="434" t="s">
        <v>25</v>
      </c>
      <c r="J41" s="434"/>
      <c r="K41" s="434"/>
      <c r="L41" s="434"/>
      <c r="M41" s="434"/>
      <c r="N41" s="434"/>
      <c r="O41" s="352" t="e">
        <f>SUM(O23:O40)</f>
        <v>#REF!</v>
      </c>
      <c r="Q41" s="349"/>
      <c r="R41" s="350"/>
      <c r="S41" s="351"/>
      <c r="T41" s="352" t="e">
        <f>SUM(T23:T40)</f>
        <v>#REF!</v>
      </c>
    </row>
    <row r="42" spans="1:20" s="170" customFormat="1" ht="19.5" customHeight="1">
      <c r="A42" s="63" t="str">
        <f t="shared" si="46"/>
        <v/>
      </c>
      <c r="B42" s="17"/>
      <c r="C42" s="341"/>
      <c r="D42" s="10">
        <v>3</v>
      </c>
      <c r="E42" s="347" t="s">
        <v>22</v>
      </c>
      <c r="F42" s="347">
        <v>0</v>
      </c>
      <c r="G42" s="347"/>
      <c r="H42" s="347"/>
      <c r="I42" s="348" t="s">
        <v>41</v>
      </c>
      <c r="J42" s="347"/>
      <c r="K42" s="349"/>
      <c r="L42" s="349"/>
      <c r="M42" s="350"/>
      <c r="N42" s="351"/>
      <c r="O42" s="352"/>
      <c r="Q42" s="349"/>
      <c r="R42" s="350"/>
      <c r="S42" s="351"/>
      <c r="T42" s="352"/>
    </row>
    <row r="43" spans="1:20" ht="20.25" customHeight="1">
      <c r="C43" s="341"/>
      <c r="D43" s="436" t="s">
        <v>27</v>
      </c>
      <c r="E43" s="437"/>
      <c r="F43" s="437"/>
      <c r="G43" s="437"/>
      <c r="H43" s="437"/>
      <c r="I43" s="437"/>
      <c r="J43" s="437"/>
      <c r="K43" s="437"/>
      <c r="L43" s="437"/>
      <c r="M43" s="437"/>
      <c r="N43" s="437"/>
      <c r="O43" s="438"/>
      <c r="Q43" s="143"/>
      <c r="R43" s="12"/>
      <c r="S43" s="13"/>
      <c r="T43" s="13"/>
    </row>
    <row r="44" spans="1:20" ht="38.25" customHeight="1">
      <c r="A44" s="63" t="str">
        <f t="shared" si="46"/>
        <v>SIURB EDIF10014075</v>
      </c>
      <c r="B44" s="17" t="s">
        <v>24</v>
      </c>
      <c r="C44" s="341">
        <v>10014075</v>
      </c>
      <c r="D44" s="11">
        <f>$D$42</f>
        <v>3</v>
      </c>
      <c r="E44" s="353" t="s">
        <v>22</v>
      </c>
      <c r="F44" s="353">
        <v>1</v>
      </c>
      <c r="G44" s="353"/>
      <c r="H44" s="353"/>
      <c r="I44" s="145" t="e">
        <f>INDEX(#REF!,MATCH(A44,#REF!,0),0)</f>
        <v>#REF!</v>
      </c>
      <c r="J44" s="144" t="e">
        <f>INDEX(#REF!,MATCH(A44,#REF!,0),0)</f>
        <v>#REF!</v>
      </c>
      <c r="K44" s="142">
        <v>1.2</v>
      </c>
      <c r="L44" s="143" t="e">
        <f>INDEX(#REF!,MATCH(A44,#REF!,0),0)</f>
        <v>#REF!</v>
      </c>
      <c r="M44" s="12">
        <f t="shared" ref="M44:M84" si="47">1+$O$11</f>
        <v>1.25</v>
      </c>
      <c r="N44" s="13" t="e">
        <f t="shared" ref="N44:N46" si="48">ROUND(L44*M44,2)</f>
        <v>#REF!</v>
      </c>
      <c r="O44" s="13" t="e">
        <f t="shared" ref="O44:O46" si="49">ROUND(K44*N44,2)</f>
        <v>#REF!</v>
      </c>
      <c r="Q44" s="143" t="e">
        <f>INDEX(#REF!,MATCH(A44,#REF!,0),0)</f>
        <v>#REF!</v>
      </c>
      <c r="R44" s="12">
        <f t="shared" ref="R44:R84" si="50">1+$T$11</f>
        <v>1.2757000000000001</v>
      </c>
      <c r="S44" s="13" t="e">
        <f>ROUND(Q44*R44,2)</f>
        <v>#REF!</v>
      </c>
      <c r="T44" s="13" t="e">
        <f>ROUND(K44*S44,2)</f>
        <v>#REF!</v>
      </c>
    </row>
    <row r="45" spans="1:20" ht="38.25" customHeight="1">
      <c r="A45" s="63" t="str">
        <f t="shared" si="46"/>
        <v>SIURB EDIF13002043</v>
      </c>
      <c r="B45" s="17" t="s">
        <v>24</v>
      </c>
      <c r="C45" s="341">
        <v>13002043</v>
      </c>
      <c r="D45" s="11">
        <f t="shared" ref="D45:D84" si="51">$D$42</f>
        <v>3</v>
      </c>
      <c r="E45" s="353" t="s">
        <v>22</v>
      </c>
      <c r="F45" s="353">
        <v>2</v>
      </c>
      <c r="G45" s="353"/>
      <c r="H45" s="353"/>
      <c r="I45" s="145" t="e">
        <f>INDEX(#REF!,MATCH(A45,#REF!,0),0)</f>
        <v>#REF!</v>
      </c>
      <c r="J45" s="144" t="e">
        <f>INDEX(#REF!,MATCH(A45,#REF!,0),0)</f>
        <v>#REF!</v>
      </c>
      <c r="K45" s="142">
        <v>0.9</v>
      </c>
      <c r="L45" s="143" t="e">
        <f>INDEX(#REF!,MATCH(A45,#REF!,0),0)</f>
        <v>#REF!</v>
      </c>
      <c r="M45" s="12">
        <f t="shared" si="47"/>
        <v>1.25</v>
      </c>
      <c r="N45" s="13" t="e">
        <f t="shared" si="48"/>
        <v>#REF!</v>
      </c>
      <c r="O45" s="13" t="e">
        <f t="shared" si="49"/>
        <v>#REF!</v>
      </c>
      <c r="Q45" s="143" t="e">
        <f>INDEX(#REF!,MATCH(A45,#REF!,0),0)</f>
        <v>#REF!</v>
      </c>
      <c r="R45" s="12">
        <f t="shared" si="50"/>
        <v>1.2757000000000001</v>
      </c>
      <c r="S45" s="13" t="e">
        <f t="shared" ref="S45:S46" si="52">ROUND(Q45*R45,2)</f>
        <v>#REF!</v>
      </c>
      <c r="T45" s="13" t="e">
        <f t="shared" ref="T45:T46" si="53">ROUND(K45*S45,2)</f>
        <v>#REF!</v>
      </c>
    </row>
    <row r="46" spans="1:20" ht="38.25" customHeight="1">
      <c r="A46" s="63" t="str">
        <f t="shared" si="46"/>
        <v>CDHU26.20.020</v>
      </c>
      <c r="B46" s="17" t="s">
        <v>29</v>
      </c>
      <c r="C46" s="341" t="s">
        <v>42</v>
      </c>
      <c r="D46" s="11">
        <f t="shared" si="51"/>
        <v>3</v>
      </c>
      <c r="E46" s="353" t="s">
        <v>22</v>
      </c>
      <c r="F46" s="353">
        <v>3</v>
      </c>
      <c r="G46" s="353"/>
      <c r="H46" s="353"/>
      <c r="I46" s="145" t="e">
        <f>INDEX(#REF!,MATCH(A46,#REF!,0),0)</f>
        <v>#REF!</v>
      </c>
      <c r="J46" s="144" t="e">
        <f>INDEX(#REF!,MATCH(A46,#REF!,0),0)</f>
        <v>#REF!</v>
      </c>
      <c r="K46" s="142">
        <v>2</v>
      </c>
      <c r="L46" s="143" t="e">
        <f>INDEX(#REF!,MATCH(A46,#REF!,0),0)</f>
        <v>#REF!</v>
      </c>
      <c r="M46" s="12">
        <f t="shared" si="47"/>
        <v>1.25</v>
      </c>
      <c r="N46" s="13" t="e">
        <f t="shared" si="48"/>
        <v>#REF!</v>
      </c>
      <c r="O46" s="13" t="e">
        <f t="shared" si="49"/>
        <v>#REF!</v>
      </c>
      <c r="Q46" s="143" t="e">
        <f>INDEX(#REF!,MATCH(A46,#REF!,0),0)</f>
        <v>#REF!</v>
      </c>
      <c r="R46" s="12">
        <f t="shared" si="50"/>
        <v>1.2757000000000001</v>
      </c>
      <c r="S46" s="13" t="e">
        <f t="shared" si="52"/>
        <v>#REF!</v>
      </c>
      <c r="T46" s="13" t="e">
        <f t="shared" si="53"/>
        <v>#REF!</v>
      </c>
    </row>
    <row r="47" spans="1:20" ht="20.25" customHeight="1">
      <c r="C47" s="341"/>
      <c r="D47" s="436" t="s">
        <v>31</v>
      </c>
      <c r="E47" s="437"/>
      <c r="F47" s="437"/>
      <c r="G47" s="437"/>
      <c r="H47" s="437"/>
      <c r="I47" s="437"/>
      <c r="J47" s="437"/>
      <c r="K47" s="437"/>
      <c r="L47" s="437"/>
      <c r="M47" s="437"/>
      <c r="N47" s="437"/>
      <c r="O47" s="438"/>
      <c r="Q47" s="143"/>
      <c r="R47" s="12"/>
      <c r="S47" s="13"/>
      <c r="T47" s="13"/>
    </row>
    <row r="48" spans="1:20" ht="38.25" customHeight="1">
      <c r="A48" s="63" t="str">
        <f t="shared" ref="A48:A50" si="54">B48&amp;C48</f>
        <v>SIURB EDIF10014075</v>
      </c>
      <c r="B48" s="17" t="s">
        <v>24</v>
      </c>
      <c r="C48" s="341">
        <v>10014075</v>
      </c>
      <c r="D48" s="11">
        <f>$D$42</f>
        <v>3</v>
      </c>
      <c r="E48" s="353" t="s">
        <v>22</v>
      </c>
      <c r="F48" s="353">
        <v>4</v>
      </c>
      <c r="G48" s="353"/>
      <c r="H48" s="353"/>
      <c r="I48" s="145" t="e">
        <f>INDEX(#REF!,MATCH(A48,#REF!,0),0)</f>
        <v>#REF!</v>
      </c>
      <c r="J48" s="144" t="e">
        <f>INDEX(#REF!,MATCH(A48,#REF!,0),0)</f>
        <v>#REF!</v>
      </c>
      <c r="K48" s="142">
        <v>0.6</v>
      </c>
      <c r="L48" s="143" t="e">
        <f>INDEX(#REF!,MATCH(A48,#REF!,0),0)</f>
        <v>#REF!</v>
      </c>
      <c r="M48" s="12">
        <f t="shared" si="47"/>
        <v>1.25</v>
      </c>
      <c r="N48" s="13" t="e">
        <f t="shared" ref="N48:N50" si="55">ROUND(L48*M48,2)</f>
        <v>#REF!</v>
      </c>
      <c r="O48" s="13" t="e">
        <f t="shared" ref="O48:O50" si="56">ROUND(K48*N48,2)</f>
        <v>#REF!</v>
      </c>
      <c r="Q48" s="143" t="e">
        <f>INDEX(#REF!,MATCH(A48,#REF!,0),0)</f>
        <v>#REF!</v>
      </c>
      <c r="R48" s="12">
        <f t="shared" si="50"/>
        <v>1.2757000000000001</v>
      </c>
      <c r="S48" s="13" t="e">
        <f>ROUND(Q48*R48,2)</f>
        <v>#REF!</v>
      </c>
      <c r="T48" s="13" t="e">
        <f>ROUND(K48*S48,2)</f>
        <v>#REF!</v>
      </c>
    </row>
    <row r="49" spans="1:20" ht="38.25" customHeight="1">
      <c r="A49" s="63" t="str">
        <f t="shared" si="54"/>
        <v>SIURB EDIF13002043</v>
      </c>
      <c r="B49" s="17" t="s">
        <v>24</v>
      </c>
      <c r="C49" s="341">
        <v>13002043</v>
      </c>
      <c r="D49" s="11">
        <f t="shared" si="51"/>
        <v>3</v>
      </c>
      <c r="E49" s="353" t="s">
        <v>22</v>
      </c>
      <c r="F49" s="353">
        <v>5</v>
      </c>
      <c r="G49" s="353"/>
      <c r="H49" s="353"/>
      <c r="I49" s="145" t="e">
        <f>INDEX(#REF!,MATCH(A49,#REF!,0),0)</f>
        <v>#REF!</v>
      </c>
      <c r="J49" s="144" t="e">
        <f>INDEX(#REF!,MATCH(A49,#REF!,0),0)</f>
        <v>#REF!</v>
      </c>
      <c r="K49" s="142">
        <v>0.76</v>
      </c>
      <c r="L49" s="143" t="e">
        <f>INDEX(#REF!,MATCH(A49,#REF!,0),0)</f>
        <v>#REF!</v>
      </c>
      <c r="M49" s="12">
        <f t="shared" si="47"/>
        <v>1.25</v>
      </c>
      <c r="N49" s="13" t="e">
        <f t="shared" si="55"/>
        <v>#REF!</v>
      </c>
      <c r="O49" s="13" t="e">
        <f t="shared" si="56"/>
        <v>#REF!</v>
      </c>
      <c r="Q49" s="143" t="e">
        <f>INDEX(#REF!,MATCH(A49,#REF!,0),0)</f>
        <v>#REF!</v>
      </c>
      <c r="R49" s="12">
        <f t="shared" si="50"/>
        <v>1.2757000000000001</v>
      </c>
      <c r="S49" s="13" t="e">
        <f t="shared" ref="S49:S50" si="57">ROUND(Q49*R49,2)</f>
        <v>#REF!</v>
      </c>
      <c r="T49" s="13" t="e">
        <f t="shared" ref="T49:T50" si="58">ROUND(K49*S49,2)</f>
        <v>#REF!</v>
      </c>
    </row>
    <row r="50" spans="1:20" ht="38.25" customHeight="1">
      <c r="A50" s="63" t="str">
        <f t="shared" si="54"/>
        <v>CDHU26.20.020</v>
      </c>
      <c r="B50" s="17" t="s">
        <v>29</v>
      </c>
      <c r="C50" s="341" t="s">
        <v>42</v>
      </c>
      <c r="D50" s="11">
        <f t="shared" si="51"/>
        <v>3</v>
      </c>
      <c r="E50" s="353" t="s">
        <v>22</v>
      </c>
      <c r="F50" s="353">
        <v>6</v>
      </c>
      <c r="G50" s="353"/>
      <c r="H50" s="353"/>
      <c r="I50" s="145" t="e">
        <f>INDEX(#REF!,MATCH(A50,#REF!,0),0)</f>
        <v>#REF!</v>
      </c>
      <c r="J50" s="144" t="e">
        <f>INDEX(#REF!,MATCH(A50,#REF!,0),0)</f>
        <v>#REF!</v>
      </c>
      <c r="K50" s="142">
        <v>1</v>
      </c>
      <c r="L50" s="143" t="e">
        <f>INDEX(#REF!,MATCH(A50,#REF!,0),0)</f>
        <v>#REF!</v>
      </c>
      <c r="M50" s="12">
        <f t="shared" si="47"/>
        <v>1.25</v>
      </c>
      <c r="N50" s="13" t="e">
        <f t="shared" si="55"/>
        <v>#REF!</v>
      </c>
      <c r="O50" s="13" t="e">
        <f t="shared" si="56"/>
        <v>#REF!</v>
      </c>
      <c r="Q50" s="143" t="e">
        <f>INDEX(#REF!,MATCH(A50,#REF!,0),0)</f>
        <v>#REF!</v>
      </c>
      <c r="R50" s="12">
        <f t="shared" si="50"/>
        <v>1.2757000000000001</v>
      </c>
      <c r="S50" s="13" t="e">
        <f t="shared" si="57"/>
        <v>#REF!</v>
      </c>
      <c r="T50" s="13" t="e">
        <f t="shared" si="58"/>
        <v>#REF!</v>
      </c>
    </row>
    <row r="51" spans="1:20" ht="20.25" customHeight="1">
      <c r="C51" s="341"/>
      <c r="D51" s="436" t="s">
        <v>32</v>
      </c>
      <c r="E51" s="437"/>
      <c r="F51" s="437"/>
      <c r="G51" s="437"/>
      <c r="H51" s="437"/>
      <c r="I51" s="437"/>
      <c r="J51" s="437"/>
      <c r="K51" s="437"/>
      <c r="L51" s="437"/>
      <c r="M51" s="437"/>
      <c r="N51" s="437"/>
      <c r="O51" s="438"/>
      <c r="Q51" s="143"/>
      <c r="R51" s="12"/>
      <c r="S51" s="13"/>
      <c r="T51" s="13"/>
    </row>
    <row r="52" spans="1:20" ht="38.25" customHeight="1">
      <c r="A52" s="63" t="str">
        <f t="shared" ref="A52:A55" si="59">B52&amp;C52</f>
        <v>SIURB EDIF4001051</v>
      </c>
      <c r="B52" s="17" t="s">
        <v>24</v>
      </c>
      <c r="C52" s="341">
        <v>4001051</v>
      </c>
      <c r="D52" s="11">
        <f>$D$42</f>
        <v>3</v>
      </c>
      <c r="E52" s="353" t="s">
        <v>22</v>
      </c>
      <c r="F52" s="353">
        <v>7</v>
      </c>
      <c r="G52" s="353"/>
      <c r="H52" s="353"/>
      <c r="I52" s="145" t="e">
        <f>INDEX(#REF!,MATCH(A52,#REF!,0),0)</f>
        <v>#REF!</v>
      </c>
      <c r="J52" s="144" t="e">
        <f>INDEX(#REF!,MATCH(A52,#REF!,0),0)</f>
        <v>#REF!</v>
      </c>
      <c r="K52" s="142">
        <v>1.17</v>
      </c>
      <c r="L52" s="143" t="e">
        <f>INDEX(#REF!,MATCH(A52,#REF!,0),0)</f>
        <v>#REF!</v>
      </c>
      <c r="M52" s="12">
        <f t="shared" si="47"/>
        <v>1.25</v>
      </c>
      <c r="N52" s="13" t="e">
        <f t="shared" ref="N52:N55" si="60">ROUND(L52*M52,2)</f>
        <v>#REF!</v>
      </c>
      <c r="O52" s="13" t="e">
        <f t="shared" ref="O52:O55" si="61">ROUND(K52*N52,2)</f>
        <v>#REF!</v>
      </c>
      <c r="Q52" s="143" t="e">
        <f>INDEX(#REF!,MATCH(A52,#REF!,0),0)</f>
        <v>#REF!</v>
      </c>
      <c r="R52" s="12">
        <f t="shared" si="50"/>
        <v>1.2757000000000001</v>
      </c>
      <c r="S52" s="13" t="e">
        <f>ROUND(Q52*R52,2)</f>
        <v>#REF!</v>
      </c>
      <c r="T52" s="13" t="e">
        <f>ROUND(K52*S52,2)</f>
        <v>#REF!</v>
      </c>
    </row>
    <row r="53" spans="1:20" ht="38.25" customHeight="1">
      <c r="A53" s="63" t="str">
        <f t="shared" si="59"/>
        <v>SIURB EDIF11002001</v>
      </c>
      <c r="B53" s="17" t="s">
        <v>24</v>
      </c>
      <c r="C53" s="341">
        <v>11002001</v>
      </c>
      <c r="D53" s="11">
        <f t="shared" si="51"/>
        <v>3</v>
      </c>
      <c r="E53" s="353" t="s">
        <v>22</v>
      </c>
      <c r="F53" s="353">
        <v>8</v>
      </c>
      <c r="G53" s="353"/>
      <c r="H53" s="353"/>
      <c r="I53" s="145" t="e">
        <f>INDEX(#REF!,MATCH(A53,#REF!,0),0)</f>
        <v>#REF!</v>
      </c>
      <c r="J53" s="144" t="e">
        <f>INDEX(#REF!,MATCH(A53,#REF!,0),0)</f>
        <v>#REF!</v>
      </c>
      <c r="K53" s="142">
        <v>3.5</v>
      </c>
      <c r="L53" s="143" t="e">
        <f>INDEX(#REF!,MATCH(A53,#REF!,0),0)</f>
        <v>#REF!</v>
      </c>
      <c r="M53" s="12">
        <f t="shared" si="47"/>
        <v>1.25</v>
      </c>
      <c r="N53" s="13" t="e">
        <f t="shared" si="60"/>
        <v>#REF!</v>
      </c>
      <c r="O53" s="13" t="e">
        <f t="shared" si="61"/>
        <v>#REF!</v>
      </c>
      <c r="Q53" s="143" t="e">
        <f>INDEX(#REF!,MATCH(A53,#REF!,0),0)</f>
        <v>#REF!</v>
      </c>
      <c r="R53" s="12">
        <f t="shared" si="50"/>
        <v>1.2757000000000001</v>
      </c>
      <c r="S53" s="13" t="e">
        <f t="shared" ref="S53:S55" si="62">ROUND(Q53*R53,2)</f>
        <v>#REF!</v>
      </c>
      <c r="T53" s="13" t="e">
        <f t="shared" ref="T53:T55" si="63">ROUND(K53*S53,2)</f>
        <v>#REF!</v>
      </c>
    </row>
    <row r="54" spans="1:20" ht="38.25" customHeight="1">
      <c r="A54" s="63" t="str">
        <f t="shared" si="59"/>
        <v>SIURB EDIF11002010</v>
      </c>
      <c r="B54" s="17" t="s">
        <v>24</v>
      </c>
      <c r="C54" s="341">
        <v>11002010</v>
      </c>
      <c r="D54" s="11">
        <f t="shared" si="51"/>
        <v>3</v>
      </c>
      <c r="E54" s="353" t="s">
        <v>22</v>
      </c>
      <c r="F54" s="353">
        <v>9</v>
      </c>
      <c r="G54" s="353"/>
      <c r="H54" s="353"/>
      <c r="I54" s="145" t="e">
        <f>INDEX(#REF!,MATCH(A54,#REF!,0),0)</f>
        <v>#REF!</v>
      </c>
      <c r="J54" s="144" t="e">
        <f>INDEX(#REF!,MATCH(A54,#REF!,0),0)</f>
        <v>#REF!</v>
      </c>
      <c r="K54" s="142">
        <v>3.5</v>
      </c>
      <c r="L54" s="143" t="e">
        <f>INDEX(#REF!,MATCH(A54,#REF!,0),0)</f>
        <v>#REF!</v>
      </c>
      <c r="M54" s="12">
        <f t="shared" si="47"/>
        <v>1.25</v>
      </c>
      <c r="N54" s="13" t="e">
        <f t="shared" si="60"/>
        <v>#REF!</v>
      </c>
      <c r="O54" s="13" t="e">
        <f t="shared" si="61"/>
        <v>#REF!</v>
      </c>
      <c r="Q54" s="143" t="e">
        <f>INDEX(#REF!,MATCH(A54,#REF!,0),0)</f>
        <v>#REF!</v>
      </c>
      <c r="R54" s="12">
        <f t="shared" si="50"/>
        <v>1.2757000000000001</v>
      </c>
      <c r="S54" s="13" t="e">
        <f t="shared" si="62"/>
        <v>#REF!</v>
      </c>
      <c r="T54" s="13" t="e">
        <f t="shared" si="63"/>
        <v>#REF!</v>
      </c>
    </row>
    <row r="55" spans="1:20" ht="38.25" customHeight="1">
      <c r="A55" s="63" t="str">
        <f t="shared" si="59"/>
        <v>SIURB EDIF13003004</v>
      </c>
      <c r="B55" s="17" t="s">
        <v>24</v>
      </c>
      <c r="C55" s="341">
        <v>13003004</v>
      </c>
      <c r="D55" s="11">
        <f t="shared" si="51"/>
        <v>3</v>
      </c>
      <c r="E55" s="353" t="s">
        <v>22</v>
      </c>
      <c r="F55" s="353">
        <v>10</v>
      </c>
      <c r="G55" s="353"/>
      <c r="H55" s="353"/>
      <c r="I55" s="145" t="e">
        <f>INDEX(#REF!,MATCH(A55,#REF!,0),0)</f>
        <v>#REF!</v>
      </c>
      <c r="J55" s="144" t="e">
        <f>INDEX(#REF!,MATCH(A55,#REF!,0),0)</f>
        <v>#REF!</v>
      </c>
      <c r="K55" s="142">
        <v>11.68</v>
      </c>
      <c r="L55" s="143" t="e">
        <f>INDEX(#REF!,MATCH(A55,#REF!,0),0)</f>
        <v>#REF!</v>
      </c>
      <c r="M55" s="12">
        <f t="shared" si="47"/>
        <v>1.25</v>
      </c>
      <c r="N55" s="13" t="e">
        <f t="shared" si="60"/>
        <v>#REF!</v>
      </c>
      <c r="O55" s="13" t="e">
        <f t="shared" si="61"/>
        <v>#REF!</v>
      </c>
      <c r="Q55" s="143" t="e">
        <f>INDEX(#REF!,MATCH(A55,#REF!,0),0)</f>
        <v>#REF!</v>
      </c>
      <c r="R55" s="12">
        <f t="shared" si="50"/>
        <v>1.2757000000000001</v>
      </c>
      <c r="S55" s="13" t="e">
        <f t="shared" si="62"/>
        <v>#REF!</v>
      </c>
      <c r="T55" s="13" t="e">
        <f t="shared" si="63"/>
        <v>#REF!</v>
      </c>
    </row>
    <row r="56" spans="1:20" ht="38.25" customHeight="1">
      <c r="A56" s="63" t="str">
        <f>B56&amp;C56</f>
        <v>CDHU14.30.260</v>
      </c>
      <c r="B56" s="17" t="s">
        <v>29</v>
      </c>
      <c r="C56" s="341" t="s">
        <v>43</v>
      </c>
      <c r="D56" s="11">
        <f t="shared" si="51"/>
        <v>3</v>
      </c>
      <c r="E56" s="353" t="s">
        <v>22</v>
      </c>
      <c r="F56" s="353">
        <v>11</v>
      </c>
      <c r="G56" s="353"/>
      <c r="H56" s="353"/>
      <c r="I56" s="145" t="e">
        <f>INDEX(#REF!,MATCH(A56,#REF!,0),0)</f>
        <v>#REF!</v>
      </c>
      <c r="J56" s="144" t="e">
        <f>INDEX(#REF!,MATCH(A56,#REF!,0),0)</f>
        <v>#REF!</v>
      </c>
      <c r="K56" s="142">
        <v>13.32</v>
      </c>
      <c r="L56" s="143" t="e">
        <f>INDEX(#REF!,MATCH(A56,#REF!,0),0)</f>
        <v>#REF!</v>
      </c>
      <c r="M56" s="12">
        <f t="shared" si="47"/>
        <v>1.25</v>
      </c>
      <c r="N56" s="13" t="e">
        <f>ROUND(L56*M56,2)</f>
        <v>#REF!</v>
      </c>
      <c r="O56" s="13" t="e">
        <f>ROUND(K56*N56,2)</f>
        <v>#REF!</v>
      </c>
      <c r="Q56" s="143" t="e">
        <f>INDEX(#REF!,MATCH(A56,#REF!,0),0)</f>
        <v>#REF!</v>
      </c>
      <c r="R56" s="12">
        <f t="shared" si="50"/>
        <v>1.2757000000000001</v>
      </c>
      <c r="S56" s="13" t="e">
        <f>ROUND(Q56*R56,2)</f>
        <v>#REF!</v>
      </c>
      <c r="T56" s="13" t="e">
        <f>ROUND(K56*S56,2)</f>
        <v>#REF!</v>
      </c>
    </row>
    <row r="57" spans="1:20" ht="38.25" customHeight="1">
      <c r="A57" s="63" t="str">
        <f>B57&amp;C57</f>
        <v>SIURB EDIF7001050</v>
      </c>
      <c r="B57" s="17" t="s">
        <v>24</v>
      </c>
      <c r="C57" s="341">
        <v>7001050</v>
      </c>
      <c r="D57" s="11">
        <f t="shared" si="51"/>
        <v>3</v>
      </c>
      <c r="E57" s="353" t="s">
        <v>22</v>
      </c>
      <c r="F57" s="353">
        <v>12</v>
      </c>
      <c r="G57" s="353"/>
      <c r="H57" s="353"/>
      <c r="I57" s="145" t="e">
        <f>INDEX(#REF!,MATCH(A57,#REF!,0),0)</f>
        <v>#REF!</v>
      </c>
      <c r="J57" s="144" t="e">
        <f>INDEX(#REF!,MATCH(A57,#REF!,0),0)</f>
        <v>#REF!</v>
      </c>
      <c r="K57" s="142">
        <v>1</v>
      </c>
      <c r="L57" s="143" t="e">
        <f>INDEX(#REF!,MATCH(A57,#REF!,0),0)</f>
        <v>#REF!</v>
      </c>
      <c r="M57" s="12">
        <f t="shared" si="47"/>
        <v>1.25</v>
      </c>
      <c r="N57" s="13" t="e">
        <f>ROUND(L57*M57,2)</f>
        <v>#REF!</v>
      </c>
      <c r="O57" s="13" t="e">
        <f>ROUND(K57*N57,2)</f>
        <v>#REF!</v>
      </c>
      <c r="Q57" s="143" t="e">
        <f>INDEX(#REF!,MATCH(A57,#REF!,0),0)</f>
        <v>#REF!</v>
      </c>
      <c r="R57" s="12">
        <f t="shared" si="50"/>
        <v>1.2757000000000001</v>
      </c>
      <c r="S57" s="13" t="e">
        <f>ROUND(Q57*R57,2)</f>
        <v>#REF!</v>
      </c>
      <c r="T57" s="13" t="e">
        <f>ROUND(K57*S57,2)</f>
        <v>#REF!</v>
      </c>
    </row>
    <row r="58" spans="1:20" ht="38.25" customHeight="1">
      <c r="A58" s="63" t="str">
        <f t="shared" ref="A58:A59" si="64">B58&amp;C58</f>
        <v>SIURB EDIF7001008</v>
      </c>
      <c r="B58" s="17" t="s">
        <v>24</v>
      </c>
      <c r="C58" s="341">
        <v>7001008</v>
      </c>
      <c r="D58" s="11">
        <f t="shared" si="51"/>
        <v>3</v>
      </c>
      <c r="E58" s="353" t="s">
        <v>22</v>
      </c>
      <c r="F58" s="353">
        <v>13</v>
      </c>
      <c r="G58" s="353"/>
      <c r="H58" s="353"/>
      <c r="I58" s="145" t="e">
        <f>INDEX(#REF!,MATCH(A58,#REF!,0),0)</f>
        <v>#REF!</v>
      </c>
      <c r="J58" s="144" t="e">
        <f>INDEX(#REF!,MATCH(A58,#REF!,0),0)</f>
        <v>#REF!</v>
      </c>
      <c r="K58" s="142">
        <v>1</v>
      </c>
      <c r="L58" s="143" t="e">
        <f>INDEX(#REF!,MATCH(A58,#REF!,0),0)</f>
        <v>#REF!</v>
      </c>
      <c r="M58" s="12">
        <f t="shared" si="47"/>
        <v>1.25</v>
      </c>
      <c r="N58" s="13" t="e">
        <f t="shared" ref="N58:N59" si="65">ROUND(L58*M58,2)</f>
        <v>#REF!</v>
      </c>
      <c r="O58" s="13" t="e">
        <f t="shared" ref="O58:O59" si="66">ROUND(K58*N58,2)</f>
        <v>#REF!</v>
      </c>
      <c r="Q58" s="143" t="e">
        <f>INDEX(#REF!,MATCH(A58,#REF!,0),0)</f>
        <v>#REF!</v>
      </c>
      <c r="R58" s="12">
        <f t="shared" si="50"/>
        <v>1.2757000000000001</v>
      </c>
      <c r="S58" s="13" t="e">
        <f t="shared" ref="S58:S59" si="67">ROUND(Q58*R58,2)</f>
        <v>#REF!</v>
      </c>
      <c r="T58" s="13" t="e">
        <f t="shared" ref="T58:T59" si="68">ROUND(K58*S58,2)</f>
        <v>#REF!</v>
      </c>
    </row>
    <row r="59" spans="1:20" ht="38.25" customHeight="1">
      <c r="A59" s="63" t="str">
        <f t="shared" si="64"/>
        <v>SIURB EDIF7002010</v>
      </c>
      <c r="B59" s="17" t="s">
        <v>24</v>
      </c>
      <c r="C59" s="341">
        <v>7002010</v>
      </c>
      <c r="D59" s="11">
        <f t="shared" si="51"/>
        <v>3</v>
      </c>
      <c r="E59" s="353" t="s">
        <v>22</v>
      </c>
      <c r="F59" s="353">
        <v>14</v>
      </c>
      <c r="G59" s="353"/>
      <c r="H59" s="353"/>
      <c r="I59" s="145" t="e">
        <f>INDEX(#REF!,MATCH(A59,#REF!,0),0)</f>
        <v>#REF!</v>
      </c>
      <c r="J59" s="144" t="e">
        <f>INDEX(#REF!,MATCH(A59,#REF!,0),0)</f>
        <v>#REF!</v>
      </c>
      <c r="K59" s="142">
        <v>1</v>
      </c>
      <c r="L59" s="143" t="e">
        <f>INDEX(#REF!,MATCH(A59,#REF!,0),0)</f>
        <v>#REF!</v>
      </c>
      <c r="M59" s="12">
        <f t="shared" si="47"/>
        <v>1.25</v>
      </c>
      <c r="N59" s="13" t="e">
        <f t="shared" si="65"/>
        <v>#REF!</v>
      </c>
      <c r="O59" s="13" t="e">
        <f t="shared" si="66"/>
        <v>#REF!</v>
      </c>
      <c r="Q59" s="143" t="e">
        <f>INDEX(#REF!,MATCH(A59,#REF!,0),0)</f>
        <v>#REF!</v>
      </c>
      <c r="R59" s="12">
        <f t="shared" si="50"/>
        <v>1.2757000000000001</v>
      </c>
      <c r="S59" s="13" t="e">
        <f t="shared" si="67"/>
        <v>#REF!</v>
      </c>
      <c r="T59" s="13" t="e">
        <f t="shared" si="68"/>
        <v>#REF!</v>
      </c>
    </row>
    <row r="60" spans="1:20" ht="20.25" customHeight="1">
      <c r="C60" s="341"/>
      <c r="D60" s="436" t="s">
        <v>44</v>
      </c>
      <c r="E60" s="437"/>
      <c r="F60" s="437"/>
      <c r="G60" s="437"/>
      <c r="H60" s="437"/>
      <c r="I60" s="437"/>
      <c r="J60" s="437"/>
      <c r="K60" s="437"/>
      <c r="L60" s="437"/>
      <c r="M60" s="437"/>
      <c r="N60" s="437"/>
      <c r="O60" s="438"/>
      <c r="Q60" s="143"/>
      <c r="R60" s="12"/>
      <c r="S60" s="13"/>
      <c r="T60" s="13"/>
    </row>
    <row r="61" spans="1:20" ht="38.25" customHeight="1">
      <c r="A61" s="63" t="str">
        <f t="shared" ref="A61:A65" si="69">B61&amp;C61</f>
        <v>SIURB EDIF4001051</v>
      </c>
      <c r="B61" s="17" t="s">
        <v>24</v>
      </c>
      <c r="C61" s="341">
        <v>4001051</v>
      </c>
      <c r="D61" s="11">
        <f>$D$42</f>
        <v>3</v>
      </c>
      <c r="E61" s="353" t="s">
        <v>22</v>
      </c>
      <c r="F61" s="353">
        <v>15</v>
      </c>
      <c r="G61" s="353"/>
      <c r="H61" s="353"/>
      <c r="I61" s="145" t="e">
        <f>INDEX(#REF!,MATCH(A61,#REF!,0),0)</f>
        <v>#REF!</v>
      </c>
      <c r="J61" s="144" t="e">
        <f>INDEX(#REF!,MATCH(A61,#REF!,0),0)</f>
        <v>#REF!</v>
      </c>
      <c r="K61" s="142">
        <v>0.53</v>
      </c>
      <c r="L61" s="143" t="e">
        <f>INDEX(#REF!,MATCH(A61,#REF!,0),0)</f>
        <v>#REF!</v>
      </c>
      <c r="M61" s="12">
        <f t="shared" si="47"/>
        <v>1.25</v>
      </c>
      <c r="N61" s="13" t="e">
        <f t="shared" ref="N61:N65" si="70">ROUND(L61*M61,2)</f>
        <v>#REF!</v>
      </c>
      <c r="O61" s="13" t="e">
        <f t="shared" ref="O61:O65" si="71">ROUND(K61*N61,2)</f>
        <v>#REF!</v>
      </c>
      <c r="Q61" s="143" t="e">
        <f>INDEX(#REF!,MATCH(A61,#REF!,0),0)</f>
        <v>#REF!</v>
      </c>
      <c r="R61" s="12">
        <f t="shared" si="50"/>
        <v>1.2757000000000001</v>
      </c>
      <c r="S61" s="13" t="e">
        <f>ROUND(Q61*R61,2)</f>
        <v>#REF!</v>
      </c>
      <c r="T61" s="13" t="e">
        <f>ROUND(K61*S61,2)</f>
        <v>#REF!</v>
      </c>
    </row>
    <row r="62" spans="1:20" ht="38.25" customHeight="1">
      <c r="A62" s="63" t="str">
        <f t="shared" si="69"/>
        <v>SIURB EDIF11002001</v>
      </c>
      <c r="B62" s="17" t="s">
        <v>24</v>
      </c>
      <c r="C62" s="341">
        <v>11002001</v>
      </c>
      <c r="D62" s="11">
        <f t="shared" si="51"/>
        <v>3</v>
      </c>
      <c r="E62" s="353" t="s">
        <v>22</v>
      </c>
      <c r="F62" s="353">
        <v>16</v>
      </c>
      <c r="G62" s="353"/>
      <c r="H62" s="353"/>
      <c r="I62" s="145" t="e">
        <f>INDEX(#REF!,MATCH(A62,#REF!,0),0)</f>
        <v>#REF!</v>
      </c>
      <c r="J62" s="144" t="e">
        <f>INDEX(#REF!,MATCH(A62,#REF!,0),0)</f>
        <v>#REF!</v>
      </c>
      <c r="K62" s="142">
        <v>1.59</v>
      </c>
      <c r="L62" s="143" t="e">
        <f>INDEX(#REF!,MATCH(A62,#REF!,0),0)</f>
        <v>#REF!</v>
      </c>
      <c r="M62" s="12">
        <f t="shared" si="47"/>
        <v>1.25</v>
      </c>
      <c r="N62" s="13" t="e">
        <f t="shared" si="70"/>
        <v>#REF!</v>
      </c>
      <c r="O62" s="13" t="e">
        <f t="shared" si="71"/>
        <v>#REF!</v>
      </c>
      <c r="Q62" s="143" t="e">
        <f>INDEX(#REF!,MATCH(A62,#REF!,0),0)</f>
        <v>#REF!</v>
      </c>
      <c r="R62" s="12">
        <f t="shared" si="50"/>
        <v>1.2757000000000001</v>
      </c>
      <c r="S62" s="13" t="e">
        <f t="shared" ref="S62:S65" si="72">ROUND(Q62*R62,2)</f>
        <v>#REF!</v>
      </c>
      <c r="T62" s="13" t="e">
        <f t="shared" ref="T62:T65" si="73">ROUND(K62*S62,2)</f>
        <v>#REF!</v>
      </c>
    </row>
    <row r="63" spans="1:20" ht="38.25" customHeight="1">
      <c r="A63" s="63" t="str">
        <f t="shared" si="69"/>
        <v>SIURB EDIF11002010</v>
      </c>
      <c r="B63" s="17" t="s">
        <v>24</v>
      </c>
      <c r="C63" s="341">
        <v>11002010</v>
      </c>
      <c r="D63" s="11">
        <f t="shared" si="51"/>
        <v>3</v>
      </c>
      <c r="E63" s="353" t="s">
        <v>22</v>
      </c>
      <c r="F63" s="353">
        <v>17</v>
      </c>
      <c r="G63" s="353"/>
      <c r="H63" s="353"/>
      <c r="I63" s="145" t="e">
        <f>INDEX(#REF!,MATCH(A63,#REF!,0),0)</f>
        <v>#REF!</v>
      </c>
      <c r="J63" s="144" t="e">
        <f>INDEX(#REF!,MATCH(A63,#REF!,0),0)</f>
        <v>#REF!</v>
      </c>
      <c r="K63" s="142">
        <v>1.59</v>
      </c>
      <c r="L63" s="143" t="e">
        <f>INDEX(#REF!,MATCH(A63,#REF!,0),0)</f>
        <v>#REF!</v>
      </c>
      <c r="M63" s="12">
        <f t="shared" si="47"/>
        <v>1.25</v>
      </c>
      <c r="N63" s="13" t="e">
        <f t="shared" si="70"/>
        <v>#REF!</v>
      </c>
      <c r="O63" s="13" t="e">
        <f t="shared" si="71"/>
        <v>#REF!</v>
      </c>
      <c r="Q63" s="143" t="e">
        <f>INDEX(#REF!,MATCH(A63,#REF!,0),0)</f>
        <v>#REF!</v>
      </c>
      <c r="R63" s="12">
        <f t="shared" si="50"/>
        <v>1.2757000000000001</v>
      </c>
      <c r="S63" s="13" t="e">
        <f t="shared" si="72"/>
        <v>#REF!</v>
      </c>
      <c r="T63" s="13" t="e">
        <f t="shared" si="73"/>
        <v>#REF!</v>
      </c>
    </row>
    <row r="64" spans="1:20" ht="38.25" customHeight="1">
      <c r="A64" s="63" t="str">
        <f t="shared" si="69"/>
        <v>SIURB EDIF13003004</v>
      </c>
      <c r="B64" s="17" t="s">
        <v>24</v>
      </c>
      <c r="C64" s="341">
        <v>13003004</v>
      </c>
      <c r="D64" s="11">
        <f t="shared" si="51"/>
        <v>3</v>
      </c>
      <c r="E64" s="353" t="s">
        <v>22</v>
      </c>
      <c r="F64" s="353">
        <v>18</v>
      </c>
      <c r="G64" s="353"/>
      <c r="H64" s="353"/>
      <c r="I64" s="145" t="e">
        <f>INDEX(#REF!,MATCH(A64,#REF!,0),0)</f>
        <v>#REF!</v>
      </c>
      <c r="J64" s="144" t="e">
        <f>INDEX(#REF!,MATCH(A64,#REF!,0),0)</f>
        <v>#REF!</v>
      </c>
      <c r="K64" s="142">
        <v>5.3</v>
      </c>
      <c r="L64" s="143" t="e">
        <f>INDEX(#REF!,MATCH(A64,#REF!,0),0)</f>
        <v>#REF!</v>
      </c>
      <c r="M64" s="12">
        <f t="shared" si="47"/>
        <v>1.25</v>
      </c>
      <c r="N64" s="13" t="e">
        <f t="shared" si="70"/>
        <v>#REF!</v>
      </c>
      <c r="O64" s="13" t="e">
        <f t="shared" si="71"/>
        <v>#REF!</v>
      </c>
      <c r="Q64" s="143" t="e">
        <f>INDEX(#REF!,MATCH(A64,#REF!,0),0)</f>
        <v>#REF!</v>
      </c>
      <c r="R64" s="12">
        <f t="shared" si="50"/>
        <v>1.2757000000000001</v>
      </c>
      <c r="S64" s="13" t="e">
        <f t="shared" si="72"/>
        <v>#REF!</v>
      </c>
      <c r="T64" s="13" t="e">
        <f t="shared" si="73"/>
        <v>#REF!</v>
      </c>
    </row>
    <row r="65" spans="1:20" ht="38.25" customHeight="1">
      <c r="A65" s="63" t="str">
        <f t="shared" si="69"/>
        <v>CDHU14.30.260</v>
      </c>
      <c r="B65" s="17" t="s">
        <v>29</v>
      </c>
      <c r="C65" s="341" t="s">
        <v>43</v>
      </c>
      <c r="D65" s="11">
        <f t="shared" si="51"/>
        <v>3</v>
      </c>
      <c r="E65" s="353" t="s">
        <v>22</v>
      </c>
      <c r="F65" s="353">
        <v>19</v>
      </c>
      <c r="G65" s="353"/>
      <c r="H65" s="353"/>
      <c r="I65" s="145" t="e">
        <f>INDEX(#REF!,MATCH(A65,#REF!,0),0)</f>
        <v>#REF!</v>
      </c>
      <c r="J65" s="144" t="e">
        <f>INDEX(#REF!,MATCH(A65,#REF!,0),0)</f>
        <v>#REF!</v>
      </c>
      <c r="K65" s="142">
        <v>5.3</v>
      </c>
      <c r="L65" s="143" t="e">
        <f>INDEX(#REF!,MATCH(A65,#REF!,0),0)</f>
        <v>#REF!</v>
      </c>
      <c r="M65" s="12">
        <f t="shared" si="47"/>
        <v>1.25</v>
      </c>
      <c r="N65" s="13" t="e">
        <f t="shared" si="70"/>
        <v>#REF!</v>
      </c>
      <c r="O65" s="13" t="e">
        <f t="shared" si="71"/>
        <v>#REF!</v>
      </c>
      <c r="Q65" s="143" t="e">
        <f>INDEX(#REF!,MATCH(A65,#REF!,0),0)</f>
        <v>#REF!</v>
      </c>
      <c r="R65" s="12">
        <f t="shared" si="50"/>
        <v>1.2757000000000001</v>
      </c>
      <c r="S65" s="13" t="e">
        <f t="shared" si="72"/>
        <v>#REF!</v>
      </c>
      <c r="T65" s="13" t="e">
        <f t="shared" si="73"/>
        <v>#REF!</v>
      </c>
    </row>
    <row r="66" spans="1:20" ht="20.25" customHeight="1">
      <c r="C66" s="341"/>
      <c r="D66" s="436" t="s">
        <v>34</v>
      </c>
      <c r="E66" s="437"/>
      <c r="F66" s="437"/>
      <c r="G66" s="437"/>
      <c r="H66" s="437"/>
      <c r="I66" s="437"/>
      <c r="J66" s="437"/>
      <c r="K66" s="437"/>
      <c r="L66" s="437"/>
      <c r="M66" s="437"/>
      <c r="N66" s="437"/>
      <c r="O66" s="438"/>
      <c r="Q66" s="143"/>
      <c r="R66" s="12"/>
      <c r="S66" s="13"/>
      <c r="T66" s="13"/>
    </row>
    <row r="67" spans="1:20" ht="38.25" customHeight="1">
      <c r="A67" s="63" t="str">
        <f t="shared" ref="A67:A70" si="74">B67&amp;C67</f>
        <v>SIURB EDIF4001051</v>
      </c>
      <c r="B67" s="17" t="s">
        <v>24</v>
      </c>
      <c r="C67" s="341">
        <v>4001051</v>
      </c>
      <c r="D67" s="11">
        <f>$D$42</f>
        <v>3</v>
      </c>
      <c r="E67" s="353" t="s">
        <v>22</v>
      </c>
      <c r="F67" s="353">
        <v>20</v>
      </c>
      <c r="G67" s="353"/>
      <c r="H67" s="353"/>
      <c r="I67" s="145" t="e">
        <f>INDEX(#REF!,MATCH(A67,#REF!,0),0)</f>
        <v>#REF!</v>
      </c>
      <c r="J67" s="144" t="e">
        <f>INDEX(#REF!,MATCH(A67,#REF!,0),0)</f>
        <v>#REF!</v>
      </c>
      <c r="K67" s="142">
        <v>0.42</v>
      </c>
      <c r="L67" s="143" t="e">
        <f>INDEX(#REF!,MATCH(A67,#REF!,0),0)</f>
        <v>#REF!</v>
      </c>
      <c r="M67" s="12">
        <f t="shared" si="47"/>
        <v>1.25</v>
      </c>
      <c r="N67" s="13" t="e">
        <f t="shared" ref="N67:N70" si="75">ROUND(L67*M67,2)</f>
        <v>#REF!</v>
      </c>
      <c r="O67" s="13" t="e">
        <f t="shared" ref="O67:O70" si="76">ROUND(K67*N67,2)</f>
        <v>#REF!</v>
      </c>
      <c r="Q67" s="143" t="e">
        <f>INDEX(#REF!,MATCH(A67,#REF!,0),0)</f>
        <v>#REF!</v>
      </c>
      <c r="R67" s="12">
        <f t="shared" si="50"/>
        <v>1.2757000000000001</v>
      </c>
      <c r="S67" s="13" t="e">
        <f>ROUND(Q67*R67,2)</f>
        <v>#REF!</v>
      </c>
      <c r="T67" s="13" t="e">
        <f>ROUND(K67*S67,2)</f>
        <v>#REF!</v>
      </c>
    </row>
    <row r="68" spans="1:20" ht="38.25" customHeight="1">
      <c r="A68" s="63" t="str">
        <f t="shared" si="74"/>
        <v>SIURB EDIF11002001</v>
      </c>
      <c r="B68" s="17" t="s">
        <v>24</v>
      </c>
      <c r="C68" s="341">
        <v>11002001</v>
      </c>
      <c r="D68" s="11">
        <f t="shared" si="51"/>
        <v>3</v>
      </c>
      <c r="E68" s="353" t="s">
        <v>22</v>
      </c>
      <c r="F68" s="353">
        <v>21</v>
      </c>
      <c r="G68" s="353"/>
      <c r="H68" s="353"/>
      <c r="I68" s="145" t="e">
        <f>INDEX(#REF!,MATCH(A68,#REF!,0),0)</f>
        <v>#REF!</v>
      </c>
      <c r="J68" s="144" t="e">
        <f>INDEX(#REF!,MATCH(A68,#REF!,0),0)</f>
        <v>#REF!</v>
      </c>
      <c r="K68" s="142">
        <v>1.25</v>
      </c>
      <c r="L68" s="143" t="e">
        <f>INDEX(#REF!,MATCH(A68,#REF!,0),0)</f>
        <v>#REF!</v>
      </c>
      <c r="M68" s="12">
        <f t="shared" si="47"/>
        <v>1.25</v>
      </c>
      <c r="N68" s="13" t="e">
        <f t="shared" si="75"/>
        <v>#REF!</v>
      </c>
      <c r="O68" s="13" t="e">
        <f t="shared" si="76"/>
        <v>#REF!</v>
      </c>
      <c r="Q68" s="143" t="e">
        <f>INDEX(#REF!,MATCH(A68,#REF!,0),0)</f>
        <v>#REF!</v>
      </c>
      <c r="R68" s="12">
        <f t="shared" si="50"/>
        <v>1.2757000000000001</v>
      </c>
      <c r="S68" s="13" t="e">
        <f t="shared" ref="S68:S70" si="77">ROUND(Q68*R68,2)</f>
        <v>#REF!</v>
      </c>
      <c r="T68" s="13" t="e">
        <f t="shared" ref="T68:T70" si="78">ROUND(K68*S68,2)</f>
        <v>#REF!</v>
      </c>
    </row>
    <row r="69" spans="1:20" ht="38.25" customHeight="1">
      <c r="A69" s="63" t="str">
        <f t="shared" si="74"/>
        <v>SIURB EDIF11002010</v>
      </c>
      <c r="B69" s="17" t="s">
        <v>24</v>
      </c>
      <c r="C69" s="341">
        <v>11002010</v>
      </c>
      <c r="D69" s="11">
        <f t="shared" si="51"/>
        <v>3</v>
      </c>
      <c r="E69" s="353" t="s">
        <v>22</v>
      </c>
      <c r="F69" s="353">
        <v>22</v>
      </c>
      <c r="G69" s="353"/>
      <c r="H69" s="353"/>
      <c r="I69" s="145" t="e">
        <f>INDEX(#REF!,MATCH(A69,#REF!,0),0)</f>
        <v>#REF!</v>
      </c>
      <c r="J69" s="144" t="e">
        <f>INDEX(#REF!,MATCH(A69,#REF!,0),0)</f>
        <v>#REF!</v>
      </c>
      <c r="K69" s="142">
        <v>1.25</v>
      </c>
      <c r="L69" s="143" t="e">
        <f>INDEX(#REF!,MATCH(A69,#REF!,0),0)</f>
        <v>#REF!</v>
      </c>
      <c r="M69" s="12">
        <f t="shared" si="47"/>
        <v>1.25</v>
      </c>
      <c r="N69" s="13" t="e">
        <f t="shared" si="75"/>
        <v>#REF!</v>
      </c>
      <c r="O69" s="13" t="e">
        <f t="shared" si="76"/>
        <v>#REF!</v>
      </c>
      <c r="Q69" s="143" t="e">
        <f>INDEX(#REF!,MATCH(A69,#REF!,0),0)</f>
        <v>#REF!</v>
      </c>
      <c r="R69" s="12">
        <f t="shared" si="50"/>
        <v>1.2757000000000001</v>
      </c>
      <c r="S69" s="13" t="e">
        <f t="shared" si="77"/>
        <v>#REF!</v>
      </c>
      <c r="T69" s="13" t="e">
        <f t="shared" si="78"/>
        <v>#REF!</v>
      </c>
    </row>
    <row r="70" spans="1:20" ht="38.25" customHeight="1">
      <c r="A70" s="63" t="str">
        <f t="shared" si="74"/>
        <v>SIURB EDIF13003004</v>
      </c>
      <c r="B70" s="17" t="s">
        <v>24</v>
      </c>
      <c r="C70" s="341">
        <v>13003004</v>
      </c>
      <c r="D70" s="11">
        <f t="shared" si="51"/>
        <v>3</v>
      </c>
      <c r="E70" s="353" t="s">
        <v>22</v>
      </c>
      <c r="F70" s="353">
        <v>23</v>
      </c>
      <c r="G70" s="353"/>
      <c r="H70" s="353"/>
      <c r="I70" s="145" t="e">
        <f>INDEX(#REF!,MATCH(A70,#REF!,0),0)</f>
        <v>#REF!</v>
      </c>
      <c r="J70" s="144" t="e">
        <f>INDEX(#REF!,MATCH(A70,#REF!,0),0)</f>
        <v>#REF!</v>
      </c>
      <c r="K70" s="142">
        <v>4.16</v>
      </c>
      <c r="L70" s="143" t="e">
        <f>INDEX(#REF!,MATCH(A70,#REF!,0),0)</f>
        <v>#REF!</v>
      </c>
      <c r="M70" s="12">
        <f t="shared" si="47"/>
        <v>1.25</v>
      </c>
      <c r="N70" s="13" t="e">
        <f t="shared" si="75"/>
        <v>#REF!</v>
      </c>
      <c r="O70" s="13" t="e">
        <f t="shared" si="76"/>
        <v>#REF!</v>
      </c>
      <c r="Q70" s="143" t="e">
        <f>INDEX(#REF!,MATCH(A70,#REF!,0),0)</f>
        <v>#REF!</v>
      </c>
      <c r="R70" s="12">
        <f t="shared" si="50"/>
        <v>1.2757000000000001</v>
      </c>
      <c r="S70" s="13" t="e">
        <f t="shared" si="77"/>
        <v>#REF!</v>
      </c>
      <c r="T70" s="13" t="e">
        <f t="shared" si="78"/>
        <v>#REF!</v>
      </c>
    </row>
    <row r="71" spans="1:20" ht="38.25" customHeight="1">
      <c r="A71" s="63" t="str">
        <f>B71&amp;C71</f>
        <v>CDHU14.30.260</v>
      </c>
      <c r="B71" s="17" t="s">
        <v>29</v>
      </c>
      <c r="C71" s="341" t="s">
        <v>43</v>
      </c>
      <c r="D71" s="11">
        <f t="shared" si="51"/>
        <v>3</v>
      </c>
      <c r="E71" s="353" t="s">
        <v>22</v>
      </c>
      <c r="F71" s="353">
        <v>24</v>
      </c>
      <c r="G71" s="353"/>
      <c r="H71" s="353"/>
      <c r="I71" s="145" t="e">
        <f>INDEX(#REF!,MATCH(A71,#REF!,0),0)</f>
        <v>#REF!</v>
      </c>
      <c r="J71" s="144" t="e">
        <f>INDEX(#REF!,MATCH(A71,#REF!,0),0)</f>
        <v>#REF!</v>
      </c>
      <c r="K71" s="142">
        <v>8.4</v>
      </c>
      <c r="L71" s="143" t="e">
        <f>INDEX(#REF!,MATCH(A71,#REF!,0),0)</f>
        <v>#REF!</v>
      </c>
      <c r="M71" s="12">
        <f t="shared" si="47"/>
        <v>1.25</v>
      </c>
      <c r="N71" s="13" t="e">
        <f>ROUND(L71*M71,2)</f>
        <v>#REF!</v>
      </c>
      <c r="O71" s="13" t="e">
        <f>ROUND(K71*N71,2)</f>
        <v>#REF!</v>
      </c>
      <c r="Q71" s="143" t="e">
        <f>INDEX(#REF!,MATCH(A71,#REF!,0),0)</f>
        <v>#REF!</v>
      </c>
      <c r="R71" s="12">
        <f t="shared" si="50"/>
        <v>1.2757000000000001</v>
      </c>
      <c r="S71" s="13" t="e">
        <f>ROUND(Q71*R71,2)</f>
        <v>#REF!</v>
      </c>
      <c r="T71" s="13" t="e">
        <f>ROUND(K71*S71,2)</f>
        <v>#REF!</v>
      </c>
    </row>
    <row r="72" spans="1:20" ht="38.25" customHeight="1">
      <c r="A72" s="63" t="str">
        <f t="shared" ref="A72:A73" si="79">B72&amp;C72</f>
        <v>CDHU25.02.042</v>
      </c>
      <c r="B72" s="17" t="s">
        <v>29</v>
      </c>
      <c r="C72" s="341" t="s">
        <v>45</v>
      </c>
      <c r="D72" s="11">
        <f t="shared" si="51"/>
        <v>3</v>
      </c>
      <c r="E72" s="353" t="s">
        <v>22</v>
      </c>
      <c r="F72" s="353">
        <v>25</v>
      </c>
      <c r="G72" s="353"/>
      <c r="H72" s="353"/>
      <c r="I72" s="145" t="e">
        <f>INDEX(#REF!,MATCH(A72,#REF!,0),0)</f>
        <v>#REF!</v>
      </c>
      <c r="J72" s="144" t="e">
        <f>INDEX(#REF!,MATCH(A72,#REF!,0),0)</f>
        <v>#REF!</v>
      </c>
      <c r="K72" s="142">
        <v>1.93</v>
      </c>
      <c r="L72" s="143" t="e">
        <f>INDEX(#REF!,MATCH(A72,#REF!,0),0)</f>
        <v>#REF!</v>
      </c>
      <c r="M72" s="12">
        <f t="shared" si="47"/>
        <v>1.25</v>
      </c>
      <c r="N72" s="13" t="e">
        <f t="shared" ref="N72:N73" si="80">ROUND(L72*M72,2)</f>
        <v>#REF!</v>
      </c>
      <c r="O72" s="13" t="e">
        <f t="shared" ref="O72:O73" si="81">ROUND(K72*N72,2)</f>
        <v>#REF!</v>
      </c>
      <c r="Q72" s="143" t="e">
        <f>INDEX(#REF!,MATCH(A72,#REF!,0),0)</f>
        <v>#REF!</v>
      </c>
      <c r="R72" s="12">
        <f t="shared" si="50"/>
        <v>1.2757000000000001</v>
      </c>
      <c r="S72" s="13" t="e">
        <f t="shared" ref="S72:S73" si="82">ROUND(Q72*R72,2)</f>
        <v>#REF!</v>
      </c>
      <c r="T72" s="13" t="e">
        <f t="shared" ref="T72:T73" si="83">ROUND(K72*S72,2)</f>
        <v>#REF!</v>
      </c>
    </row>
    <row r="73" spans="1:20" ht="38.25" customHeight="1">
      <c r="A73" s="63" t="str">
        <f t="shared" si="79"/>
        <v>SIURB EDIF7002012</v>
      </c>
      <c r="B73" s="17" t="s">
        <v>24</v>
      </c>
      <c r="C73" s="341">
        <v>7002012</v>
      </c>
      <c r="D73" s="11">
        <f t="shared" si="51"/>
        <v>3</v>
      </c>
      <c r="E73" s="353" t="s">
        <v>22</v>
      </c>
      <c r="F73" s="353">
        <v>26</v>
      </c>
      <c r="G73" s="353"/>
      <c r="H73" s="353"/>
      <c r="I73" s="145" t="e">
        <f>INDEX(#REF!,MATCH(A73,#REF!,0),0)</f>
        <v>#REF!</v>
      </c>
      <c r="J73" s="144" t="e">
        <f>INDEX(#REF!,MATCH(A73,#REF!,0),0)</f>
        <v>#REF!</v>
      </c>
      <c r="K73" s="142">
        <v>1</v>
      </c>
      <c r="L73" s="143" t="e">
        <f>INDEX(#REF!,MATCH(A73,#REF!,0),0)</f>
        <v>#REF!</v>
      </c>
      <c r="M73" s="12">
        <f t="shared" si="47"/>
        <v>1.25</v>
      </c>
      <c r="N73" s="13" t="e">
        <f t="shared" si="80"/>
        <v>#REF!</v>
      </c>
      <c r="O73" s="13" t="e">
        <f t="shared" si="81"/>
        <v>#REF!</v>
      </c>
      <c r="Q73" s="143" t="e">
        <f>INDEX(#REF!,MATCH(A73,#REF!,0),0)</f>
        <v>#REF!</v>
      </c>
      <c r="R73" s="12">
        <f t="shared" si="50"/>
        <v>1.2757000000000001</v>
      </c>
      <c r="S73" s="13" t="e">
        <f t="shared" si="82"/>
        <v>#REF!</v>
      </c>
      <c r="T73" s="13" t="e">
        <f t="shared" si="83"/>
        <v>#REF!</v>
      </c>
    </row>
    <row r="74" spans="1:20" ht="32.25" customHeight="1">
      <c r="A74" s="63" t="str">
        <f>B74&amp;C74</f>
        <v>SIURB EDIF8080050</v>
      </c>
      <c r="B74" s="17" t="s">
        <v>24</v>
      </c>
      <c r="C74" s="341">
        <v>8080050</v>
      </c>
      <c r="D74" s="11">
        <f>D73</f>
        <v>3</v>
      </c>
      <c r="E74" s="353" t="s">
        <v>22</v>
      </c>
      <c r="F74" s="353">
        <v>27</v>
      </c>
      <c r="G74" s="353"/>
      <c r="H74" s="353"/>
      <c r="I74" s="145" t="s">
        <v>46</v>
      </c>
      <c r="J74" s="144" t="e">
        <f>INDEX(#REF!,MATCH(A74,#REF!,0),0)</f>
        <v>#REF!</v>
      </c>
      <c r="K74" s="142">
        <v>32.44</v>
      </c>
      <c r="L74" s="143" t="e">
        <f>INDEX(#REF!,MATCH(A74,#REF!,0),0)</f>
        <v>#REF!</v>
      </c>
      <c r="M74" s="12">
        <f t="shared" si="47"/>
        <v>1.25</v>
      </c>
      <c r="N74" s="13" t="e">
        <f>ROUND(L74*M74,2)</f>
        <v>#REF!</v>
      </c>
      <c r="O74" s="13" t="e">
        <f>ROUND(K74*N74,2)</f>
        <v>#REF!</v>
      </c>
      <c r="Q74" s="143" t="e">
        <f>INDEX(#REF!,MATCH(A74,#REF!,0),0)</f>
        <v>#REF!</v>
      </c>
      <c r="R74" s="12">
        <f t="shared" si="50"/>
        <v>1.2757000000000001</v>
      </c>
      <c r="S74" s="13" t="e">
        <f>ROUND(Q74*R74,2)</f>
        <v>#REF!</v>
      </c>
      <c r="T74" s="13" t="e">
        <f>ROUND(K74*S74,2)</f>
        <v>#REF!</v>
      </c>
    </row>
    <row r="75" spans="1:20" ht="20.25" customHeight="1">
      <c r="C75" s="341"/>
      <c r="D75" s="436" t="s">
        <v>35</v>
      </c>
      <c r="E75" s="437"/>
      <c r="F75" s="437"/>
      <c r="G75" s="437"/>
      <c r="H75" s="437"/>
      <c r="I75" s="437"/>
      <c r="J75" s="437"/>
      <c r="K75" s="437"/>
      <c r="L75" s="437"/>
      <c r="M75" s="437"/>
      <c r="N75" s="437"/>
      <c r="O75" s="438"/>
      <c r="Q75" s="143"/>
      <c r="R75" s="12"/>
      <c r="S75" s="13"/>
      <c r="T75" s="13"/>
    </row>
    <row r="76" spans="1:20" ht="38.25" customHeight="1">
      <c r="A76" s="63" t="str">
        <f t="shared" ref="A76:A110" si="84">B76&amp;C76</f>
        <v>SIURB EDIF17001028</v>
      </c>
      <c r="B76" s="17" t="s">
        <v>24</v>
      </c>
      <c r="C76" s="341">
        <v>17001028</v>
      </c>
      <c r="D76" s="11">
        <f t="shared" si="51"/>
        <v>3</v>
      </c>
      <c r="E76" s="353" t="s">
        <v>22</v>
      </c>
      <c r="F76" s="353">
        <v>28</v>
      </c>
      <c r="G76" s="353"/>
      <c r="H76" s="353"/>
      <c r="I76" s="145" t="e">
        <f>INDEX(#REF!,MATCH(A76,#REF!,0),0)</f>
        <v>#REF!</v>
      </c>
      <c r="J76" s="144" t="e">
        <f>INDEX(#REF!,MATCH(A76,#REF!,0),0)</f>
        <v>#REF!</v>
      </c>
      <c r="K76" s="142">
        <v>24.85</v>
      </c>
      <c r="L76" s="143" t="e">
        <f>INDEX(#REF!,MATCH(A76,#REF!,0),0)</f>
        <v>#REF!</v>
      </c>
      <c r="M76" s="12">
        <f t="shared" si="47"/>
        <v>1.25</v>
      </c>
      <c r="N76" s="13" t="e">
        <f t="shared" ref="N76:N80" si="85">ROUND(L76*M76,2)</f>
        <v>#REF!</v>
      </c>
      <c r="O76" s="13" t="e">
        <f t="shared" ref="O76:O80" si="86">ROUND(K76*N76,2)</f>
        <v>#REF!</v>
      </c>
      <c r="Q76" s="143" t="e">
        <f>INDEX(#REF!,MATCH(A76,#REF!,0),0)</f>
        <v>#REF!</v>
      </c>
      <c r="R76" s="12">
        <f t="shared" si="50"/>
        <v>1.2757000000000001</v>
      </c>
      <c r="S76" s="13" t="e">
        <f t="shared" ref="S76:S80" si="87">ROUND(Q76*R76,2)</f>
        <v>#REF!</v>
      </c>
      <c r="T76" s="13" t="e">
        <f t="shared" ref="T76:T80" si="88">ROUND(K76*S76,2)</f>
        <v>#REF!</v>
      </c>
    </row>
    <row r="77" spans="1:20" ht="20.25" customHeight="1">
      <c r="C77" s="341"/>
      <c r="D77" s="436" t="s">
        <v>36</v>
      </c>
      <c r="E77" s="437"/>
      <c r="F77" s="437"/>
      <c r="G77" s="437"/>
      <c r="H77" s="437"/>
      <c r="I77" s="437"/>
      <c r="J77" s="437"/>
      <c r="K77" s="437"/>
      <c r="L77" s="437"/>
      <c r="M77" s="437"/>
      <c r="N77" s="437"/>
      <c r="O77" s="438"/>
      <c r="Q77" s="143"/>
      <c r="R77" s="12"/>
      <c r="S77" s="13"/>
      <c r="T77" s="13"/>
    </row>
    <row r="78" spans="1:20" ht="45.75" customHeight="1">
      <c r="A78" s="63" t="str">
        <f t="shared" ref="A78" si="89">B78&amp;C78</f>
        <v>SIURB EDIF17002046</v>
      </c>
      <c r="B78" s="17" t="s">
        <v>24</v>
      </c>
      <c r="C78" s="341">
        <v>17002046</v>
      </c>
      <c r="D78" s="11">
        <f t="shared" si="51"/>
        <v>3</v>
      </c>
      <c r="E78" s="353" t="s">
        <v>22</v>
      </c>
      <c r="F78" s="353">
        <v>29</v>
      </c>
      <c r="G78" s="353"/>
      <c r="H78" s="353"/>
      <c r="I78" s="145" t="e">
        <f>INDEX(#REF!,MATCH(A78,#REF!,0),0)</f>
        <v>#REF!</v>
      </c>
      <c r="J78" s="144" t="e">
        <f>INDEX(#REF!,MATCH(A78,#REF!,0),0)</f>
        <v>#REF!</v>
      </c>
      <c r="K78" s="142">
        <v>11.25</v>
      </c>
      <c r="L78" s="143" t="e">
        <f>INDEX(#REF!,MATCH(A78,#REF!,0),0)</f>
        <v>#REF!</v>
      </c>
      <c r="M78" s="12">
        <f t="shared" si="47"/>
        <v>1.25</v>
      </c>
      <c r="N78" s="13" t="e">
        <f t="shared" ref="N78" si="90">ROUND(L78*M78,2)</f>
        <v>#REF!</v>
      </c>
      <c r="O78" s="13" t="e">
        <f t="shared" ref="O78" si="91">ROUND(K78*N78,2)</f>
        <v>#REF!</v>
      </c>
      <c r="Q78" s="143" t="e">
        <f>INDEX(#REF!,MATCH(A78,#REF!,0),0)</f>
        <v>#REF!</v>
      </c>
      <c r="R78" s="12">
        <f t="shared" si="50"/>
        <v>1.2757000000000001</v>
      </c>
      <c r="S78" s="13" t="e">
        <f t="shared" ref="S78" si="92">ROUND(Q78*R78,2)</f>
        <v>#REF!</v>
      </c>
      <c r="T78" s="13" t="e">
        <f t="shared" ref="T78" si="93">ROUND(K78*S78,2)</f>
        <v>#REF!</v>
      </c>
    </row>
    <row r="79" spans="1:20" ht="38.25" customHeight="1">
      <c r="A79" s="63" t="str">
        <f t="shared" si="84"/>
        <v>SIURB EDIF2005005</v>
      </c>
      <c r="B79" s="17" t="s">
        <v>24</v>
      </c>
      <c r="C79" s="341">
        <v>2005005</v>
      </c>
      <c r="D79" s="11">
        <f t="shared" si="51"/>
        <v>3</v>
      </c>
      <c r="E79" s="353" t="s">
        <v>22</v>
      </c>
      <c r="F79" s="353">
        <v>30</v>
      </c>
      <c r="G79" s="353"/>
      <c r="H79" s="353"/>
      <c r="I79" s="145" t="e">
        <f>INDEX(#REF!,MATCH(A79,#REF!,0),0)</f>
        <v>#REF!</v>
      </c>
      <c r="J79" s="144" t="e">
        <f>INDEX(#REF!,MATCH(A79,#REF!,0),0)</f>
        <v>#REF!</v>
      </c>
      <c r="K79" s="142">
        <v>11.25</v>
      </c>
      <c r="L79" s="143" t="e">
        <f>INDEX(#REF!,MATCH(A79,#REF!,0),0)</f>
        <v>#REF!</v>
      </c>
      <c r="M79" s="12">
        <f t="shared" si="47"/>
        <v>1.25</v>
      </c>
      <c r="N79" s="13" t="e">
        <f t="shared" si="85"/>
        <v>#REF!</v>
      </c>
      <c r="O79" s="13" t="e">
        <f t="shared" si="86"/>
        <v>#REF!</v>
      </c>
      <c r="Q79" s="143" t="e">
        <f>INDEX(#REF!,MATCH(A79,#REF!,0),0)</f>
        <v>#REF!</v>
      </c>
      <c r="R79" s="12">
        <f t="shared" si="50"/>
        <v>1.2757000000000001</v>
      </c>
      <c r="S79" s="13" t="e">
        <f t="shared" si="87"/>
        <v>#REF!</v>
      </c>
      <c r="T79" s="13" t="e">
        <f t="shared" si="88"/>
        <v>#REF!</v>
      </c>
    </row>
    <row r="80" spans="1:20" ht="38.25" customHeight="1">
      <c r="A80" s="63" t="str">
        <f t="shared" si="84"/>
        <v>SIURB EDIF3002009</v>
      </c>
      <c r="B80" s="17" t="s">
        <v>24</v>
      </c>
      <c r="C80" s="341">
        <v>3002009</v>
      </c>
      <c r="D80" s="11">
        <f t="shared" si="51"/>
        <v>3</v>
      </c>
      <c r="E80" s="353" t="s">
        <v>22</v>
      </c>
      <c r="F80" s="353">
        <v>31</v>
      </c>
      <c r="G80" s="353"/>
      <c r="H80" s="353"/>
      <c r="I80" s="145" t="e">
        <f>INDEX(#REF!,MATCH(A80,#REF!,0),0)</f>
        <v>#REF!</v>
      </c>
      <c r="J80" s="144" t="e">
        <f>INDEX(#REF!,MATCH(A80,#REF!,0),0)</f>
        <v>#REF!</v>
      </c>
      <c r="K80" s="142">
        <v>228.9</v>
      </c>
      <c r="L80" s="143" t="e">
        <f>INDEX(#REF!,MATCH(A80,#REF!,0),0)</f>
        <v>#REF!</v>
      </c>
      <c r="M80" s="12">
        <f t="shared" si="47"/>
        <v>1.25</v>
      </c>
      <c r="N80" s="13" t="e">
        <f t="shared" si="85"/>
        <v>#REF!</v>
      </c>
      <c r="O80" s="13" t="e">
        <f t="shared" si="86"/>
        <v>#REF!</v>
      </c>
      <c r="Q80" s="143" t="e">
        <f>INDEX(#REF!,MATCH(A80,#REF!,0),0)</f>
        <v>#REF!</v>
      </c>
      <c r="R80" s="12">
        <f t="shared" si="50"/>
        <v>1.2757000000000001</v>
      </c>
      <c r="S80" s="13" t="e">
        <f t="shared" si="87"/>
        <v>#REF!</v>
      </c>
      <c r="T80" s="13" t="e">
        <f t="shared" si="88"/>
        <v>#REF!</v>
      </c>
    </row>
    <row r="81" spans="1:20" ht="30" customHeight="1">
      <c r="A81" s="63" t="str">
        <f t="shared" si="84"/>
        <v>SIURB EDIF8080050</v>
      </c>
      <c r="B81" s="17" t="s">
        <v>24</v>
      </c>
      <c r="C81" s="341">
        <v>8080050</v>
      </c>
      <c r="D81" s="11">
        <f>D79</f>
        <v>3</v>
      </c>
      <c r="E81" s="353" t="s">
        <v>22</v>
      </c>
      <c r="F81" s="353">
        <v>32</v>
      </c>
      <c r="G81" s="353"/>
      <c r="H81" s="353"/>
      <c r="I81" s="145" t="s">
        <v>46</v>
      </c>
      <c r="J81" s="144" t="e">
        <f>INDEX(#REF!,MATCH(A81,#REF!,0),0)</f>
        <v>#REF!</v>
      </c>
      <c r="K81" s="142">
        <v>58.48</v>
      </c>
      <c r="L81" s="143" t="e">
        <f>INDEX(#REF!,MATCH(A81,#REF!,0),0)</f>
        <v>#REF!</v>
      </c>
      <c r="M81" s="12">
        <f t="shared" si="47"/>
        <v>1.25</v>
      </c>
      <c r="N81" s="13" t="e">
        <f>ROUND(L81*M81,2)</f>
        <v>#REF!</v>
      </c>
      <c r="O81" s="13" t="e">
        <f>ROUND(K81*N81,2)</f>
        <v>#REF!</v>
      </c>
      <c r="Q81" s="143" t="e">
        <f>INDEX(#REF!,MATCH(A81,#REF!,0),0)</f>
        <v>#REF!</v>
      </c>
      <c r="R81" s="12">
        <f t="shared" si="50"/>
        <v>1.2757000000000001</v>
      </c>
      <c r="S81" s="13" t="e">
        <f>ROUND(Q81*R81,2)</f>
        <v>#REF!</v>
      </c>
      <c r="T81" s="13" t="e">
        <f>ROUND(K81*S81,2)</f>
        <v>#REF!</v>
      </c>
    </row>
    <row r="82" spans="1:20" ht="20.25" customHeight="1">
      <c r="C82" s="341"/>
      <c r="D82" s="436" t="s">
        <v>37</v>
      </c>
      <c r="E82" s="437"/>
      <c r="F82" s="437"/>
      <c r="G82" s="437"/>
      <c r="H82" s="437"/>
      <c r="I82" s="437"/>
      <c r="J82" s="437"/>
      <c r="K82" s="437"/>
      <c r="L82" s="437"/>
      <c r="M82" s="437"/>
      <c r="N82" s="437"/>
      <c r="O82" s="438"/>
      <c r="Q82" s="143"/>
      <c r="R82" s="12"/>
      <c r="S82" s="13"/>
      <c r="T82" s="13"/>
    </row>
    <row r="83" spans="1:20" ht="38.25" customHeight="1">
      <c r="A83" s="63" t="str">
        <f t="shared" ref="A83:A84" si="94">B83&amp;C83</f>
        <v>COMP SINAPI102624</v>
      </c>
      <c r="B83" s="17" t="s">
        <v>47</v>
      </c>
      <c r="C83" s="341">
        <v>102624</v>
      </c>
      <c r="D83" s="11">
        <f t="shared" si="51"/>
        <v>3</v>
      </c>
      <c r="E83" s="353" t="s">
        <v>22</v>
      </c>
      <c r="F83" s="353">
        <v>33</v>
      </c>
      <c r="G83" s="353"/>
      <c r="H83" s="353"/>
      <c r="I83" s="145" t="s">
        <v>48</v>
      </c>
      <c r="J83" s="144" t="e">
        <f>INDEX(#REF!,MATCH(A83,#REF!,0),0)</f>
        <v>#REF!</v>
      </c>
      <c r="K83" s="142">
        <v>1</v>
      </c>
      <c r="L83" s="143" t="e">
        <f>INDEX(#REF!,MATCH(A83,#REF!,0),0)</f>
        <v>#REF!</v>
      </c>
      <c r="M83" s="12">
        <f t="shared" si="47"/>
        <v>1.25</v>
      </c>
      <c r="N83" s="13" t="e">
        <f t="shared" ref="N83:N84" si="95">ROUND(L83*M83,2)</f>
        <v>#REF!</v>
      </c>
      <c r="O83" s="13" t="e">
        <f t="shared" ref="O83:O84" si="96">ROUND(K83*N83,2)</f>
        <v>#REF!</v>
      </c>
      <c r="Q83" s="143" t="e">
        <f>INDEX(#REF!,MATCH(A83,#REF!,0),0)</f>
        <v>#REF!</v>
      </c>
      <c r="R83" s="12">
        <f t="shared" si="50"/>
        <v>1.2757000000000001</v>
      </c>
      <c r="S83" s="13" t="e">
        <f t="shared" ref="S83:S84" si="97">ROUND(Q83*R83,2)</f>
        <v>#REF!</v>
      </c>
      <c r="T83" s="13" t="e">
        <f t="shared" ref="T83:T84" si="98">ROUND(K83*S83,2)</f>
        <v>#REF!</v>
      </c>
    </row>
    <row r="84" spans="1:20" ht="38.25" customHeight="1">
      <c r="A84" s="63" t="str">
        <f t="shared" si="94"/>
        <v>SINAPI102623</v>
      </c>
      <c r="B84" s="17" t="s">
        <v>49</v>
      </c>
      <c r="C84" s="341" t="s">
        <v>50</v>
      </c>
      <c r="D84" s="11">
        <f t="shared" si="51"/>
        <v>3</v>
      </c>
      <c r="E84" s="353" t="s">
        <v>22</v>
      </c>
      <c r="F84" s="353">
        <v>34</v>
      </c>
      <c r="G84" s="353"/>
      <c r="H84" s="353"/>
      <c r="I84" s="145" t="s">
        <v>51</v>
      </c>
      <c r="J84" s="144" t="e">
        <f>INDEX(#REF!,MATCH(A84,#REF!,0),0)</f>
        <v>#REF!</v>
      </c>
      <c r="K84" s="142">
        <v>1</v>
      </c>
      <c r="L84" s="143" t="e">
        <f>INDEX(#REF!,MATCH(A84,#REF!,0),0)</f>
        <v>#REF!</v>
      </c>
      <c r="M84" s="12">
        <f t="shared" si="47"/>
        <v>1.25</v>
      </c>
      <c r="N84" s="13" t="e">
        <f t="shared" si="95"/>
        <v>#REF!</v>
      </c>
      <c r="O84" s="13" t="e">
        <f t="shared" si="96"/>
        <v>#REF!</v>
      </c>
      <c r="Q84" s="143" t="e">
        <f>INDEX(#REF!,MATCH(A84,#REF!,0),0)</f>
        <v>#REF!</v>
      </c>
      <c r="R84" s="12">
        <f t="shared" si="50"/>
        <v>1.2757000000000001</v>
      </c>
      <c r="S84" s="13" t="e">
        <f t="shared" si="97"/>
        <v>#REF!</v>
      </c>
      <c r="T84" s="13" t="e">
        <f t="shared" si="98"/>
        <v>#REF!</v>
      </c>
    </row>
    <row r="85" spans="1:20" s="170" customFormat="1" ht="12.75">
      <c r="A85" s="63" t="str">
        <f t="shared" si="84"/>
        <v/>
      </c>
      <c r="B85" s="17"/>
      <c r="C85" s="341"/>
      <c r="D85" s="10"/>
      <c r="E85" s="347"/>
      <c r="F85" s="347"/>
      <c r="G85" s="347"/>
      <c r="H85" s="347"/>
      <c r="I85" s="434" t="s">
        <v>25</v>
      </c>
      <c r="J85" s="434"/>
      <c r="K85" s="434"/>
      <c r="L85" s="434"/>
      <c r="M85" s="434"/>
      <c r="N85" s="434"/>
      <c r="O85" s="352" t="e">
        <f>SUM(O44:O84)</f>
        <v>#REF!</v>
      </c>
      <c r="Q85" s="349"/>
      <c r="R85" s="350"/>
      <c r="S85" s="351"/>
      <c r="T85" s="352" t="e">
        <f>SUM(T44:T84)</f>
        <v>#REF!</v>
      </c>
    </row>
    <row r="86" spans="1:20" s="170" customFormat="1" ht="19.5" customHeight="1">
      <c r="A86" s="63" t="str">
        <f t="shared" si="84"/>
        <v/>
      </c>
      <c r="B86" s="17"/>
      <c r="C86" s="341"/>
      <c r="D86" s="10">
        <v>4</v>
      </c>
      <c r="E86" s="347" t="s">
        <v>22</v>
      </c>
      <c r="F86" s="347">
        <v>0</v>
      </c>
      <c r="G86" s="347"/>
      <c r="H86" s="347"/>
      <c r="I86" s="348" t="s">
        <v>52</v>
      </c>
      <c r="J86" s="347"/>
      <c r="K86" s="349"/>
      <c r="L86" s="349"/>
      <c r="M86" s="350"/>
      <c r="N86" s="351"/>
      <c r="O86" s="352"/>
      <c r="Q86" s="349"/>
      <c r="R86" s="350"/>
      <c r="S86" s="351"/>
      <c r="T86" s="352"/>
    </row>
    <row r="87" spans="1:20" ht="38.25" customHeight="1">
      <c r="A87" s="63" t="str">
        <f t="shared" si="84"/>
        <v>CDHU33.02.080</v>
      </c>
      <c r="B87" s="17" t="s">
        <v>29</v>
      </c>
      <c r="C87" s="341" t="s">
        <v>53</v>
      </c>
      <c r="D87" s="11">
        <f>D86</f>
        <v>4</v>
      </c>
      <c r="E87" s="353" t="s">
        <v>22</v>
      </c>
      <c r="F87" s="353">
        <v>1</v>
      </c>
      <c r="G87" s="353"/>
      <c r="H87" s="353"/>
      <c r="I87" s="145" t="e">
        <f>INDEX(#REF!,MATCH(A87,#REF!,0),0)</f>
        <v>#REF!</v>
      </c>
      <c r="J87" s="144" t="e">
        <f>INDEX(#REF!,MATCH(A87,#REF!,0),0)</f>
        <v>#REF!</v>
      </c>
      <c r="K87" s="142">
        <v>54.04</v>
      </c>
      <c r="L87" s="143" t="e">
        <f>INDEX(#REF!,MATCH(A87,#REF!,0),0)</f>
        <v>#REF!</v>
      </c>
      <c r="M87" s="12">
        <f t="shared" ref="M87:M96" si="99">1+$O$11</f>
        <v>1.25</v>
      </c>
      <c r="N87" s="13" t="e">
        <f t="shared" ref="N87:N96" si="100">ROUND(L87*M87,2)</f>
        <v>#REF!</v>
      </c>
      <c r="O87" s="13" t="e">
        <f t="shared" ref="O87:O96" si="101">ROUND(K87*N87,2)</f>
        <v>#REF!</v>
      </c>
      <c r="Q87" s="357"/>
      <c r="R87" s="358"/>
      <c r="S87" s="359"/>
      <c r="T87" s="360"/>
    </row>
    <row r="88" spans="1:20" s="209" customFormat="1" ht="38.25" customHeight="1">
      <c r="A88" s="205" t="str">
        <f t="shared" si="84"/>
        <v>SIURB EDIF15001010</v>
      </c>
      <c r="B88" s="17" t="s">
        <v>24</v>
      </c>
      <c r="C88" s="355">
        <v>15001010</v>
      </c>
      <c r="D88" s="206">
        <f>$D$86</f>
        <v>4</v>
      </c>
      <c r="E88" s="356" t="s">
        <v>22</v>
      </c>
      <c r="F88" s="356">
        <v>2</v>
      </c>
      <c r="G88" s="356"/>
      <c r="H88" s="356"/>
      <c r="I88" s="201" t="e">
        <f>INDEX(#REF!,MATCH(A88,#REF!,0),0)</f>
        <v>#REF!</v>
      </c>
      <c r="J88" s="202" t="e">
        <f>INDEX(#REF!,MATCH(A88,#REF!,0),0)</f>
        <v>#REF!</v>
      </c>
      <c r="K88" s="204">
        <v>196.84</v>
      </c>
      <c r="L88" s="203" t="e">
        <f>INDEX(#REF!,MATCH(A88,#REF!,0),0)</f>
        <v>#REF!</v>
      </c>
      <c r="M88" s="207">
        <f t="shared" si="99"/>
        <v>1.25</v>
      </c>
      <c r="N88" s="208" t="e">
        <f t="shared" si="100"/>
        <v>#REF!</v>
      </c>
      <c r="O88" s="208" t="e">
        <f t="shared" si="101"/>
        <v>#REF!</v>
      </c>
      <c r="P88" s="209">
        <f>1079+44</f>
        <v>1123</v>
      </c>
      <c r="Q88" s="203" t="e">
        <f>INDEX(#REF!,MATCH(A88,#REF!,0),0)</f>
        <v>#REF!</v>
      </c>
      <c r="R88" s="207">
        <f t="shared" ref="R88:R96" si="102">1+$T$11</f>
        <v>1.2757000000000001</v>
      </c>
      <c r="S88" s="208" t="e">
        <f t="shared" ref="S88:S96" si="103">ROUND(Q88*R88,2)</f>
        <v>#REF!</v>
      </c>
      <c r="T88" s="208" t="e">
        <f t="shared" ref="T88:T96" si="104">ROUND(K88*S88,2)</f>
        <v>#REF!</v>
      </c>
    </row>
    <row r="89" spans="1:20" s="209" customFormat="1" ht="35.25" customHeight="1">
      <c r="A89" s="205" t="str">
        <f t="shared" si="84"/>
        <v>SIURB EDIF15001008</v>
      </c>
      <c r="B89" s="17" t="s">
        <v>24</v>
      </c>
      <c r="C89" s="17">
        <v>15001008</v>
      </c>
      <c r="D89" s="206">
        <f t="shared" ref="D89:D96" si="105">$D$86</f>
        <v>4</v>
      </c>
      <c r="E89" s="356" t="s">
        <v>22</v>
      </c>
      <c r="F89" s="356">
        <v>3</v>
      </c>
      <c r="G89" s="356"/>
      <c r="H89" s="356"/>
      <c r="I89" s="201" t="e">
        <f>INDEX(#REF!,MATCH(A89,#REF!,0),0)</f>
        <v>#REF!</v>
      </c>
      <c r="J89" s="202" t="e">
        <f>INDEX(#REF!,MATCH(A89,#REF!,0),0)</f>
        <v>#REF!</v>
      </c>
      <c r="K89" s="204">
        <v>986.83</v>
      </c>
      <c r="L89" s="203" t="e">
        <f>INDEX(#REF!,MATCH(A89,#REF!,0),0)</f>
        <v>#REF!</v>
      </c>
      <c r="M89" s="207">
        <f t="shared" si="99"/>
        <v>1.25</v>
      </c>
      <c r="N89" s="208" t="e">
        <f t="shared" si="100"/>
        <v>#REF!</v>
      </c>
      <c r="O89" s="208" t="e">
        <f t="shared" si="101"/>
        <v>#REF!</v>
      </c>
      <c r="P89" s="209">
        <f>314-358</f>
        <v>-44</v>
      </c>
      <c r="Q89" s="203" t="e">
        <f>INDEX(#REF!,MATCH(A89,#REF!,0),0)</f>
        <v>#REF!</v>
      </c>
      <c r="R89" s="207">
        <f t="shared" si="102"/>
        <v>1.2757000000000001</v>
      </c>
      <c r="S89" s="208" t="e">
        <f t="shared" si="103"/>
        <v>#REF!</v>
      </c>
      <c r="T89" s="208" t="e">
        <f t="shared" si="104"/>
        <v>#REF!</v>
      </c>
    </row>
    <row r="90" spans="1:20" s="209" customFormat="1" ht="35.25" customHeight="1">
      <c r="A90" s="205" t="str">
        <f t="shared" si="84"/>
        <v>SIURB EDIF15001023</v>
      </c>
      <c r="B90" s="17" t="s">
        <v>24</v>
      </c>
      <c r="C90" s="17">
        <v>15001023</v>
      </c>
      <c r="D90" s="206">
        <f t="shared" si="105"/>
        <v>4</v>
      </c>
      <c r="E90" s="356" t="s">
        <v>22</v>
      </c>
      <c r="F90" s="356">
        <v>4</v>
      </c>
      <c r="G90" s="356"/>
      <c r="H90" s="356"/>
      <c r="I90" s="201" t="e">
        <f>INDEX(#REF!,MATCH(A90,#REF!,0),0)</f>
        <v>#REF!</v>
      </c>
      <c r="J90" s="202" t="e">
        <f>INDEX(#REF!,MATCH(A90,#REF!,0),0)</f>
        <v>#REF!</v>
      </c>
      <c r="K90" s="204">
        <v>358.86</v>
      </c>
      <c r="L90" s="203" t="e">
        <f>INDEX(#REF!,MATCH(A90,#REF!,0),0)</f>
        <v>#REF!</v>
      </c>
      <c r="M90" s="207">
        <f t="shared" si="99"/>
        <v>1.25</v>
      </c>
      <c r="N90" s="208" t="e">
        <f t="shared" si="100"/>
        <v>#REF!</v>
      </c>
      <c r="O90" s="208" t="e">
        <f t="shared" si="101"/>
        <v>#REF!</v>
      </c>
      <c r="P90" s="209">
        <f>314-358</f>
        <v>-44</v>
      </c>
      <c r="Q90" s="203" t="e">
        <f>INDEX(#REF!,MATCH(A90,#REF!,0),0)</f>
        <v>#REF!</v>
      </c>
      <c r="R90" s="207">
        <f t="shared" si="102"/>
        <v>1.2757000000000001</v>
      </c>
      <c r="S90" s="208" t="e">
        <f t="shared" si="103"/>
        <v>#REF!</v>
      </c>
      <c r="T90" s="208" t="e">
        <f t="shared" si="104"/>
        <v>#REF!</v>
      </c>
    </row>
    <row r="91" spans="1:20" ht="38.25" customHeight="1">
      <c r="A91" s="63" t="str">
        <f t="shared" si="84"/>
        <v>SIURB EDIF15002010</v>
      </c>
      <c r="B91" s="17" t="s">
        <v>24</v>
      </c>
      <c r="C91" s="341">
        <v>15002010</v>
      </c>
      <c r="D91" s="11">
        <f t="shared" si="105"/>
        <v>4</v>
      </c>
      <c r="E91" s="353" t="s">
        <v>22</v>
      </c>
      <c r="F91" s="353">
        <v>5</v>
      </c>
      <c r="G91" s="353"/>
      <c r="H91" s="353"/>
      <c r="I91" s="145" t="e">
        <f>INDEX(#REF!,MATCH(A91,#REF!,0),0)</f>
        <v>#REF!</v>
      </c>
      <c r="J91" s="144" t="e">
        <f>INDEX(#REF!,MATCH(A91,#REF!,0),0)</f>
        <v>#REF!</v>
      </c>
      <c r="K91" s="142">
        <v>110.25</v>
      </c>
      <c r="L91" s="143" t="e">
        <f>INDEX(#REF!,MATCH(A91,#REF!,0),0)</f>
        <v>#REF!</v>
      </c>
      <c r="M91" s="12">
        <f t="shared" si="99"/>
        <v>1.25</v>
      </c>
      <c r="N91" s="13" t="e">
        <f t="shared" si="100"/>
        <v>#REF!</v>
      </c>
      <c r="O91" s="13" t="e">
        <f t="shared" si="101"/>
        <v>#REF!</v>
      </c>
      <c r="Q91" s="143" t="e">
        <f>INDEX(#REF!,MATCH(A91,#REF!,0),0)</f>
        <v>#REF!</v>
      </c>
      <c r="R91" s="12">
        <f t="shared" si="102"/>
        <v>1.2757000000000001</v>
      </c>
      <c r="S91" s="13" t="e">
        <f t="shared" si="103"/>
        <v>#REF!</v>
      </c>
      <c r="T91" s="13" t="e">
        <f t="shared" si="104"/>
        <v>#REF!</v>
      </c>
    </row>
    <row r="92" spans="1:20" ht="38.25" customHeight="1">
      <c r="A92" s="63" t="str">
        <f t="shared" si="84"/>
        <v>SIURB EDIF15003010</v>
      </c>
      <c r="B92" s="17" t="s">
        <v>24</v>
      </c>
      <c r="C92" s="341">
        <v>15003010</v>
      </c>
      <c r="D92" s="11">
        <f t="shared" si="105"/>
        <v>4</v>
      </c>
      <c r="E92" s="353" t="s">
        <v>22</v>
      </c>
      <c r="F92" s="353">
        <v>6</v>
      </c>
      <c r="G92" s="353"/>
      <c r="H92" s="353"/>
      <c r="I92" s="145" t="e">
        <f>INDEX(#REF!,MATCH(A92,#REF!,0),0)</f>
        <v>#REF!</v>
      </c>
      <c r="J92" s="144" t="e">
        <f>INDEX(#REF!,MATCH(A92,#REF!,0),0)</f>
        <v>#REF!</v>
      </c>
      <c r="K92" s="142">
        <v>154.54</v>
      </c>
      <c r="L92" s="143" t="e">
        <f>INDEX(#REF!,MATCH(A92,#REF!,0),0)</f>
        <v>#REF!</v>
      </c>
      <c r="M92" s="12">
        <f t="shared" si="99"/>
        <v>1.25</v>
      </c>
      <c r="N92" s="13" t="e">
        <f t="shared" si="100"/>
        <v>#REF!</v>
      </c>
      <c r="O92" s="13" t="e">
        <f t="shared" si="101"/>
        <v>#REF!</v>
      </c>
      <c r="Q92" s="143" t="e">
        <f>INDEX(#REF!,MATCH(A92,#REF!,0),0)</f>
        <v>#REF!</v>
      </c>
      <c r="R92" s="12">
        <f t="shared" si="102"/>
        <v>1.2757000000000001</v>
      </c>
      <c r="S92" s="13" t="e">
        <f t="shared" si="103"/>
        <v>#REF!</v>
      </c>
      <c r="T92" s="13" t="e">
        <f t="shared" si="104"/>
        <v>#REF!</v>
      </c>
    </row>
    <row r="93" spans="1:20" s="209" customFormat="1" ht="38.25" customHeight="1">
      <c r="A93" s="205" t="str">
        <f t="shared" si="84"/>
        <v>CDHU33.06.020</v>
      </c>
      <c r="B93" s="17" t="s">
        <v>29</v>
      </c>
      <c r="C93" s="355" t="s">
        <v>54</v>
      </c>
      <c r="D93" s="206">
        <f t="shared" si="105"/>
        <v>4</v>
      </c>
      <c r="E93" s="356" t="s">
        <v>22</v>
      </c>
      <c r="F93" s="356">
        <v>7</v>
      </c>
      <c r="G93" s="356"/>
      <c r="H93" s="356"/>
      <c r="I93" s="201" t="e">
        <f>INDEX(#REF!,MATCH(A93,#REF!,0),0)</f>
        <v>#REF!</v>
      </c>
      <c r="J93" s="202" t="e">
        <f>INDEX(#REF!,MATCH(A93,#REF!,0),0)</f>
        <v>#REF!</v>
      </c>
      <c r="K93" s="204">
        <v>372.05</v>
      </c>
      <c r="L93" s="203" t="e">
        <f>INDEX(#REF!,MATCH(A93,#REF!,0),0)</f>
        <v>#REF!</v>
      </c>
      <c r="M93" s="207">
        <f t="shared" si="99"/>
        <v>1.25</v>
      </c>
      <c r="N93" s="208" t="e">
        <f t="shared" si="100"/>
        <v>#REF!</v>
      </c>
      <c r="O93" s="208" t="e">
        <f t="shared" si="101"/>
        <v>#REF!</v>
      </c>
      <c r="Q93" s="203" t="e">
        <f>INDEX(#REF!,MATCH(A93,#REF!,0),0)</f>
        <v>#REF!</v>
      </c>
      <c r="R93" s="207">
        <f t="shared" si="102"/>
        <v>1.2757000000000001</v>
      </c>
      <c r="S93" s="208" t="e">
        <f t="shared" si="103"/>
        <v>#REF!</v>
      </c>
      <c r="T93" s="208" t="e">
        <f t="shared" si="104"/>
        <v>#REF!</v>
      </c>
    </row>
    <row r="94" spans="1:20" ht="38.25" customHeight="1">
      <c r="A94" s="63" t="str">
        <f t="shared" si="84"/>
        <v>CDHU30.06.100</v>
      </c>
      <c r="B94" s="17" t="s">
        <v>29</v>
      </c>
      <c r="C94" s="341" t="s">
        <v>55</v>
      </c>
      <c r="D94" s="11">
        <f t="shared" si="105"/>
        <v>4</v>
      </c>
      <c r="E94" s="353" t="s">
        <v>22</v>
      </c>
      <c r="F94" s="353">
        <v>8</v>
      </c>
      <c r="G94" s="353"/>
      <c r="H94" s="353"/>
      <c r="I94" s="145" t="e">
        <f>INDEX(#REF!,MATCH(A94,#REF!,0),0)</f>
        <v>#REF!</v>
      </c>
      <c r="J94" s="144" t="e">
        <f>INDEX(#REF!,MATCH(A94,#REF!,0),0)</f>
        <v>#REF!</v>
      </c>
      <c r="K94" s="142">
        <v>2</v>
      </c>
      <c r="L94" s="143" t="e">
        <f>INDEX(#REF!,MATCH(A94,#REF!,0),0)</f>
        <v>#REF!</v>
      </c>
      <c r="M94" s="12">
        <f t="shared" si="99"/>
        <v>1.25</v>
      </c>
      <c r="N94" s="13" t="e">
        <f t="shared" si="100"/>
        <v>#REF!</v>
      </c>
      <c r="O94" s="13" t="e">
        <f t="shared" si="101"/>
        <v>#REF!</v>
      </c>
      <c r="Q94" s="143" t="e">
        <f>INDEX(#REF!,MATCH(A94,#REF!,0),0)</f>
        <v>#REF!</v>
      </c>
      <c r="R94" s="12">
        <f t="shared" si="102"/>
        <v>1.2757000000000001</v>
      </c>
      <c r="S94" s="13" t="e">
        <f t="shared" si="103"/>
        <v>#REF!</v>
      </c>
      <c r="T94" s="13" t="e">
        <f t="shared" si="104"/>
        <v>#REF!</v>
      </c>
    </row>
    <row r="95" spans="1:20" ht="38.25" customHeight="1">
      <c r="A95" s="63" t="str">
        <f t="shared" si="84"/>
        <v>SIURB EDIF13080061</v>
      </c>
      <c r="B95" s="17" t="s">
        <v>24</v>
      </c>
      <c r="C95" s="341">
        <v>13080061</v>
      </c>
      <c r="D95" s="11">
        <f t="shared" si="105"/>
        <v>4</v>
      </c>
      <c r="E95" s="353" t="s">
        <v>22</v>
      </c>
      <c r="F95" s="353">
        <v>9</v>
      </c>
      <c r="G95" s="353"/>
      <c r="H95" s="353"/>
      <c r="I95" s="145" t="e">
        <f>INDEX(#REF!,MATCH(A95,#REF!,0),0)</f>
        <v>#REF!</v>
      </c>
      <c r="J95" s="144" t="e">
        <f>INDEX(#REF!,MATCH(A95,#REF!,0),0)</f>
        <v>#REF!</v>
      </c>
      <c r="K95" s="142">
        <v>207.99</v>
      </c>
      <c r="L95" s="143" t="e">
        <f>INDEX(#REF!,MATCH(A95,#REF!,0),0)</f>
        <v>#REF!</v>
      </c>
      <c r="M95" s="12">
        <f t="shared" si="99"/>
        <v>1.25</v>
      </c>
      <c r="N95" s="13" t="e">
        <f t="shared" si="100"/>
        <v>#REF!</v>
      </c>
      <c r="O95" s="13" t="e">
        <f t="shared" si="101"/>
        <v>#REF!</v>
      </c>
      <c r="Q95" s="143" t="e">
        <f>INDEX(#REF!,MATCH(A95,#REF!,0),0)</f>
        <v>#REF!</v>
      </c>
      <c r="R95" s="12">
        <f t="shared" si="102"/>
        <v>1.2757000000000001</v>
      </c>
      <c r="S95" s="13" t="e">
        <f t="shared" si="103"/>
        <v>#REF!</v>
      </c>
      <c r="T95" s="13" t="e">
        <f t="shared" si="104"/>
        <v>#REF!</v>
      </c>
    </row>
    <row r="96" spans="1:20" ht="38.25" customHeight="1">
      <c r="A96" s="63" t="str">
        <f t="shared" si="84"/>
        <v>SIURB EDIF13080070</v>
      </c>
      <c r="B96" s="17" t="s">
        <v>24</v>
      </c>
      <c r="C96" s="341">
        <v>13080070</v>
      </c>
      <c r="D96" s="11">
        <f t="shared" si="105"/>
        <v>4</v>
      </c>
      <c r="E96" s="353" t="s">
        <v>22</v>
      </c>
      <c r="F96" s="353">
        <v>10</v>
      </c>
      <c r="G96" s="353"/>
      <c r="H96" s="353"/>
      <c r="I96" s="145" t="e">
        <f>INDEX(#REF!,MATCH(A96,#REF!,0),0)</f>
        <v>#REF!</v>
      </c>
      <c r="J96" s="144" t="e">
        <f>INDEX(#REF!,MATCH(A96,#REF!,0),0)</f>
        <v>#REF!</v>
      </c>
      <c r="K96" s="142">
        <v>207.99</v>
      </c>
      <c r="L96" s="143" t="e">
        <f>INDEX(#REF!,MATCH(A96,#REF!,0),0)</f>
        <v>#REF!</v>
      </c>
      <c r="M96" s="12">
        <f t="shared" si="99"/>
        <v>1.25</v>
      </c>
      <c r="N96" s="13" t="e">
        <f t="shared" si="100"/>
        <v>#REF!</v>
      </c>
      <c r="O96" s="13" t="e">
        <f t="shared" si="101"/>
        <v>#REF!</v>
      </c>
      <c r="Q96" s="143" t="e">
        <f>INDEX(#REF!,MATCH(A96,#REF!,0),0)</f>
        <v>#REF!</v>
      </c>
      <c r="R96" s="12">
        <f t="shared" si="102"/>
        <v>1.2757000000000001</v>
      </c>
      <c r="S96" s="13" t="e">
        <f t="shared" si="103"/>
        <v>#REF!</v>
      </c>
      <c r="T96" s="13" t="e">
        <f t="shared" si="104"/>
        <v>#REF!</v>
      </c>
    </row>
    <row r="97" spans="1:20" s="170" customFormat="1" ht="12.75">
      <c r="A97" s="63" t="str">
        <f t="shared" si="84"/>
        <v/>
      </c>
      <c r="B97" s="17"/>
      <c r="C97" s="341"/>
      <c r="D97" s="10"/>
      <c r="E97" s="347"/>
      <c r="F97" s="347"/>
      <c r="G97" s="347"/>
      <c r="H97" s="347"/>
      <c r="I97" s="434" t="s">
        <v>25</v>
      </c>
      <c r="J97" s="434"/>
      <c r="K97" s="434"/>
      <c r="L97" s="434"/>
      <c r="M97" s="434"/>
      <c r="N97" s="434"/>
      <c r="O97" s="352" t="e">
        <f>SUM(O87:O96)</f>
        <v>#REF!</v>
      </c>
      <c r="Q97" s="349"/>
      <c r="R97" s="350"/>
      <c r="S97" s="351"/>
      <c r="T97" s="352" t="e">
        <f>SUM(T87:T96)</f>
        <v>#REF!</v>
      </c>
    </row>
    <row r="98" spans="1:20" s="170" customFormat="1" ht="19.5" customHeight="1">
      <c r="A98" s="63" t="str">
        <f t="shared" si="84"/>
        <v/>
      </c>
      <c r="B98" s="17"/>
      <c r="C98" s="341"/>
      <c r="D98" s="10">
        <v>5</v>
      </c>
      <c r="E98" s="347" t="s">
        <v>22</v>
      </c>
      <c r="F98" s="347">
        <v>0</v>
      </c>
      <c r="G98" s="347"/>
      <c r="H98" s="347"/>
      <c r="I98" s="348" t="s">
        <v>56</v>
      </c>
      <c r="J98" s="347"/>
      <c r="K98" s="349"/>
      <c r="L98" s="349"/>
      <c r="M98" s="350"/>
      <c r="N98" s="351"/>
      <c r="O98" s="352"/>
      <c r="Q98" s="349"/>
      <c r="R98" s="350"/>
      <c r="S98" s="351"/>
      <c r="T98" s="352"/>
    </row>
    <row r="99" spans="1:20" ht="38.25" customHeight="1">
      <c r="A99" s="63" t="str">
        <f t="shared" si="84"/>
        <v>SIURB EDIF17004001</v>
      </c>
      <c r="B99" s="17" t="s">
        <v>24</v>
      </c>
      <c r="C99" s="341">
        <v>17004001</v>
      </c>
      <c r="D99" s="11">
        <f>D98</f>
        <v>5</v>
      </c>
      <c r="E99" s="353" t="s">
        <v>22</v>
      </c>
      <c r="F99" s="353">
        <v>1</v>
      </c>
      <c r="G99" s="353"/>
      <c r="H99" s="353"/>
      <c r="I99" s="145" t="e">
        <f>INDEX(#REF!,MATCH(A99,#REF!,0),0)</f>
        <v>#REF!</v>
      </c>
      <c r="J99" s="144" t="e">
        <f>INDEX(#REF!,MATCH(A99,#REF!,0),0)</f>
        <v>#REF!</v>
      </c>
      <c r="K99" s="142" t="e">
        <f>#REF!</f>
        <v>#REF!</v>
      </c>
      <c r="L99" s="143" t="e">
        <f>INDEX(#REF!,MATCH(A99,#REF!,0),0)</f>
        <v>#REF!</v>
      </c>
      <c r="M99" s="12">
        <f t="shared" ref="M99" si="106">1+$O$11</f>
        <v>1.25</v>
      </c>
      <c r="N99" s="13" t="e">
        <f t="shared" ref="N99" si="107">ROUND(L99*M99,2)</f>
        <v>#REF!</v>
      </c>
      <c r="O99" s="13" t="e">
        <f t="shared" ref="O99" si="108">ROUND(K99*N99,2)</f>
        <v>#REF!</v>
      </c>
      <c r="Q99" s="143" t="e">
        <f>INDEX(#REF!,MATCH(A99,#REF!,0),0)</f>
        <v>#REF!</v>
      </c>
      <c r="R99" s="12">
        <f t="shared" ref="R99" si="109">1+$T$11</f>
        <v>1.2757000000000001</v>
      </c>
      <c r="S99" s="13" t="e">
        <f t="shared" ref="S99" si="110">ROUND(Q99*R99,2)</f>
        <v>#REF!</v>
      </c>
      <c r="T99" s="13" t="e">
        <f t="shared" ref="T99" si="111">ROUND(K99*S99,2)</f>
        <v>#REF!</v>
      </c>
    </row>
    <row r="100" spans="1:20" s="170" customFormat="1" ht="12.75">
      <c r="A100" s="63" t="str">
        <f t="shared" si="84"/>
        <v/>
      </c>
      <c r="B100" s="17"/>
      <c r="C100" s="341"/>
      <c r="D100" s="10"/>
      <c r="E100" s="347"/>
      <c r="F100" s="347"/>
      <c r="G100" s="347"/>
      <c r="H100" s="347"/>
      <c r="I100" s="434" t="s">
        <v>25</v>
      </c>
      <c r="J100" s="434"/>
      <c r="K100" s="434"/>
      <c r="L100" s="434"/>
      <c r="M100" s="434"/>
      <c r="N100" s="434"/>
      <c r="O100" s="352" t="e">
        <f>SUM(O99)</f>
        <v>#REF!</v>
      </c>
      <c r="Q100" s="349"/>
      <c r="R100" s="350"/>
      <c r="S100" s="351"/>
      <c r="T100" s="352" t="e">
        <f>SUM(T99)</f>
        <v>#REF!</v>
      </c>
    </row>
    <row r="101" spans="1:20" ht="11.25" customHeight="1">
      <c r="C101" s="341"/>
      <c r="D101" s="167"/>
      <c r="L101" s="168"/>
      <c r="M101" s="168"/>
      <c r="N101" s="168"/>
      <c r="O101" s="173"/>
      <c r="Q101" s="168"/>
      <c r="R101" s="168"/>
      <c r="S101" s="168"/>
      <c r="T101" s="173"/>
    </row>
    <row r="102" spans="1:20" s="170" customFormat="1" ht="12.75">
      <c r="A102" s="63"/>
      <c r="B102" s="17"/>
      <c r="C102" s="341"/>
      <c r="D102" s="10"/>
      <c r="E102" s="347"/>
      <c r="F102" s="347"/>
      <c r="G102" s="347"/>
      <c r="H102" s="347"/>
      <c r="I102" s="435" t="s">
        <v>57</v>
      </c>
      <c r="J102" s="435"/>
      <c r="K102" s="435"/>
      <c r="L102" s="435"/>
      <c r="M102" s="435"/>
      <c r="N102" s="354"/>
      <c r="O102" s="352" t="e">
        <f>SUM(O100,O97,O85,O41)</f>
        <v>#REF!</v>
      </c>
      <c r="Q102" s="349"/>
      <c r="R102" s="350"/>
      <c r="S102" s="354" t="s">
        <v>58</v>
      </c>
      <c r="T102" s="352" t="e">
        <f>SUM(T100,T97,T85,T41,T19)</f>
        <v>#REF!</v>
      </c>
    </row>
    <row r="103" spans="1:20" s="170" customFormat="1" ht="19.5" customHeight="1">
      <c r="A103" s="63" t="str">
        <f t="shared" ref="A103:A105" si="112">B103&amp;C103</f>
        <v/>
      </c>
      <c r="B103" s="17"/>
      <c r="C103" s="341"/>
      <c r="D103" s="10">
        <v>6</v>
      </c>
      <c r="E103" s="347" t="s">
        <v>22</v>
      </c>
      <c r="F103" s="347">
        <v>0</v>
      </c>
      <c r="G103" s="347"/>
      <c r="H103" s="347"/>
      <c r="I103" s="348" t="s">
        <v>59</v>
      </c>
      <c r="J103" s="347"/>
      <c r="K103" s="349"/>
      <c r="L103" s="349"/>
      <c r="M103" s="350"/>
      <c r="N103" s="351"/>
      <c r="O103" s="352"/>
      <c r="Q103" s="349"/>
      <c r="R103" s="350"/>
      <c r="S103" s="351"/>
      <c r="T103" s="352"/>
    </row>
    <row r="104" spans="1:20" ht="38.25" customHeight="1">
      <c r="C104" s="341"/>
      <c r="D104" s="11">
        <f>D103</f>
        <v>6</v>
      </c>
      <c r="E104" s="353" t="s">
        <v>22</v>
      </c>
      <c r="F104" s="353">
        <v>1</v>
      </c>
      <c r="G104" s="353"/>
      <c r="H104" s="353"/>
      <c r="I104" s="145" t="s">
        <v>60</v>
      </c>
      <c r="J104" s="144" t="s">
        <v>61</v>
      </c>
      <c r="K104" s="197">
        <v>0.02</v>
      </c>
      <c r="L104" s="195" t="e">
        <f>O102</f>
        <v>#REF!</v>
      </c>
      <c r="M104" s="12"/>
      <c r="N104" s="13" t="e">
        <f>L104*K104</f>
        <v>#REF!</v>
      </c>
      <c r="O104" s="13" t="e">
        <f>N104</f>
        <v>#REF!</v>
      </c>
      <c r="Q104" s="143">
        <v>2</v>
      </c>
      <c r="R104" s="12">
        <f t="shared" ref="R104" si="113">1+$T$11</f>
        <v>1.2757000000000001</v>
      </c>
      <c r="S104" s="13" t="e">
        <f>T102*P104</f>
        <v>#REF!</v>
      </c>
      <c r="T104" s="13" t="e">
        <f t="shared" ref="T104" si="114">ROUND(K104*S104,2)</f>
        <v>#REF!</v>
      </c>
    </row>
    <row r="105" spans="1:20" s="170" customFormat="1" ht="12.75">
      <c r="A105" s="63" t="str">
        <f t="shared" si="112"/>
        <v/>
      </c>
      <c r="B105" s="17"/>
      <c r="C105" s="341"/>
      <c r="D105" s="10"/>
      <c r="E105" s="347"/>
      <c r="F105" s="347"/>
      <c r="G105" s="347"/>
      <c r="H105" s="347"/>
      <c r="I105" s="434" t="s">
        <v>25</v>
      </c>
      <c r="J105" s="434"/>
      <c r="K105" s="434"/>
      <c r="L105" s="434"/>
      <c r="M105" s="434"/>
      <c r="N105" s="434"/>
      <c r="O105" s="352" t="e">
        <f>SUM(O104)</f>
        <v>#REF!</v>
      </c>
      <c r="Q105" s="349"/>
      <c r="R105" s="350"/>
      <c r="S105" s="351"/>
      <c r="T105" s="352" t="e">
        <f>SUM(T104)</f>
        <v>#REF!</v>
      </c>
    </row>
    <row r="106" spans="1:20" ht="9" customHeight="1">
      <c r="C106" s="361"/>
      <c r="D106" s="196"/>
      <c r="E106" s="362"/>
      <c r="F106" s="362"/>
      <c r="G106" s="362"/>
      <c r="H106" s="362"/>
      <c r="I106" s="363"/>
      <c r="J106" s="363"/>
      <c r="K106" s="363"/>
      <c r="L106" s="363"/>
      <c r="M106" s="363"/>
      <c r="N106" s="363"/>
      <c r="O106" s="364"/>
      <c r="Q106" s="365"/>
      <c r="R106" s="358"/>
      <c r="S106" s="359"/>
      <c r="T106" s="364"/>
    </row>
    <row r="107" spans="1:20" s="170" customFormat="1" ht="12.75">
      <c r="A107" s="63"/>
      <c r="B107" s="17"/>
      <c r="C107" s="341"/>
      <c r="D107" s="10"/>
      <c r="E107" s="347"/>
      <c r="F107" s="347"/>
      <c r="G107" s="347"/>
      <c r="H107" s="347"/>
      <c r="I107" s="435" t="s">
        <v>62</v>
      </c>
      <c r="J107" s="435"/>
      <c r="K107" s="435"/>
      <c r="L107" s="435"/>
      <c r="M107" s="435"/>
      <c r="N107" s="354"/>
      <c r="O107" s="352" t="e">
        <f>SUM(O105,O102)</f>
        <v>#REF!</v>
      </c>
      <c r="Q107" s="349"/>
      <c r="R107" s="350"/>
      <c r="S107" s="354" t="s">
        <v>58</v>
      </c>
      <c r="T107" s="352" t="e">
        <f>SUM(T105,T102)</f>
        <v>#REF!</v>
      </c>
    </row>
    <row r="108" spans="1:20" s="170" customFormat="1" ht="19.5" customHeight="1">
      <c r="A108" s="63" t="str">
        <f t="shared" si="84"/>
        <v/>
      </c>
      <c r="B108" s="17"/>
      <c r="C108" s="341"/>
      <c r="D108" s="10">
        <v>7</v>
      </c>
      <c r="E108" s="347" t="s">
        <v>22</v>
      </c>
      <c r="F108" s="347">
        <v>0</v>
      </c>
      <c r="G108" s="347"/>
      <c r="H108" s="347"/>
      <c r="I108" s="348" t="s">
        <v>63</v>
      </c>
      <c r="J108" s="347"/>
      <c r="K108" s="349"/>
      <c r="L108" s="349"/>
      <c r="M108" s="350"/>
      <c r="N108" s="351"/>
      <c r="O108" s="352"/>
      <c r="Q108" s="349"/>
      <c r="R108" s="350"/>
      <c r="S108" s="351"/>
      <c r="T108" s="352"/>
    </row>
    <row r="109" spans="1:20" ht="38.25" customHeight="1">
      <c r="A109" s="63" t="str">
        <f t="shared" si="84"/>
        <v/>
      </c>
      <c r="C109" s="341"/>
      <c r="D109" s="11">
        <f>D108</f>
        <v>7</v>
      </c>
      <c r="E109" s="353" t="s">
        <v>22</v>
      </c>
      <c r="F109" s="353">
        <v>1</v>
      </c>
      <c r="G109" s="353"/>
      <c r="H109" s="353"/>
      <c r="I109" s="145" t="s">
        <v>63</v>
      </c>
      <c r="J109" s="144" t="s">
        <v>61</v>
      </c>
      <c r="K109" s="197">
        <v>0.05</v>
      </c>
      <c r="L109" s="195" t="e">
        <f>O107</f>
        <v>#REF!</v>
      </c>
      <c r="M109" s="12"/>
      <c r="N109" s="13" t="e">
        <f>L109*K109</f>
        <v>#REF!</v>
      </c>
      <c r="O109" s="13" t="e">
        <f>N109</f>
        <v>#REF!</v>
      </c>
      <c r="Q109" s="174">
        <v>0.1</v>
      </c>
      <c r="R109" s="12">
        <f t="shared" ref="R109" si="115">1+$T$11</f>
        <v>1.2757000000000001</v>
      </c>
      <c r="S109" s="13" t="e">
        <f>T107*Q109</f>
        <v>#REF!</v>
      </c>
      <c r="T109" s="13" t="e">
        <f>S109</f>
        <v>#REF!</v>
      </c>
    </row>
    <row r="110" spans="1:20" s="170" customFormat="1" ht="12.75">
      <c r="A110" s="63" t="str">
        <f t="shared" si="84"/>
        <v/>
      </c>
      <c r="B110" s="17"/>
      <c r="C110" s="341"/>
      <c r="D110" s="10"/>
      <c r="E110" s="347"/>
      <c r="F110" s="347"/>
      <c r="G110" s="347"/>
      <c r="H110" s="347"/>
      <c r="I110" s="434" t="s">
        <v>25</v>
      </c>
      <c r="J110" s="434"/>
      <c r="K110" s="434"/>
      <c r="L110" s="434"/>
      <c r="M110" s="434"/>
      <c r="N110" s="434"/>
      <c r="O110" s="352" t="e">
        <f>SUM(O109)</f>
        <v>#REF!</v>
      </c>
      <c r="Q110" s="349"/>
      <c r="R110" s="350"/>
      <c r="S110" s="351"/>
      <c r="T110" s="352" t="e">
        <f>SUM(T109)</f>
        <v>#REF!</v>
      </c>
    </row>
    <row r="111" spans="1:20" ht="11.25" customHeight="1">
      <c r="C111" s="341"/>
      <c r="D111" s="167"/>
      <c r="L111" s="168"/>
      <c r="M111" s="168"/>
      <c r="N111" s="168"/>
      <c r="O111" s="173"/>
      <c r="Q111" s="168"/>
      <c r="R111" s="168"/>
      <c r="S111" s="168"/>
      <c r="T111" s="173"/>
    </row>
    <row r="112" spans="1:20" s="170" customFormat="1" ht="12.75">
      <c r="A112" s="63" t="str">
        <f t="shared" ref="A112" si="116">B112&amp;C112</f>
        <v/>
      </c>
      <c r="B112" s="17"/>
      <c r="C112" s="341"/>
      <c r="D112" s="10"/>
      <c r="E112" s="347"/>
      <c r="F112" s="347"/>
      <c r="G112" s="347"/>
      <c r="H112" s="347"/>
      <c r="I112" s="354" t="s">
        <v>64</v>
      </c>
      <c r="J112" s="354"/>
      <c r="K112" s="347"/>
      <c r="L112" s="354"/>
      <c r="M112" s="354"/>
      <c r="N112" s="354"/>
      <c r="O112" s="352" t="e">
        <f>O19+O41+O85+O97+O100+O105+O110</f>
        <v>#REF!</v>
      </c>
      <c r="Q112" s="349"/>
      <c r="R112" s="350"/>
      <c r="S112" s="351"/>
      <c r="T112" s="352" t="e">
        <f>T107+T110</f>
        <v>#REF!</v>
      </c>
    </row>
    <row r="113" spans="1:22" ht="11.25" customHeight="1">
      <c r="C113" s="341"/>
      <c r="D113" s="167"/>
      <c r="L113" s="168"/>
      <c r="M113" s="168"/>
      <c r="N113" s="168"/>
      <c r="O113" s="173"/>
      <c r="Q113" s="168"/>
      <c r="R113" s="168"/>
      <c r="S113" s="168"/>
      <c r="T113" s="173"/>
    </row>
    <row r="114" spans="1:22" s="166" customFormat="1" ht="30" customHeight="1">
      <c r="A114" s="63"/>
      <c r="B114" s="17"/>
      <c r="C114" s="341"/>
      <c r="D114" s="366"/>
      <c r="E114" s="367"/>
      <c r="F114" s="367"/>
      <c r="G114" s="367"/>
      <c r="H114" s="367"/>
      <c r="I114" s="64" t="s">
        <v>65</v>
      </c>
      <c r="J114" s="367"/>
      <c r="K114" s="368"/>
      <c r="L114" s="369"/>
      <c r="M114" s="369"/>
      <c r="N114" s="369"/>
      <c r="O114" s="14" t="e">
        <f>O112</f>
        <v>#REF!</v>
      </c>
      <c r="P114" s="165"/>
      <c r="Q114" s="370"/>
      <c r="R114" s="370"/>
      <c r="S114" s="370"/>
      <c r="T114" s="14" t="e">
        <f>T112</f>
        <v>#REF!</v>
      </c>
    </row>
    <row r="115" spans="1:22" ht="30" customHeight="1">
      <c r="C115" s="341"/>
      <c r="D115" s="175"/>
      <c r="E115" s="175"/>
      <c r="F115" s="175"/>
      <c r="G115" s="175"/>
      <c r="H115" s="175"/>
      <c r="I115" s="65"/>
      <c r="J115" s="175"/>
      <c r="K115" s="176"/>
      <c r="L115" s="177"/>
      <c r="M115" s="177"/>
      <c r="N115" s="177"/>
      <c r="O115" s="66"/>
      <c r="T115" s="178"/>
    </row>
    <row r="116" spans="1:22" ht="30" customHeight="1">
      <c r="C116" s="341"/>
      <c r="D116" s="175"/>
      <c r="E116" s="175"/>
      <c r="F116" s="175"/>
      <c r="G116" s="175"/>
      <c r="H116" s="175"/>
      <c r="I116" s="65"/>
      <c r="J116" s="175"/>
      <c r="K116" s="176"/>
      <c r="L116" s="177"/>
      <c r="M116" s="177"/>
      <c r="N116" s="177"/>
      <c r="O116" s="66"/>
      <c r="P116" s="171"/>
      <c r="T116" s="178"/>
    </row>
    <row r="117" spans="1:22" ht="30" customHeight="1">
      <c r="C117" s="341"/>
      <c r="D117" s="175"/>
      <c r="E117" s="175"/>
      <c r="F117" s="175"/>
      <c r="G117" s="175"/>
      <c r="H117" s="175"/>
      <c r="I117" s="175"/>
      <c r="J117" s="175"/>
      <c r="K117" s="176"/>
      <c r="L117" s="175"/>
      <c r="M117" s="175"/>
      <c r="N117" s="175"/>
      <c r="O117" s="175"/>
      <c r="P117" s="171"/>
      <c r="T117" s="178"/>
    </row>
    <row r="118" spans="1:22" ht="12" customHeight="1">
      <c r="C118" s="341"/>
      <c r="E118" s="179"/>
      <c r="F118" s="179" t="s">
        <v>66</v>
      </c>
      <c r="G118" s="179"/>
      <c r="H118" s="179"/>
      <c r="I118" s="179"/>
      <c r="J118" s="47" t="s">
        <v>67</v>
      </c>
      <c r="K118" s="180"/>
      <c r="L118" s="181"/>
      <c r="M118" s="181"/>
      <c r="N118" s="181"/>
      <c r="O118" s="181"/>
    </row>
    <row r="119" spans="1:22" s="182" customFormat="1" ht="12.75" customHeight="1">
      <c r="A119" s="63"/>
      <c r="B119" s="17"/>
      <c r="C119" s="341"/>
      <c r="D119" s="175"/>
      <c r="E119" s="175"/>
      <c r="F119" s="175"/>
      <c r="G119" s="175"/>
      <c r="I119" s="183" t="s">
        <v>68</v>
      </c>
      <c r="J119" s="45" t="s">
        <v>69</v>
      </c>
      <c r="K119" s="176"/>
      <c r="L119" s="175"/>
      <c r="M119" s="175"/>
      <c r="N119" s="175"/>
      <c r="O119" s="175"/>
      <c r="T119" s="184"/>
    </row>
    <row r="120" spans="1:22" s="182" customFormat="1" ht="12.75" customHeight="1">
      <c r="A120" s="63"/>
      <c r="B120" s="17"/>
      <c r="C120" s="341"/>
      <c r="D120" s="175"/>
      <c r="E120" s="175"/>
      <c r="F120" s="175"/>
      <c r="G120" s="175"/>
      <c r="I120" s="175"/>
      <c r="J120" s="47"/>
      <c r="K120" s="40"/>
      <c r="L120" s="47"/>
      <c r="M120" s="47"/>
      <c r="N120" s="47"/>
      <c r="O120" s="47"/>
    </row>
    <row r="121" spans="1:22" s="182" customFormat="1" ht="12.75" customHeight="1">
      <c r="A121" s="63"/>
      <c r="B121" s="17"/>
      <c r="C121" s="341"/>
      <c r="D121" s="175"/>
      <c r="E121" s="175"/>
      <c r="F121" s="175"/>
      <c r="G121" s="175"/>
      <c r="H121" s="175"/>
      <c r="I121" s="175"/>
      <c r="J121" s="47"/>
      <c r="K121" s="40"/>
      <c r="L121" s="47"/>
      <c r="M121" s="47"/>
      <c r="N121" s="47"/>
      <c r="O121" s="47"/>
    </row>
    <row r="122" spans="1:22" s="182" customFormat="1" ht="12.75" customHeight="1">
      <c r="A122" s="63"/>
      <c r="B122" s="17"/>
      <c r="C122" s="341"/>
      <c r="D122" s="175"/>
      <c r="E122" s="175"/>
      <c r="F122" s="175"/>
      <c r="G122" s="175"/>
      <c r="H122" s="175"/>
      <c r="I122" s="175"/>
      <c r="J122" s="47"/>
      <c r="K122" s="40"/>
      <c r="L122" s="47"/>
      <c r="M122" s="47"/>
      <c r="N122" s="47"/>
      <c r="O122" s="47"/>
    </row>
    <row r="123" spans="1:22" s="182" customFormat="1" ht="15" customHeight="1">
      <c r="A123" s="63"/>
      <c r="B123" s="17"/>
      <c r="C123" s="341"/>
      <c r="D123" s="175"/>
      <c r="E123" s="175"/>
      <c r="F123" s="175"/>
      <c r="G123" s="175"/>
      <c r="H123" s="175"/>
      <c r="I123" s="175"/>
      <c r="J123" s="40"/>
      <c r="K123" s="40"/>
      <c r="L123" s="40"/>
      <c r="M123" s="40"/>
      <c r="N123" s="40"/>
      <c r="O123" s="40"/>
      <c r="P123" s="15"/>
      <c r="Q123" s="15"/>
      <c r="R123" s="15"/>
      <c r="S123" s="15"/>
      <c r="T123" s="15"/>
      <c r="U123" s="15"/>
      <c r="V123" s="15"/>
    </row>
    <row r="124" spans="1:22" s="182" customFormat="1" ht="15" customHeight="1">
      <c r="A124" s="63"/>
      <c r="B124" s="17"/>
      <c r="C124" s="341"/>
      <c r="D124" s="175"/>
      <c r="E124" s="175"/>
      <c r="F124" s="175"/>
      <c r="G124" s="175"/>
      <c r="H124" s="175"/>
      <c r="I124" s="175"/>
      <c r="J124" s="175"/>
      <c r="K124" s="176"/>
      <c r="L124" s="175"/>
      <c r="M124" s="175"/>
      <c r="N124" s="175"/>
      <c r="O124" s="175"/>
      <c r="P124" s="16"/>
      <c r="Q124" s="16"/>
      <c r="R124" s="16"/>
      <c r="S124" s="16"/>
      <c r="T124" s="16"/>
      <c r="U124" s="16"/>
      <c r="V124" s="16"/>
    </row>
    <row r="125" spans="1:22" s="182" customFormat="1" ht="15" customHeight="1">
      <c r="A125" s="63"/>
      <c r="B125" s="17"/>
      <c r="C125" s="341"/>
      <c r="D125" s="175"/>
      <c r="G125" s="47"/>
      <c r="H125" s="47"/>
      <c r="I125" s="47"/>
      <c r="J125" s="47"/>
      <c r="K125" s="40"/>
      <c r="L125" s="47"/>
      <c r="M125" s="47"/>
      <c r="N125" s="47"/>
      <c r="O125" s="47"/>
    </row>
    <row r="126" spans="1:22" s="182" customFormat="1" ht="15" customHeight="1">
      <c r="A126" s="63"/>
      <c r="B126" s="17"/>
      <c r="C126" s="341"/>
      <c r="D126" s="175"/>
      <c r="E126" s="175"/>
      <c r="F126" s="175"/>
      <c r="G126" s="175"/>
      <c r="H126" s="175"/>
      <c r="J126" s="45"/>
      <c r="K126" s="43"/>
      <c r="L126" s="45"/>
      <c r="M126" s="45"/>
      <c r="N126" s="45"/>
      <c r="O126" s="45"/>
    </row>
    <row r="127" spans="1:22" ht="30" customHeight="1">
      <c r="C127" s="341"/>
      <c r="D127" s="175"/>
      <c r="E127" s="175"/>
      <c r="F127" s="175"/>
      <c r="G127" s="175"/>
      <c r="H127" s="175"/>
    </row>
  </sheetData>
  <mergeCells count="29">
    <mergeCell ref="D37:O37"/>
    <mergeCell ref="Q2:T6"/>
    <mergeCell ref="D6:O6"/>
    <mergeCell ref="D8:H8"/>
    <mergeCell ref="D9:H9"/>
    <mergeCell ref="I19:N19"/>
    <mergeCell ref="D21:O21"/>
    <mergeCell ref="D25:O25"/>
    <mergeCell ref="D29:O29"/>
    <mergeCell ref="D31:O31"/>
    <mergeCell ref="D33:O33"/>
    <mergeCell ref="D35:O35"/>
    <mergeCell ref="I97:N97"/>
    <mergeCell ref="D39:O39"/>
    <mergeCell ref="I41:N41"/>
    <mergeCell ref="D43:O43"/>
    <mergeCell ref="D47:O47"/>
    <mergeCell ref="D51:O51"/>
    <mergeCell ref="D60:O60"/>
    <mergeCell ref="D66:O66"/>
    <mergeCell ref="D75:O75"/>
    <mergeCell ref="D77:O77"/>
    <mergeCell ref="D82:O82"/>
    <mergeCell ref="I85:N85"/>
    <mergeCell ref="I100:N100"/>
    <mergeCell ref="I102:M102"/>
    <mergeCell ref="I105:N105"/>
    <mergeCell ref="I107:M107"/>
    <mergeCell ref="I110:N110"/>
  </mergeCells>
  <pageMargins left="0.511811024" right="0.511811024" top="0.78740157499999996" bottom="0.78740157499999996" header="0.31496062000000002" footer="0.31496062000000002"/>
  <pageSetup paperSize="9" scale="60" orientation="portrait" r:id="rId1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27"/>
  <sheetViews>
    <sheetView view="pageBreakPreview" topLeftCell="B7" zoomScale="85" zoomScaleNormal="85" zoomScaleSheetLayoutView="85" workbookViewId="0">
      <selection activeCell="O11" sqref="O11"/>
    </sheetView>
  </sheetViews>
  <sheetFormatPr defaultRowHeight="30" customHeight="1"/>
  <cols>
    <col min="1" max="1" width="8.7109375" style="63" customWidth="1"/>
    <col min="2" max="2" width="8.7109375" style="17" customWidth="1"/>
    <col min="3" max="3" width="16.42578125" style="146" customWidth="1"/>
    <col min="4" max="4" width="3.7109375" style="165" customWidth="1"/>
    <col min="5" max="5" width="1.7109375" style="165" customWidth="1"/>
    <col min="6" max="6" width="3.7109375" style="165" customWidth="1"/>
    <col min="7" max="7" width="1.7109375" style="165" customWidth="1"/>
    <col min="8" max="8" width="3.7109375" style="165" customWidth="1"/>
    <col min="9" max="9" width="80.7109375" style="165" customWidth="1"/>
    <col min="10" max="10" width="10" style="165" customWidth="1"/>
    <col min="11" max="11" width="14.140625" style="172" customWidth="1"/>
    <col min="12" max="12" width="15.5703125" style="172" hidden="1" customWidth="1"/>
    <col min="13" max="13" width="21.28515625" style="172" hidden="1" customWidth="1"/>
    <col min="14" max="14" width="15.140625" style="172" customWidth="1"/>
    <col min="15" max="15" width="17.85546875" style="172" customWidth="1"/>
    <col min="16" max="16" width="13.5703125" style="165" bestFit="1" customWidth="1"/>
    <col min="17" max="17" width="17.28515625" style="172" bestFit="1" customWidth="1"/>
    <col min="18" max="18" width="12.7109375" style="172" customWidth="1"/>
    <col min="19" max="19" width="15" style="172" customWidth="1"/>
    <col min="20" max="20" width="17.85546875" style="172" customWidth="1"/>
    <col min="21" max="21" width="9.140625" style="165"/>
    <col min="22" max="22" width="16.85546875" style="165" customWidth="1"/>
    <col min="23" max="16384" width="9.140625" style="165"/>
  </cols>
  <sheetData>
    <row r="1" spans="1:22" s="153" customFormat="1" ht="11.25" customHeight="1">
      <c r="A1" s="63"/>
      <c r="B1" s="17"/>
      <c r="C1" s="341"/>
      <c r="D1" s="147"/>
      <c r="E1" s="148"/>
      <c r="F1" s="149"/>
      <c r="G1" s="150"/>
      <c r="H1" s="151"/>
      <c r="I1" s="151"/>
      <c r="J1" s="152"/>
      <c r="K1" s="147"/>
    </row>
    <row r="2" spans="1:22" s="153" customFormat="1" ht="20.25" customHeight="1">
      <c r="A2" s="63"/>
      <c r="B2" s="17"/>
      <c r="C2" s="341"/>
      <c r="D2" s="147"/>
      <c r="E2" s="148"/>
      <c r="F2" s="149"/>
      <c r="G2" s="150"/>
      <c r="H2" s="151"/>
      <c r="I2" s="151"/>
      <c r="J2" s="152"/>
      <c r="K2" s="147"/>
      <c r="Q2" s="439" t="s">
        <v>0</v>
      </c>
      <c r="R2" s="439"/>
      <c r="S2" s="439"/>
      <c r="T2" s="439"/>
    </row>
    <row r="3" spans="1:22" s="153" customFormat="1" ht="20.25" customHeight="1">
      <c r="A3" s="63"/>
      <c r="B3" s="17"/>
      <c r="C3" s="341"/>
      <c r="D3" s="147"/>
      <c r="E3" s="148"/>
      <c r="F3" s="149"/>
      <c r="G3" s="150"/>
      <c r="H3" s="151"/>
      <c r="I3" s="151"/>
      <c r="J3" s="152"/>
      <c r="K3" s="147"/>
      <c r="Q3" s="439"/>
      <c r="R3" s="439"/>
      <c r="S3" s="439"/>
      <c r="T3" s="439"/>
    </row>
    <row r="4" spans="1:22" s="153" customFormat="1" ht="15" customHeight="1">
      <c r="A4" s="63"/>
      <c r="B4" s="17"/>
      <c r="C4" s="341"/>
      <c r="D4" s="147"/>
      <c r="E4" s="148"/>
      <c r="F4" s="149"/>
      <c r="G4" s="150"/>
      <c r="H4" s="151"/>
      <c r="I4" s="151"/>
      <c r="J4" s="152"/>
      <c r="K4" s="147"/>
      <c r="Q4" s="439"/>
      <c r="R4" s="439"/>
      <c r="S4" s="439"/>
      <c r="T4" s="439"/>
    </row>
    <row r="5" spans="1:22" s="153" customFormat="1" ht="6.75" customHeight="1" thickBot="1">
      <c r="A5" s="63"/>
      <c r="B5" s="17"/>
      <c r="C5" s="341"/>
      <c r="D5" s="147"/>
      <c r="F5" s="154"/>
      <c r="G5" s="155"/>
      <c r="H5" s="156"/>
      <c r="I5" s="156"/>
      <c r="J5" s="152"/>
      <c r="K5" s="147"/>
      <c r="Q5" s="439"/>
      <c r="R5" s="439"/>
      <c r="S5" s="439"/>
      <c r="T5" s="439"/>
    </row>
    <row r="6" spans="1:22" s="153" customFormat="1" ht="22.5" customHeight="1" thickBot="1">
      <c r="A6" s="63"/>
      <c r="B6" s="17"/>
      <c r="C6" s="341"/>
      <c r="D6" s="441" t="s">
        <v>1</v>
      </c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3"/>
      <c r="Q6" s="440"/>
      <c r="R6" s="440"/>
      <c r="S6" s="440"/>
      <c r="T6" s="440"/>
    </row>
    <row r="7" spans="1:22" s="153" customFormat="1" ht="6.75" customHeight="1">
      <c r="A7" s="63"/>
      <c r="B7" s="17"/>
      <c r="C7" s="341"/>
      <c r="D7" s="150"/>
      <c r="E7" s="157"/>
      <c r="F7" s="157"/>
      <c r="G7" s="157"/>
      <c r="H7" s="157"/>
      <c r="I7" s="157"/>
      <c r="J7" s="157"/>
      <c r="K7" s="158"/>
      <c r="L7" s="157"/>
      <c r="M7" s="157"/>
      <c r="N7" s="157"/>
      <c r="O7" s="157"/>
      <c r="Q7" s="157"/>
      <c r="R7" s="157"/>
      <c r="S7" s="157"/>
      <c r="T7" s="157"/>
    </row>
    <row r="8" spans="1:22" s="153" customFormat="1" ht="29.25" customHeight="1">
      <c r="A8" s="63"/>
      <c r="B8" s="17"/>
      <c r="C8" s="341"/>
      <c r="D8" s="444" t="s">
        <v>2</v>
      </c>
      <c r="E8" s="444"/>
      <c r="F8" s="444"/>
      <c r="G8" s="444"/>
      <c r="H8" s="444"/>
      <c r="I8" s="159" t="s">
        <v>3</v>
      </c>
      <c r="J8" s="159"/>
      <c r="K8" s="160"/>
      <c r="L8" s="159"/>
      <c r="M8" s="159"/>
      <c r="N8" s="159"/>
      <c r="O8" s="159"/>
    </row>
    <row r="9" spans="1:22" s="153" customFormat="1" ht="16.5" customHeight="1">
      <c r="A9" s="63"/>
      <c r="B9" s="17"/>
      <c r="C9" s="341"/>
      <c r="D9" s="445" t="s">
        <v>4</v>
      </c>
      <c r="E9" s="445"/>
      <c r="F9" s="445"/>
      <c r="G9" s="445"/>
      <c r="H9" s="445"/>
      <c r="I9" s="148" t="s">
        <v>5</v>
      </c>
      <c r="J9" s="159"/>
      <c r="K9" s="160"/>
      <c r="L9" s="159"/>
      <c r="M9" s="159"/>
      <c r="N9" s="159"/>
      <c r="O9" s="159"/>
      <c r="Q9" s="159"/>
      <c r="R9" s="159"/>
      <c r="S9" s="159"/>
      <c r="T9" s="159"/>
    </row>
    <row r="10" spans="1:22" s="161" customFormat="1" ht="15" customHeight="1">
      <c r="A10" s="63"/>
      <c r="B10" s="17"/>
      <c r="C10" s="341"/>
      <c r="D10" s="4"/>
      <c r="E10" s="3"/>
      <c r="F10" s="3"/>
      <c r="G10" s="3"/>
      <c r="H10" s="5"/>
      <c r="I10" s="6"/>
      <c r="J10" s="3"/>
      <c r="K10" s="7"/>
      <c r="L10" s="7"/>
      <c r="M10" s="7"/>
      <c r="N10" s="8" t="s">
        <v>6</v>
      </c>
      <c r="O10" s="9" t="s">
        <v>70</v>
      </c>
      <c r="Q10" s="7"/>
      <c r="R10" s="7"/>
      <c r="S10" s="8" t="s">
        <v>6</v>
      </c>
      <c r="T10" s="9" t="s">
        <v>8</v>
      </c>
    </row>
    <row r="11" spans="1:22" ht="20.25" customHeight="1">
      <c r="C11" s="341"/>
      <c r="D11" s="5"/>
      <c r="E11" s="3"/>
      <c r="F11" s="3"/>
      <c r="G11" s="3"/>
      <c r="H11" s="5"/>
      <c r="I11" s="8" t="s">
        <v>9</v>
      </c>
      <c r="J11" s="3"/>
      <c r="K11" s="7"/>
      <c r="L11" s="7"/>
      <c r="M11" s="7"/>
      <c r="N11" s="8" t="s">
        <v>10</v>
      </c>
      <c r="O11" s="162">
        <v>0.25</v>
      </c>
      <c r="P11" s="163"/>
      <c r="Q11" s="7"/>
      <c r="R11" s="7"/>
      <c r="S11" s="8" t="s">
        <v>10</v>
      </c>
      <c r="T11" s="164">
        <v>0.2757</v>
      </c>
    </row>
    <row r="12" spans="1:22" s="166" customFormat="1" ht="30" customHeight="1">
      <c r="A12" s="63" t="s">
        <v>11</v>
      </c>
      <c r="B12" s="17" t="s">
        <v>12</v>
      </c>
      <c r="C12" s="341" t="s">
        <v>13</v>
      </c>
      <c r="D12" s="342"/>
      <c r="E12" s="343"/>
      <c r="F12" s="343"/>
      <c r="G12" s="343" t="s">
        <v>14</v>
      </c>
      <c r="H12" s="343"/>
      <c r="I12" s="343" t="s">
        <v>15</v>
      </c>
      <c r="J12" s="343" t="s">
        <v>16</v>
      </c>
      <c r="K12" s="344" t="s">
        <v>17</v>
      </c>
      <c r="L12" s="345" t="s">
        <v>18</v>
      </c>
      <c r="M12" s="344" t="s">
        <v>19</v>
      </c>
      <c r="N12" s="345" t="s">
        <v>20</v>
      </c>
      <c r="O12" s="346" t="s">
        <v>21</v>
      </c>
      <c r="Q12" s="345" t="s">
        <v>18</v>
      </c>
      <c r="R12" s="344" t="s">
        <v>19</v>
      </c>
      <c r="S12" s="345" t="s">
        <v>20</v>
      </c>
      <c r="T12" s="346" t="s">
        <v>21</v>
      </c>
    </row>
    <row r="13" spans="1:22" ht="6.75" customHeight="1">
      <c r="C13" s="341"/>
      <c r="D13" s="167"/>
      <c r="K13" s="168"/>
      <c r="L13" s="168"/>
      <c r="M13" s="168"/>
      <c r="N13" s="168"/>
      <c r="O13" s="169"/>
      <c r="Q13" s="168"/>
      <c r="R13" s="168"/>
      <c r="S13" s="168"/>
      <c r="T13" s="169"/>
    </row>
    <row r="14" spans="1:22" s="170" customFormat="1" ht="19.5" customHeight="1">
      <c r="A14" s="63" t="str">
        <f t="shared" ref="A14:A20" si="0">B14&amp;C14</f>
        <v/>
      </c>
      <c r="B14" s="17"/>
      <c r="C14" s="341"/>
      <c r="D14" s="10">
        <v>1</v>
      </c>
      <c r="E14" s="347" t="s">
        <v>22</v>
      </c>
      <c r="F14" s="347">
        <v>0</v>
      </c>
      <c r="G14" s="347"/>
      <c r="H14" s="347"/>
      <c r="I14" s="348" t="s">
        <v>23</v>
      </c>
      <c r="J14" s="347"/>
      <c r="K14" s="349"/>
      <c r="L14" s="349"/>
      <c r="M14" s="350"/>
      <c r="N14" s="351"/>
      <c r="O14" s="352"/>
      <c r="Q14" s="349"/>
      <c r="R14" s="350"/>
      <c r="S14" s="351"/>
      <c r="T14" s="352"/>
    </row>
    <row r="15" spans="1:22" ht="30" customHeight="1">
      <c r="A15" s="63" t="str">
        <f t="shared" si="0"/>
        <v>SIURB EDIF17030002</v>
      </c>
      <c r="B15" s="17" t="s">
        <v>24</v>
      </c>
      <c r="C15" s="341">
        <v>17030002</v>
      </c>
      <c r="D15" s="11">
        <f>$D$14</f>
        <v>1</v>
      </c>
      <c r="E15" s="353" t="s">
        <v>22</v>
      </c>
      <c r="F15" s="353">
        <f>F14+1</f>
        <v>1</v>
      </c>
      <c r="G15" s="353"/>
      <c r="H15" s="353"/>
      <c r="I15" s="145" t="e">
        <f>INDEX(#REF!,MATCH(A15,#REF!,0),0)</f>
        <v>#REF!</v>
      </c>
      <c r="J15" s="144" t="e">
        <f>INDEX(#REF!,MATCH(A15,#REF!,0),0)</f>
        <v>#REF!</v>
      </c>
      <c r="K15" s="142" t="e">
        <f>#REF!</f>
        <v>#REF!</v>
      </c>
      <c r="L15" s="143" t="e">
        <f>INDEX(#REF!,MATCH(A15,#REF!,0),0)</f>
        <v>#REF!</v>
      </c>
      <c r="M15" s="12">
        <f t="shared" ref="M15:M18" si="1">1+$O$11</f>
        <v>1.25</v>
      </c>
      <c r="N15" s="13" t="e">
        <f t="shared" ref="N15:N18" si="2">ROUND(L15*M15,2)</f>
        <v>#REF!</v>
      </c>
      <c r="O15" s="13" t="e">
        <f t="shared" ref="O15:O18" si="3">ROUND(K15*N15,2)</f>
        <v>#REF!</v>
      </c>
      <c r="Q15" s="143" t="e">
        <f>INDEX(#REF!,MATCH(A15,#REF!,0),0)</f>
        <v>#REF!</v>
      </c>
      <c r="R15" s="12">
        <f t="shared" ref="R15:R18" si="4">1+$T$11</f>
        <v>1.2757000000000001</v>
      </c>
      <c r="S15" s="13" t="e">
        <f>Q15*K15</f>
        <v>#REF!</v>
      </c>
      <c r="T15" s="13" t="e">
        <f>S15</f>
        <v>#REF!</v>
      </c>
    </row>
    <row r="16" spans="1:22" ht="34.5" customHeight="1">
      <c r="A16" s="63" t="str">
        <f t="shared" si="0"/>
        <v>SIURB EDIF17045001</v>
      </c>
      <c r="B16" s="17" t="s">
        <v>24</v>
      </c>
      <c r="C16" s="341">
        <v>17045001</v>
      </c>
      <c r="D16" s="11">
        <f t="shared" ref="D16:D18" si="5">$D$14</f>
        <v>1</v>
      </c>
      <c r="E16" s="353" t="s">
        <v>22</v>
      </c>
      <c r="F16" s="353">
        <f>F15+1</f>
        <v>2</v>
      </c>
      <c r="G16" s="353"/>
      <c r="H16" s="353"/>
      <c r="I16" s="145" t="e">
        <f>INDEX(#REF!,MATCH(A16,#REF!,0),0)</f>
        <v>#REF!</v>
      </c>
      <c r="J16" s="144" t="e">
        <f>INDEX(#REF!,MATCH(A16,#REF!,0),0)</f>
        <v>#REF!</v>
      </c>
      <c r="K16" s="142" t="e">
        <f>#REF!</f>
        <v>#REF!</v>
      </c>
      <c r="L16" s="143" t="e">
        <f>INDEX(#REF!,MATCH(A16,#REF!,0),0)</f>
        <v>#REF!</v>
      </c>
      <c r="M16" s="12">
        <f t="shared" si="1"/>
        <v>1.25</v>
      </c>
      <c r="N16" s="13" t="e">
        <f t="shared" si="2"/>
        <v>#REF!</v>
      </c>
      <c r="O16" s="13" t="e">
        <f t="shared" si="3"/>
        <v>#REF!</v>
      </c>
      <c r="Q16" s="143" t="e">
        <f>INDEX(#REF!,MATCH(A16,#REF!,0),0)</f>
        <v>#REF!</v>
      </c>
      <c r="R16" s="12">
        <f t="shared" si="4"/>
        <v>1.2757000000000001</v>
      </c>
      <c r="S16" s="13" t="e">
        <f>Q16*K16</f>
        <v>#REF!</v>
      </c>
      <c r="T16" s="13" t="e">
        <f>S16</f>
        <v>#REF!</v>
      </c>
      <c r="V16" s="171"/>
    </row>
    <row r="17" spans="1:20" ht="30" customHeight="1">
      <c r="A17" s="63" t="str">
        <f t="shared" si="0"/>
        <v>SIURB EDIF17045002</v>
      </c>
      <c r="B17" s="17" t="s">
        <v>24</v>
      </c>
      <c r="C17" s="341">
        <v>17045002</v>
      </c>
      <c r="D17" s="11">
        <f t="shared" si="5"/>
        <v>1</v>
      </c>
      <c r="E17" s="353" t="s">
        <v>22</v>
      </c>
      <c r="F17" s="353">
        <f>F16+1</f>
        <v>3</v>
      </c>
      <c r="G17" s="353"/>
      <c r="H17" s="353"/>
      <c r="I17" s="145" t="e">
        <f>INDEX(#REF!,MATCH(A17,#REF!,0),0)</f>
        <v>#REF!</v>
      </c>
      <c r="J17" s="144" t="e">
        <f>INDEX(#REF!,MATCH(A17,#REF!,0),0)</f>
        <v>#REF!</v>
      </c>
      <c r="K17" s="142" t="e">
        <f>#REF!</f>
        <v>#REF!</v>
      </c>
      <c r="L17" s="143" t="e">
        <f>INDEX(#REF!,MATCH(A17,#REF!,0),0)</f>
        <v>#REF!</v>
      </c>
      <c r="M17" s="12">
        <f t="shared" si="1"/>
        <v>1.25</v>
      </c>
      <c r="N17" s="13" t="e">
        <f t="shared" si="2"/>
        <v>#REF!</v>
      </c>
      <c r="O17" s="13" t="e">
        <f t="shared" si="3"/>
        <v>#REF!</v>
      </c>
      <c r="Q17" s="143" t="e">
        <f>INDEX(#REF!,MATCH(A17,#REF!,0),0)</f>
        <v>#REF!</v>
      </c>
      <c r="R17" s="12">
        <f t="shared" si="4"/>
        <v>1.2757000000000001</v>
      </c>
      <c r="S17" s="13" t="e">
        <f>Q17*K17</f>
        <v>#REF!</v>
      </c>
      <c r="T17" s="13" t="e">
        <f>S17</f>
        <v>#REF!</v>
      </c>
    </row>
    <row r="18" spans="1:20" ht="30" customHeight="1">
      <c r="A18" s="63" t="str">
        <f t="shared" si="0"/>
        <v>SIURB EDIF20003061</v>
      </c>
      <c r="B18" s="17" t="s">
        <v>24</v>
      </c>
      <c r="C18" s="341">
        <v>20003061</v>
      </c>
      <c r="D18" s="11">
        <f t="shared" si="5"/>
        <v>1</v>
      </c>
      <c r="E18" s="353" t="s">
        <v>22</v>
      </c>
      <c r="F18" s="353">
        <f>F17+1</f>
        <v>4</v>
      </c>
      <c r="G18" s="353"/>
      <c r="H18" s="353"/>
      <c r="I18" s="145" t="e">
        <f>INDEX(#REF!,MATCH(A18,#REF!,0),0)</f>
        <v>#REF!</v>
      </c>
      <c r="J18" s="144" t="e">
        <f>INDEX(#REF!,MATCH(A18,#REF!,0),0)</f>
        <v>#REF!</v>
      </c>
      <c r="K18" s="142" t="e">
        <f>#REF!</f>
        <v>#REF!</v>
      </c>
      <c r="L18" s="143" t="e">
        <f>INDEX(#REF!,MATCH(A18,#REF!,0),0)</f>
        <v>#REF!</v>
      </c>
      <c r="M18" s="12">
        <f t="shared" si="1"/>
        <v>1.25</v>
      </c>
      <c r="N18" s="13" t="e">
        <f t="shared" si="2"/>
        <v>#REF!</v>
      </c>
      <c r="O18" s="13" t="e">
        <f t="shared" si="3"/>
        <v>#REF!</v>
      </c>
      <c r="Q18" s="143" t="e">
        <f>INDEX(#REF!,MATCH(A18,#REF!,0),0)</f>
        <v>#REF!</v>
      </c>
      <c r="R18" s="12">
        <f t="shared" si="4"/>
        <v>1.2757000000000001</v>
      </c>
      <c r="S18" s="13" t="e">
        <f t="shared" ref="S18" si="6">ROUND(Q18*R18,2)</f>
        <v>#REF!</v>
      </c>
      <c r="T18" s="13" t="e">
        <f t="shared" ref="T18" si="7">ROUND(K18*S18,2)</f>
        <v>#REF!</v>
      </c>
    </row>
    <row r="19" spans="1:20" s="170" customFormat="1" ht="12.75">
      <c r="A19" s="63" t="str">
        <f t="shared" si="0"/>
        <v/>
      </c>
      <c r="B19" s="17"/>
      <c r="C19" s="341"/>
      <c r="D19" s="10"/>
      <c r="E19" s="347"/>
      <c r="F19" s="347"/>
      <c r="G19" s="347"/>
      <c r="H19" s="347"/>
      <c r="I19" s="434" t="s">
        <v>25</v>
      </c>
      <c r="J19" s="434"/>
      <c r="K19" s="434"/>
      <c r="L19" s="434"/>
      <c r="M19" s="434"/>
      <c r="N19" s="434"/>
      <c r="O19" s="352" t="e">
        <f>SUM(O15:O18)</f>
        <v>#REF!</v>
      </c>
      <c r="Q19" s="349"/>
      <c r="R19" s="350"/>
      <c r="S19" s="351"/>
      <c r="T19" s="352" t="e">
        <f>SUM(T15:T18)</f>
        <v>#REF!</v>
      </c>
    </row>
    <row r="20" spans="1:20" s="170" customFormat="1" ht="19.5" customHeight="1">
      <c r="A20" s="63" t="str">
        <f t="shared" si="0"/>
        <v/>
      </c>
      <c r="B20" s="17"/>
      <c r="C20" s="341"/>
      <c r="D20" s="10">
        <v>2</v>
      </c>
      <c r="E20" s="347" t="s">
        <v>22</v>
      </c>
      <c r="F20" s="347">
        <v>0</v>
      </c>
      <c r="G20" s="347"/>
      <c r="H20" s="347"/>
      <c r="I20" s="348" t="s">
        <v>26</v>
      </c>
      <c r="J20" s="347"/>
      <c r="K20" s="349"/>
      <c r="L20" s="349"/>
      <c r="M20" s="350"/>
      <c r="N20" s="351"/>
      <c r="O20" s="352"/>
      <c r="Q20" s="349"/>
      <c r="R20" s="350"/>
      <c r="S20" s="351"/>
      <c r="T20" s="352"/>
    </row>
    <row r="21" spans="1:20" ht="20.25" customHeight="1">
      <c r="C21" s="341"/>
      <c r="D21" s="436" t="s">
        <v>27</v>
      </c>
      <c r="E21" s="437"/>
      <c r="F21" s="437"/>
      <c r="G21" s="437"/>
      <c r="H21" s="437"/>
      <c r="I21" s="437"/>
      <c r="J21" s="437"/>
      <c r="K21" s="437"/>
      <c r="L21" s="437"/>
      <c r="M21" s="437"/>
      <c r="N21" s="437"/>
      <c r="O21" s="438"/>
      <c r="Q21" s="143"/>
      <c r="R21" s="12"/>
      <c r="S21" s="13"/>
      <c r="T21" s="13"/>
    </row>
    <row r="22" spans="1:20" s="209" customFormat="1" ht="27" customHeight="1">
      <c r="A22" s="205" t="str">
        <f t="shared" ref="A22" si="8">B22&amp;C22</f>
        <v>SIURB EDIF10060050</v>
      </c>
      <c r="B22" s="17" t="s">
        <v>24</v>
      </c>
      <c r="C22" s="355">
        <v>10060050</v>
      </c>
      <c r="D22" s="206">
        <f t="shared" ref="D22:D40" si="9">$D$20</f>
        <v>2</v>
      </c>
      <c r="E22" s="356" t="s">
        <v>22</v>
      </c>
      <c r="F22" s="356">
        <v>1</v>
      </c>
      <c r="G22" s="356"/>
      <c r="H22" s="356"/>
      <c r="I22" s="201" t="s">
        <v>28</v>
      </c>
      <c r="J22" s="202" t="e">
        <f>INDEX(#REF!,MATCH(A22,#REF!,0),0)</f>
        <v>#REF!</v>
      </c>
      <c r="K22" s="204" t="e">
        <f>#REF!</f>
        <v>#REF!</v>
      </c>
      <c r="L22" s="203" t="e">
        <f>INDEX(#REF!,MATCH(A22,#REF!,0),0)</f>
        <v>#REF!</v>
      </c>
      <c r="M22" s="207">
        <f t="shared" ref="M22:M40" si="10">1+$O$11</f>
        <v>1.25</v>
      </c>
      <c r="N22" s="208" t="e">
        <f t="shared" ref="N22" si="11">ROUND(L22*M22,2)</f>
        <v>#REF!</v>
      </c>
      <c r="O22" s="208" t="e">
        <f t="shared" ref="O22" si="12">ROUND(K22*N22,2)</f>
        <v>#REF!</v>
      </c>
      <c r="Q22" s="203" t="e">
        <f>INDEX(#REF!,MATCH(A22,#REF!,0),0)</f>
        <v>#REF!</v>
      </c>
      <c r="R22" s="207">
        <f t="shared" ref="R22:R40" si="13">1+$T$11</f>
        <v>1.2757000000000001</v>
      </c>
      <c r="S22" s="208" t="e">
        <f t="shared" ref="S22" si="14">ROUND(Q22*R22,2)</f>
        <v>#REF!</v>
      </c>
      <c r="T22" s="208" t="e">
        <f t="shared" ref="T22" si="15">ROUND(K22*S22,2)</f>
        <v>#REF!</v>
      </c>
    </row>
    <row r="23" spans="1:20" ht="27" customHeight="1">
      <c r="A23" s="63" t="str">
        <f t="shared" ref="A23:A30" si="16">B23&amp;C23</f>
        <v>SIURB EDIF4050004</v>
      </c>
      <c r="B23" s="17" t="s">
        <v>24</v>
      </c>
      <c r="C23" s="341">
        <v>4050004</v>
      </c>
      <c r="D23" s="11">
        <f>$D$20</f>
        <v>2</v>
      </c>
      <c r="E23" s="353" t="s">
        <v>22</v>
      </c>
      <c r="F23" s="353">
        <v>2</v>
      </c>
      <c r="G23" s="353"/>
      <c r="H23" s="353"/>
      <c r="I23" s="145" t="e">
        <f>INDEX(#REF!,MATCH(A23,#REF!,0),0)</f>
        <v>#REF!</v>
      </c>
      <c r="J23" s="144" t="e">
        <f>INDEX(#REF!,MATCH(A23,#REF!,0),0)</f>
        <v>#REF!</v>
      </c>
      <c r="K23" s="142" t="e">
        <f>#REF!</f>
        <v>#REF!</v>
      </c>
      <c r="L23" s="143" t="e">
        <f>INDEX(#REF!,MATCH(A23,#REF!,0),0)</f>
        <v>#REF!</v>
      </c>
      <c r="M23" s="12">
        <f t="shared" si="10"/>
        <v>1.25</v>
      </c>
      <c r="N23" s="13" t="e">
        <f t="shared" ref="N23:N30" si="17">ROUND(L23*M23,2)</f>
        <v>#REF!</v>
      </c>
      <c r="O23" s="13" t="e">
        <f t="shared" ref="O23:O30" si="18">ROUND(K23*N23,2)</f>
        <v>#REF!</v>
      </c>
      <c r="Q23" s="143" t="e">
        <f>INDEX(#REF!,MATCH(A23,#REF!,0),0)</f>
        <v>#REF!</v>
      </c>
      <c r="R23" s="12">
        <f t="shared" si="13"/>
        <v>1.2757000000000001</v>
      </c>
      <c r="S23" s="13" t="e">
        <f>ROUND(Q23*R23,2)</f>
        <v>#REF!</v>
      </c>
      <c r="T23" s="13" t="e">
        <f>ROUND(K23*S23,2)</f>
        <v>#REF!</v>
      </c>
    </row>
    <row r="24" spans="1:20" ht="27" customHeight="1">
      <c r="A24" s="63" t="str">
        <f t="shared" si="16"/>
        <v>CDHU04.14.020</v>
      </c>
      <c r="B24" s="17" t="s">
        <v>29</v>
      </c>
      <c r="C24" s="341" t="s">
        <v>30</v>
      </c>
      <c r="D24" s="11">
        <f t="shared" si="9"/>
        <v>2</v>
      </c>
      <c r="E24" s="353" t="s">
        <v>22</v>
      </c>
      <c r="F24" s="353">
        <v>3</v>
      </c>
      <c r="G24" s="353"/>
      <c r="H24" s="353"/>
      <c r="I24" s="145" t="e">
        <f>INDEX(#REF!,MATCH(A24,#REF!,0),0)</f>
        <v>#REF!</v>
      </c>
      <c r="J24" s="144" t="e">
        <f>INDEX(#REF!,MATCH(A24,#REF!,0),0)</f>
        <v>#REF!</v>
      </c>
      <c r="K24" s="142" t="e">
        <f>#REF!</f>
        <v>#REF!</v>
      </c>
      <c r="L24" s="143" t="e">
        <f>INDEX(#REF!,MATCH(A24,#REF!,0),0)</f>
        <v>#REF!</v>
      </c>
      <c r="M24" s="12">
        <f t="shared" si="10"/>
        <v>1.25</v>
      </c>
      <c r="N24" s="13" t="e">
        <f t="shared" si="17"/>
        <v>#REF!</v>
      </c>
      <c r="O24" s="13" t="e">
        <f t="shared" si="18"/>
        <v>#REF!</v>
      </c>
      <c r="Q24" s="143" t="e">
        <f>INDEX(#REF!,MATCH(A24,#REF!,0),0)</f>
        <v>#REF!</v>
      </c>
      <c r="R24" s="12">
        <f t="shared" si="13"/>
        <v>1.2757000000000001</v>
      </c>
      <c r="S24" s="13" t="e">
        <f t="shared" ref="S24:S30" si="19">ROUND(Q24*R24,2)</f>
        <v>#REF!</v>
      </c>
      <c r="T24" s="13" t="e">
        <f t="shared" ref="T24:T30" si="20">ROUND(K24*S24,2)</f>
        <v>#REF!</v>
      </c>
    </row>
    <row r="25" spans="1:20" ht="20.25" customHeight="1">
      <c r="C25" s="341"/>
      <c r="D25" s="436" t="s">
        <v>31</v>
      </c>
      <c r="E25" s="437"/>
      <c r="F25" s="437"/>
      <c r="G25" s="437"/>
      <c r="H25" s="437"/>
      <c r="I25" s="437"/>
      <c r="J25" s="437"/>
      <c r="K25" s="437"/>
      <c r="L25" s="437"/>
      <c r="M25" s="437"/>
      <c r="N25" s="437"/>
      <c r="O25" s="438"/>
      <c r="Q25" s="143"/>
      <c r="R25" s="12"/>
      <c r="S25" s="13"/>
      <c r="T25" s="13"/>
    </row>
    <row r="26" spans="1:20" s="209" customFormat="1" ht="27" customHeight="1">
      <c r="A26" s="205" t="str">
        <f t="shared" ref="A26" si="21">B26&amp;C26</f>
        <v>SIURB EDIF10060050</v>
      </c>
      <c r="B26" s="17" t="s">
        <v>24</v>
      </c>
      <c r="C26" s="355">
        <v>10060050</v>
      </c>
      <c r="D26" s="206">
        <f t="shared" si="9"/>
        <v>2</v>
      </c>
      <c r="E26" s="356" t="s">
        <v>22</v>
      </c>
      <c r="F26" s="356">
        <v>4</v>
      </c>
      <c r="G26" s="356"/>
      <c r="H26" s="356"/>
      <c r="I26" s="201" t="s">
        <v>28</v>
      </c>
      <c r="J26" s="202" t="e">
        <f>INDEX(#REF!,MATCH(A26,#REF!,0),0)</f>
        <v>#REF!</v>
      </c>
      <c r="K26" s="204" t="e">
        <f>#REF!</f>
        <v>#REF!</v>
      </c>
      <c r="L26" s="203" t="e">
        <f>INDEX(#REF!,MATCH(A26,#REF!,0),0)</f>
        <v>#REF!</v>
      </c>
      <c r="M26" s="207">
        <f t="shared" si="10"/>
        <v>1.25</v>
      </c>
      <c r="N26" s="208" t="e">
        <f t="shared" ref="N26" si="22">ROUND(L26*M26,2)</f>
        <v>#REF!</v>
      </c>
      <c r="O26" s="208" t="e">
        <f t="shared" ref="O26" si="23">ROUND(K26*N26,2)</f>
        <v>#REF!</v>
      </c>
      <c r="Q26" s="203" t="e">
        <f>INDEX(#REF!,MATCH(A26,#REF!,0),0)</f>
        <v>#REF!</v>
      </c>
      <c r="R26" s="207">
        <f t="shared" si="13"/>
        <v>1.2757000000000001</v>
      </c>
      <c r="S26" s="208" t="e">
        <f t="shared" ref="S26" si="24">ROUND(Q26*R26,2)</f>
        <v>#REF!</v>
      </c>
      <c r="T26" s="208" t="e">
        <f t="shared" ref="T26" si="25">ROUND(K26*S26,2)</f>
        <v>#REF!</v>
      </c>
    </row>
    <row r="27" spans="1:20" ht="27" customHeight="1">
      <c r="A27" s="63" t="str">
        <f t="shared" ref="A27:A28" si="26">B27&amp;C27</f>
        <v>SIURB EDIF4050004</v>
      </c>
      <c r="B27" s="17" t="s">
        <v>24</v>
      </c>
      <c r="C27" s="341">
        <v>4050004</v>
      </c>
      <c r="D27" s="11">
        <f>$D$20</f>
        <v>2</v>
      </c>
      <c r="E27" s="353" t="s">
        <v>22</v>
      </c>
      <c r="F27" s="353">
        <v>5</v>
      </c>
      <c r="G27" s="353"/>
      <c r="H27" s="353"/>
      <c r="I27" s="145" t="e">
        <f>INDEX(#REF!,MATCH(A27,#REF!,0),0)</f>
        <v>#REF!</v>
      </c>
      <c r="J27" s="144" t="e">
        <f>INDEX(#REF!,MATCH(A27,#REF!,0),0)</f>
        <v>#REF!</v>
      </c>
      <c r="K27" s="142" t="e">
        <f>#REF!</f>
        <v>#REF!</v>
      </c>
      <c r="L27" s="143" t="e">
        <f>INDEX(#REF!,MATCH(A27,#REF!,0),0)</f>
        <v>#REF!</v>
      </c>
      <c r="M27" s="12">
        <f t="shared" si="10"/>
        <v>1.25</v>
      </c>
      <c r="N27" s="13" t="e">
        <f t="shared" ref="N27:N28" si="27">ROUND(L27*M27,2)</f>
        <v>#REF!</v>
      </c>
      <c r="O27" s="13" t="e">
        <f t="shared" ref="O27:O28" si="28">ROUND(K27*N27,2)</f>
        <v>#REF!</v>
      </c>
      <c r="Q27" s="143" t="e">
        <f>INDEX(#REF!,MATCH(A27,#REF!,0),0)</f>
        <v>#REF!</v>
      </c>
      <c r="R27" s="12">
        <f t="shared" si="13"/>
        <v>1.2757000000000001</v>
      </c>
      <c r="S27" s="13" t="e">
        <f>ROUND(Q27*R27,2)</f>
        <v>#REF!</v>
      </c>
      <c r="T27" s="13" t="e">
        <f>ROUND(K27*S27,2)</f>
        <v>#REF!</v>
      </c>
    </row>
    <row r="28" spans="1:20" ht="27" customHeight="1">
      <c r="A28" s="63" t="str">
        <f t="shared" si="26"/>
        <v>CDHU04.14.020</v>
      </c>
      <c r="B28" s="17" t="s">
        <v>29</v>
      </c>
      <c r="C28" s="341" t="s">
        <v>30</v>
      </c>
      <c r="D28" s="11">
        <f t="shared" si="9"/>
        <v>2</v>
      </c>
      <c r="E28" s="353" t="s">
        <v>22</v>
      </c>
      <c r="F28" s="353">
        <v>6</v>
      </c>
      <c r="G28" s="353"/>
      <c r="H28" s="353"/>
      <c r="I28" s="145" t="e">
        <f>INDEX(#REF!,MATCH(A28,#REF!,0),0)</f>
        <v>#REF!</v>
      </c>
      <c r="J28" s="144" t="e">
        <f>INDEX(#REF!,MATCH(A28,#REF!,0),0)</f>
        <v>#REF!</v>
      </c>
      <c r="K28" s="142" t="e">
        <f>#REF!</f>
        <v>#REF!</v>
      </c>
      <c r="L28" s="143" t="e">
        <f>INDEX(#REF!,MATCH(A28,#REF!,0),0)</f>
        <v>#REF!</v>
      </c>
      <c r="M28" s="12">
        <f t="shared" si="10"/>
        <v>1.25</v>
      </c>
      <c r="N28" s="13" t="e">
        <f t="shared" si="27"/>
        <v>#REF!</v>
      </c>
      <c r="O28" s="13" t="e">
        <f t="shared" si="28"/>
        <v>#REF!</v>
      </c>
      <c r="Q28" s="143" t="e">
        <f>INDEX(#REF!,MATCH(A28,#REF!,0),0)</f>
        <v>#REF!</v>
      </c>
      <c r="R28" s="12">
        <f t="shared" si="13"/>
        <v>1.2757000000000001</v>
      </c>
      <c r="S28" s="13" t="e">
        <f t="shared" ref="S28" si="29">ROUND(Q28*R28,2)</f>
        <v>#REF!</v>
      </c>
      <c r="T28" s="13" t="e">
        <f t="shared" ref="T28" si="30">ROUND(K28*S28,2)</f>
        <v>#REF!</v>
      </c>
    </row>
    <row r="29" spans="1:20" ht="20.25" customHeight="1">
      <c r="C29" s="341"/>
      <c r="D29" s="436" t="s">
        <v>32</v>
      </c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8"/>
      <c r="Q29" s="143"/>
      <c r="R29" s="12"/>
      <c r="S29" s="13"/>
      <c r="T29" s="13"/>
    </row>
    <row r="30" spans="1:20" ht="28.5" customHeight="1">
      <c r="A30" s="63" t="str">
        <f t="shared" si="16"/>
        <v>CDHU04.01.040</v>
      </c>
      <c r="B30" s="17" t="s">
        <v>29</v>
      </c>
      <c r="C30" s="341" t="s">
        <v>33</v>
      </c>
      <c r="D30" s="11">
        <f t="shared" si="9"/>
        <v>2</v>
      </c>
      <c r="E30" s="353" t="s">
        <v>22</v>
      </c>
      <c r="F30" s="353">
        <f>F28+1</f>
        <v>7</v>
      </c>
      <c r="G30" s="353"/>
      <c r="H30" s="353"/>
      <c r="I30" s="145" t="e">
        <f>INDEX(#REF!,MATCH(A30,#REF!,0),0)</f>
        <v>#REF!</v>
      </c>
      <c r="J30" s="144" t="e">
        <f>INDEX(#REF!,MATCH(A30,#REF!,0),0)</f>
        <v>#REF!</v>
      </c>
      <c r="K30" s="142" t="e">
        <f>#REF!</f>
        <v>#REF!</v>
      </c>
      <c r="L30" s="143" t="e">
        <f>INDEX(#REF!,MATCH(A30,#REF!,0),0)</f>
        <v>#REF!</v>
      </c>
      <c r="M30" s="12">
        <f t="shared" si="10"/>
        <v>1.25</v>
      </c>
      <c r="N30" s="13" t="e">
        <f t="shared" si="17"/>
        <v>#REF!</v>
      </c>
      <c r="O30" s="13" t="e">
        <f t="shared" si="18"/>
        <v>#REF!</v>
      </c>
      <c r="Q30" s="143" t="e">
        <f>INDEX(#REF!,MATCH(A30,#REF!,0),0)</f>
        <v>#REF!</v>
      </c>
      <c r="R30" s="12">
        <f t="shared" si="13"/>
        <v>1.2757000000000001</v>
      </c>
      <c r="S30" s="13" t="e">
        <f t="shared" si="19"/>
        <v>#REF!</v>
      </c>
      <c r="T30" s="13" t="e">
        <f t="shared" si="20"/>
        <v>#REF!</v>
      </c>
    </row>
    <row r="31" spans="1:20" ht="20.25" customHeight="1">
      <c r="C31" s="341"/>
      <c r="D31" s="436" t="s">
        <v>34</v>
      </c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8"/>
      <c r="Q31" s="143"/>
      <c r="R31" s="12"/>
      <c r="S31" s="13"/>
      <c r="T31" s="13"/>
    </row>
    <row r="32" spans="1:20" ht="28.5" customHeight="1">
      <c r="A32" s="63" t="str">
        <f t="shared" ref="A32" si="31">B32&amp;C32</f>
        <v>CDHU04.01.040</v>
      </c>
      <c r="B32" s="17" t="s">
        <v>29</v>
      </c>
      <c r="C32" s="341" t="s">
        <v>33</v>
      </c>
      <c r="D32" s="11">
        <f t="shared" si="9"/>
        <v>2</v>
      </c>
      <c r="E32" s="353" t="s">
        <v>22</v>
      </c>
      <c r="F32" s="353">
        <f>F30+1</f>
        <v>8</v>
      </c>
      <c r="G32" s="353"/>
      <c r="H32" s="353"/>
      <c r="I32" s="145" t="e">
        <f>INDEX(#REF!,MATCH(A32,#REF!,0),0)</f>
        <v>#REF!</v>
      </c>
      <c r="J32" s="144" t="e">
        <f>INDEX(#REF!,MATCH(A32,#REF!,0),0)</f>
        <v>#REF!</v>
      </c>
      <c r="K32" s="142" t="e">
        <f>#REF!</f>
        <v>#REF!</v>
      </c>
      <c r="L32" s="143" t="e">
        <f>INDEX(#REF!,MATCH(A32,#REF!,0),0)</f>
        <v>#REF!</v>
      </c>
      <c r="M32" s="12">
        <f t="shared" si="10"/>
        <v>1.25</v>
      </c>
      <c r="N32" s="13" t="e">
        <f t="shared" ref="N32" si="32">ROUND(L32*M32,2)</f>
        <v>#REF!</v>
      </c>
      <c r="O32" s="13" t="e">
        <f t="shared" ref="O32" si="33">ROUND(K32*N32,2)</f>
        <v>#REF!</v>
      </c>
      <c r="Q32" s="143" t="e">
        <f>INDEX(#REF!,MATCH(A32,#REF!,0),0)</f>
        <v>#REF!</v>
      </c>
      <c r="R32" s="12">
        <f t="shared" si="13"/>
        <v>1.2757000000000001</v>
      </c>
      <c r="S32" s="13" t="e">
        <f t="shared" ref="S32" si="34">ROUND(Q32*R32,2)</f>
        <v>#REF!</v>
      </c>
      <c r="T32" s="13" t="e">
        <f t="shared" ref="T32" si="35">ROUND(K32*S32,2)</f>
        <v>#REF!</v>
      </c>
    </row>
    <row r="33" spans="1:20" ht="20.25" customHeight="1">
      <c r="C33" s="341"/>
      <c r="D33" s="436" t="s">
        <v>35</v>
      </c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8"/>
      <c r="Q33" s="143"/>
      <c r="R33" s="12"/>
      <c r="S33" s="13"/>
      <c r="T33" s="13"/>
    </row>
    <row r="34" spans="1:20" ht="28.5" customHeight="1">
      <c r="A34" s="63" t="str">
        <f>B34&amp;C34</f>
        <v>SIURB EDIF17050015</v>
      </c>
      <c r="B34" s="17" t="s">
        <v>24</v>
      </c>
      <c r="C34" s="341">
        <v>17050015</v>
      </c>
      <c r="D34" s="11">
        <f t="shared" si="9"/>
        <v>2</v>
      </c>
      <c r="E34" s="353" t="s">
        <v>22</v>
      </c>
      <c r="F34" s="353">
        <f>F32+1</f>
        <v>9</v>
      </c>
      <c r="G34" s="353"/>
      <c r="H34" s="353"/>
      <c r="I34" s="145" t="e">
        <f>INDEX(#REF!,MATCH(A34,#REF!,0),0)</f>
        <v>#REF!</v>
      </c>
      <c r="J34" s="144" t="e">
        <f>INDEX(#REF!,MATCH(A34,#REF!,0),0)</f>
        <v>#REF!</v>
      </c>
      <c r="K34" s="142" t="e">
        <f>#REF!</f>
        <v>#REF!</v>
      </c>
      <c r="L34" s="143" t="e">
        <f>INDEX(#REF!,MATCH(A34,#REF!,0),0)</f>
        <v>#REF!</v>
      </c>
      <c r="M34" s="12">
        <f t="shared" si="10"/>
        <v>1.25</v>
      </c>
      <c r="N34" s="13" t="e">
        <f t="shared" ref="N34" si="36">ROUND(L34*M34,2)</f>
        <v>#REF!</v>
      </c>
      <c r="O34" s="13" t="e">
        <f t="shared" ref="O34" si="37">ROUND(K34*N34,2)</f>
        <v>#REF!</v>
      </c>
      <c r="Q34" s="143" t="e">
        <f>INDEX(#REF!,MATCH(A34,#REF!,0),0)</f>
        <v>#REF!</v>
      </c>
      <c r="R34" s="12">
        <f t="shared" si="13"/>
        <v>1.2757000000000001</v>
      </c>
      <c r="S34" s="13" t="e">
        <f t="shared" ref="S34" si="38">ROUND(Q34*R34,2)</f>
        <v>#REF!</v>
      </c>
      <c r="T34" s="13" t="e">
        <f t="shared" ref="T34" si="39">ROUND(K34*S34,2)</f>
        <v>#REF!</v>
      </c>
    </row>
    <row r="35" spans="1:20" ht="20.25" customHeight="1">
      <c r="C35" s="341"/>
      <c r="D35" s="436" t="s">
        <v>36</v>
      </c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8"/>
      <c r="Q35" s="143"/>
      <c r="R35" s="12"/>
      <c r="S35" s="13"/>
      <c r="T35" s="13"/>
    </row>
    <row r="36" spans="1:20" ht="28.5" customHeight="1">
      <c r="A36" s="63" t="str">
        <f>B36&amp;C36</f>
        <v>SIURB EDIF13050001</v>
      </c>
      <c r="B36" s="17" t="s">
        <v>24</v>
      </c>
      <c r="C36" s="341">
        <v>13050001</v>
      </c>
      <c r="D36" s="11">
        <f t="shared" si="9"/>
        <v>2</v>
      </c>
      <c r="E36" s="353" t="s">
        <v>22</v>
      </c>
      <c r="F36" s="353">
        <f>F34+1</f>
        <v>10</v>
      </c>
      <c r="G36" s="353"/>
      <c r="H36" s="353"/>
      <c r="I36" s="145" t="e">
        <f>INDEX(#REF!,MATCH(A36,#REF!,0),0)</f>
        <v>#REF!</v>
      </c>
      <c r="J36" s="144" t="e">
        <f>INDEX(#REF!,MATCH(A36,#REF!,0),0)</f>
        <v>#REF!</v>
      </c>
      <c r="K36" s="142" t="e">
        <f>#REF!</f>
        <v>#REF!</v>
      </c>
      <c r="L36" s="143" t="e">
        <f>INDEX(#REF!,MATCH(A36,#REF!,0),0)</f>
        <v>#REF!</v>
      </c>
      <c r="M36" s="12">
        <f t="shared" si="10"/>
        <v>1.25</v>
      </c>
      <c r="N36" s="13" t="e">
        <f t="shared" ref="N36" si="40">ROUND(L36*M36,2)</f>
        <v>#REF!</v>
      </c>
      <c r="O36" s="13" t="e">
        <f t="shared" ref="O36" si="41">ROUND(K36*N36,2)</f>
        <v>#REF!</v>
      </c>
      <c r="Q36" s="143" t="e">
        <f>INDEX(#REF!,MATCH(A36,#REF!,0),0)</f>
        <v>#REF!</v>
      </c>
      <c r="R36" s="12">
        <f t="shared" si="13"/>
        <v>1.2757000000000001</v>
      </c>
      <c r="S36" s="13" t="e">
        <f t="shared" ref="S36" si="42">ROUND(Q36*R36,2)</f>
        <v>#REF!</v>
      </c>
      <c r="T36" s="13" t="e">
        <f t="shared" ref="T36" si="43">ROUND(K36*S36,2)</f>
        <v>#REF!</v>
      </c>
    </row>
    <row r="37" spans="1:20" ht="20.25" customHeight="1">
      <c r="C37" s="341"/>
      <c r="D37" s="436" t="s">
        <v>37</v>
      </c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8"/>
      <c r="Q37" s="143"/>
      <c r="R37" s="12"/>
      <c r="S37" s="13"/>
      <c r="T37" s="13"/>
    </row>
    <row r="38" spans="1:20" ht="28.5" customHeight="1">
      <c r="A38" s="63" t="str">
        <f>B38&amp;C38</f>
        <v>FDE08.60.013</v>
      </c>
      <c r="B38" s="17" t="s">
        <v>38</v>
      </c>
      <c r="C38" s="341" t="s">
        <v>39</v>
      </c>
      <c r="D38" s="11">
        <f t="shared" si="9"/>
        <v>2</v>
      </c>
      <c r="E38" s="353" t="s">
        <v>22</v>
      </c>
      <c r="F38" s="353">
        <f>F36+1</f>
        <v>11</v>
      </c>
      <c r="G38" s="353"/>
      <c r="H38" s="353"/>
      <c r="I38" s="145" t="e">
        <f>INDEX(#REF!,MATCH(A38,#REF!,0),0)</f>
        <v>#REF!</v>
      </c>
      <c r="J38" s="144" t="e">
        <f>INDEX(#REF!,MATCH(A38,#REF!,0),0)</f>
        <v>#REF!</v>
      </c>
      <c r="K38" s="142" t="e">
        <f>#REF!</f>
        <v>#REF!</v>
      </c>
      <c r="L38" s="143" t="e">
        <f>INDEX(#REF!,MATCH(A38,#REF!,0),0)</f>
        <v>#REF!</v>
      </c>
      <c r="M38" s="12">
        <f t="shared" si="10"/>
        <v>1.25</v>
      </c>
      <c r="N38" s="13" t="e">
        <f t="shared" ref="N38" si="44">ROUND(L38*M38,2)</f>
        <v>#REF!</v>
      </c>
      <c r="O38" s="13" t="e">
        <f t="shared" ref="O38" si="45">ROUND(K38*N38,2)</f>
        <v>#REF!</v>
      </c>
      <c r="Q38" s="143" t="e">
        <f>INDEX(#REF!,MATCH(A38,#REF!,0),0)</f>
        <v>#REF!</v>
      </c>
      <c r="R38" s="12">
        <f t="shared" si="13"/>
        <v>1.2757000000000001</v>
      </c>
      <c r="S38" s="13" t="e">
        <f t="shared" ref="S38" si="46">ROUND(Q38*R38,2)</f>
        <v>#REF!</v>
      </c>
      <c r="T38" s="13" t="e">
        <f t="shared" ref="T38" si="47">ROUND(K38*S38,2)</f>
        <v>#REF!</v>
      </c>
    </row>
    <row r="39" spans="1:20" ht="20.25" customHeight="1">
      <c r="C39" s="341"/>
      <c r="D39" s="436" t="s">
        <v>40</v>
      </c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8"/>
      <c r="Q39" s="143"/>
      <c r="R39" s="12"/>
      <c r="S39" s="13"/>
      <c r="T39" s="13"/>
    </row>
    <row r="40" spans="1:20" ht="28.5" customHeight="1">
      <c r="A40" s="63" t="str">
        <f>B40&amp;C40</f>
        <v>SIURB EDIF1001007</v>
      </c>
      <c r="B40" s="17" t="s">
        <v>24</v>
      </c>
      <c r="C40" s="341">
        <v>1001007</v>
      </c>
      <c r="D40" s="11">
        <f t="shared" si="9"/>
        <v>2</v>
      </c>
      <c r="E40" s="353" t="s">
        <v>22</v>
      </c>
      <c r="F40" s="353">
        <f>F38+1</f>
        <v>12</v>
      </c>
      <c r="G40" s="353"/>
      <c r="H40" s="353"/>
      <c r="I40" s="145" t="e">
        <f>INDEX(#REF!,MATCH(A40,#REF!,0),0)</f>
        <v>#REF!</v>
      </c>
      <c r="J40" s="144" t="e">
        <f>INDEX(#REF!,MATCH(A40,#REF!,0),0)</f>
        <v>#REF!</v>
      </c>
      <c r="K40" s="142" t="e">
        <f>#REF!</f>
        <v>#REF!</v>
      </c>
      <c r="L40" s="143" t="e">
        <f>INDEX(#REF!,MATCH(A40,#REF!,0),0)</f>
        <v>#REF!</v>
      </c>
      <c r="M40" s="12">
        <f t="shared" si="10"/>
        <v>1.25</v>
      </c>
      <c r="N40" s="13" t="e">
        <f t="shared" ref="N40" si="48">ROUND(L40*M40,2)</f>
        <v>#REF!</v>
      </c>
      <c r="O40" s="13" t="e">
        <f t="shared" ref="O40" si="49">ROUND(K40*N40,2)</f>
        <v>#REF!</v>
      </c>
      <c r="Q40" s="143" t="e">
        <f>INDEX(#REF!,MATCH(A40,#REF!,0),0)</f>
        <v>#REF!</v>
      </c>
      <c r="R40" s="12">
        <f t="shared" si="13"/>
        <v>1.2757000000000001</v>
      </c>
      <c r="S40" s="13" t="e">
        <f t="shared" ref="S40" si="50">ROUND(Q40*R40,2)</f>
        <v>#REF!</v>
      </c>
      <c r="T40" s="13" t="e">
        <f t="shared" ref="T40" si="51">ROUND(K40*S40,2)</f>
        <v>#REF!</v>
      </c>
    </row>
    <row r="41" spans="1:20" s="170" customFormat="1" ht="12.75">
      <c r="A41" s="63" t="str">
        <f t="shared" ref="A41" si="52">B41&amp;C41</f>
        <v/>
      </c>
      <c r="B41" s="17"/>
      <c r="C41" s="341"/>
      <c r="D41" s="10"/>
      <c r="E41" s="347"/>
      <c r="F41" s="347"/>
      <c r="G41" s="347"/>
      <c r="H41" s="347"/>
      <c r="I41" s="434" t="s">
        <v>25</v>
      </c>
      <c r="J41" s="434"/>
      <c r="K41" s="434"/>
      <c r="L41" s="434"/>
      <c r="M41" s="434"/>
      <c r="N41" s="434"/>
      <c r="O41" s="352" t="e">
        <f>SUM(O23:O40)</f>
        <v>#REF!</v>
      </c>
      <c r="Q41" s="349"/>
      <c r="R41" s="350"/>
      <c r="S41" s="351"/>
      <c r="T41" s="352" t="e">
        <f>SUM(T23:T40)</f>
        <v>#REF!</v>
      </c>
    </row>
    <row r="42" spans="1:20" s="170" customFormat="1" ht="19.5" customHeight="1">
      <c r="A42" s="63" t="str">
        <f t="shared" ref="A42:A46" si="53">B42&amp;C42</f>
        <v/>
      </c>
      <c r="B42" s="17"/>
      <c r="C42" s="341"/>
      <c r="D42" s="10">
        <v>3</v>
      </c>
      <c r="E42" s="347" t="s">
        <v>22</v>
      </c>
      <c r="F42" s="347">
        <v>0</v>
      </c>
      <c r="G42" s="347"/>
      <c r="H42" s="347"/>
      <c r="I42" s="348" t="s">
        <v>41</v>
      </c>
      <c r="J42" s="347"/>
      <c r="K42" s="349"/>
      <c r="L42" s="349"/>
      <c r="M42" s="350"/>
      <c r="N42" s="351"/>
      <c r="O42" s="352"/>
      <c r="Q42" s="349"/>
      <c r="R42" s="350"/>
      <c r="S42" s="351"/>
      <c r="T42" s="352"/>
    </row>
    <row r="43" spans="1:20" ht="20.25" customHeight="1">
      <c r="C43" s="341"/>
      <c r="D43" s="436" t="s">
        <v>27</v>
      </c>
      <c r="E43" s="437"/>
      <c r="F43" s="437"/>
      <c r="G43" s="437"/>
      <c r="H43" s="437"/>
      <c r="I43" s="437"/>
      <c r="J43" s="437"/>
      <c r="K43" s="437"/>
      <c r="L43" s="437"/>
      <c r="M43" s="437"/>
      <c r="N43" s="437"/>
      <c r="O43" s="438"/>
      <c r="Q43" s="143"/>
      <c r="R43" s="12"/>
      <c r="S43" s="13"/>
      <c r="T43" s="13"/>
    </row>
    <row r="44" spans="1:20" ht="38.25" customHeight="1">
      <c r="A44" s="63" t="str">
        <f t="shared" si="53"/>
        <v>SIURB EDIF10014075</v>
      </c>
      <c r="B44" s="17" t="s">
        <v>24</v>
      </c>
      <c r="C44" s="341">
        <v>10014075</v>
      </c>
      <c r="D44" s="11">
        <f>$D$42</f>
        <v>3</v>
      </c>
      <c r="E44" s="353" t="s">
        <v>22</v>
      </c>
      <c r="F44" s="353">
        <v>1</v>
      </c>
      <c r="G44" s="353"/>
      <c r="H44" s="353"/>
      <c r="I44" s="145" t="e">
        <f>INDEX(#REF!,MATCH(A44,#REF!,0),0)</f>
        <v>#REF!</v>
      </c>
      <c r="J44" s="144" t="e">
        <f>INDEX(#REF!,MATCH(A44,#REF!,0),0)</f>
        <v>#REF!</v>
      </c>
      <c r="K44" s="142" t="e">
        <f>#REF!</f>
        <v>#REF!</v>
      </c>
      <c r="L44" s="143" t="e">
        <f>INDEX(#REF!,MATCH(A44,#REF!,0),0)</f>
        <v>#REF!</v>
      </c>
      <c r="M44" s="12">
        <f t="shared" ref="M44:M84" si="54">1+$O$11</f>
        <v>1.25</v>
      </c>
      <c r="N44" s="13" t="e">
        <f t="shared" ref="N44:N46" si="55">ROUND(L44*M44,2)</f>
        <v>#REF!</v>
      </c>
      <c r="O44" s="13" t="e">
        <f t="shared" ref="O44:O46" si="56">ROUND(K44*N44,2)</f>
        <v>#REF!</v>
      </c>
      <c r="Q44" s="143" t="e">
        <f>INDEX(#REF!,MATCH(A44,#REF!,0),0)</f>
        <v>#REF!</v>
      </c>
      <c r="R44" s="12">
        <f t="shared" ref="R44:R84" si="57">1+$T$11</f>
        <v>1.2757000000000001</v>
      </c>
      <c r="S44" s="13" t="e">
        <f>ROUND(Q44*R44,2)</f>
        <v>#REF!</v>
      </c>
      <c r="T44" s="13" t="e">
        <f>ROUND(K44*S44,2)</f>
        <v>#REF!</v>
      </c>
    </row>
    <row r="45" spans="1:20" ht="38.25" customHeight="1">
      <c r="A45" s="63" t="str">
        <f t="shared" ref="A45" si="58">B45&amp;C45</f>
        <v>SIURB EDIF13002043</v>
      </c>
      <c r="B45" s="17" t="s">
        <v>24</v>
      </c>
      <c r="C45" s="341">
        <v>13002043</v>
      </c>
      <c r="D45" s="11">
        <f t="shared" ref="D45:D84" si="59">$D$42</f>
        <v>3</v>
      </c>
      <c r="E45" s="353" t="s">
        <v>22</v>
      </c>
      <c r="F45" s="353">
        <v>2</v>
      </c>
      <c r="G45" s="353"/>
      <c r="H45" s="353"/>
      <c r="I45" s="145" t="e">
        <f>INDEX(#REF!,MATCH(A45,#REF!,0),0)</f>
        <v>#REF!</v>
      </c>
      <c r="J45" s="144" t="e">
        <f>INDEX(#REF!,MATCH(A45,#REF!,0),0)</f>
        <v>#REF!</v>
      </c>
      <c r="K45" s="142" t="e">
        <f>#REF!</f>
        <v>#REF!</v>
      </c>
      <c r="L45" s="143" t="e">
        <f>INDEX(#REF!,MATCH(A45,#REF!,0),0)</f>
        <v>#REF!</v>
      </c>
      <c r="M45" s="12">
        <f t="shared" si="54"/>
        <v>1.25</v>
      </c>
      <c r="N45" s="13" t="e">
        <f t="shared" ref="N45" si="60">ROUND(L45*M45,2)</f>
        <v>#REF!</v>
      </c>
      <c r="O45" s="13" t="e">
        <f t="shared" ref="O45" si="61">ROUND(K45*N45,2)</f>
        <v>#REF!</v>
      </c>
      <c r="Q45" s="143" t="e">
        <f>INDEX(#REF!,MATCH(A45,#REF!,0),0)</f>
        <v>#REF!</v>
      </c>
      <c r="R45" s="12">
        <f t="shared" si="57"/>
        <v>1.2757000000000001</v>
      </c>
      <c r="S45" s="13" t="e">
        <f t="shared" ref="S45" si="62">ROUND(Q45*R45,2)</f>
        <v>#REF!</v>
      </c>
      <c r="T45" s="13" t="e">
        <f t="shared" ref="T45" si="63">ROUND(K45*S45,2)</f>
        <v>#REF!</v>
      </c>
    </row>
    <row r="46" spans="1:20" ht="38.25" customHeight="1">
      <c r="A46" s="63" t="str">
        <f t="shared" si="53"/>
        <v>CDHU26.20.020</v>
      </c>
      <c r="B46" s="17" t="s">
        <v>29</v>
      </c>
      <c r="C46" s="341" t="s">
        <v>42</v>
      </c>
      <c r="D46" s="11">
        <f t="shared" si="59"/>
        <v>3</v>
      </c>
      <c r="E46" s="353" t="s">
        <v>22</v>
      </c>
      <c r="F46" s="353">
        <v>3</v>
      </c>
      <c r="G46" s="353"/>
      <c r="H46" s="353"/>
      <c r="I46" s="145" t="e">
        <f>INDEX(#REF!,MATCH(A46,#REF!,0),0)</f>
        <v>#REF!</v>
      </c>
      <c r="J46" s="144" t="e">
        <f>INDEX(#REF!,MATCH(A46,#REF!,0),0)</f>
        <v>#REF!</v>
      </c>
      <c r="K46" s="142" t="e">
        <f>#REF!</f>
        <v>#REF!</v>
      </c>
      <c r="L46" s="143" t="e">
        <f>INDEX(#REF!,MATCH(A46,#REF!,0),0)</f>
        <v>#REF!</v>
      </c>
      <c r="M46" s="12">
        <f t="shared" si="54"/>
        <v>1.25</v>
      </c>
      <c r="N46" s="13" t="e">
        <f t="shared" si="55"/>
        <v>#REF!</v>
      </c>
      <c r="O46" s="13" t="e">
        <f t="shared" si="56"/>
        <v>#REF!</v>
      </c>
      <c r="Q46" s="143" t="e">
        <f>INDEX(#REF!,MATCH(A46,#REF!,0),0)</f>
        <v>#REF!</v>
      </c>
      <c r="R46" s="12">
        <f t="shared" si="57"/>
        <v>1.2757000000000001</v>
      </c>
      <c r="S46" s="13" t="e">
        <f t="shared" ref="S46" si="64">ROUND(Q46*R46,2)</f>
        <v>#REF!</v>
      </c>
      <c r="T46" s="13" t="e">
        <f t="shared" ref="T46" si="65">ROUND(K46*S46,2)</f>
        <v>#REF!</v>
      </c>
    </row>
    <row r="47" spans="1:20" ht="20.25" customHeight="1">
      <c r="C47" s="341"/>
      <c r="D47" s="436" t="s">
        <v>31</v>
      </c>
      <c r="E47" s="437"/>
      <c r="F47" s="437"/>
      <c r="G47" s="437"/>
      <c r="H47" s="437"/>
      <c r="I47" s="437"/>
      <c r="J47" s="437"/>
      <c r="K47" s="437"/>
      <c r="L47" s="437"/>
      <c r="M47" s="437"/>
      <c r="N47" s="437"/>
      <c r="O47" s="438"/>
      <c r="Q47" s="143"/>
      <c r="R47" s="12"/>
      <c r="S47" s="13"/>
      <c r="T47" s="13"/>
    </row>
    <row r="48" spans="1:20" ht="38.25" customHeight="1">
      <c r="A48" s="63" t="str">
        <f t="shared" ref="A48:A50" si="66">B48&amp;C48</f>
        <v>SIURB EDIF10014075</v>
      </c>
      <c r="B48" s="17" t="s">
        <v>24</v>
      </c>
      <c r="C48" s="341">
        <v>10014075</v>
      </c>
      <c r="D48" s="11">
        <f>$D$42</f>
        <v>3</v>
      </c>
      <c r="E48" s="353" t="s">
        <v>22</v>
      </c>
      <c r="F48" s="353">
        <v>4</v>
      </c>
      <c r="G48" s="353"/>
      <c r="H48" s="353"/>
      <c r="I48" s="145" t="e">
        <f>INDEX(#REF!,MATCH(A48,#REF!,0),0)</f>
        <v>#REF!</v>
      </c>
      <c r="J48" s="144" t="e">
        <f>INDEX(#REF!,MATCH(A48,#REF!,0),0)</f>
        <v>#REF!</v>
      </c>
      <c r="K48" s="142" t="e">
        <f>#REF!</f>
        <v>#REF!</v>
      </c>
      <c r="L48" s="143" t="e">
        <f>INDEX(#REF!,MATCH(A48,#REF!,0),0)</f>
        <v>#REF!</v>
      </c>
      <c r="M48" s="12">
        <f t="shared" si="54"/>
        <v>1.25</v>
      </c>
      <c r="N48" s="13" t="e">
        <f t="shared" ref="N48:N50" si="67">ROUND(L48*M48,2)</f>
        <v>#REF!</v>
      </c>
      <c r="O48" s="13" t="e">
        <f t="shared" ref="O48:O50" si="68">ROUND(K48*N48,2)</f>
        <v>#REF!</v>
      </c>
      <c r="Q48" s="143" t="e">
        <f>INDEX(#REF!,MATCH(A48,#REF!,0),0)</f>
        <v>#REF!</v>
      </c>
      <c r="R48" s="12">
        <f t="shared" si="57"/>
        <v>1.2757000000000001</v>
      </c>
      <c r="S48" s="13" t="e">
        <f>ROUND(Q48*R48,2)</f>
        <v>#REF!</v>
      </c>
      <c r="T48" s="13" t="e">
        <f>ROUND(K48*S48,2)</f>
        <v>#REF!</v>
      </c>
    </row>
    <row r="49" spans="1:20" ht="38.25" customHeight="1">
      <c r="A49" s="63" t="str">
        <f t="shared" si="66"/>
        <v>SIURB EDIF13002043</v>
      </c>
      <c r="B49" s="17" t="s">
        <v>24</v>
      </c>
      <c r="C49" s="341">
        <v>13002043</v>
      </c>
      <c r="D49" s="11">
        <f t="shared" si="59"/>
        <v>3</v>
      </c>
      <c r="E49" s="353" t="s">
        <v>22</v>
      </c>
      <c r="F49" s="353">
        <v>5</v>
      </c>
      <c r="G49" s="353"/>
      <c r="H49" s="353"/>
      <c r="I49" s="145" t="e">
        <f>INDEX(#REF!,MATCH(A49,#REF!,0),0)</f>
        <v>#REF!</v>
      </c>
      <c r="J49" s="144" t="e">
        <f>INDEX(#REF!,MATCH(A49,#REF!,0),0)</f>
        <v>#REF!</v>
      </c>
      <c r="K49" s="142" t="e">
        <f>#REF!</f>
        <v>#REF!</v>
      </c>
      <c r="L49" s="143" t="e">
        <f>INDEX(#REF!,MATCH(A49,#REF!,0),0)</f>
        <v>#REF!</v>
      </c>
      <c r="M49" s="12">
        <f t="shared" si="54"/>
        <v>1.25</v>
      </c>
      <c r="N49" s="13" t="e">
        <f t="shared" si="67"/>
        <v>#REF!</v>
      </c>
      <c r="O49" s="13" t="e">
        <f t="shared" si="68"/>
        <v>#REF!</v>
      </c>
      <c r="Q49" s="143" t="e">
        <f>INDEX(#REF!,MATCH(A49,#REF!,0),0)</f>
        <v>#REF!</v>
      </c>
      <c r="R49" s="12">
        <f t="shared" si="57"/>
        <v>1.2757000000000001</v>
      </c>
      <c r="S49" s="13" t="e">
        <f t="shared" ref="S49" si="69">ROUND(Q49*R49,2)</f>
        <v>#REF!</v>
      </c>
      <c r="T49" s="13" t="e">
        <f t="shared" ref="T49" si="70">ROUND(K49*S49,2)</f>
        <v>#REF!</v>
      </c>
    </row>
    <row r="50" spans="1:20" ht="38.25" customHeight="1">
      <c r="A50" s="63" t="str">
        <f t="shared" si="66"/>
        <v>CDHU26.20.020</v>
      </c>
      <c r="B50" s="17" t="s">
        <v>29</v>
      </c>
      <c r="C50" s="341" t="s">
        <v>42</v>
      </c>
      <c r="D50" s="11">
        <f t="shared" si="59"/>
        <v>3</v>
      </c>
      <c r="E50" s="353" t="s">
        <v>22</v>
      </c>
      <c r="F50" s="353">
        <v>6</v>
      </c>
      <c r="G50" s="353"/>
      <c r="H50" s="353"/>
      <c r="I50" s="145" t="e">
        <f>INDEX(#REF!,MATCH(A50,#REF!,0),0)</f>
        <v>#REF!</v>
      </c>
      <c r="J50" s="144" t="e">
        <f>INDEX(#REF!,MATCH(A50,#REF!,0),0)</f>
        <v>#REF!</v>
      </c>
      <c r="K50" s="142" t="e">
        <f>#REF!</f>
        <v>#REF!</v>
      </c>
      <c r="L50" s="143" t="e">
        <f>INDEX(#REF!,MATCH(A50,#REF!,0),0)</f>
        <v>#REF!</v>
      </c>
      <c r="M50" s="12">
        <f t="shared" si="54"/>
        <v>1.25</v>
      </c>
      <c r="N50" s="13" t="e">
        <f t="shared" si="67"/>
        <v>#REF!</v>
      </c>
      <c r="O50" s="13" t="e">
        <f t="shared" si="68"/>
        <v>#REF!</v>
      </c>
      <c r="Q50" s="143" t="e">
        <f>INDEX(#REF!,MATCH(A50,#REF!,0),0)</f>
        <v>#REF!</v>
      </c>
      <c r="R50" s="12">
        <f t="shared" si="57"/>
        <v>1.2757000000000001</v>
      </c>
      <c r="S50" s="13" t="e">
        <f t="shared" ref="S50" si="71">ROUND(Q50*R50,2)</f>
        <v>#REF!</v>
      </c>
      <c r="T50" s="13" t="e">
        <f t="shared" ref="T50" si="72">ROUND(K50*S50,2)</f>
        <v>#REF!</v>
      </c>
    </row>
    <row r="51" spans="1:20" ht="20.25" customHeight="1">
      <c r="C51" s="341"/>
      <c r="D51" s="436" t="s">
        <v>32</v>
      </c>
      <c r="E51" s="437"/>
      <c r="F51" s="437"/>
      <c r="G51" s="437"/>
      <c r="H51" s="437"/>
      <c r="I51" s="437"/>
      <c r="J51" s="437"/>
      <c r="K51" s="437"/>
      <c r="L51" s="437"/>
      <c r="M51" s="437"/>
      <c r="N51" s="437"/>
      <c r="O51" s="438"/>
      <c r="Q51" s="143"/>
      <c r="R51" s="12"/>
      <c r="S51" s="13"/>
      <c r="T51" s="13"/>
    </row>
    <row r="52" spans="1:20" ht="38.25" customHeight="1">
      <c r="A52" s="63" t="str">
        <f t="shared" ref="A52:A55" si="73">B52&amp;C52</f>
        <v>SIURB EDIF4001051</v>
      </c>
      <c r="B52" s="17" t="s">
        <v>24</v>
      </c>
      <c r="C52" s="341">
        <v>4001051</v>
      </c>
      <c r="D52" s="11">
        <f>$D$42</f>
        <v>3</v>
      </c>
      <c r="E52" s="353" t="s">
        <v>22</v>
      </c>
      <c r="F52" s="353">
        <v>7</v>
      </c>
      <c r="G52" s="353"/>
      <c r="H52" s="353"/>
      <c r="I52" s="145" t="e">
        <f>INDEX(#REF!,MATCH(A52,#REF!,0),0)</f>
        <v>#REF!</v>
      </c>
      <c r="J52" s="144" t="e">
        <f>INDEX(#REF!,MATCH(A52,#REF!,0),0)</f>
        <v>#REF!</v>
      </c>
      <c r="K52" s="142" t="e">
        <f>#REF!</f>
        <v>#REF!</v>
      </c>
      <c r="L52" s="143" t="e">
        <f>INDEX(#REF!,MATCH(A52,#REF!,0),0)</f>
        <v>#REF!</v>
      </c>
      <c r="M52" s="12">
        <f t="shared" si="54"/>
        <v>1.25</v>
      </c>
      <c r="N52" s="13" t="e">
        <f t="shared" ref="N52:N55" si="74">ROUND(L52*M52,2)</f>
        <v>#REF!</v>
      </c>
      <c r="O52" s="13" t="e">
        <f t="shared" ref="O52:O55" si="75">ROUND(K52*N52,2)</f>
        <v>#REF!</v>
      </c>
      <c r="Q52" s="143" t="e">
        <f>INDEX(#REF!,MATCH(A52,#REF!,0),0)</f>
        <v>#REF!</v>
      </c>
      <c r="R52" s="12">
        <f t="shared" si="57"/>
        <v>1.2757000000000001</v>
      </c>
      <c r="S52" s="13" t="e">
        <f>ROUND(Q52*R52,2)</f>
        <v>#REF!</v>
      </c>
      <c r="T52" s="13" t="e">
        <f>ROUND(K52*S52,2)</f>
        <v>#REF!</v>
      </c>
    </row>
    <row r="53" spans="1:20" ht="38.25" customHeight="1">
      <c r="A53" s="63" t="str">
        <f t="shared" si="73"/>
        <v>SIURB EDIF11002001</v>
      </c>
      <c r="B53" s="17" t="s">
        <v>24</v>
      </c>
      <c r="C53" s="341">
        <v>11002001</v>
      </c>
      <c r="D53" s="11">
        <f t="shared" si="59"/>
        <v>3</v>
      </c>
      <c r="E53" s="353" t="s">
        <v>22</v>
      </c>
      <c r="F53" s="353">
        <v>8</v>
      </c>
      <c r="G53" s="353"/>
      <c r="H53" s="353"/>
      <c r="I53" s="145" t="e">
        <f>INDEX(#REF!,MATCH(A53,#REF!,0),0)</f>
        <v>#REF!</v>
      </c>
      <c r="J53" s="144" t="e">
        <f>INDEX(#REF!,MATCH(A53,#REF!,0),0)</f>
        <v>#REF!</v>
      </c>
      <c r="K53" s="142" t="e">
        <f>#REF!</f>
        <v>#REF!</v>
      </c>
      <c r="L53" s="143" t="e">
        <f>INDEX(#REF!,MATCH(A53,#REF!,0),0)</f>
        <v>#REF!</v>
      </c>
      <c r="M53" s="12">
        <f t="shared" si="54"/>
        <v>1.25</v>
      </c>
      <c r="N53" s="13" t="e">
        <f t="shared" si="74"/>
        <v>#REF!</v>
      </c>
      <c r="O53" s="13" t="e">
        <f t="shared" si="75"/>
        <v>#REF!</v>
      </c>
      <c r="Q53" s="143" t="e">
        <f>INDEX(#REF!,MATCH(A53,#REF!,0),0)</f>
        <v>#REF!</v>
      </c>
      <c r="R53" s="12">
        <f t="shared" si="57"/>
        <v>1.2757000000000001</v>
      </c>
      <c r="S53" s="13" t="e">
        <f t="shared" ref="S53:S55" si="76">ROUND(Q53*R53,2)</f>
        <v>#REF!</v>
      </c>
      <c r="T53" s="13" t="e">
        <f t="shared" ref="T53:T55" si="77">ROUND(K53*S53,2)</f>
        <v>#REF!</v>
      </c>
    </row>
    <row r="54" spans="1:20" ht="38.25" customHeight="1">
      <c r="A54" s="63" t="str">
        <f t="shared" si="73"/>
        <v>SIURB EDIF11002010</v>
      </c>
      <c r="B54" s="17" t="s">
        <v>24</v>
      </c>
      <c r="C54" s="341">
        <v>11002010</v>
      </c>
      <c r="D54" s="11">
        <f t="shared" si="59"/>
        <v>3</v>
      </c>
      <c r="E54" s="353" t="s">
        <v>22</v>
      </c>
      <c r="F54" s="353">
        <v>9</v>
      </c>
      <c r="G54" s="353"/>
      <c r="H54" s="353"/>
      <c r="I54" s="145" t="e">
        <f>INDEX(#REF!,MATCH(A54,#REF!,0),0)</f>
        <v>#REF!</v>
      </c>
      <c r="J54" s="144" t="e">
        <f>INDEX(#REF!,MATCH(A54,#REF!,0),0)</f>
        <v>#REF!</v>
      </c>
      <c r="K54" s="142" t="e">
        <f>#REF!</f>
        <v>#REF!</v>
      </c>
      <c r="L54" s="143" t="e">
        <f>INDEX(#REF!,MATCH(A54,#REF!,0),0)</f>
        <v>#REF!</v>
      </c>
      <c r="M54" s="12">
        <f t="shared" si="54"/>
        <v>1.25</v>
      </c>
      <c r="N54" s="13" t="e">
        <f t="shared" si="74"/>
        <v>#REF!</v>
      </c>
      <c r="O54" s="13" t="e">
        <f t="shared" si="75"/>
        <v>#REF!</v>
      </c>
      <c r="Q54" s="143" t="e">
        <f>INDEX(#REF!,MATCH(A54,#REF!,0),0)</f>
        <v>#REF!</v>
      </c>
      <c r="R54" s="12">
        <f t="shared" si="57"/>
        <v>1.2757000000000001</v>
      </c>
      <c r="S54" s="13" t="e">
        <f t="shared" si="76"/>
        <v>#REF!</v>
      </c>
      <c r="T54" s="13" t="e">
        <f t="shared" si="77"/>
        <v>#REF!</v>
      </c>
    </row>
    <row r="55" spans="1:20" ht="38.25" customHeight="1">
      <c r="A55" s="63" t="str">
        <f t="shared" si="73"/>
        <v>SIURB EDIF13003004</v>
      </c>
      <c r="B55" s="17" t="s">
        <v>24</v>
      </c>
      <c r="C55" s="341">
        <v>13003004</v>
      </c>
      <c r="D55" s="11">
        <f t="shared" si="59"/>
        <v>3</v>
      </c>
      <c r="E55" s="353" t="s">
        <v>22</v>
      </c>
      <c r="F55" s="353">
        <v>10</v>
      </c>
      <c r="G55" s="353"/>
      <c r="H55" s="353"/>
      <c r="I55" s="145" t="e">
        <f>INDEX(#REF!,MATCH(A55,#REF!,0),0)</f>
        <v>#REF!</v>
      </c>
      <c r="J55" s="144" t="e">
        <f>INDEX(#REF!,MATCH(A55,#REF!,0),0)</f>
        <v>#REF!</v>
      </c>
      <c r="K55" s="142" t="e">
        <f>#REF!</f>
        <v>#REF!</v>
      </c>
      <c r="L55" s="143" t="e">
        <f>INDEX(#REF!,MATCH(A55,#REF!,0),0)</f>
        <v>#REF!</v>
      </c>
      <c r="M55" s="12">
        <f t="shared" si="54"/>
        <v>1.25</v>
      </c>
      <c r="N55" s="13" t="e">
        <f t="shared" si="74"/>
        <v>#REF!</v>
      </c>
      <c r="O55" s="13" t="e">
        <f t="shared" si="75"/>
        <v>#REF!</v>
      </c>
      <c r="Q55" s="143" t="e">
        <f>INDEX(#REF!,MATCH(A55,#REF!,0),0)</f>
        <v>#REF!</v>
      </c>
      <c r="R55" s="12">
        <f t="shared" si="57"/>
        <v>1.2757000000000001</v>
      </c>
      <c r="S55" s="13" t="e">
        <f t="shared" si="76"/>
        <v>#REF!</v>
      </c>
      <c r="T55" s="13" t="e">
        <f t="shared" si="77"/>
        <v>#REF!</v>
      </c>
    </row>
    <row r="56" spans="1:20" ht="38.25" customHeight="1">
      <c r="A56" s="63" t="str">
        <f>B56&amp;C56</f>
        <v>CDHU14.30.260</v>
      </c>
      <c r="B56" s="17" t="s">
        <v>29</v>
      </c>
      <c r="C56" s="341" t="s">
        <v>43</v>
      </c>
      <c r="D56" s="11">
        <f t="shared" si="59"/>
        <v>3</v>
      </c>
      <c r="E56" s="353" t="s">
        <v>22</v>
      </c>
      <c r="F56" s="353">
        <v>11</v>
      </c>
      <c r="G56" s="353"/>
      <c r="H56" s="353"/>
      <c r="I56" s="145" t="e">
        <f>INDEX(#REF!,MATCH(A56,#REF!,0),0)</f>
        <v>#REF!</v>
      </c>
      <c r="J56" s="144" t="e">
        <f>INDEX(#REF!,MATCH(A56,#REF!,0),0)</f>
        <v>#REF!</v>
      </c>
      <c r="K56" s="142" t="e">
        <f>#REF!</f>
        <v>#REF!</v>
      </c>
      <c r="L56" s="143" t="e">
        <f>INDEX(#REF!,MATCH(A56,#REF!,0),0)</f>
        <v>#REF!</v>
      </c>
      <c r="M56" s="12">
        <f t="shared" si="54"/>
        <v>1.25</v>
      </c>
      <c r="N56" s="13" t="e">
        <f>ROUND(L56*M56,2)</f>
        <v>#REF!</v>
      </c>
      <c r="O56" s="13" t="e">
        <f>ROUND(K56*N56,2)</f>
        <v>#REF!</v>
      </c>
      <c r="Q56" s="143" t="e">
        <f>INDEX(#REF!,MATCH(A56,#REF!,0),0)</f>
        <v>#REF!</v>
      </c>
      <c r="R56" s="12">
        <f t="shared" si="57"/>
        <v>1.2757000000000001</v>
      </c>
      <c r="S56" s="13" t="e">
        <f>ROUND(Q56*R56,2)</f>
        <v>#REF!</v>
      </c>
      <c r="T56" s="13" t="e">
        <f>ROUND(K56*S56,2)</f>
        <v>#REF!</v>
      </c>
    </row>
    <row r="57" spans="1:20" ht="38.25" customHeight="1">
      <c r="A57" s="63" t="str">
        <f>B57&amp;C57</f>
        <v>SIURB EDIF7001050</v>
      </c>
      <c r="B57" s="17" t="s">
        <v>24</v>
      </c>
      <c r="C57" s="341">
        <v>7001050</v>
      </c>
      <c r="D57" s="11">
        <f t="shared" si="59"/>
        <v>3</v>
      </c>
      <c r="E57" s="353" t="s">
        <v>22</v>
      </c>
      <c r="F57" s="353">
        <v>12</v>
      </c>
      <c r="G57" s="353"/>
      <c r="H57" s="353"/>
      <c r="I57" s="145" t="e">
        <f>INDEX(#REF!,MATCH(A57,#REF!,0),0)</f>
        <v>#REF!</v>
      </c>
      <c r="J57" s="144" t="e">
        <f>INDEX(#REF!,MATCH(A57,#REF!,0),0)</f>
        <v>#REF!</v>
      </c>
      <c r="K57" s="142" t="e">
        <f>#REF!</f>
        <v>#REF!</v>
      </c>
      <c r="L57" s="143" t="e">
        <f>INDEX(#REF!,MATCH(A57,#REF!,0),0)</f>
        <v>#REF!</v>
      </c>
      <c r="M57" s="12">
        <f t="shared" si="54"/>
        <v>1.25</v>
      </c>
      <c r="N57" s="13" t="e">
        <f>ROUND(L57*M57,2)</f>
        <v>#REF!</v>
      </c>
      <c r="O57" s="13" t="e">
        <f>ROUND(K57*N57,2)</f>
        <v>#REF!</v>
      </c>
      <c r="Q57" s="143" t="e">
        <f>INDEX(#REF!,MATCH(A57,#REF!,0),0)</f>
        <v>#REF!</v>
      </c>
      <c r="R57" s="12">
        <f t="shared" si="57"/>
        <v>1.2757000000000001</v>
      </c>
      <c r="S57" s="13" t="e">
        <f>ROUND(Q57*R57,2)</f>
        <v>#REF!</v>
      </c>
      <c r="T57" s="13" t="e">
        <f>ROUND(K57*S57,2)</f>
        <v>#REF!</v>
      </c>
    </row>
    <row r="58" spans="1:20" ht="38.25" customHeight="1">
      <c r="A58" s="63" t="str">
        <f t="shared" ref="A58" si="78">B58&amp;C58</f>
        <v>SIURB EDIF7001008</v>
      </c>
      <c r="B58" s="17" t="s">
        <v>24</v>
      </c>
      <c r="C58" s="341">
        <v>7001008</v>
      </c>
      <c r="D58" s="11">
        <f t="shared" si="59"/>
        <v>3</v>
      </c>
      <c r="E58" s="353" t="s">
        <v>22</v>
      </c>
      <c r="F58" s="353">
        <v>13</v>
      </c>
      <c r="G58" s="353"/>
      <c r="H58" s="353"/>
      <c r="I58" s="145" t="e">
        <f>INDEX(#REF!,MATCH(A58,#REF!,0),0)</f>
        <v>#REF!</v>
      </c>
      <c r="J58" s="144" t="e">
        <f>INDEX(#REF!,MATCH(A58,#REF!,0),0)</f>
        <v>#REF!</v>
      </c>
      <c r="K58" s="142" t="e">
        <f>#REF!</f>
        <v>#REF!</v>
      </c>
      <c r="L58" s="143" t="e">
        <f>INDEX(#REF!,MATCH(A58,#REF!,0),0)</f>
        <v>#REF!</v>
      </c>
      <c r="M58" s="12">
        <f t="shared" si="54"/>
        <v>1.25</v>
      </c>
      <c r="N58" s="13" t="e">
        <f t="shared" ref="N58" si="79">ROUND(L58*M58,2)</f>
        <v>#REF!</v>
      </c>
      <c r="O58" s="13" t="e">
        <f t="shared" ref="O58" si="80">ROUND(K58*N58,2)</f>
        <v>#REF!</v>
      </c>
      <c r="Q58" s="143" t="e">
        <f>INDEX(#REF!,MATCH(A58,#REF!,0),0)</f>
        <v>#REF!</v>
      </c>
      <c r="R58" s="12">
        <f t="shared" si="57"/>
        <v>1.2757000000000001</v>
      </c>
      <c r="S58" s="13" t="e">
        <f t="shared" ref="S58" si="81">ROUND(Q58*R58,2)</f>
        <v>#REF!</v>
      </c>
      <c r="T58" s="13" t="e">
        <f t="shared" ref="T58" si="82">ROUND(K58*S58,2)</f>
        <v>#REF!</v>
      </c>
    </row>
    <row r="59" spans="1:20" ht="38.25" customHeight="1">
      <c r="A59" s="63" t="str">
        <f t="shared" ref="A59" si="83">B59&amp;C59</f>
        <v>SIURB EDIF7002010</v>
      </c>
      <c r="B59" s="17" t="s">
        <v>24</v>
      </c>
      <c r="C59" s="341">
        <v>7002010</v>
      </c>
      <c r="D59" s="11">
        <f t="shared" si="59"/>
        <v>3</v>
      </c>
      <c r="E59" s="353" t="s">
        <v>22</v>
      </c>
      <c r="F59" s="353">
        <v>14</v>
      </c>
      <c r="G59" s="353"/>
      <c r="H59" s="353"/>
      <c r="I59" s="145" t="e">
        <f>INDEX(#REF!,MATCH(A59,#REF!,0),0)</f>
        <v>#REF!</v>
      </c>
      <c r="J59" s="144" t="e">
        <f>INDEX(#REF!,MATCH(A59,#REF!,0),0)</f>
        <v>#REF!</v>
      </c>
      <c r="K59" s="142" t="e">
        <f>#REF!</f>
        <v>#REF!</v>
      </c>
      <c r="L59" s="143" t="e">
        <f>INDEX(#REF!,MATCH(A59,#REF!,0),0)</f>
        <v>#REF!</v>
      </c>
      <c r="M59" s="12">
        <f t="shared" si="54"/>
        <v>1.25</v>
      </c>
      <c r="N59" s="13" t="e">
        <f t="shared" ref="N59" si="84">ROUND(L59*M59,2)</f>
        <v>#REF!</v>
      </c>
      <c r="O59" s="13" t="e">
        <f t="shared" ref="O59" si="85">ROUND(K59*N59,2)</f>
        <v>#REF!</v>
      </c>
      <c r="Q59" s="143" t="e">
        <f>INDEX(#REF!,MATCH(A59,#REF!,0),0)</f>
        <v>#REF!</v>
      </c>
      <c r="R59" s="12">
        <f t="shared" si="57"/>
        <v>1.2757000000000001</v>
      </c>
      <c r="S59" s="13" t="e">
        <f t="shared" ref="S59" si="86">ROUND(Q59*R59,2)</f>
        <v>#REF!</v>
      </c>
      <c r="T59" s="13" t="e">
        <f t="shared" ref="T59" si="87">ROUND(K59*S59,2)</f>
        <v>#REF!</v>
      </c>
    </row>
    <row r="60" spans="1:20" ht="20.25" customHeight="1">
      <c r="C60" s="341"/>
      <c r="D60" s="436" t="s">
        <v>44</v>
      </c>
      <c r="E60" s="437"/>
      <c r="F60" s="437"/>
      <c r="G60" s="437"/>
      <c r="H60" s="437"/>
      <c r="I60" s="437"/>
      <c r="J60" s="437"/>
      <c r="K60" s="437"/>
      <c r="L60" s="437"/>
      <c r="M60" s="437"/>
      <c r="N60" s="437"/>
      <c r="O60" s="438"/>
      <c r="Q60" s="143"/>
      <c r="R60" s="12"/>
      <c r="S60" s="13"/>
      <c r="T60" s="13"/>
    </row>
    <row r="61" spans="1:20" ht="38.25" customHeight="1">
      <c r="A61" s="63" t="str">
        <f t="shared" ref="A61:A65" si="88">B61&amp;C61</f>
        <v>SIURB EDIF4001051</v>
      </c>
      <c r="B61" s="17" t="s">
        <v>24</v>
      </c>
      <c r="C61" s="341">
        <v>4001051</v>
      </c>
      <c r="D61" s="11">
        <f>$D$42</f>
        <v>3</v>
      </c>
      <c r="E61" s="353" t="s">
        <v>22</v>
      </c>
      <c r="F61" s="353">
        <v>15</v>
      </c>
      <c r="G61" s="353"/>
      <c r="H61" s="353"/>
      <c r="I61" s="145" t="e">
        <f>INDEX(#REF!,MATCH(A61,#REF!,0),0)</f>
        <v>#REF!</v>
      </c>
      <c r="J61" s="144" t="e">
        <f>INDEX(#REF!,MATCH(A61,#REF!,0),0)</f>
        <v>#REF!</v>
      </c>
      <c r="K61" s="142" t="e">
        <f>#REF!</f>
        <v>#REF!</v>
      </c>
      <c r="L61" s="143" t="e">
        <f>INDEX(#REF!,MATCH(A61,#REF!,0),0)</f>
        <v>#REF!</v>
      </c>
      <c r="M61" s="12">
        <f t="shared" si="54"/>
        <v>1.25</v>
      </c>
      <c r="N61" s="13" t="e">
        <f t="shared" ref="N61:N65" si="89">ROUND(L61*M61,2)</f>
        <v>#REF!</v>
      </c>
      <c r="O61" s="13" t="e">
        <f t="shared" ref="O61:O65" si="90">ROUND(K61*N61,2)</f>
        <v>#REF!</v>
      </c>
      <c r="Q61" s="143" t="e">
        <f>INDEX(#REF!,MATCH(A61,#REF!,0),0)</f>
        <v>#REF!</v>
      </c>
      <c r="R61" s="12">
        <f t="shared" si="57"/>
        <v>1.2757000000000001</v>
      </c>
      <c r="S61" s="13" t="e">
        <f>ROUND(Q61*R61,2)</f>
        <v>#REF!</v>
      </c>
      <c r="T61" s="13" t="e">
        <f>ROUND(K61*S61,2)</f>
        <v>#REF!</v>
      </c>
    </row>
    <row r="62" spans="1:20" ht="38.25" customHeight="1">
      <c r="A62" s="63" t="str">
        <f t="shared" si="88"/>
        <v>SIURB EDIF11002001</v>
      </c>
      <c r="B62" s="17" t="s">
        <v>24</v>
      </c>
      <c r="C62" s="341">
        <v>11002001</v>
      </c>
      <c r="D62" s="11">
        <f t="shared" si="59"/>
        <v>3</v>
      </c>
      <c r="E62" s="353" t="s">
        <v>22</v>
      </c>
      <c r="F62" s="353">
        <v>16</v>
      </c>
      <c r="G62" s="353"/>
      <c r="H62" s="353"/>
      <c r="I62" s="145" t="e">
        <f>INDEX(#REF!,MATCH(A62,#REF!,0),0)</f>
        <v>#REF!</v>
      </c>
      <c r="J62" s="144" t="e">
        <f>INDEX(#REF!,MATCH(A62,#REF!,0),0)</f>
        <v>#REF!</v>
      </c>
      <c r="K62" s="142" t="e">
        <f>#REF!</f>
        <v>#REF!</v>
      </c>
      <c r="L62" s="143" t="e">
        <f>INDEX(#REF!,MATCH(A62,#REF!,0),0)</f>
        <v>#REF!</v>
      </c>
      <c r="M62" s="12">
        <f t="shared" si="54"/>
        <v>1.25</v>
      </c>
      <c r="N62" s="13" t="e">
        <f t="shared" si="89"/>
        <v>#REF!</v>
      </c>
      <c r="O62" s="13" t="e">
        <f t="shared" si="90"/>
        <v>#REF!</v>
      </c>
      <c r="Q62" s="143" t="e">
        <f>INDEX(#REF!,MATCH(A62,#REF!,0),0)</f>
        <v>#REF!</v>
      </c>
      <c r="R62" s="12">
        <f t="shared" si="57"/>
        <v>1.2757000000000001</v>
      </c>
      <c r="S62" s="13" t="e">
        <f t="shared" ref="S62:S65" si="91">ROUND(Q62*R62,2)</f>
        <v>#REF!</v>
      </c>
      <c r="T62" s="13" t="e">
        <f t="shared" ref="T62:T65" si="92">ROUND(K62*S62,2)</f>
        <v>#REF!</v>
      </c>
    </row>
    <row r="63" spans="1:20" ht="38.25" customHeight="1">
      <c r="A63" s="63" t="str">
        <f t="shared" si="88"/>
        <v>SIURB EDIF11002010</v>
      </c>
      <c r="B63" s="17" t="s">
        <v>24</v>
      </c>
      <c r="C63" s="341">
        <v>11002010</v>
      </c>
      <c r="D63" s="11">
        <f t="shared" si="59"/>
        <v>3</v>
      </c>
      <c r="E63" s="353" t="s">
        <v>22</v>
      </c>
      <c r="F63" s="353">
        <v>17</v>
      </c>
      <c r="G63" s="353"/>
      <c r="H63" s="353"/>
      <c r="I63" s="145" t="e">
        <f>INDEX(#REF!,MATCH(A63,#REF!,0),0)</f>
        <v>#REF!</v>
      </c>
      <c r="J63" s="144" t="e">
        <f>INDEX(#REF!,MATCH(A63,#REF!,0),0)</f>
        <v>#REF!</v>
      </c>
      <c r="K63" s="142" t="e">
        <f>#REF!</f>
        <v>#REF!</v>
      </c>
      <c r="L63" s="143" t="e">
        <f>INDEX(#REF!,MATCH(A63,#REF!,0),0)</f>
        <v>#REF!</v>
      </c>
      <c r="M63" s="12">
        <f t="shared" si="54"/>
        <v>1.25</v>
      </c>
      <c r="N63" s="13" t="e">
        <f t="shared" si="89"/>
        <v>#REF!</v>
      </c>
      <c r="O63" s="13" t="e">
        <f t="shared" si="90"/>
        <v>#REF!</v>
      </c>
      <c r="Q63" s="143" t="e">
        <f>INDEX(#REF!,MATCH(A63,#REF!,0),0)</f>
        <v>#REF!</v>
      </c>
      <c r="R63" s="12">
        <f t="shared" si="57"/>
        <v>1.2757000000000001</v>
      </c>
      <c r="S63" s="13" t="e">
        <f t="shared" si="91"/>
        <v>#REF!</v>
      </c>
      <c r="T63" s="13" t="e">
        <f t="shared" si="92"/>
        <v>#REF!</v>
      </c>
    </row>
    <row r="64" spans="1:20" ht="38.25" customHeight="1">
      <c r="A64" s="63" t="str">
        <f t="shared" si="88"/>
        <v>SIURB EDIF13003004</v>
      </c>
      <c r="B64" s="17" t="s">
        <v>24</v>
      </c>
      <c r="C64" s="341">
        <v>13003004</v>
      </c>
      <c r="D64" s="11">
        <f t="shared" si="59"/>
        <v>3</v>
      </c>
      <c r="E64" s="353" t="s">
        <v>22</v>
      </c>
      <c r="F64" s="353">
        <v>18</v>
      </c>
      <c r="G64" s="353"/>
      <c r="H64" s="353"/>
      <c r="I64" s="145" t="e">
        <f>INDEX(#REF!,MATCH(A64,#REF!,0),0)</f>
        <v>#REF!</v>
      </c>
      <c r="J64" s="144" t="e">
        <f>INDEX(#REF!,MATCH(A64,#REF!,0),0)</f>
        <v>#REF!</v>
      </c>
      <c r="K64" s="142" t="e">
        <f>#REF!</f>
        <v>#REF!</v>
      </c>
      <c r="L64" s="143" t="e">
        <f>INDEX(#REF!,MATCH(A64,#REF!,0),0)</f>
        <v>#REF!</v>
      </c>
      <c r="M64" s="12">
        <f t="shared" si="54"/>
        <v>1.25</v>
      </c>
      <c r="N64" s="13" t="e">
        <f t="shared" si="89"/>
        <v>#REF!</v>
      </c>
      <c r="O64" s="13" t="e">
        <f t="shared" si="90"/>
        <v>#REF!</v>
      </c>
      <c r="Q64" s="143" t="e">
        <f>INDEX(#REF!,MATCH(A64,#REF!,0),0)</f>
        <v>#REF!</v>
      </c>
      <c r="R64" s="12">
        <f t="shared" si="57"/>
        <v>1.2757000000000001</v>
      </c>
      <c r="S64" s="13" t="e">
        <f t="shared" si="91"/>
        <v>#REF!</v>
      </c>
      <c r="T64" s="13" t="e">
        <f t="shared" si="92"/>
        <v>#REF!</v>
      </c>
    </row>
    <row r="65" spans="1:20" ht="38.25" customHeight="1">
      <c r="A65" s="63" t="str">
        <f t="shared" si="88"/>
        <v>CDHU14.30.260</v>
      </c>
      <c r="B65" s="17" t="s">
        <v>29</v>
      </c>
      <c r="C65" s="341" t="s">
        <v>43</v>
      </c>
      <c r="D65" s="11">
        <f t="shared" si="59"/>
        <v>3</v>
      </c>
      <c r="E65" s="353" t="s">
        <v>22</v>
      </c>
      <c r="F65" s="353">
        <v>19</v>
      </c>
      <c r="G65" s="353"/>
      <c r="H65" s="353"/>
      <c r="I65" s="145" t="e">
        <f>INDEX(#REF!,MATCH(A65,#REF!,0),0)</f>
        <v>#REF!</v>
      </c>
      <c r="J65" s="144" t="e">
        <f>INDEX(#REF!,MATCH(A65,#REF!,0),0)</f>
        <v>#REF!</v>
      </c>
      <c r="K65" s="142" t="e">
        <f>#REF!</f>
        <v>#REF!</v>
      </c>
      <c r="L65" s="143" t="e">
        <f>INDEX(#REF!,MATCH(A65,#REF!,0),0)</f>
        <v>#REF!</v>
      </c>
      <c r="M65" s="12">
        <f t="shared" si="54"/>
        <v>1.25</v>
      </c>
      <c r="N65" s="13" t="e">
        <f t="shared" si="89"/>
        <v>#REF!</v>
      </c>
      <c r="O65" s="13" t="e">
        <f t="shared" si="90"/>
        <v>#REF!</v>
      </c>
      <c r="Q65" s="143" t="e">
        <f>INDEX(#REF!,MATCH(A65,#REF!,0),0)</f>
        <v>#REF!</v>
      </c>
      <c r="R65" s="12">
        <f t="shared" si="57"/>
        <v>1.2757000000000001</v>
      </c>
      <c r="S65" s="13" t="e">
        <f t="shared" si="91"/>
        <v>#REF!</v>
      </c>
      <c r="T65" s="13" t="e">
        <f t="shared" si="92"/>
        <v>#REF!</v>
      </c>
    </row>
    <row r="66" spans="1:20" ht="20.25" customHeight="1">
      <c r="C66" s="341"/>
      <c r="D66" s="436" t="s">
        <v>34</v>
      </c>
      <c r="E66" s="437"/>
      <c r="F66" s="437"/>
      <c r="G66" s="437"/>
      <c r="H66" s="437"/>
      <c r="I66" s="437"/>
      <c r="J66" s="437"/>
      <c r="K66" s="437"/>
      <c r="L66" s="437"/>
      <c r="M66" s="437"/>
      <c r="N66" s="437"/>
      <c r="O66" s="438"/>
      <c r="Q66" s="143"/>
      <c r="R66" s="12"/>
      <c r="S66" s="13"/>
      <c r="T66" s="13"/>
    </row>
    <row r="67" spans="1:20" ht="38.25" customHeight="1">
      <c r="A67" s="63" t="str">
        <f t="shared" ref="A67:A70" si="93">B67&amp;C67</f>
        <v>SIURB EDIF4001051</v>
      </c>
      <c r="B67" s="17" t="s">
        <v>24</v>
      </c>
      <c r="C67" s="341">
        <v>4001051</v>
      </c>
      <c r="D67" s="11">
        <f>$D$42</f>
        <v>3</v>
      </c>
      <c r="E67" s="353" t="s">
        <v>22</v>
      </c>
      <c r="F67" s="353">
        <v>20</v>
      </c>
      <c r="G67" s="353"/>
      <c r="H67" s="353"/>
      <c r="I67" s="145" t="e">
        <f>INDEX(#REF!,MATCH(A67,#REF!,0),0)</f>
        <v>#REF!</v>
      </c>
      <c r="J67" s="144" t="e">
        <f>INDEX(#REF!,MATCH(A67,#REF!,0),0)</f>
        <v>#REF!</v>
      </c>
      <c r="K67" s="142" t="e">
        <f>#REF!</f>
        <v>#REF!</v>
      </c>
      <c r="L67" s="143" t="e">
        <f>INDEX(#REF!,MATCH(A67,#REF!,0),0)</f>
        <v>#REF!</v>
      </c>
      <c r="M67" s="12">
        <f t="shared" si="54"/>
        <v>1.25</v>
      </c>
      <c r="N67" s="13" t="e">
        <f t="shared" ref="N67:N70" si="94">ROUND(L67*M67,2)</f>
        <v>#REF!</v>
      </c>
      <c r="O67" s="13" t="e">
        <f t="shared" ref="O67:O70" si="95">ROUND(K67*N67,2)</f>
        <v>#REF!</v>
      </c>
      <c r="Q67" s="143" t="e">
        <f>INDEX(#REF!,MATCH(A67,#REF!,0),0)</f>
        <v>#REF!</v>
      </c>
      <c r="R67" s="12">
        <f t="shared" si="57"/>
        <v>1.2757000000000001</v>
      </c>
      <c r="S67" s="13" t="e">
        <f>ROUND(Q67*R67,2)</f>
        <v>#REF!</v>
      </c>
      <c r="T67" s="13" t="e">
        <f>ROUND(K67*S67,2)</f>
        <v>#REF!</v>
      </c>
    </row>
    <row r="68" spans="1:20" ht="38.25" customHeight="1">
      <c r="A68" s="63" t="str">
        <f t="shared" si="93"/>
        <v>SIURB EDIF11002001</v>
      </c>
      <c r="B68" s="17" t="s">
        <v>24</v>
      </c>
      <c r="C68" s="341">
        <v>11002001</v>
      </c>
      <c r="D68" s="11">
        <f t="shared" si="59"/>
        <v>3</v>
      </c>
      <c r="E68" s="353" t="s">
        <v>22</v>
      </c>
      <c r="F68" s="353">
        <v>21</v>
      </c>
      <c r="G68" s="353"/>
      <c r="H68" s="353"/>
      <c r="I68" s="145" t="e">
        <f>INDEX(#REF!,MATCH(A68,#REF!,0),0)</f>
        <v>#REF!</v>
      </c>
      <c r="J68" s="144" t="e">
        <f>INDEX(#REF!,MATCH(A68,#REF!,0),0)</f>
        <v>#REF!</v>
      </c>
      <c r="K68" s="142" t="e">
        <f>#REF!</f>
        <v>#REF!</v>
      </c>
      <c r="L68" s="143" t="e">
        <f>INDEX(#REF!,MATCH(A68,#REF!,0),0)</f>
        <v>#REF!</v>
      </c>
      <c r="M68" s="12">
        <f t="shared" si="54"/>
        <v>1.25</v>
      </c>
      <c r="N68" s="13" t="e">
        <f t="shared" si="94"/>
        <v>#REF!</v>
      </c>
      <c r="O68" s="13" t="e">
        <f t="shared" si="95"/>
        <v>#REF!</v>
      </c>
      <c r="Q68" s="143" t="e">
        <f>INDEX(#REF!,MATCH(A68,#REF!,0),0)</f>
        <v>#REF!</v>
      </c>
      <c r="R68" s="12">
        <f t="shared" si="57"/>
        <v>1.2757000000000001</v>
      </c>
      <c r="S68" s="13" t="e">
        <f t="shared" ref="S68:S70" si="96">ROUND(Q68*R68,2)</f>
        <v>#REF!</v>
      </c>
      <c r="T68" s="13" t="e">
        <f t="shared" ref="T68:T70" si="97">ROUND(K68*S68,2)</f>
        <v>#REF!</v>
      </c>
    </row>
    <row r="69" spans="1:20" ht="38.25" customHeight="1">
      <c r="A69" s="63" t="str">
        <f t="shared" si="93"/>
        <v>SIURB EDIF11002010</v>
      </c>
      <c r="B69" s="17" t="s">
        <v>24</v>
      </c>
      <c r="C69" s="341">
        <v>11002010</v>
      </c>
      <c r="D69" s="11">
        <f t="shared" si="59"/>
        <v>3</v>
      </c>
      <c r="E69" s="353" t="s">
        <v>22</v>
      </c>
      <c r="F69" s="353">
        <v>22</v>
      </c>
      <c r="G69" s="353"/>
      <c r="H69" s="353"/>
      <c r="I69" s="145" t="e">
        <f>INDEX(#REF!,MATCH(A69,#REF!,0),0)</f>
        <v>#REF!</v>
      </c>
      <c r="J69" s="144" t="e">
        <f>INDEX(#REF!,MATCH(A69,#REF!,0),0)</f>
        <v>#REF!</v>
      </c>
      <c r="K69" s="142" t="e">
        <f>#REF!</f>
        <v>#REF!</v>
      </c>
      <c r="L69" s="143" t="e">
        <f>INDEX(#REF!,MATCH(A69,#REF!,0),0)</f>
        <v>#REF!</v>
      </c>
      <c r="M69" s="12">
        <f t="shared" si="54"/>
        <v>1.25</v>
      </c>
      <c r="N69" s="13" t="e">
        <f t="shared" si="94"/>
        <v>#REF!</v>
      </c>
      <c r="O69" s="13" t="e">
        <f t="shared" si="95"/>
        <v>#REF!</v>
      </c>
      <c r="Q69" s="143" t="e">
        <f>INDEX(#REF!,MATCH(A69,#REF!,0),0)</f>
        <v>#REF!</v>
      </c>
      <c r="R69" s="12">
        <f t="shared" si="57"/>
        <v>1.2757000000000001</v>
      </c>
      <c r="S69" s="13" t="e">
        <f t="shared" si="96"/>
        <v>#REF!</v>
      </c>
      <c r="T69" s="13" t="e">
        <f t="shared" si="97"/>
        <v>#REF!</v>
      </c>
    </row>
    <row r="70" spans="1:20" ht="38.25" customHeight="1">
      <c r="A70" s="63" t="str">
        <f t="shared" si="93"/>
        <v>SIURB EDIF13003004</v>
      </c>
      <c r="B70" s="17" t="s">
        <v>24</v>
      </c>
      <c r="C70" s="341">
        <v>13003004</v>
      </c>
      <c r="D70" s="11">
        <f t="shared" si="59"/>
        <v>3</v>
      </c>
      <c r="E70" s="353" t="s">
        <v>22</v>
      </c>
      <c r="F70" s="353">
        <v>23</v>
      </c>
      <c r="G70" s="353"/>
      <c r="H70" s="353"/>
      <c r="I70" s="145" t="e">
        <f>INDEX(#REF!,MATCH(A70,#REF!,0),0)</f>
        <v>#REF!</v>
      </c>
      <c r="J70" s="144" t="e">
        <f>INDEX(#REF!,MATCH(A70,#REF!,0),0)</f>
        <v>#REF!</v>
      </c>
      <c r="K70" s="142" t="e">
        <f>#REF!</f>
        <v>#REF!</v>
      </c>
      <c r="L70" s="143" t="e">
        <f>INDEX(#REF!,MATCH(A70,#REF!,0),0)</f>
        <v>#REF!</v>
      </c>
      <c r="M70" s="12">
        <f t="shared" si="54"/>
        <v>1.25</v>
      </c>
      <c r="N70" s="13" t="e">
        <f t="shared" si="94"/>
        <v>#REF!</v>
      </c>
      <c r="O70" s="13" t="e">
        <f t="shared" si="95"/>
        <v>#REF!</v>
      </c>
      <c r="Q70" s="143" t="e">
        <f>INDEX(#REF!,MATCH(A70,#REF!,0),0)</f>
        <v>#REF!</v>
      </c>
      <c r="R70" s="12">
        <f t="shared" si="57"/>
        <v>1.2757000000000001</v>
      </c>
      <c r="S70" s="13" t="e">
        <f t="shared" si="96"/>
        <v>#REF!</v>
      </c>
      <c r="T70" s="13" t="e">
        <f t="shared" si="97"/>
        <v>#REF!</v>
      </c>
    </row>
    <row r="71" spans="1:20" ht="38.25" customHeight="1">
      <c r="A71" s="63" t="str">
        <f>B71&amp;C71</f>
        <v>CDHU14.30.260</v>
      </c>
      <c r="B71" s="17" t="s">
        <v>29</v>
      </c>
      <c r="C71" s="341" t="s">
        <v>43</v>
      </c>
      <c r="D71" s="11">
        <f t="shared" si="59"/>
        <v>3</v>
      </c>
      <c r="E71" s="353" t="s">
        <v>22</v>
      </c>
      <c r="F71" s="353">
        <v>24</v>
      </c>
      <c r="G71" s="353"/>
      <c r="H71" s="353"/>
      <c r="I71" s="145" t="e">
        <f>INDEX(#REF!,MATCH(A71,#REF!,0),0)</f>
        <v>#REF!</v>
      </c>
      <c r="J71" s="144" t="e">
        <f>INDEX(#REF!,MATCH(A71,#REF!,0),0)</f>
        <v>#REF!</v>
      </c>
      <c r="K71" s="142" t="e">
        <f>#REF!</f>
        <v>#REF!</v>
      </c>
      <c r="L71" s="143" t="e">
        <f>INDEX(#REF!,MATCH(A71,#REF!,0),0)</f>
        <v>#REF!</v>
      </c>
      <c r="M71" s="12">
        <f t="shared" si="54"/>
        <v>1.25</v>
      </c>
      <c r="N71" s="13" t="e">
        <f>ROUND(L71*M71,2)</f>
        <v>#REF!</v>
      </c>
      <c r="O71" s="13" t="e">
        <f>ROUND(K71*N71,2)</f>
        <v>#REF!</v>
      </c>
      <c r="Q71" s="143" t="e">
        <f>INDEX(#REF!,MATCH(A71,#REF!,0),0)</f>
        <v>#REF!</v>
      </c>
      <c r="R71" s="12">
        <f t="shared" si="57"/>
        <v>1.2757000000000001</v>
      </c>
      <c r="S71" s="13" t="e">
        <f>ROUND(Q71*R71,2)</f>
        <v>#REF!</v>
      </c>
      <c r="T71" s="13" t="e">
        <f>ROUND(K71*S71,2)</f>
        <v>#REF!</v>
      </c>
    </row>
    <row r="72" spans="1:20" ht="38.25" customHeight="1">
      <c r="A72" s="63" t="str">
        <f t="shared" ref="A72:A73" si="98">B72&amp;C72</f>
        <v>CDHU25.02.042</v>
      </c>
      <c r="B72" s="17" t="s">
        <v>29</v>
      </c>
      <c r="C72" s="341" t="s">
        <v>45</v>
      </c>
      <c r="D72" s="11">
        <f t="shared" si="59"/>
        <v>3</v>
      </c>
      <c r="E72" s="353" t="s">
        <v>22</v>
      </c>
      <c r="F72" s="353">
        <v>25</v>
      </c>
      <c r="G72" s="353"/>
      <c r="H72" s="353"/>
      <c r="I72" s="145" t="e">
        <f>INDEX(#REF!,MATCH(A72,#REF!,0),0)</f>
        <v>#REF!</v>
      </c>
      <c r="J72" s="144" t="e">
        <f>INDEX(#REF!,MATCH(A72,#REF!,0),0)</f>
        <v>#REF!</v>
      </c>
      <c r="K72" s="142" t="e">
        <f>#REF!</f>
        <v>#REF!</v>
      </c>
      <c r="L72" s="143" t="e">
        <f>INDEX(#REF!,MATCH(A72,#REF!,0),0)</f>
        <v>#REF!</v>
      </c>
      <c r="M72" s="12">
        <f t="shared" si="54"/>
        <v>1.25</v>
      </c>
      <c r="N72" s="13" t="e">
        <f t="shared" ref="N72:N73" si="99">ROUND(L72*M72,2)</f>
        <v>#REF!</v>
      </c>
      <c r="O72" s="13" t="e">
        <f t="shared" ref="O72:O73" si="100">ROUND(K72*N72,2)</f>
        <v>#REF!</v>
      </c>
      <c r="Q72" s="143" t="e">
        <f>INDEX(#REF!,MATCH(A72,#REF!,0),0)</f>
        <v>#REF!</v>
      </c>
      <c r="R72" s="12">
        <f t="shared" si="57"/>
        <v>1.2757000000000001</v>
      </c>
      <c r="S72" s="13" t="e">
        <f t="shared" ref="S72:S73" si="101">ROUND(Q72*R72,2)</f>
        <v>#REF!</v>
      </c>
      <c r="T72" s="13" t="e">
        <f t="shared" ref="T72:T73" si="102">ROUND(K72*S72,2)</f>
        <v>#REF!</v>
      </c>
    </row>
    <row r="73" spans="1:20" ht="38.25" customHeight="1">
      <c r="A73" s="63" t="str">
        <f t="shared" si="98"/>
        <v>SIURB EDIF7002012</v>
      </c>
      <c r="B73" s="17" t="s">
        <v>24</v>
      </c>
      <c r="C73" s="341">
        <v>7002012</v>
      </c>
      <c r="D73" s="11">
        <f t="shared" si="59"/>
        <v>3</v>
      </c>
      <c r="E73" s="353" t="s">
        <v>22</v>
      </c>
      <c r="F73" s="353">
        <v>26</v>
      </c>
      <c r="G73" s="353"/>
      <c r="H73" s="353"/>
      <c r="I73" s="145" t="e">
        <f>INDEX(#REF!,MATCH(A73,#REF!,0),0)</f>
        <v>#REF!</v>
      </c>
      <c r="J73" s="144" t="e">
        <f>INDEX(#REF!,MATCH(A73,#REF!,0),0)</f>
        <v>#REF!</v>
      </c>
      <c r="K73" s="142" t="e">
        <f>#REF!</f>
        <v>#REF!</v>
      </c>
      <c r="L73" s="143" t="e">
        <f>INDEX(#REF!,MATCH(A73,#REF!,0),0)</f>
        <v>#REF!</v>
      </c>
      <c r="M73" s="12">
        <f t="shared" si="54"/>
        <v>1.25</v>
      </c>
      <c r="N73" s="13" t="e">
        <f t="shared" si="99"/>
        <v>#REF!</v>
      </c>
      <c r="O73" s="13" t="e">
        <f t="shared" si="100"/>
        <v>#REF!</v>
      </c>
      <c r="Q73" s="143" t="e">
        <f>INDEX(#REF!,MATCH(A73,#REF!,0),0)</f>
        <v>#REF!</v>
      </c>
      <c r="R73" s="12">
        <f t="shared" si="57"/>
        <v>1.2757000000000001</v>
      </c>
      <c r="S73" s="13" t="e">
        <f t="shared" si="101"/>
        <v>#REF!</v>
      </c>
      <c r="T73" s="13" t="e">
        <f t="shared" si="102"/>
        <v>#REF!</v>
      </c>
    </row>
    <row r="74" spans="1:20" ht="32.25" customHeight="1">
      <c r="A74" s="63" t="str">
        <f>B74&amp;C74</f>
        <v>SIURB EDIF8080050</v>
      </c>
      <c r="B74" s="17" t="s">
        <v>24</v>
      </c>
      <c r="C74" s="341">
        <v>8080050</v>
      </c>
      <c r="D74" s="11">
        <f>D73</f>
        <v>3</v>
      </c>
      <c r="E74" s="353" t="s">
        <v>22</v>
      </c>
      <c r="F74" s="353">
        <v>27</v>
      </c>
      <c r="G74" s="353"/>
      <c r="H74" s="353"/>
      <c r="I74" s="145" t="s">
        <v>46</v>
      </c>
      <c r="J74" s="144" t="e">
        <f>INDEX(#REF!,MATCH(A74,#REF!,0),0)</f>
        <v>#REF!</v>
      </c>
      <c r="K74" s="142" t="e">
        <f>#REF!</f>
        <v>#REF!</v>
      </c>
      <c r="L74" s="143" t="e">
        <f>INDEX(#REF!,MATCH(A74,#REF!,0),0)</f>
        <v>#REF!</v>
      </c>
      <c r="M74" s="12">
        <f t="shared" ref="M74:M81" si="103">1+$O$11</f>
        <v>1.25</v>
      </c>
      <c r="N74" s="13" t="e">
        <f>ROUND(L74*M74,2)</f>
        <v>#REF!</v>
      </c>
      <c r="O74" s="13" t="e">
        <f>ROUND(K74*N74,2)</f>
        <v>#REF!</v>
      </c>
      <c r="Q74" s="143" t="e">
        <f>INDEX(#REF!,MATCH(A74,#REF!,0),0)</f>
        <v>#REF!</v>
      </c>
      <c r="R74" s="12">
        <f t="shared" ref="R74:R81" si="104">1+$T$11</f>
        <v>1.2757000000000001</v>
      </c>
      <c r="S74" s="13" t="e">
        <f>ROUND(Q74*R74,2)</f>
        <v>#REF!</v>
      </c>
      <c r="T74" s="13" t="e">
        <f>ROUND(K74*S74,2)</f>
        <v>#REF!</v>
      </c>
    </row>
    <row r="75" spans="1:20" ht="20.25" customHeight="1">
      <c r="C75" s="341"/>
      <c r="D75" s="436" t="s">
        <v>35</v>
      </c>
      <c r="E75" s="437"/>
      <c r="F75" s="437"/>
      <c r="G75" s="437"/>
      <c r="H75" s="437"/>
      <c r="I75" s="437"/>
      <c r="J75" s="437"/>
      <c r="K75" s="437"/>
      <c r="L75" s="437"/>
      <c r="M75" s="437"/>
      <c r="N75" s="437"/>
      <c r="O75" s="438"/>
      <c r="Q75" s="143"/>
      <c r="R75" s="12"/>
      <c r="S75" s="13"/>
      <c r="T75" s="13"/>
    </row>
    <row r="76" spans="1:20" ht="38.25" customHeight="1">
      <c r="A76" s="63" t="str">
        <f t="shared" ref="A76:A110" si="105">B76&amp;C76</f>
        <v>SIURB EDIF17001028</v>
      </c>
      <c r="B76" s="17" t="s">
        <v>24</v>
      </c>
      <c r="C76" s="341">
        <v>17001028</v>
      </c>
      <c r="D76" s="11">
        <f t="shared" si="59"/>
        <v>3</v>
      </c>
      <c r="E76" s="353" t="s">
        <v>22</v>
      </c>
      <c r="F76" s="353">
        <v>28</v>
      </c>
      <c r="G76" s="353"/>
      <c r="H76" s="353"/>
      <c r="I76" s="145" t="e">
        <f>INDEX(#REF!,MATCH(A76,#REF!,0),0)</f>
        <v>#REF!</v>
      </c>
      <c r="J76" s="144" t="e">
        <f>INDEX(#REF!,MATCH(A76,#REF!,0),0)</f>
        <v>#REF!</v>
      </c>
      <c r="K76" s="142" t="e">
        <f>#REF!</f>
        <v>#REF!</v>
      </c>
      <c r="L76" s="143" t="e">
        <f>INDEX(#REF!,MATCH(A76,#REF!,0),0)</f>
        <v>#REF!</v>
      </c>
      <c r="M76" s="12">
        <f t="shared" si="54"/>
        <v>1.25</v>
      </c>
      <c r="N76" s="13" t="e">
        <f t="shared" ref="N76:N79" si="106">ROUND(L76*M76,2)</f>
        <v>#REF!</v>
      </c>
      <c r="O76" s="13" t="e">
        <f t="shared" ref="O76:O79" si="107">ROUND(K76*N76,2)</f>
        <v>#REF!</v>
      </c>
      <c r="Q76" s="143" t="e">
        <f>INDEX(#REF!,MATCH(A76,#REF!,0),0)</f>
        <v>#REF!</v>
      </c>
      <c r="R76" s="12">
        <f t="shared" si="57"/>
        <v>1.2757000000000001</v>
      </c>
      <c r="S76" s="13" t="e">
        <f t="shared" ref="S76:S79" si="108">ROUND(Q76*R76,2)</f>
        <v>#REF!</v>
      </c>
      <c r="T76" s="13" t="e">
        <f t="shared" ref="T76:T79" si="109">ROUND(K76*S76,2)</f>
        <v>#REF!</v>
      </c>
    </row>
    <row r="77" spans="1:20" ht="20.25" customHeight="1">
      <c r="C77" s="341"/>
      <c r="D77" s="436" t="s">
        <v>36</v>
      </c>
      <c r="E77" s="437"/>
      <c r="F77" s="437"/>
      <c r="G77" s="437"/>
      <c r="H77" s="437"/>
      <c r="I77" s="437"/>
      <c r="J77" s="437"/>
      <c r="K77" s="437"/>
      <c r="L77" s="437"/>
      <c r="M77" s="437"/>
      <c r="N77" s="437"/>
      <c r="O77" s="438"/>
      <c r="Q77" s="143"/>
      <c r="R77" s="12"/>
      <c r="S77" s="13"/>
      <c r="T77" s="13"/>
    </row>
    <row r="78" spans="1:20" ht="45.75" customHeight="1">
      <c r="A78" s="63" t="str">
        <f t="shared" ref="A78" si="110">B78&amp;C78</f>
        <v>SIURB EDIF17002046</v>
      </c>
      <c r="B78" s="17" t="s">
        <v>24</v>
      </c>
      <c r="C78" s="341">
        <v>17002046</v>
      </c>
      <c r="D78" s="11">
        <f t="shared" si="59"/>
        <v>3</v>
      </c>
      <c r="E78" s="353" t="s">
        <v>22</v>
      </c>
      <c r="F78" s="353">
        <v>29</v>
      </c>
      <c r="G78" s="353"/>
      <c r="H78" s="353"/>
      <c r="I78" s="145" t="e">
        <f>INDEX(#REF!,MATCH(A78,#REF!,0),0)</f>
        <v>#REF!</v>
      </c>
      <c r="J78" s="144" t="e">
        <f>INDEX(#REF!,MATCH(A78,#REF!,0),0)</f>
        <v>#REF!</v>
      </c>
      <c r="K78" s="142" t="e">
        <f>#REF!</f>
        <v>#REF!</v>
      </c>
      <c r="L78" s="143" t="e">
        <f>INDEX(#REF!,MATCH(A78,#REF!,0),0)</f>
        <v>#REF!</v>
      </c>
      <c r="M78" s="12">
        <f t="shared" si="54"/>
        <v>1.25</v>
      </c>
      <c r="N78" s="13" t="e">
        <f t="shared" ref="N78" si="111">ROUND(L78*M78,2)</f>
        <v>#REF!</v>
      </c>
      <c r="O78" s="13" t="e">
        <f t="shared" ref="O78" si="112">ROUND(K78*N78,2)</f>
        <v>#REF!</v>
      </c>
      <c r="Q78" s="143" t="e">
        <f>INDEX(#REF!,MATCH(A78,#REF!,0),0)</f>
        <v>#REF!</v>
      </c>
      <c r="R78" s="12">
        <f t="shared" si="57"/>
        <v>1.2757000000000001</v>
      </c>
      <c r="S78" s="13" t="e">
        <f t="shared" ref="S78" si="113">ROUND(Q78*R78,2)</f>
        <v>#REF!</v>
      </c>
      <c r="T78" s="13" t="e">
        <f t="shared" ref="T78" si="114">ROUND(K78*S78,2)</f>
        <v>#REF!</v>
      </c>
    </row>
    <row r="79" spans="1:20" ht="38.25" customHeight="1">
      <c r="A79" s="63" t="str">
        <f t="shared" si="105"/>
        <v>SIURB EDIF2005005</v>
      </c>
      <c r="B79" s="17" t="s">
        <v>24</v>
      </c>
      <c r="C79" s="341">
        <v>2005005</v>
      </c>
      <c r="D79" s="11">
        <f t="shared" si="59"/>
        <v>3</v>
      </c>
      <c r="E79" s="353" t="s">
        <v>22</v>
      </c>
      <c r="F79" s="353">
        <v>30</v>
      </c>
      <c r="G79" s="353"/>
      <c r="H79" s="353"/>
      <c r="I79" s="145" t="e">
        <f>INDEX(#REF!,MATCH(A79,#REF!,0),0)</f>
        <v>#REF!</v>
      </c>
      <c r="J79" s="144" t="e">
        <f>INDEX(#REF!,MATCH(A79,#REF!,0),0)</f>
        <v>#REF!</v>
      </c>
      <c r="K79" s="142" t="e">
        <f>#REF!</f>
        <v>#REF!</v>
      </c>
      <c r="L79" s="143" t="e">
        <f>INDEX(#REF!,MATCH(A79,#REF!,0),0)</f>
        <v>#REF!</v>
      </c>
      <c r="M79" s="12">
        <f t="shared" si="54"/>
        <v>1.25</v>
      </c>
      <c r="N79" s="13" t="e">
        <f t="shared" si="106"/>
        <v>#REF!</v>
      </c>
      <c r="O79" s="13" t="e">
        <f t="shared" si="107"/>
        <v>#REF!</v>
      </c>
      <c r="Q79" s="143" t="e">
        <f>INDEX(#REF!,MATCH(A79,#REF!,0),0)</f>
        <v>#REF!</v>
      </c>
      <c r="R79" s="12">
        <f t="shared" si="57"/>
        <v>1.2757000000000001</v>
      </c>
      <c r="S79" s="13" t="e">
        <f t="shared" si="108"/>
        <v>#REF!</v>
      </c>
      <c r="T79" s="13" t="e">
        <f t="shared" si="109"/>
        <v>#REF!</v>
      </c>
    </row>
    <row r="80" spans="1:20" ht="38.25" customHeight="1">
      <c r="A80" s="63" t="str">
        <f t="shared" ref="A80" si="115">B80&amp;C80</f>
        <v>SIURB EDIF3002009</v>
      </c>
      <c r="B80" s="17" t="s">
        <v>24</v>
      </c>
      <c r="C80" s="341">
        <v>3002009</v>
      </c>
      <c r="D80" s="11">
        <f t="shared" si="59"/>
        <v>3</v>
      </c>
      <c r="E80" s="353" t="s">
        <v>22</v>
      </c>
      <c r="F80" s="353">
        <v>31</v>
      </c>
      <c r="G80" s="353"/>
      <c r="H80" s="353"/>
      <c r="I80" s="145" t="e">
        <f>INDEX(#REF!,MATCH(A80,#REF!,0),0)</f>
        <v>#REF!</v>
      </c>
      <c r="J80" s="144" t="e">
        <f>INDEX(#REF!,MATCH(A80,#REF!,0),0)</f>
        <v>#REF!</v>
      </c>
      <c r="K80" s="142" t="e">
        <f>#REF!</f>
        <v>#REF!</v>
      </c>
      <c r="L80" s="143" t="e">
        <f>INDEX(#REF!,MATCH(A80,#REF!,0),0)</f>
        <v>#REF!</v>
      </c>
      <c r="M80" s="12">
        <f t="shared" si="54"/>
        <v>1.25</v>
      </c>
      <c r="N80" s="13" t="e">
        <f t="shared" ref="N80" si="116">ROUND(L80*M80,2)</f>
        <v>#REF!</v>
      </c>
      <c r="O80" s="13" t="e">
        <f t="shared" ref="O80" si="117">ROUND(K80*N80,2)</f>
        <v>#REF!</v>
      </c>
      <c r="Q80" s="143" t="e">
        <f>INDEX(#REF!,MATCH(A80,#REF!,0),0)</f>
        <v>#REF!</v>
      </c>
      <c r="R80" s="12">
        <f t="shared" si="57"/>
        <v>1.2757000000000001</v>
      </c>
      <c r="S80" s="13" t="e">
        <f t="shared" ref="S80" si="118">ROUND(Q80*R80,2)</f>
        <v>#REF!</v>
      </c>
      <c r="T80" s="13" t="e">
        <f t="shared" ref="T80" si="119">ROUND(K80*S80,2)</f>
        <v>#REF!</v>
      </c>
    </row>
    <row r="81" spans="1:20" ht="30" customHeight="1">
      <c r="A81" s="63" t="str">
        <f t="shared" ref="A81" si="120">B81&amp;C81</f>
        <v>SIURB EDIF8080050</v>
      </c>
      <c r="B81" s="17" t="s">
        <v>24</v>
      </c>
      <c r="C81" s="341">
        <v>8080050</v>
      </c>
      <c r="D81" s="11">
        <f>D79</f>
        <v>3</v>
      </c>
      <c r="E81" s="353" t="s">
        <v>22</v>
      </c>
      <c r="F81" s="353">
        <v>32</v>
      </c>
      <c r="G81" s="353"/>
      <c r="H81" s="353"/>
      <c r="I81" s="145" t="s">
        <v>46</v>
      </c>
      <c r="J81" s="144" t="e">
        <f>INDEX(#REF!,MATCH(A81,#REF!,0),0)</f>
        <v>#REF!</v>
      </c>
      <c r="K81" s="142" t="e">
        <f>#REF!</f>
        <v>#REF!</v>
      </c>
      <c r="L81" s="143" t="e">
        <f>INDEX(#REF!,MATCH(A81,#REF!,0),0)</f>
        <v>#REF!</v>
      </c>
      <c r="M81" s="12">
        <f t="shared" si="103"/>
        <v>1.25</v>
      </c>
      <c r="N81" s="13" t="e">
        <f>ROUND(L81*M81,2)</f>
        <v>#REF!</v>
      </c>
      <c r="O81" s="13" t="e">
        <f>ROUND(K81*N81,2)</f>
        <v>#REF!</v>
      </c>
      <c r="Q81" s="143" t="e">
        <f>INDEX(#REF!,MATCH(A81,#REF!,0),0)</f>
        <v>#REF!</v>
      </c>
      <c r="R81" s="12">
        <f t="shared" si="104"/>
        <v>1.2757000000000001</v>
      </c>
      <c r="S81" s="13" t="e">
        <f>ROUND(Q81*R81,2)</f>
        <v>#REF!</v>
      </c>
      <c r="T81" s="13" t="e">
        <f>ROUND(K81*S81,2)</f>
        <v>#REF!</v>
      </c>
    </row>
    <row r="82" spans="1:20" ht="20.25" customHeight="1">
      <c r="C82" s="341"/>
      <c r="D82" s="436" t="s">
        <v>37</v>
      </c>
      <c r="E82" s="437"/>
      <c r="F82" s="437"/>
      <c r="G82" s="437"/>
      <c r="H82" s="437"/>
      <c r="I82" s="437"/>
      <c r="J82" s="437"/>
      <c r="K82" s="437"/>
      <c r="L82" s="437"/>
      <c r="M82" s="437"/>
      <c r="N82" s="437"/>
      <c r="O82" s="438"/>
      <c r="Q82" s="143"/>
      <c r="R82" s="12"/>
      <c r="S82" s="13"/>
      <c r="T82" s="13"/>
    </row>
    <row r="83" spans="1:20" ht="38.25" customHeight="1">
      <c r="A83" s="63" t="str">
        <f t="shared" ref="A83" si="121">B83&amp;C83</f>
        <v>COMP SINAPI102624</v>
      </c>
      <c r="B83" s="17" t="s">
        <v>47</v>
      </c>
      <c r="C83" s="341">
        <v>102624</v>
      </c>
      <c r="D83" s="11">
        <f t="shared" si="59"/>
        <v>3</v>
      </c>
      <c r="E83" s="353" t="s">
        <v>22</v>
      </c>
      <c r="F83" s="353">
        <v>33</v>
      </c>
      <c r="G83" s="353"/>
      <c r="H83" s="353"/>
      <c r="I83" s="145" t="s">
        <v>48</v>
      </c>
      <c r="J83" s="144" t="e">
        <f>INDEX(#REF!,MATCH(A83,#REF!,0),0)</f>
        <v>#REF!</v>
      </c>
      <c r="K83" s="142" t="e">
        <f>#REF!</f>
        <v>#REF!</v>
      </c>
      <c r="L83" s="143" t="e">
        <f>INDEX(#REF!,MATCH(A83,#REF!,0),0)</f>
        <v>#REF!</v>
      </c>
      <c r="M83" s="12">
        <f t="shared" si="54"/>
        <v>1.25</v>
      </c>
      <c r="N83" s="13" t="e">
        <f t="shared" ref="N83" si="122">ROUND(L83*M83,2)</f>
        <v>#REF!</v>
      </c>
      <c r="O83" s="13" t="e">
        <f t="shared" ref="O83" si="123">ROUND(K83*N83,2)</f>
        <v>#REF!</v>
      </c>
      <c r="Q83" s="143" t="e">
        <f>INDEX(#REF!,MATCH(A83,#REF!,0),0)</f>
        <v>#REF!</v>
      </c>
      <c r="R83" s="12">
        <f t="shared" si="57"/>
        <v>1.2757000000000001</v>
      </c>
      <c r="S83" s="13" t="e">
        <f t="shared" ref="S83" si="124">ROUND(Q83*R83,2)</f>
        <v>#REF!</v>
      </c>
      <c r="T83" s="13" t="e">
        <f t="shared" ref="T83" si="125">ROUND(K83*S83,2)</f>
        <v>#REF!</v>
      </c>
    </row>
    <row r="84" spans="1:20" ht="38.25" customHeight="1">
      <c r="A84" s="63" t="str">
        <f t="shared" ref="A84" si="126">B84&amp;C84</f>
        <v>SINAPI102623</v>
      </c>
      <c r="B84" s="17" t="s">
        <v>49</v>
      </c>
      <c r="C84" s="341" t="s">
        <v>50</v>
      </c>
      <c r="D84" s="11">
        <f t="shared" si="59"/>
        <v>3</v>
      </c>
      <c r="E84" s="353" t="s">
        <v>22</v>
      </c>
      <c r="F84" s="353">
        <v>34</v>
      </c>
      <c r="G84" s="353"/>
      <c r="H84" s="353"/>
      <c r="I84" s="145" t="s">
        <v>51</v>
      </c>
      <c r="J84" s="144" t="e">
        <f>INDEX(#REF!,MATCH(A84,#REF!,0),0)</f>
        <v>#REF!</v>
      </c>
      <c r="K84" s="142" t="e">
        <f>#REF!</f>
        <v>#REF!</v>
      </c>
      <c r="L84" s="143" t="e">
        <f>INDEX(#REF!,MATCH(A84,#REF!,0),0)</f>
        <v>#REF!</v>
      </c>
      <c r="M84" s="12">
        <f t="shared" si="54"/>
        <v>1.25</v>
      </c>
      <c r="N84" s="13" t="e">
        <f t="shared" ref="N84" si="127">ROUND(L84*M84,2)</f>
        <v>#REF!</v>
      </c>
      <c r="O84" s="13" t="e">
        <f t="shared" ref="O84" si="128">ROUND(K84*N84,2)</f>
        <v>#REF!</v>
      </c>
      <c r="Q84" s="143" t="e">
        <f>INDEX(#REF!,MATCH(A84,#REF!,0),0)</f>
        <v>#REF!</v>
      </c>
      <c r="R84" s="12">
        <f t="shared" si="57"/>
        <v>1.2757000000000001</v>
      </c>
      <c r="S84" s="13" t="e">
        <f t="shared" ref="S84" si="129">ROUND(Q84*R84,2)</f>
        <v>#REF!</v>
      </c>
      <c r="T84" s="13" t="e">
        <f t="shared" ref="T84" si="130">ROUND(K84*S84,2)</f>
        <v>#REF!</v>
      </c>
    </row>
    <row r="85" spans="1:20" s="170" customFormat="1" ht="12.75">
      <c r="A85" s="63" t="str">
        <f t="shared" si="105"/>
        <v/>
      </c>
      <c r="B85" s="17"/>
      <c r="C85" s="341"/>
      <c r="D85" s="10"/>
      <c r="E85" s="347"/>
      <c r="F85" s="347"/>
      <c r="G85" s="347"/>
      <c r="H85" s="347"/>
      <c r="I85" s="434" t="s">
        <v>25</v>
      </c>
      <c r="J85" s="434"/>
      <c r="K85" s="434"/>
      <c r="L85" s="434"/>
      <c r="M85" s="434"/>
      <c r="N85" s="434"/>
      <c r="O85" s="352" t="e">
        <f>SUM(O44:O84)</f>
        <v>#REF!</v>
      </c>
      <c r="Q85" s="349"/>
      <c r="R85" s="350"/>
      <c r="S85" s="351"/>
      <c r="T85" s="352" t="e">
        <f>SUM(T44:T84)</f>
        <v>#REF!</v>
      </c>
    </row>
    <row r="86" spans="1:20" s="170" customFormat="1" ht="19.5" customHeight="1">
      <c r="A86" s="63" t="str">
        <f t="shared" si="105"/>
        <v/>
      </c>
      <c r="B86" s="17"/>
      <c r="C86" s="341"/>
      <c r="D86" s="10">
        <v>4</v>
      </c>
      <c r="E86" s="347" t="s">
        <v>22</v>
      </c>
      <c r="F86" s="347">
        <v>0</v>
      </c>
      <c r="G86" s="347"/>
      <c r="H86" s="347"/>
      <c r="I86" s="348" t="s">
        <v>52</v>
      </c>
      <c r="J86" s="347"/>
      <c r="K86" s="349"/>
      <c r="L86" s="349"/>
      <c r="M86" s="350"/>
      <c r="N86" s="351"/>
      <c r="O86" s="352"/>
      <c r="Q86" s="349"/>
      <c r="R86" s="350"/>
      <c r="S86" s="351"/>
      <c r="T86" s="352"/>
    </row>
    <row r="87" spans="1:20" ht="38.25" customHeight="1">
      <c r="A87" s="63" t="str">
        <f t="shared" si="105"/>
        <v>CDHU33.02.080</v>
      </c>
      <c r="B87" s="17" t="s">
        <v>29</v>
      </c>
      <c r="C87" s="341" t="s">
        <v>53</v>
      </c>
      <c r="D87" s="11">
        <f>D86</f>
        <v>4</v>
      </c>
      <c r="E87" s="353" t="s">
        <v>22</v>
      </c>
      <c r="F87" s="353">
        <v>1</v>
      </c>
      <c r="G87" s="353"/>
      <c r="H87" s="353"/>
      <c r="I87" s="145" t="e">
        <f>INDEX(#REF!,MATCH(A87,#REF!,0),0)</f>
        <v>#REF!</v>
      </c>
      <c r="J87" s="144" t="e">
        <f>INDEX(#REF!,MATCH(A87,#REF!,0),0)</f>
        <v>#REF!</v>
      </c>
      <c r="K87" s="142" t="e">
        <f>#REF!</f>
        <v>#REF!</v>
      </c>
      <c r="L87" s="143" t="e">
        <f>INDEX(#REF!,MATCH(A87,#REF!,0),0)</f>
        <v>#REF!</v>
      </c>
      <c r="M87" s="12">
        <f t="shared" ref="M87:M96" si="131">1+$O$11</f>
        <v>1.25</v>
      </c>
      <c r="N87" s="13" t="e">
        <f t="shared" ref="N87" si="132">ROUND(L87*M87,2)</f>
        <v>#REF!</v>
      </c>
      <c r="O87" s="13" t="e">
        <f t="shared" ref="O87" si="133">ROUND(K87*N87,2)</f>
        <v>#REF!</v>
      </c>
      <c r="Q87" s="357"/>
      <c r="R87" s="358"/>
      <c r="S87" s="359"/>
      <c r="T87" s="360"/>
    </row>
    <row r="88" spans="1:20" s="209" customFormat="1" ht="38.25" customHeight="1">
      <c r="A88" s="205" t="str">
        <f t="shared" si="105"/>
        <v>SIURB EDIF15001010</v>
      </c>
      <c r="B88" s="17" t="s">
        <v>24</v>
      </c>
      <c r="C88" s="355">
        <v>15001010</v>
      </c>
      <c r="D88" s="206">
        <f>$D$86</f>
        <v>4</v>
      </c>
      <c r="E88" s="356" t="s">
        <v>22</v>
      </c>
      <c r="F88" s="356">
        <v>2</v>
      </c>
      <c r="G88" s="356"/>
      <c r="H88" s="356"/>
      <c r="I88" s="201" t="e">
        <f>INDEX(#REF!,MATCH(A88,#REF!,0),0)</f>
        <v>#REF!</v>
      </c>
      <c r="J88" s="202" t="e">
        <f>INDEX(#REF!,MATCH(A88,#REF!,0),0)</f>
        <v>#REF!</v>
      </c>
      <c r="K88" s="204" t="e">
        <f>#REF!</f>
        <v>#REF!</v>
      </c>
      <c r="L88" s="203" t="e">
        <f>INDEX(#REF!,MATCH(A88,#REF!,0),0)</f>
        <v>#REF!</v>
      </c>
      <c r="M88" s="207">
        <f t="shared" si="131"/>
        <v>1.25</v>
      </c>
      <c r="N88" s="208" t="e">
        <f t="shared" ref="N88:N96" si="134">ROUND(L88*M88,2)</f>
        <v>#REF!</v>
      </c>
      <c r="O88" s="208" t="e">
        <f t="shared" ref="O88:O96" si="135">ROUND(K88*N88,2)</f>
        <v>#REF!</v>
      </c>
      <c r="P88" s="209">
        <f>1079+44</f>
        <v>1123</v>
      </c>
      <c r="Q88" s="203" t="e">
        <f>INDEX(#REF!,MATCH(A88,#REF!,0),0)</f>
        <v>#REF!</v>
      </c>
      <c r="R88" s="207">
        <f t="shared" ref="R88:R96" si="136">1+$T$11</f>
        <v>1.2757000000000001</v>
      </c>
      <c r="S88" s="208" t="e">
        <f t="shared" ref="S88:S96" si="137">ROUND(Q88*R88,2)</f>
        <v>#REF!</v>
      </c>
      <c r="T88" s="208" t="e">
        <f t="shared" ref="T88:T96" si="138">ROUND(K88*S88,2)</f>
        <v>#REF!</v>
      </c>
    </row>
    <row r="89" spans="1:20" s="209" customFormat="1" ht="35.25" customHeight="1">
      <c r="A89" s="205" t="str">
        <f t="shared" ref="A89" si="139">B89&amp;C89</f>
        <v>SIURB EDIF15001015</v>
      </c>
      <c r="B89" s="17" t="s">
        <v>24</v>
      </c>
      <c r="C89" s="17">
        <v>15001015</v>
      </c>
      <c r="D89" s="206">
        <f t="shared" ref="D89:D96" si="140">$D$86</f>
        <v>4</v>
      </c>
      <c r="E89" s="356" t="s">
        <v>22</v>
      </c>
      <c r="F89" s="356">
        <v>3</v>
      </c>
      <c r="G89" s="356"/>
      <c r="H89" s="356"/>
      <c r="I89" s="201" t="e">
        <f>INDEX(#REF!,MATCH(A89,#REF!,0),0)</f>
        <v>#REF!</v>
      </c>
      <c r="J89" s="202" t="e">
        <f>INDEX(#REF!,MATCH(A89,#REF!,0),0)</f>
        <v>#REF!</v>
      </c>
      <c r="K89" s="204" t="e">
        <f>#REF!</f>
        <v>#REF!</v>
      </c>
      <c r="L89" s="203" t="e">
        <f>INDEX(#REF!,MATCH(A89,#REF!,0),0)</f>
        <v>#REF!</v>
      </c>
      <c r="M89" s="207">
        <f t="shared" si="131"/>
        <v>1.25</v>
      </c>
      <c r="N89" s="208" t="e">
        <f t="shared" ref="N89" si="141">ROUND(L89*M89,2)</f>
        <v>#REF!</v>
      </c>
      <c r="O89" s="208" t="e">
        <f t="shared" ref="O89" si="142">ROUND(K89*N89,2)</f>
        <v>#REF!</v>
      </c>
      <c r="P89" s="209">
        <f>314-358</f>
        <v>-44</v>
      </c>
      <c r="Q89" s="203" t="e">
        <f>INDEX(#REF!,MATCH(A89,#REF!,0),0)</f>
        <v>#REF!</v>
      </c>
      <c r="R89" s="207">
        <f t="shared" si="136"/>
        <v>1.2757000000000001</v>
      </c>
      <c r="S89" s="208" t="e">
        <f t="shared" ref="S89" si="143">ROUND(Q89*R89,2)</f>
        <v>#REF!</v>
      </c>
      <c r="T89" s="208" t="e">
        <f t="shared" ref="T89" si="144">ROUND(K89*S89,2)</f>
        <v>#REF!</v>
      </c>
    </row>
    <row r="90" spans="1:20" s="209" customFormat="1" ht="35.25" customHeight="1">
      <c r="A90" s="205" t="str">
        <f t="shared" si="105"/>
        <v>SIURB EDIF15001023</v>
      </c>
      <c r="B90" s="17" t="s">
        <v>24</v>
      </c>
      <c r="C90" s="17">
        <v>15001023</v>
      </c>
      <c r="D90" s="206">
        <f t="shared" si="140"/>
        <v>4</v>
      </c>
      <c r="E90" s="356" t="s">
        <v>22</v>
      </c>
      <c r="F90" s="356">
        <v>3</v>
      </c>
      <c r="G90" s="356"/>
      <c r="H90" s="356"/>
      <c r="I90" s="201" t="e">
        <f>INDEX(#REF!,MATCH(A90,#REF!,0),0)</f>
        <v>#REF!</v>
      </c>
      <c r="J90" s="202" t="e">
        <f>INDEX(#REF!,MATCH(A90,#REF!,0),0)</f>
        <v>#REF!</v>
      </c>
      <c r="K90" s="204" t="e">
        <f>#REF!</f>
        <v>#REF!</v>
      </c>
      <c r="L90" s="203" t="e">
        <f>INDEX(#REF!,MATCH(A90,#REF!,0),0)</f>
        <v>#REF!</v>
      </c>
      <c r="M90" s="207">
        <f t="shared" si="131"/>
        <v>1.25</v>
      </c>
      <c r="N90" s="208" t="e">
        <f t="shared" si="134"/>
        <v>#REF!</v>
      </c>
      <c r="O90" s="208" t="e">
        <f t="shared" si="135"/>
        <v>#REF!</v>
      </c>
      <c r="P90" s="209">
        <f>314-358</f>
        <v>-44</v>
      </c>
      <c r="Q90" s="203" t="e">
        <f>INDEX(#REF!,MATCH(A90,#REF!,0),0)</f>
        <v>#REF!</v>
      </c>
      <c r="R90" s="207">
        <f t="shared" si="136"/>
        <v>1.2757000000000001</v>
      </c>
      <c r="S90" s="208" t="e">
        <f t="shared" si="137"/>
        <v>#REF!</v>
      </c>
      <c r="T90" s="208" t="e">
        <f t="shared" si="138"/>
        <v>#REF!</v>
      </c>
    </row>
    <row r="91" spans="1:20" ht="38.25" customHeight="1">
      <c r="A91" s="63" t="str">
        <f t="shared" si="105"/>
        <v>SIURB EDIF15002010</v>
      </c>
      <c r="B91" s="17" t="s">
        <v>24</v>
      </c>
      <c r="C91" s="341">
        <v>15002010</v>
      </c>
      <c r="D91" s="11">
        <f t="shared" si="140"/>
        <v>4</v>
      </c>
      <c r="E91" s="353" t="s">
        <v>22</v>
      </c>
      <c r="F91" s="353">
        <v>4</v>
      </c>
      <c r="G91" s="353"/>
      <c r="H91" s="353"/>
      <c r="I91" s="145" t="e">
        <f>INDEX(#REF!,MATCH(A91,#REF!,0),0)</f>
        <v>#REF!</v>
      </c>
      <c r="J91" s="144" t="e">
        <f>INDEX(#REF!,MATCH(A91,#REF!,0),0)</f>
        <v>#REF!</v>
      </c>
      <c r="K91" s="142" t="e">
        <f>#REF!</f>
        <v>#REF!</v>
      </c>
      <c r="L91" s="143" t="e">
        <f>INDEX(#REF!,MATCH(A91,#REF!,0),0)</f>
        <v>#REF!</v>
      </c>
      <c r="M91" s="12">
        <f t="shared" si="131"/>
        <v>1.25</v>
      </c>
      <c r="N91" s="13" t="e">
        <f t="shared" si="134"/>
        <v>#REF!</v>
      </c>
      <c r="O91" s="13" t="e">
        <f t="shared" si="135"/>
        <v>#REF!</v>
      </c>
      <c r="Q91" s="143" t="e">
        <f>INDEX(#REF!,MATCH(A91,#REF!,0),0)</f>
        <v>#REF!</v>
      </c>
      <c r="R91" s="12">
        <f t="shared" si="136"/>
        <v>1.2757000000000001</v>
      </c>
      <c r="S91" s="13" t="e">
        <f t="shared" si="137"/>
        <v>#REF!</v>
      </c>
      <c r="T91" s="13" t="e">
        <f t="shared" si="138"/>
        <v>#REF!</v>
      </c>
    </row>
    <row r="92" spans="1:20" ht="38.25" customHeight="1">
      <c r="A92" s="63" t="str">
        <f t="shared" si="105"/>
        <v>SIURB EDIF15003010</v>
      </c>
      <c r="B92" s="17" t="s">
        <v>24</v>
      </c>
      <c r="C92" s="341">
        <v>15003010</v>
      </c>
      <c r="D92" s="11">
        <f t="shared" si="140"/>
        <v>4</v>
      </c>
      <c r="E92" s="353" t="s">
        <v>22</v>
      </c>
      <c r="F92" s="353">
        <v>5</v>
      </c>
      <c r="G92" s="353"/>
      <c r="H92" s="353"/>
      <c r="I92" s="145" t="e">
        <f>INDEX(#REF!,MATCH(A92,#REF!,0),0)</f>
        <v>#REF!</v>
      </c>
      <c r="J92" s="144" t="e">
        <f>INDEX(#REF!,MATCH(A92,#REF!,0),0)</f>
        <v>#REF!</v>
      </c>
      <c r="K92" s="142" t="e">
        <f>#REF!</f>
        <v>#REF!</v>
      </c>
      <c r="L92" s="143" t="e">
        <f>INDEX(#REF!,MATCH(A92,#REF!,0),0)</f>
        <v>#REF!</v>
      </c>
      <c r="M92" s="12">
        <f t="shared" si="131"/>
        <v>1.25</v>
      </c>
      <c r="N92" s="13" t="e">
        <f t="shared" si="134"/>
        <v>#REF!</v>
      </c>
      <c r="O92" s="13" t="e">
        <f t="shared" si="135"/>
        <v>#REF!</v>
      </c>
      <c r="Q92" s="143" t="e">
        <f>INDEX(#REF!,MATCH(A92,#REF!,0),0)</f>
        <v>#REF!</v>
      </c>
      <c r="R92" s="12">
        <f t="shared" si="136"/>
        <v>1.2757000000000001</v>
      </c>
      <c r="S92" s="13" t="e">
        <f t="shared" si="137"/>
        <v>#REF!</v>
      </c>
      <c r="T92" s="13" t="e">
        <f t="shared" si="138"/>
        <v>#REF!</v>
      </c>
    </row>
    <row r="93" spans="1:20" s="209" customFormat="1" ht="38.25" customHeight="1">
      <c r="A93" s="205" t="str">
        <f t="shared" si="105"/>
        <v>CDHU33.06.020</v>
      </c>
      <c r="B93" s="17" t="s">
        <v>29</v>
      </c>
      <c r="C93" s="355" t="s">
        <v>54</v>
      </c>
      <c r="D93" s="206">
        <f t="shared" si="140"/>
        <v>4</v>
      </c>
      <c r="E93" s="356" t="s">
        <v>22</v>
      </c>
      <c r="F93" s="356">
        <v>6</v>
      </c>
      <c r="G93" s="356"/>
      <c r="H93" s="356"/>
      <c r="I93" s="201" t="e">
        <f>INDEX(#REF!,MATCH(A93,#REF!,0),0)</f>
        <v>#REF!</v>
      </c>
      <c r="J93" s="202" t="e">
        <f>INDEX(#REF!,MATCH(A93,#REF!,0),0)</f>
        <v>#REF!</v>
      </c>
      <c r="K93" s="204" t="e">
        <f>#REF!</f>
        <v>#REF!</v>
      </c>
      <c r="L93" s="203" t="e">
        <f>INDEX(#REF!,MATCH(A93,#REF!,0),0)</f>
        <v>#REF!</v>
      </c>
      <c r="M93" s="207">
        <f t="shared" si="131"/>
        <v>1.25</v>
      </c>
      <c r="N93" s="208" t="e">
        <f t="shared" si="134"/>
        <v>#REF!</v>
      </c>
      <c r="O93" s="208" t="e">
        <f t="shared" si="135"/>
        <v>#REF!</v>
      </c>
      <c r="Q93" s="203" t="e">
        <f>INDEX(#REF!,MATCH(A93,#REF!,0),0)</f>
        <v>#REF!</v>
      </c>
      <c r="R93" s="207">
        <f t="shared" si="136"/>
        <v>1.2757000000000001</v>
      </c>
      <c r="S93" s="208" t="e">
        <f t="shared" si="137"/>
        <v>#REF!</v>
      </c>
      <c r="T93" s="208" t="e">
        <f t="shared" si="138"/>
        <v>#REF!</v>
      </c>
    </row>
    <row r="94" spans="1:20" ht="38.25" customHeight="1">
      <c r="A94" s="63" t="str">
        <f t="shared" ref="A94" si="145">B94&amp;C94</f>
        <v>CDHU30.06.100</v>
      </c>
      <c r="B94" s="17" t="s">
        <v>29</v>
      </c>
      <c r="C94" s="341" t="s">
        <v>55</v>
      </c>
      <c r="D94" s="11">
        <f t="shared" si="140"/>
        <v>4</v>
      </c>
      <c r="E94" s="353" t="s">
        <v>22</v>
      </c>
      <c r="F94" s="353">
        <v>6</v>
      </c>
      <c r="G94" s="353"/>
      <c r="H94" s="353"/>
      <c r="I94" s="145" t="e">
        <f>INDEX(#REF!,MATCH(A94,#REF!,0),0)</f>
        <v>#REF!</v>
      </c>
      <c r="J94" s="144" t="e">
        <f>INDEX(#REF!,MATCH(A94,#REF!,0),0)</f>
        <v>#REF!</v>
      </c>
      <c r="K94" s="142" t="e">
        <f>#REF!</f>
        <v>#REF!</v>
      </c>
      <c r="L94" s="143" t="e">
        <f>INDEX(#REF!,MATCH(A94,#REF!,0),0)</f>
        <v>#REF!</v>
      </c>
      <c r="M94" s="12">
        <f t="shared" si="131"/>
        <v>1.25</v>
      </c>
      <c r="N94" s="13" t="e">
        <f t="shared" ref="N94" si="146">ROUND(L94*M94,2)</f>
        <v>#REF!</v>
      </c>
      <c r="O94" s="13" t="e">
        <f t="shared" ref="O94" si="147">ROUND(K94*N94,2)</f>
        <v>#REF!</v>
      </c>
      <c r="Q94" s="143" t="e">
        <f>INDEX(#REF!,MATCH(A94,#REF!,0),0)</f>
        <v>#REF!</v>
      </c>
      <c r="R94" s="12">
        <f t="shared" si="136"/>
        <v>1.2757000000000001</v>
      </c>
      <c r="S94" s="13" t="e">
        <f t="shared" ref="S94" si="148">ROUND(Q94*R94,2)</f>
        <v>#REF!</v>
      </c>
      <c r="T94" s="13" t="e">
        <f t="shared" ref="T94" si="149">ROUND(K94*S94,2)</f>
        <v>#REF!</v>
      </c>
    </row>
    <row r="95" spans="1:20" ht="38.25" customHeight="1">
      <c r="A95" s="63" t="str">
        <f t="shared" si="105"/>
        <v>SIURB EDIF13080061</v>
      </c>
      <c r="B95" s="17" t="s">
        <v>24</v>
      </c>
      <c r="C95" s="341">
        <v>13080061</v>
      </c>
      <c r="D95" s="11">
        <f t="shared" si="140"/>
        <v>4</v>
      </c>
      <c r="E95" s="353" t="s">
        <v>22</v>
      </c>
      <c r="F95" s="353">
        <v>7</v>
      </c>
      <c r="G95" s="353"/>
      <c r="H95" s="353"/>
      <c r="I95" s="145" t="e">
        <f>INDEX(#REF!,MATCH(A95,#REF!,0),0)</f>
        <v>#REF!</v>
      </c>
      <c r="J95" s="144" t="e">
        <f>INDEX(#REF!,MATCH(A95,#REF!,0),0)</f>
        <v>#REF!</v>
      </c>
      <c r="K95" s="142" t="e">
        <f>#REF!</f>
        <v>#REF!</v>
      </c>
      <c r="L95" s="143" t="e">
        <f>INDEX(#REF!,MATCH(A95,#REF!,0),0)</f>
        <v>#REF!</v>
      </c>
      <c r="M95" s="12">
        <f t="shared" si="131"/>
        <v>1.25</v>
      </c>
      <c r="N95" s="13" t="e">
        <f t="shared" si="134"/>
        <v>#REF!</v>
      </c>
      <c r="O95" s="13" t="e">
        <f t="shared" si="135"/>
        <v>#REF!</v>
      </c>
      <c r="Q95" s="143" t="e">
        <f>INDEX(#REF!,MATCH(A95,#REF!,0),0)</f>
        <v>#REF!</v>
      </c>
      <c r="R95" s="12">
        <f t="shared" si="136"/>
        <v>1.2757000000000001</v>
      </c>
      <c r="S95" s="13" t="e">
        <f t="shared" si="137"/>
        <v>#REF!</v>
      </c>
      <c r="T95" s="13" t="e">
        <f t="shared" si="138"/>
        <v>#REF!</v>
      </c>
    </row>
    <row r="96" spans="1:20" ht="38.25" customHeight="1">
      <c r="A96" s="63" t="str">
        <f t="shared" si="105"/>
        <v>SIURB EDIF13080070</v>
      </c>
      <c r="B96" s="17" t="s">
        <v>24</v>
      </c>
      <c r="C96" s="341">
        <v>13080070</v>
      </c>
      <c r="D96" s="11">
        <f t="shared" si="140"/>
        <v>4</v>
      </c>
      <c r="E96" s="353" t="s">
        <v>22</v>
      </c>
      <c r="F96" s="353">
        <v>8</v>
      </c>
      <c r="G96" s="353"/>
      <c r="H96" s="353"/>
      <c r="I96" s="145" t="e">
        <f>INDEX(#REF!,MATCH(A96,#REF!,0),0)</f>
        <v>#REF!</v>
      </c>
      <c r="J96" s="144" t="e">
        <f>INDEX(#REF!,MATCH(A96,#REF!,0),0)</f>
        <v>#REF!</v>
      </c>
      <c r="K96" s="142" t="e">
        <f>#REF!</f>
        <v>#REF!</v>
      </c>
      <c r="L96" s="143" t="e">
        <f>INDEX(#REF!,MATCH(A96,#REF!,0),0)</f>
        <v>#REF!</v>
      </c>
      <c r="M96" s="12">
        <f t="shared" si="131"/>
        <v>1.25</v>
      </c>
      <c r="N96" s="13" t="e">
        <f t="shared" si="134"/>
        <v>#REF!</v>
      </c>
      <c r="O96" s="13" t="e">
        <f t="shared" si="135"/>
        <v>#REF!</v>
      </c>
      <c r="Q96" s="143" t="e">
        <f>INDEX(#REF!,MATCH(A96,#REF!,0),0)</f>
        <v>#REF!</v>
      </c>
      <c r="R96" s="12">
        <f t="shared" si="136"/>
        <v>1.2757000000000001</v>
      </c>
      <c r="S96" s="13" t="e">
        <f t="shared" si="137"/>
        <v>#REF!</v>
      </c>
      <c r="T96" s="13" t="e">
        <f t="shared" si="138"/>
        <v>#REF!</v>
      </c>
    </row>
    <row r="97" spans="1:20" s="170" customFormat="1" ht="12.75">
      <c r="A97" s="63" t="str">
        <f t="shared" si="105"/>
        <v/>
      </c>
      <c r="B97" s="17"/>
      <c r="C97" s="341"/>
      <c r="D97" s="10"/>
      <c r="E97" s="347"/>
      <c r="F97" s="347"/>
      <c r="G97" s="347"/>
      <c r="H97" s="347"/>
      <c r="I97" s="434" t="s">
        <v>25</v>
      </c>
      <c r="J97" s="434"/>
      <c r="K97" s="434"/>
      <c r="L97" s="434"/>
      <c r="M97" s="434"/>
      <c r="N97" s="434"/>
      <c r="O97" s="352" t="e">
        <f>SUM(O87:O96)</f>
        <v>#REF!</v>
      </c>
      <c r="Q97" s="349"/>
      <c r="R97" s="350"/>
      <c r="S97" s="351"/>
      <c r="T97" s="352" t="e">
        <f>SUM(T87:T96)</f>
        <v>#REF!</v>
      </c>
    </row>
    <row r="98" spans="1:20" s="170" customFormat="1" ht="19.5" customHeight="1">
      <c r="A98" s="63" t="str">
        <f t="shared" si="105"/>
        <v/>
      </c>
      <c r="B98" s="17"/>
      <c r="C98" s="341"/>
      <c r="D98" s="10">
        <v>5</v>
      </c>
      <c r="E98" s="347" t="s">
        <v>22</v>
      </c>
      <c r="F98" s="347">
        <v>0</v>
      </c>
      <c r="G98" s="347"/>
      <c r="H98" s="347"/>
      <c r="I98" s="348" t="s">
        <v>56</v>
      </c>
      <c r="J98" s="347"/>
      <c r="K98" s="349"/>
      <c r="L98" s="349"/>
      <c r="M98" s="350"/>
      <c r="N98" s="351"/>
      <c r="O98" s="352"/>
      <c r="Q98" s="349"/>
      <c r="R98" s="350"/>
      <c r="S98" s="351"/>
      <c r="T98" s="352"/>
    </row>
    <row r="99" spans="1:20" ht="38.25" customHeight="1">
      <c r="A99" s="63" t="str">
        <f t="shared" si="105"/>
        <v>SIURB EDIF17004001</v>
      </c>
      <c r="B99" s="17" t="s">
        <v>24</v>
      </c>
      <c r="C99" s="341">
        <v>17004001</v>
      </c>
      <c r="D99" s="11">
        <f>D98</f>
        <v>5</v>
      </c>
      <c r="E99" s="353" t="s">
        <v>22</v>
      </c>
      <c r="F99" s="353">
        <v>1</v>
      </c>
      <c r="G99" s="353"/>
      <c r="H99" s="353"/>
      <c r="I99" s="145" t="e">
        <f>INDEX(#REF!,MATCH(A99,#REF!,0),0)</f>
        <v>#REF!</v>
      </c>
      <c r="J99" s="144" t="e">
        <f>INDEX(#REF!,MATCH(A99,#REF!,0),0)</f>
        <v>#REF!</v>
      </c>
      <c r="K99" s="142" t="e">
        <f>#REF!</f>
        <v>#REF!</v>
      </c>
      <c r="L99" s="143" t="e">
        <f>INDEX(#REF!,MATCH(A99,#REF!,0),0)</f>
        <v>#REF!</v>
      </c>
      <c r="M99" s="12">
        <f t="shared" ref="M99" si="150">1+$O$11</f>
        <v>1.25</v>
      </c>
      <c r="N99" s="13" t="e">
        <f t="shared" ref="N99" si="151">ROUND(L99*M99,2)</f>
        <v>#REF!</v>
      </c>
      <c r="O99" s="13" t="e">
        <f t="shared" ref="O99" si="152">ROUND(K99*N99,2)</f>
        <v>#REF!</v>
      </c>
      <c r="Q99" s="143" t="e">
        <f>INDEX(#REF!,MATCH(A99,#REF!,0),0)</f>
        <v>#REF!</v>
      </c>
      <c r="R99" s="12">
        <f t="shared" ref="R99" si="153">1+$T$11</f>
        <v>1.2757000000000001</v>
      </c>
      <c r="S99" s="13" t="e">
        <f t="shared" ref="S99" si="154">ROUND(Q99*R99,2)</f>
        <v>#REF!</v>
      </c>
      <c r="T99" s="13" t="e">
        <f t="shared" ref="T99" si="155">ROUND(K99*S99,2)</f>
        <v>#REF!</v>
      </c>
    </row>
    <row r="100" spans="1:20" s="170" customFormat="1" ht="12.75">
      <c r="A100" s="63" t="str">
        <f t="shared" si="105"/>
        <v/>
      </c>
      <c r="B100" s="17"/>
      <c r="C100" s="341"/>
      <c r="D100" s="10"/>
      <c r="E100" s="347"/>
      <c r="F100" s="347"/>
      <c r="G100" s="347"/>
      <c r="H100" s="347"/>
      <c r="I100" s="434" t="s">
        <v>25</v>
      </c>
      <c r="J100" s="434"/>
      <c r="K100" s="434"/>
      <c r="L100" s="434"/>
      <c r="M100" s="434"/>
      <c r="N100" s="434"/>
      <c r="O100" s="352" t="e">
        <f>SUM(O99)</f>
        <v>#REF!</v>
      </c>
      <c r="Q100" s="349"/>
      <c r="R100" s="350"/>
      <c r="S100" s="351"/>
      <c r="T100" s="352" t="e">
        <f>SUM(T99)</f>
        <v>#REF!</v>
      </c>
    </row>
    <row r="101" spans="1:20" ht="11.25" customHeight="1">
      <c r="C101" s="341"/>
      <c r="D101" s="167"/>
      <c r="L101" s="168"/>
      <c r="M101" s="168"/>
      <c r="N101" s="168"/>
      <c r="O101" s="173"/>
      <c r="Q101" s="168"/>
      <c r="R101" s="168"/>
      <c r="S101" s="168"/>
      <c r="T101" s="173"/>
    </row>
    <row r="102" spans="1:20" s="170" customFormat="1" ht="12.75">
      <c r="A102" s="63"/>
      <c r="B102" s="17"/>
      <c r="C102" s="341"/>
      <c r="D102" s="10"/>
      <c r="E102" s="347"/>
      <c r="F102" s="347"/>
      <c r="G102" s="347"/>
      <c r="H102" s="347"/>
      <c r="I102" s="435" t="s">
        <v>57</v>
      </c>
      <c r="J102" s="435"/>
      <c r="K102" s="435"/>
      <c r="L102" s="435"/>
      <c r="M102" s="435"/>
      <c r="N102" s="354"/>
      <c r="O102" s="352" t="e">
        <f>SUM(O100,O97,O85,O41)</f>
        <v>#REF!</v>
      </c>
      <c r="Q102" s="349"/>
      <c r="R102" s="350"/>
      <c r="S102" s="354" t="s">
        <v>58</v>
      </c>
      <c r="T102" s="352" t="e">
        <f>SUM(T100,T97,T85,T41,T19)</f>
        <v>#REF!</v>
      </c>
    </row>
    <row r="103" spans="1:20" s="170" customFormat="1" ht="19.5" customHeight="1">
      <c r="A103" s="63" t="str">
        <f t="shared" ref="A103:A105" si="156">B103&amp;C103</f>
        <v/>
      </c>
      <c r="B103" s="17"/>
      <c r="C103" s="341"/>
      <c r="D103" s="10">
        <v>6</v>
      </c>
      <c r="E103" s="347" t="s">
        <v>22</v>
      </c>
      <c r="F103" s="347">
        <v>0</v>
      </c>
      <c r="G103" s="347"/>
      <c r="H103" s="347"/>
      <c r="I103" s="348" t="s">
        <v>59</v>
      </c>
      <c r="J103" s="347"/>
      <c r="K103" s="349"/>
      <c r="L103" s="349"/>
      <c r="M103" s="350"/>
      <c r="N103" s="351"/>
      <c r="O103" s="352"/>
      <c r="Q103" s="349"/>
      <c r="R103" s="350"/>
      <c r="S103" s="351"/>
      <c r="T103" s="352"/>
    </row>
    <row r="104" spans="1:20" ht="38.25" customHeight="1">
      <c r="C104" s="341"/>
      <c r="D104" s="11">
        <f>D103</f>
        <v>6</v>
      </c>
      <c r="E104" s="353" t="s">
        <v>22</v>
      </c>
      <c r="F104" s="353">
        <v>1</v>
      </c>
      <c r="G104" s="353"/>
      <c r="H104" s="353"/>
      <c r="I104" s="145" t="s">
        <v>60</v>
      </c>
      <c r="J104" s="144" t="s">
        <v>61</v>
      </c>
      <c r="K104" s="197">
        <v>0.02</v>
      </c>
      <c r="L104" s="195" t="e">
        <f>O102</f>
        <v>#REF!</v>
      </c>
      <c r="M104" s="12"/>
      <c r="N104" s="13" t="e">
        <f>L104*K104</f>
        <v>#REF!</v>
      </c>
      <c r="O104" s="13" t="e">
        <f>N104</f>
        <v>#REF!</v>
      </c>
      <c r="Q104" s="143">
        <v>2</v>
      </c>
      <c r="R104" s="12">
        <f t="shared" ref="R104" si="157">1+$T$11</f>
        <v>1.2757000000000001</v>
      </c>
      <c r="S104" s="13" t="e">
        <f>T102*P104</f>
        <v>#REF!</v>
      </c>
      <c r="T104" s="13" t="e">
        <f t="shared" ref="T104" si="158">ROUND(K104*S104,2)</f>
        <v>#REF!</v>
      </c>
    </row>
    <row r="105" spans="1:20" s="170" customFormat="1" ht="12.75">
      <c r="A105" s="63" t="str">
        <f t="shared" si="156"/>
        <v/>
      </c>
      <c r="B105" s="17"/>
      <c r="C105" s="341"/>
      <c r="D105" s="10"/>
      <c r="E105" s="347"/>
      <c r="F105" s="347"/>
      <c r="G105" s="347"/>
      <c r="H105" s="347"/>
      <c r="I105" s="434" t="s">
        <v>25</v>
      </c>
      <c r="J105" s="434"/>
      <c r="K105" s="434"/>
      <c r="L105" s="434"/>
      <c r="M105" s="434"/>
      <c r="N105" s="434"/>
      <c r="O105" s="352" t="e">
        <f>SUM(O104)</f>
        <v>#REF!</v>
      </c>
      <c r="Q105" s="349"/>
      <c r="R105" s="350"/>
      <c r="S105" s="351"/>
      <c r="T105" s="352" t="e">
        <f>SUM(T104)</f>
        <v>#REF!</v>
      </c>
    </row>
    <row r="106" spans="1:20" ht="9" customHeight="1">
      <c r="C106" s="361"/>
      <c r="D106" s="196"/>
      <c r="E106" s="362"/>
      <c r="F106" s="362"/>
      <c r="G106" s="362"/>
      <c r="H106" s="362"/>
      <c r="I106" s="363"/>
      <c r="J106" s="363"/>
      <c r="K106" s="363"/>
      <c r="L106" s="363"/>
      <c r="M106" s="363"/>
      <c r="N106" s="363"/>
      <c r="O106" s="364"/>
      <c r="Q106" s="365"/>
      <c r="R106" s="358"/>
      <c r="S106" s="359"/>
      <c r="T106" s="364"/>
    </row>
    <row r="107" spans="1:20" s="170" customFormat="1" ht="12.75">
      <c r="A107" s="63"/>
      <c r="B107" s="17"/>
      <c r="C107" s="341"/>
      <c r="D107" s="10"/>
      <c r="E107" s="347"/>
      <c r="F107" s="347"/>
      <c r="G107" s="347"/>
      <c r="H107" s="347"/>
      <c r="I107" s="435" t="s">
        <v>62</v>
      </c>
      <c r="J107" s="435"/>
      <c r="K107" s="435"/>
      <c r="L107" s="435"/>
      <c r="M107" s="435"/>
      <c r="N107" s="354"/>
      <c r="O107" s="352" t="e">
        <f>SUM(O105,O102)</f>
        <v>#REF!</v>
      </c>
      <c r="Q107" s="349"/>
      <c r="R107" s="350"/>
      <c r="S107" s="354" t="s">
        <v>58</v>
      </c>
      <c r="T107" s="352" t="e">
        <f>SUM(T105,T102)</f>
        <v>#REF!</v>
      </c>
    </row>
    <row r="108" spans="1:20" s="170" customFormat="1" ht="19.5" customHeight="1">
      <c r="A108" s="63" t="str">
        <f t="shared" si="105"/>
        <v/>
      </c>
      <c r="B108" s="17"/>
      <c r="C108" s="341"/>
      <c r="D108" s="10">
        <v>7</v>
      </c>
      <c r="E108" s="347" t="s">
        <v>22</v>
      </c>
      <c r="F108" s="347">
        <v>0</v>
      </c>
      <c r="G108" s="347"/>
      <c r="H108" s="347"/>
      <c r="I108" s="348" t="s">
        <v>63</v>
      </c>
      <c r="J108" s="347"/>
      <c r="K108" s="349"/>
      <c r="L108" s="349"/>
      <c r="M108" s="350"/>
      <c r="N108" s="351"/>
      <c r="O108" s="352"/>
      <c r="Q108" s="349"/>
      <c r="R108" s="350"/>
      <c r="S108" s="351"/>
      <c r="T108" s="352"/>
    </row>
    <row r="109" spans="1:20" ht="38.25" customHeight="1">
      <c r="A109" s="63" t="str">
        <f t="shared" si="105"/>
        <v/>
      </c>
      <c r="C109" s="341"/>
      <c r="D109" s="11">
        <f>D108</f>
        <v>7</v>
      </c>
      <c r="E109" s="353" t="s">
        <v>22</v>
      </c>
      <c r="F109" s="353">
        <v>1</v>
      </c>
      <c r="G109" s="353"/>
      <c r="H109" s="353"/>
      <c r="I109" s="145" t="s">
        <v>63</v>
      </c>
      <c r="J109" s="144" t="s">
        <v>61</v>
      </c>
      <c r="K109" s="197">
        <v>0.05</v>
      </c>
      <c r="L109" s="195" t="e">
        <f>O107</f>
        <v>#REF!</v>
      </c>
      <c r="M109" s="12"/>
      <c r="N109" s="13" t="e">
        <f>L109*K109</f>
        <v>#REF!</v>
      </c>
      <c r="O109" s="13" t="e">
        <f>N109</f>
        <v>#REF!</v>
      </c>
      <c r="Q109" s="174">
        <v>0.1</v>
      </c>
      <c r="R109" s="12">
        <f t="shared" ref="R109" si="159">1+$T$11</f>
        <v>1.2757000000000001</v>
      </c>
      <c r="S109" s="13" t="e">
        <f>T107*Q109</f>
        <v>#REF!</v>
      </c>
      <c r="T109" s="13" t="e">
        <f>S109</f>
        <v>#REF!</v>
      </c>
    </row>
    <row r="110" spans="1:20" s="170" customFormat="1" ht="12.75">
      <c r="A110" s="63" t="str">
        <f t="shared" si="105"/>
        <v/>
      </c>
      <c r="B110" s="17"/>
      <c r="C110" s="341"/>
      <c r="D110" s="10"/>
      <c r="E110" s="347"/>
      <c r="F110" s="347"/>
      <c r="G110" s="347"/>
      <c r="H110" s="347"/>
      <c r="I110" s="434" t="s">
        <v>25</v>
      </c>
      <c r="J110" s="434"/>
      <c r="K110" s="434"/>
      <c r="L110" s="434"/>
      <c r="M110" s="434"/>
      <c r="N110" s="434"/>
      <c r="O110" s="352" t="e">
        <f>SUM(O109)</f>
        <v>#REF!</v>
      </c>
      <c r="Q110" s="349"/>
      <c r="R110" s="350"/>
      <c r="S110" s="351"/>
      <c r="T110" s="352" t="e">
        <f>SUM(T109)</f>
        <v>#REF!</v>
      </c>
    </row>
    <row r="111" spans="1:20" ht="11.25" customHeight="1">
      <c r="C111" s="341"/>
      <c r="D111" s="167"/>
      <c r="L111" s="168"/>
      <c r="M111" s="168"/>
      <c r="N111" s="168"/>
      <c r="O111" s="173"/>
      <c r="Q111" s="168"/>
      <c r="R111" s="168"/>
      <c r="S111" s="168"/>
      <c r="T111" s="173"/>
    </row>
    <row r="112" spans="1:20" s="170" customFormat="1" ht="12.75">
      <c r="A112" s="63" t="str">
        <f t="shared" ref="A112" si="160">B112&amp;C112</f>
        <v/>
      </c>
      <c r="B112" s="17"/>
      <c r="C112" s="341"/>
      <c r="D112" s="10"/>
      <c r="E112" s="347"/>
      <c r="F112" s="347"/>
      <c r="G112" s="347"/>
      <c r="H112" s="347"/>
      <c r="I112" s="354" t="s">
        <v>64</v>
      </c>
      <c r="J112" s="354"/>
      <c r="K112" s="347"/>
      <c r="L112" s="354"/>
      <c r="M112" s="354"/>
      <c r="N112" s="354"/>
      <c r="O112" s="352" t="e">
        <f>O19+O41+O85+O97+O100+O105+O110</f>
        <v>#REF!</v>
      </c>
      <c r="Q112" s="349"/>
      <c r="R112" s="350"/>
      <c r="S112" s="351"/>
      <c r="T112" s="352" t="e">
        <f>T107+T110</f>
        <v>#REF!</v>
      </c>
    </row>
    <row r="113" spans="1:22" ht="11.25" customHeight="1">
      <c r="C113" s="341"/>
      <c r="D113" s="167"/>
      <c r="L113" s="168"/>
      <c r="M113" s="168"/>
      <c r="N113" s="168"/>
      <c r="O113" s="173"/>
      <c r="Q113" s="168"/>
      <c r="R113" s="168"/>
      <c r="S113" s="168"/>
      <c r="T113" s="173"/>
    </row>
    <row r="114" spans="1:22" s="166" customFormat="1" ht="30" customHeight="1">
      <c r="A114" s="63"/>
      <c r="B114" s="17"/>
      <c r="C114" s="341"/>
      <c r="D114" s="366"/>
      <c r="E114" s="367"/>
      <c r="F114" s="367"/>
      <c r="G114" s="367"/>
      <c r="H114" s="367"/>
      <c r="I114" s="64" t="s">
        <v>65</v>
      </c>
      <c r="J114" s="367"/>
      <c r="K114" s="368"/>
      <c r="L114" s="369"/>
      <c r="M114" s="369"/>
      <c r="N114" s="369"/>
      <c r="O114" s="14" t="e">
        <f>O112</f>
        <v>#REF!</v>
      </c>
      <c r="P114" s="165"/>
      <c r="Q114" s="370"/>
      <c r="R114" s="370"/>
      <c r="S114" s="370"/>
      <c r="T114" s="14" t="e">
        <f>T112</f>
        <v>#REF!</v>
      </c>
    </row>
    <row r="115" spans="1:22" ht="30" customHeight="1">
      <c r="C115" s="341"/>
      <c r="D115" s="175"/>
      <c r="E115" s="175"/>
      <c r="F115" s="175"/>
      <c r="G115" s="175"/>
      <c r="H115" s="175"/>
      <c r="I115" s="65"/>
      <c r="J115" s="175"/>
      <c r="K115" s="176"/>
      <c r="L115" s="177"/>
      <c r="M115" s="177"/>
      <c r="N115" s="177"/>
      <c r="O115" s="66"/>
      <c r="T115" s="178"/>
    </row>
    <row r="116" spans="1:22" ht="30" customHeight="1">
      <c r="C116" s="341"/>
      <c r="D116" s="175"/>
      <c r="E116" s="175"/>
      <c r="F116" s="175"/>
      <c r="G116" s="175"/>
      <c r="H116" s="175"/>
      <c r="I116" s="65"/>
      <c r="J116" s="175"/>
      <c r="K116" s="176"/>
      <c r="L116" s="177"/>
      <c r="M116" s="177"/>
      <c r="N116" s="177"/>
      <c r="O116" s="66"/>
      <c r="P116" s="171"/>
      <c r="T116" s="178"/>
    </row>
    <row r="117" spans="1:22" ht="30" customHeight="1">
      <c r="C117" s="341"/>
      <c r="D117" s="175"/>
      <c r="E117" s="175"/>
      <c r="F117" s="175"/>
      <c r="G117" s="175"/>
      <c r="H117" s="175"/>
      <c r="I117" s="175"/>
      <c r="J117" s="175"/>
      <c r="K117" s="176"/>
      <c r="L117" s="175"/>
      <c r="M117" s="175"/>
      <c r="N117" s="175"/>
      <c r="O117" s="175"/>
      <c r="P117" s="171"/>
      <c r="T117" s="178"/>
    </row>
    <row r="118" spans="1:22" ht="12" customHeight="1">
      <c r="C118" s="341"/>
      <c r="E118" s="179"/>
      <c r="F118" s="179" t="s">
        <v>66</v>
      </c>
      <c r="G118" s="179"/>
      <c r="H118" s="179"/>
      <c r="I118" s="179"/>
      <c r="J118" s="47" t="s">
        <v>67</v>
      </c>
      <c r="K118" s="180"/>
      <c r="L118" s="181"/>
      <c r="M118" s="181"/>
      <c r="N118" s="181"/>
      <c r="O118" s="181"/>
    </row>
    <row r="119" spans="1:22" s="182" customFormat="1" ht="12.75" customHeight="1">
      <c r="A119" s="63"/>
      <c r="B119" s="17"/>
      <c r="C119" s="341"/>
      <c r="D119" s="175"/>
      <c r="E119" s="175"/>
      <c r="F119" s="175"/>
      <c r="G119" s="175"/>
      <c r="I119" s="183" t="s">
        <v>68</v>
      </c>
      <c r="J119" s="45" t="s">
        <v>69</v>
      </c>
      <c r="K119" s="176"/>
      <c r="L119" s="175"/>
      <c r="M119" s="175"/>
      <c r="N119" s="175"/>
      <c r="O119" s="175"/>
      <c r="T119" s="184"/>
    </row>
    <row r="120" spans="1:22" s="182" customFormat="1" ht="12.75" customHeight="1">
      <c r="A120" s="63"/>
      <c r="B120" s="17"/>
      <c r="C120" s="341"/>
      <c r="D120" s="175"/>
      <c r="E120" s="175"/>
      <c r="F120" s="175"/>
      <c r="G120" s="175"/>
      <c r="I120" s="175"/>
      <c r="J120" s="47"/>
      <c r="K120" s="40"/>
      <c r="L120" s="47"/>
      <c r="M120" s="47"/>
      <c r="N120" s="47"/>
      <c r="O120" s="47"/>
    </row>
    <row r="121" spans="1:22" s="182" customFormat="1" ht="12.75" customHeight="1">
      <c r="A121" s="63"/>
      <c r="B121" s="17"/>
      <c r="C121" s="341"/>
      <c r="D121" s="175"/>
      <c r="E121" s="175"/>
      <c r="F121" s="175"/>
      <c r="G121" s="175"/>
      <c r="H121" s="175"/>
      <c r="I121" s="175"/>
      <c r="J121" s="47"/>
      <c r="K121" s="40"/>
      <c r="L121" s="47"/>
      <c r="M121" s="47"/>
      <c r="N121" s="47"/>
      <c r="O121" s="47"/>
    </row>
    <row r="122" spans="1:22" s="182" customFormat="1" ht="12.75" customHeight="1">
      <c r="A122" s="63"/>
      <c r="B122" s="17"/>
      <c r="C122" s="341"/>
      <c r="D122" s="175"/>
      <c r="E122" s="175"/>
      <c r="F122" s="175"/>
      <c r="G122" s="175"/>
      <c r="H122" s="175"/>
      <c r="I122" s="175"/>
      <c r="J122" s="47"/>
      <c r="K122" s="40"/>
      <c r="L122" s="47"/>
      <c r="M122" s="47"/>
      <c r="N122" s="47"/>
      <c r="O122" s="47"/>
    </row>
    <row r="123" spans="1:22" s="182" customFormat="1" ht="15" customHeight="1">
      <c r="A123" s="63"/>
      <c r="B123" s="17"/>
      <c r="C123" s="341"/>
      <c r="D123" s="175"/>
      <c r="E123" s="175"/>
      <c r="F123" s="175"/>
      <c r="G123" s="175"/>
      <c r="H123" s="175"/>
      <c r="I123" s="175"/>
      <c r="J123" s="40"/>
      <c r="K123" s="40"/>
      <c r="L123" s="40"/>
      <c r="M123" s="40"/>
      <c r="N123" s="40"/>
      <c r="O123" s="40"/>
      <c r="P123" s="15"/>
      <c r="Q123" s="15"/>
      <c r="R123" s="15"/>
      <c r="S123" s="15"/>
      <c r="T123" s="15"/>
      <c r="U123" s="15"/>
      <c r="V123" s="15"/>
    </row>
    <row r="124" spans="1:22" s="182" customFormat="1" ht="15" customHeight="1">
      <c r="A124" s="63"/>
      <c r="B124" s="17"/>
      <c r="C124" s="341"/>
      <c r="D124" s="175"/>
      <c r="E124" s="175"/>
      <c r="F124" s="175"/>
      <c r="G124" s="175"/>
      <c r="H124" s="175"/>
      <c r="I124" s="175"/>
      <c r="J124" s="175"/>
      <c r="K124" s="176"/>
      <c r="L124" s="175"/>
      <c r="M124" s="175"/>
      <c r="N124" s="175"/>
      <c r="O124" s="175"/>
      <c r="P124" s="16"/>
      <c r="Q124" s="16"/>
      <c r="R124" s="16"/>
      <c r="S124" s="16"/>
      <c r="T124" s="16"/>
      <c r="U124" s="16"/>
      <c r="V124" s="16"/>
    </row>
    <row r="125" spans="1:22" s="182" customFormat="1" ht="15" customHeight="1">
      <c r="A125" s="63"/>
      <c r="B125" s="17"/>
      <c r="C125" s="341"/>
      <c r="D125" s="175"/>
      <c r="G125" s="47"/>
      <c r="H125" s="47"/>
      <c r="I125" s="47"/>
      <c r="J125" s="47"/>
      <c r="K125" s="40"/>
      <c r="L125" s="47"/>
      <c r="M125" s="47"/>
      <c r="N125" s="47"/>
      <c r="O125" s="47"/>
    </row>
    <row r="126" spans="1:22" s="182" customFormat="1" ht="15" customHeight="1">
      <c r="A126" s="63"/>
      <c r="B126" s="17"/>
      <c r="C126" s="341"/>
      <c r="D126" s="175"/>
      <c r="E126" s="175"/>
      <c r="F126" s="175"/>
      <c r="G126" s="175"/>
      <c r="H126" s="175"/>
      <c r="J126" s="45"/>
      <c r="K126" s="43"/>
      <c r="L126" s="45"/>
      <c r="M126" s="45"/>
      <c r="N126" s="45"/>
      <c r="O126" s="45"/>
    </row>
    <row r="127" spans="1:22" ht="30" customHeight="1">
      <c r="C127" s="341"/>
      <c r="D127" s="175"/>
      <c r="E127" s="175"/>
      <c r="F127" s="175"/>
      <c r="G127" s="175"/>
      <c r="H127" s="175"/>
    </row>
  </sheetData>
  <autoFilter ref="D12:O126" xr:uid="{00000000-0009-0000-0000-000001000000}"/>
  <mergeCells count="29">
    <mergeCell ref="D21:O21"/>
    <mergeCell ref="D82:O82"/>
    <mergeCell ref="Q2:T6"/>
    <mergeCell ref="D6:O6"/>
    <mergeCell ref="D8:H8"/>
    <mergeCell ref="D9:H9"/>
    <mergeCell ref="I19:N19"/>
    <mergeCell ref="D43:O43"/>
    <mergeCell ref="D25:O25"/>
    <mergeCell ref="D29:O29"/>
    <mergeCell ref="D31:O31"/>
    <mergeCell ref="D33:O33"/>
    <mergeCell ref="D35:O35"/>
    <mergeCell ref="D37:O37"/>
    <mergeCell ref="D39:O39"/>
    <mergeCell ref="I41:N41"/>
    <mergeCell ref="I100:N100"/>
    <mergeCell ref="I110:N110"/>
    <mergeCell ref="D47:O47"/>
    <mergeCell ref="D51:O51"/>
    <mergeCell ref="D60:O60"/>
    <mergeCell ref="D66:O66"/>
    <mergeCell ref="D75:O75"/>
    <mergeCell ref="D77:O77"/>
    <mergeCell ref="I105:N105"/>
    <mergeCell ref="I102:M102"/>
    <mergeCell ref="I107:M107"/>
    <mergeCell ref="I85:N85"/>
    <mergeCell ref="I97:N97"/>
  </mergeCells>
  <pageMargins left="0.51181102362204722" right="0.51181102362204722" top="0.78740157480314965" bottom="0.78740157480314965" header="0.31496062992125984" footer="0.31496062992125984"/>
  <pageSetup paperSize="9" scale="60" fitToHeight="0" orientation="portrait" r:id="rId1"/>
  <headerFooter>
    <oddFooter>Página &amp;P de &amp;N</oddFooter>
  </headerFooter>
  <rowBreaks count="2" manualBreakCount="2">
    <brk id="81" min="3" max="14" man="1"/>
    <brk id="126" min="3" max="14" man="1"/>
  </rowBreaks>
  <colBreaks count="2" manualBreakCount="2">
    <brk id="3" max="1048575" man="1"/>
    <brk id="1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22"/>
  <sheetViews>
    <sheetView view="pageBreakPreview" topLeftCell="B70" zoomScale="80" zoomScaleNormal="100" zoomScaleSheetLayoutView="80" workbookViewId="0">
      <selection activeCell="I79" sqref="I79"/>
    </sheetView>
  </sheetViews>
  <sheetFormatPr defaultRowHeight="30" customHeight="1"/>
  <cols>
    <col min="1" max="1" width="8.7109375" style="63" customWidth="1"/>
    <col min="2" max="2" width="8.7109375" style="17" customWidth="1"/>
    <col min="3" max="3" width="16.42578125" style="146" customWidth="1"/>
    <col min="4" max="4" width="3.7109375" style="165" customWidth="1"/>
    <col min="5" max="5" width="1.7109375" style="165" customWidth="1"/>
    <col min="6" max="6" width="3.7109375" style="165" customWidth="1"/>
    <col min="7" max="7" width="1.7109375" style="165" customWidth="1"/>
    <col min="8" max="8" width="3.7109375" style="165" customWidth="1"/>
    <col min="9" max="9" width="80.7109375" style="165" customWidth="1"/>
    <col min="10" max="10" width="10" style="165" customWidth="1"/>
    <col min="11" max="11" width="12.140625" style="172" customWidth="1"/>
    <col min="12" max="12" width="17" style="172" hidden="1" customWidth="1"/>
    <col min="13" max="13" width="15.5703125" style="172" hidden="1" customWidth="1"/>
    <col min="14" max="14" width="15.140625" style="172" customWidth="1"/>
    <col min="15" max="15" width="17.85546875" style="172" customWidth="1"/>
    <col min="16" max="16" width="13.5703125" style="165" bestFit="1" customWidth="1"/>
    <col min="17" max="17" width="17.28515625" style="172" bestFit="1" customWidth="1"/>
    <col min="18" max="18" width="12.7109375" style="172" customWidth="1"/>
    <col min="19" max="19" width="15" style="172" customWidth="1"/>
    <col min="20" max="20" width="17.85546875" style="172" customWidth="1"/>
    <col min="21" max="21" width="9.140625" style="165"/>
    <col min="22" max="22" width="16.85546875" style="165" customWidth="1"/>
    <col min="23" max="16384" width="9.140625" style="165"/>
  </cols>
  <sheetData>
    <row r="1" spans="1:22" s="153" customFormat="1" ht="11.25" customHeight="1">
      <c r="A1" s="63"/>
      <c r="B1" s="17"/>
      <c r="C1" s="341"/>
      <c r="D1" s="147"/>
      <c r="E1" s="148"/>
      <c r="F1" s="149"/>
      <c r="G1" s="150"/>
      <c r="H1" s="151"/>
      <c r="I1" s="151"/>
      <c r="J1" s="152"/>
      <c r="K1" s="147"/>
    </row>
    <row r="2" spans="1:22" s="153" customFormat="1" ht="20.25" customHeight="1">
      <c r="A2" s="63"/>
      <c r="B2" s="17"/>
      <c r="C2" s="341"/>
      <c r="D2" s="147"/>
      <c r="E2" s="148"/>
      <c r="F2" s="149"/>
      <c r="G2" s="150"/>
      <c r="H2" s="151"/>
      <c r="I2" s="151"/>
      <c r="J2" s="152"/>
      <c r="K2" s="147"/>
      <c r="Q2" s="439" t="s">
        <v>0</v>
      </c>
      <c r="R2" s="439"/>
      <c r="S2" s="439"/>
      <c r="T2" s="439"/>
    </row>
    <row r="3" spans="1:22" s="153" customFormat="1" ht="20.25" customHeight="1">
      <c r="A3" s="63"/>
      <c r="B3" s="17"/>
      <c r="C3" s="341"/>
      <c r="D3" s="147"/>
      <c r="E3" s="148"/>
      <c r="F3" s="149"/>
      <c r="G3" s="150"/>
      <c r="H3" s="151"/>
      <c r="I3" s="151"/>
      <c r="J3" s="152"/>
      <c r="K3" s="147"/>
      <c r="Q3" s="439"/>
      <c r="R3" s="439"/>
      <c r="S3" s="439"/>
      <c r="T3" s="439"/>
    </row>
    <row r="4" spans="1:22" s="153" customFormat="1" ht="15" customHeight="1">
      <c r="A4" s="63"/>
      <c r="B4" s="17"/>
      <c r="C4" s="341"/>
      <c r="D4" s="147"/>
      <c r="E4" s="148"/>
      <c r="F4" s="149"/>
      <c r="G4" s="150"/>
      <c r="H4" s="151"/>
      <c r="I4" s="151"/>
      <c r="J4" s="152"/>
      <c r="K4" s="147"/>
      <c r="Q4" s="439"/>
      <c r="R4" s="439"/>
      <c r="S4" s="439"/>
      <c r="T4" s="439"/>
    </row>
    <row r="5" spans="1:22" s="153" customFormat="1" ht="6.75" customHeight="1" thickBot="1">
      <c r="A5" s="63"/>
      <c r="B5" s="17"/>
      <c r="C5" s="341"/>
      <c r="D5" s="147"/>
      <c r="F5" s="154"/>
      <c r="G5" s="155"/>
      <c r="H5" s="156"/>
      <c r="I5" s="156"/>
      <c r="J5" s="152"/>
      <c r="K5" s="147"/>
      <c r="Q5" s="439"/>
      <c r="R5" s="439"/>
      <c r="S5" s="439"/>
      <c r="T5" s="439"/>
    </row>
    <row r="6" spans="1:22" s="153" customFormat="1" ht="22.5" customHeight="1" thickBot="1">
      <c r="A6" s="63"/>
      <c r="B6" s="17"/>
      <c r="C6" s="341"/>
      <c r="D6" s="441" t="s">
        <v>1</v>
      </c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3"/>
      <c r="Q6" s="440"/>
      <c r="R6" s="440"/>
      <c r="S6" s="440"/>
      <c r="T6" s="440"/>
    </row>
    <row r="7" spans="1:22" s="153" customFormat="1" ht="6.75" customHeight="1">
      <c r="A7" s="63"/>
      <c r="B7" s="17"/>
      <c r="C7" s="341"/>
      <c r="D7" s="150"/>
      <c r="E7" s="157"/>
      <c r="F7" s="157"/>
      <c r="G7" s="157"/>
      <c r="H7" s="157"/>
      <c r="I7" s="157"/>
      <c r="J7" s="157"/>
      <c r="K7" s="158"/>
      <c r="L7" s="157"/>
      <c r="M7" s="157"/>
      <c r="N7" s="157"/>
      <c r="O7" s="157"/>
      <c r="Q7" s="157"/>
      <c r="R7" s="157"/>
      <c r="S7" s="157"/>
      <c r="T7" s="157"/>
    </row>
    <row r="8" spans="1:22" s="153" customFormat="1" ht="29.25" customHeight="1">
      <c r="A8" s="63"/>
      <c r="B8" s="17"/>
      <c r="C8" s="341"/>
      <c r="D8" s="444" t="s">
        <v>2</v>
      </c>
      <c r="E8" s="444"/>
      <c r="F8" s="444"/>
      <c r="G8" s="444"/>
      <c r="H8" s="444"/>
      <c r="I8" s="159" t="s">
        <v>3</v>
      </c>
      <c r="J8" s="159"/>
      <c r="K8" s="160"/>
      <c r="L8" s="159"/>
      <c r="M8" s="159"/>
      <c r="N8" s="159"/>
      <c r="O8" s="159"/>
    </row>
    <row r="9" spans="1:22" s="153" customFormat="1" ht="16.5" customHeight="1">
      <c r="A9" s="63"/>
      <c r="B9" s="17"/>
      <c r="C9" s="341"/>
      <c r="D9" s="445" t="s">
        <v>4</v>
      </c>
      <c r="E9" s="445"/>
      <c r="F9" s="445"/>
      <c r="G9" s="445"/>
      <c r="H9" s="445"/>
      <c r="I9" s="148" t="s">
        <v>5</v>
      </c>
      <c r="J9" s="159"/>
      <c r="K9" s="160"/>
      <c r="L9" s="159"/>
      <c r="M9" s="159"/>
      <c r="N9" s="159"/>
      <c r="O9" s="159"/>
      <c r="Q9" s="159"/>
      <c r="R9" s="159"/>
      <c r="S9" s="159"/>
      <c r="T9" s="159"/>
    </row>
    <row r="10" spans="1:22" s="161" customFormat="1" ht="15" customHeight="1">
      <c r="A10" s="63"/>
      <c r="B10" s="17"/>
      <c r="C10" s="341"/>
      <c r="D10" s="4"/>
      <c r="E10" s="3"/>
      <c r="F10" s="3"/>
      <c r="G10" s="3"/>
      <c r="H10" s="5"/>
      <c r="I10" s="6"/>
      <c r="J10" s="3"/>
      <c r="K10" s="7"/>
      <c r="L10" s="7"/>
      <c r="M10" s="7"/>
      <c r="N10" s="8" t="s">
        <v>6</v>
      </c>
      <c r="O10" s="9" t="s">
        <v>7</v>
      </c>
      <c r="Q10" s="7"/>
      <c r="R10" s="7"/>
      <c r="S10" s="8" t="s">
        <v>6</v>
      </c>
      <c r="T10" s="9" t="s">
        <v>8</v>
      </c>
    </row>
    <row r="11" spans="1:22" ht="20.25" customHeight="1">
      <c r="C11" s="341"/>
      <c r="D11" s="5"/>
      <c r="E11" s="3"/>
      <c r="F11" s="3"/>
      <c r="G11" s="3"/>
      <c r="H11" s="5"/>
      <c r="I11" s="8" t="s">
        <v>9</v>
      </c>
      <c r="J11" s="3"/>
      <c r="K11" s="7"/>
      <c r="L11" s="7"/>
      <c r="M11" s="7"/>
      <c r="N11" s="8" t="s">
        <v>10</v>
      </c>
      <c r="O11" s="162">
        <v>0.25</v>
      </c>
      <c r="P11" s="163"/>
      <c r="Q11" s="7"/>
      <c r="R11" s="7"/>
      <c r="S11" s="8" t="s">
        <v>10</v>
      </c>
      <c r="T11" s="164">
        <v>0.2757</v>
      </c>
    </row>
    <row r="12" spans="1:22" s="166" customFormat="1" ht="30" customHeight="1">
      <c r="A12" s="63" t="s">
        <v>11</v>
      </c>
      <c r="B12" s="17" t="s">
        <v>12</v>
      </c>
      <c r="C12" s="341" t="s">
        <v>13</v>
      </c>
      <c r="D12" s="342"/>
      <c r="E12" s="343"/>
      <c r="F12" s="343"/>
      <c r="G12" s="343" t="s">
        <v>14</v>
      </c>
      <c r="H12" s="343"/>
      <c r="I12" s="343" t="s">
        <v>15</v>
      </c>
      <c r="J12" s="343" t="s">
        <v>16</v>
      </c>
      <c r="K12" s="344" t="s">
        <v>17</v>
      </c>
      <c r="L12" s="345" t="s">
        <v>18</v>
      </c>
      <c r="M12" s="344" t="s">
        <v>19</v>
      </c>
      <c r="N12" s="345" t="s">
        <v>20</v>
      </c>
      <c r="O12" s="346" t="s">
        <v>21</v>
      </c>
      <c r="Q12" s="345" t="s">
        <v>18</v>
      </c>
      <c r="R12" s="344" t="s">
        <v>19</v>
      </c>
      <c r="S12" s="345" t="s">
        <v>20</v>
      </c>
      <c r="T12" s="346" t="s">
        <v>21</v>
      </c>
    </row>
    <row r="13" spans="1:22" ht="6.75" customHeight="1">
      <c r="C13" s="341"/>
      <c r="D13" s="167"/>
      <c r="K13" s="168"/>
      <c r="L13" s="168"/>
      <c r="M13" s="168"/>
      <c r="N13" s="168"/>
      <c r="O13" s="169"/>
      <c r="Q13" s="168"/>
      <c r="R13" s="168"/>
      <c r="S13" s="168"/>
      <c r="T13" s="169"/>
    </row>
    <row r="14" spans="1:22" s="170" customFormat="1" ht="19.5" customHeight="1">
      <c r="A14" s="63" t="str">
        <f t="shared" ref="A14:A20" si="0">B14&amp;C14</f>
        <v/>
      </c>
      <c r="B14" s="17"/>
      <c r="C14" s="341"/>
      <c r="D14" s="10">
        <v>1</v>
      </c>
      <c r="E14" s="347" t="s">
        <v>22</v>
      </c>
      <c r="F14" s="347">
        <v>0</v>
      </c>
      <c r="G14" s="347"/>
      <c r="H14" s="347"/>
      <c r="I14" s="348" t="s">
        <v>23</v>
      </c>
      <c r="J14" s="347"/>
      <c r="K14" s="349"/>
      <c r="L14" s="349"/>
      <c r="M14" s="350"/>
      <c r="N14" s="351"/>
      <c r="O14" s="352"/>
      <c r="Q14" s="349"/>
      <c r="R14" s="350"/>
      <c r="S14" s="351"/>
      <c r="T14" s="352"/>
    </row>
    <row r="15" spans="1:22" ht="30" customHeight="1">
      <c r="A15" s="63" t="str">
        <f t="shared" si="0"/>
        <v>SIURB EDIF17030002</v>
      </c>
      <c r="B15" s="17" t="s">
        <v>24</v>
      </c>
      <c r="C15" s="341">
        <v>17030002</v>
      </c>
      <c r="D15" s="11">
        <f>$D$14</f>
        <v>1</v>
      </c>
      <c r="E15" s="353" t="s">
        <v>22</v>
      </c>
      <c r="F15" s="353">
        <f>F14+1</f>
        <v>1</v>
      </c>
      <c r="G15" s="353"/>
      <c r="H15" s="353"/>
      <c r="I15" s="145" t="e">
        <f>INDEX(#REF!,MATCH(A15,#REF!,0),0)</f>
        <v>#REF!</v>
      </c>
      <c r="J15" s="144" t="e">
        <f>INDEX(#REF!,MATCH(A15,#REF!,0),0)</f>
        <v>#REF!</v>
      </c>
      <c r="K15" s="142">
        <v>3.38</v>
      </c>
      <c r="L15" s="143" t="e">
        <f>INDEX(#REF!,MATCH(A15,#REF!,0),0)</f>
        <v>#REF!</v>
      </c>
      <c r="M15" s="12">
        <f t="shared" ref="M15:M18" si="1">1+$O$11</f>
        <v>1.25</v>
      </c>
      <c r="N15" s="13" t="e">
        <f t="shared" ref="N15:N18" si="2">ROUND(L15*M15,2)</f>
        <v>#REF!</v>
      </c>
      <c r="O15" s="13" t="e">
        <f t="shared" ref="O15:O18" si="3">ROUND(K15*N15,2)</f>
        <v>#REF!</v>
      </c>
      <c r="Q15" s="143" t="e">
        <f>INDEX(#REF!,MATCH(A15,#REF!,0),0)</f>
        <v>#REF!</v>
      </c>
      <c r="R15" s="12">
        <f t="shared" ref="R15:R18" si="4">1+$T$11</f>
        <v>1.2757000000000001</v>
      </c>
      <c r="S15" s="13" t="e">
        <f>Q15*K15</f>
        <v>#REF!</v>
      </c>
      <c r="T15" s="13" t="e">
        <f>S15</f>
        <v>#REF!</v>
      </c>
    </row>
    <row r="16" spans="1:22" ht="34.5" customHeight="1">
      <c r="A16" s="63" t="str">
        <f t="shared" si="0"/>
        <v>SIURB EDIF17045001</v>
      </c>
      <c r="B16" s="17" t="s">
        <v>24</v>
      </c>
      <c r="C16" s="341">
        <v>17045001</v>
      </c>
      <c r="D16" s="11">
        <f t="shared" ref="D16:D18" si="5">$D$14</f>
        <v>1</v>
      </c>
      <c r="E16" s="353" t="s">
        <v>22</v>
      </c>
      <c r="F16" s="353">
        <f>F15+1</f>
        <v>2</v>
      </c>
      <c r="G16" s="353"/>
      <c r="H16" s="353"/>
      <c r="I16" s="145" t="e">
        <f>INDEX(#REF!,MATCH(A16,#REF!,0),0)</f>
        <v>#REF!</v>
      </c>
      <c r="J16" s="144" t="e">
        <f>INDEX(#REF!,MATCH(A16,#REF!,0),0)</f>
        <v>#REF!</v>
      </c>
      <c r="K16" s="142">
        <v>157.5</v>
      </c>
      <c r="L16" s="143" t="e">
        <f>INDEX(#REF!,MATCH(A16,#REF!,0),0)</f>
        <v>#REF!</v>
      </c>
      <c r="M16" s="12">
        <f t="shared" si="1"/>
        <v>1.25</v>
      </c>
      <c r="N16" s="13" t="e">
        <f t="shared" si="2"/>
        <v>#REF!</v>
      </c>
      <c r="O16" s="13" t="e">
        <f t="shared" si="3"/>
        <v>#REF!</v>
      </c>
      <c r="Q16" s="143" t="e">
        <f>INDEX(#REF!,MATCH(A16,#REF!,0),0)</f>
        <v>#REF!</v>
      </c>
      <c r="R16" s="12">
        <f t="shared" si="4"/>
        <v>1.2757000000000001</v>
      </c>
      <c r="S16" s="13" t="e">
        <f>Q16*K16</f>
        <v>#REF!</v>
      </c>
      <c r="T16" s="13" t="e">
        <f>S16</f>
        <v>#REF!</v>
      </c>
      <c r="V16" s="171"/>
    </row>
    <row r="17" spans="1:20" ht="30" customHeight="1">
      <c r="A17" s="63" t="str">
        <f t="shared" si="0"/>
        <v>SIURB EDIF17045002</v>
      </c>
      <c r="B17" s="17" t="s">
        <v>24</v>
      </c>
      <c r="C17" s="341">
        <v>17045002</v>
      </c>
      <c r="D17" s="11">
        <f t="shared" si="5"/>
        <v>1</v>
      </c>
      <c r="E17" s="353" t="s">
        <v>22</v>
      </c>
      <c r="F17" s="353">
        <f>F16+1</f>
        <v>3</v>
      </c>
      <c r="G17" s="353"/>
      <c r="H17" s="353"/>
      <c r="I17" s="145" t="e">
        <f>INDEX(#REF!,MATCH(A17,#REF!,0),0)</f>
        <v>#REF!</v>
      </c>
      <c r="J17" s="144" t="e">
        <f>INDEX(#REF!,MATCH(A17,#REF!,0),0)</f>
        <v>#REF!</v>
      </c>
      <c r="K17" s="142">
        <v>315</v>
      </c>
      <c r="L17" s="143" t="e">
        <f>INDEX(#REF!,MATCH(A17,#REF!,0),0)</f>
        <v>#REF!</v>
      </c>
      <c r="M17" s="12">
        <f t="shared" si="1"/>
        <v>1.25</v>
      </c>
      <c r="N17" s="13" t="e">
        <f t="shared" si="2"/>
        <v>#REF!</v>
      </c>
      <c r="O17" s="13" t="e">
        <f t="shared" si="3"/>
        <v>#REF!</v>
      </c>
      <c r="Q17" s="143" t="e">
        <f>INDEX(#REF!,MATCH(A17,#REF!,0),0)</f>
        <v>#REF!</v>
      </c>
      <c r="R17" s="12">
        <f t="shared" si="4"/>
        <v>1.2757000000000001</v>
      </c>
      <c r="S17" s="13" t="e">
        <f>Q17*K17</f>
        <v>#REF!</v>
      </c>
      <c r="T17" s="13" t="e">
        <f>S17</f>
        <v>#REF!</v>
      </c>
    </row>
    <row r="18" spans="1:20" ht="30" customHeight="1">
      <c r="A18" s="63" t="str">
        <f t="shared" si="0"/>
        <v>SIURB EDIF20003061</v>
      </c>
      <c r="B18" s="17" t="s">
        <v>24</v>
      </c>
      <c r="C18" s="341">
        <v>20003061</v>
      </c>
      <c r="D18" s="11">
        <f t="shared" si="5"/>
        <v>1</v>
      </c>
      <c r="E18" s="353" t="s">
        <v>22</v>
      </c>
      <c r="F18" s="353">
        <f>F17+1</f>
        <v>4</v>
      </c>
      <c r="G18" s="353"/>
      <c r="H18" s="353"/>
      <c r="I18" s="145" t="e">
        <f>INDEX(#REF!,MATCH(A18,#REF!,0),0)</f>
        <v>#REF!</v>
      </c>
      <c r="J18" s="144" t="e">
        <f>INDEX(#REF!,MATCH(A18,#REF!,0),0)</f>
        <v>#REF!</v>
      </c>
      <c r="K18" s="142">
        <v>1</v>
      </c>
      <c r="L18" s="143" t="e">
        <f>INDEX(#REF!,MATCH(A18,#REF!,0),0)</f>
        <v>#REF!</v>
      </c>
      <c r="M18" s="12">
        <f t="shared" si="1"/>
        <v>1.25</v>
      </c>
      <c r="N18" s="13" t="e">
        <f t="shared" si="2"/>
        <v>#REF!</v>
      </c>
      <c r="O18" s="13" t="e">
        <f t="shared" si="3"/>
        <v>#REF!</v>
      </c>
      <c r="Q18" s="143" t="e">
        <f>INDEX(#REF!,MATCH(A18,#REF!,0),0)</f>
        <v>#REF!</v>
      </c>
      <c r="R18" s="12">
        <f t="shared" si="4"/>
        <v>1.2757000000000001</v>
      </c>
      <c r="S18" s="13" t="e">
        <f t="shared" ref="S18" si="6">ROUND(Q18*R18,2)</f>
        <v>#REF!</v>
      </c>
      <c r="T18" s="13" t="e">
        <f t="shared" ref="T18" si="7">ROUND(K18*S18,2)</f>
        <v>#REF!</v>
      </c>
    </row>
    <row r="19" spans="1:20" s="170" customFormat="1" ht="12.75">
      <c r="A19" s="63" t="str">
        <f t="shared" si="0"/>
        <v/>
      </c>
      <c r="B19" s="17"/>
      <c r="C19" s="341"/>
      <c r="D19" s="10"/>
      <c r="E19" s="347"/>
      <c r="F19" s="347"/>
      <c r="G19" s="347"/>
      <c r="H19" s="347"/>
      <c r="I19" s="434" t="s">
        <v>25</v>
      </c>
      <c r="J19" s="434"/>
      <c r="K19" s="434"/>
      <c r="L19" s="434"/>
      <c r="M19" s="434"/>
      <c r="N19" s="434"/>
      <c r="O19" s="352" t="e">
        <f>SUM(O15:O18)</f>
        <v>#REF!</v>
      </c>
      <c r="Q19" s="349"/>
      <c r="R19" s="350"/>
      <c r="S19" s="351"/>
      <c r="T19" s="352" t="e">
        <f>SUM(T15:T18)</f>
        <v>#REF!</v>
      </c>
    </row>
    <row r="20" spans="1:20" s="170" customFormat="1" ht="19.5" customHeight="1">
      <c r="A20" s="63" t="str">
        <f t="shared" si="0"/>
        <v/>
      </c>
      <c r="B20" s="17"/>
      <c r="C20" s="341"/>
      <c r="D20" s="10">
        <v>2</v>
      </c>
      <c r="E20" s="347" t="s">
        <v>22</v>
      </c>
      <c r="F20" s="347">
        <v>0</v>
      </c>
      <c r="G20" s="347"/>
      <c r="H20" s="347"/>
      <c r="I20" s="348" t="s">
        <v>26</v>
      </c>
      <c r="J20" s="347"/>
      <c r="K20" s="349"/>
      <c r="L20" s="349"/>
      <c r="M20" s="350"/>
      <c r="N20" s="351"/>
      <c r="O20" s="352"/>
      <c r="Q20" s="349"/>
      <c r="R20" s="350"/>
      <c r="S20" s="351"/>
      <c r="T20" s="352"/>
    </row>
    <row r="21" spans="1:20" ht="20.25" customHeight="1">
      <c r="C21" s="341"/>
      <c r="D21" s="436" t="s">
        <v>27</v>
      </c>
      <c r="E21" s="437"/>
      <c r="F21" s="437"/>
      <c r="G21" s="437"/>
      <c r="H21" s="437"/>
      <c r="I21" s="437"/>
      <c r="J21" s="437"/>
      <c r="K21" s="437"/>
      <c r="L21" s="437"/>
      <c r="M21" s="437"/>
      <c r="N21" s="437"/>
      <c r="O21" s="438"/>
      <c r="Q21" s="143"/>
      <c r="R21" s="12"/>
      <c r="S21" s="13"/>
      <c r="T21" s="13"/>
    </row>
    <row r="22" spans="1:20" ht="27" customHeight="1">
      <c r="A22" s="63" t="str">
        <f t="shared" ref="A22:A28" si="8">B22&amp;C22</f>
        <v>SIURB EDIF4050004</v>
      </c>
      <c r="B22" s="17" t="s">
        <v>24</v>
      </c>
      <c r="C22" s="341">
        <v>4050004</v>
      </c>
      <c r="D22" s="11">
        <f>$D$20</f>
        <v>2</v>
      </c>
      <c r="E22" s="353" t="s">
        <v>22</v>
      </c>
      <c r="F22" s="353">
        <v>1</v>
      </c>
      <c r="G22" s="353"/>
      <c r="H22" s="353"/>
      <c r="I22" s="145" t="e">
        <f>INDEX(#REF!,MATCH(A22,#REF!,0),0)</f>
        <v>#REF!</v>
      </c>
      <c r="J22" s="144" t="e">
        <f>INDEX(#REF!,MATCH(A22,#REF!,0),0)</f>
        <v>#REF!</v>
      </c>
      <c r="K22" s="142">
        <v>0.14000000000000001</v>
      </c>
      <c r="L22" s="143" t="e">
        <f>INDEX(#REF!,MATCH(A22,#REF!,0),0)</f>
        <v>#REF!</v>
      </c>
      <c r="M22" s="12">
        <f t="shared" ref="M22:M38" si="9">1+$O$11</f>
        <v>1.25</v>
      </c>
      <c r="N22" s="13" t="e">
        <f t="shared" ref="N22:N28" si="10">ROUND(L22*M22,2)</f>
        <v>#REF!</v>
      </c>
      <c r="O22" s="13" t="e">
        <f t="shared" ref="O22:O28" si="11">ROUND(K22*N22,2)</f>
        <v>#REF!</v>
      </c>
      <c r="Q22" s="143" t="e">
        <f>INDEX(#REF!,MATCH(A22,#REF!,0),0)</f>
        <v>#REF!</v>
      </c>
      <c r="R22" s="12">
        <f t="shared" ref="R22:R38" si="12">1+$T$11</f>
        <v>1.2757000000000001</v>
      </c>
      <c r="S22" s="13" t="e">
        <f>ROUND(Q22*R22,2)</f>
        <v>#REF!</v>
      </c>
      <c r="T22" s="13" t="e">
        <f>ROUND(K22*S22,2)</f>
        <v>#REF!</v>
      </c>
    </row>
    <row r="23" spans="1:20" ht="27" customHeight="1">
      <c r="A23" s="63" t="str">
        <f t="shared" si="8"/>
        <v>CDHU04.14.020</v>
      </c>
      <c r="B23" s="17" t="s">
        <v>29</v>
      </c>
      <c r="C23" s="341" t="s">
        <v>30</v>
      </c>
      <c r="D23" s="11">
        <f t="shared" ref="D23:D38" si="13">$D$20</f>
        <v>2</v>
      </c>
      <c r="E23" s="353" t="s">
        <v>22</v>
      </c>
      <c r="F23" s="353">
        <v>2</v>
      </c>
      <c r="G23" s="353"/>
      <c r="H23" s="353"/>
      <c r="I23" s="145" t="e">
        <f>INDEX(#REF!,MATCH(A23,#REF!,0),0)</f>
        <v>#REF!</v>
      </c>
      <c r="J23" s="144" t="e">
        <f>INDEX(#REF!,MATCH(A23,#REF!,0),0)</f>
        <v>#REF!</v>
      </c>
      <c r="K23" s="142">
        <v>2</v>
      </c>
      <c r="L23" s="143" t="e">
        <f>INDEX(#REF!,MATCH(A23,#REF!,0),0)</f>
        <v>#REF!</v>
      </c>
      <c r="M23" s="12">
        <f t="shared" si="9"/>
        <v>1.25</v>
      </c>
      <c r="N23" s="13" t="e">
        <f t="shared" si="10"/>
        <v>#REF!</v>
      </c>
      <c r="O23" s="13" t="e">
        <f t="shared" si="11"/>
        <v>#REF!</v>
      </c>
      <c r="Q23" s="143" t="e">
        <f>INDEX(#REF!,MATCH(A23,#REF!,0),0)</f>
        <v>#REF!</v>
      </c>
      <c r="R23" s="12">
        <f t="shared" si="12"/>
        <v>1.2757000000000001</v>
      </c>
      <c r="S23" s="13" t="e">
        <f t="shared" ref="S23:S28" si="14">ROUND(Q23*R23,2)</f>
        <v>#REF!</v>
      </c>
      <c r="T23" s="13" t="e">
        <f t="shared" ref="T23:T28" si="15">ROUND(K23*S23,2)</f>
        <v>#REF!</v>
      </c>
    </row>
    <row r="24" spans="1:20" ht="20.25" customHeight="1">
      <c r="C24" s="341"/>
      <c r="D24" s="436" t="s">
        <v>31</v>
      </c>
      <c r="E24" s="437"/>
      <c r="F24" s="437"/>
      <c r="G24" s="437"/>
      <c r="H24" s="437"/>
      <c r="I24" s="437"/>
      <c r="J24" s="437"/>
      <c r="K24" s="437"/>
      <c r="L24" s="437"/>
      <c r="M24" s="437"/>
      <c r="N24" s="437"/>
      <c r="O24" s="438"/>
      <c r="Q24" s="143"/>
      <c r="R24" s="12"/>
      <c r="S24" s="13"/>
      <c r="T24" s="13"/>
    </row>
    <row r="25" spans="1:20" ht="27" customHeight="1">
      <c r="A25" s="63" t="str">
        <f t="shared" ref="A25:A26" si="16">B25&amp;C25</f>
        <v>SIURB EDIF4050004</v>
      </c>
      <c r="B25" s="17" t="s">
        <v>24</v>
      </c>
      <c r="C25" s="341">
        <v>4050004</v>
      </c>
      <c r="D25" s="11">
        <f>$D$20</f>
        <v>2</v>
      </c>
      <c r="E25" s="353" t="s">
        <v>22</v>
      </c>
      <c r="F25" s="353">
        <v>3</v>
      </c>
      <c r="G25" s="353"/>
      <c r="H25" s="353"/>
      <c r="I25" s="145" t="e">
        <f>INDEX(#REF!,MATCH(A25,#REF!,0),0)</f>
        <v>#REF!</v>
      </c>
      <c r="J25" s="144" t="e">
        <f>INDEX(#REF!,MATCH(A25,#REF!,0),0)</f>
        <v>#REF!</v>
      </c>
      <c r="K25" s="142">
        <v>0.11</v>
      </c>
      <c r="L25" s="143" t="e">
        <f>INDEX(#REF!,MATCH(A25,#REF!,0),0)</f>
        <v>#REF!</v>
      </c>
      <c r="M25" s="12">
        <f t="shared" si="9"/>
        <v>1.25</v>
      </c>
      <c r="N25" s="13" t="e">
        <f t="shared" ref="N25:N26" si="17">ROUND(L25*M25,2)</f>
        <v>#REF!</v>
      </c>
      <c r="O25" s="13" t="e">
        <f t="shared" ref="O25:O26" si="18">ROUND(K25*N25,2)</f>
        <v>#REF!</v>
      </c>
      <c r="Q25" s="143" t="e">
        <f>INDEX(#REF!,MATCH(A25,#REF!,0),0)</f>
        <v>#REF!</v>
      </c>
      <c r="R25" s="12">
        <f t="shared" si="12"/>
        <v>1.2757000000000001</v>
      </c>
      <c r="S25" s="13" t="e">
        <f>ROUND(Q25*R25,2)</f>
        <v>#REF!</v>
      </c>
      <c r="T25" s="13" t="e">
        <f>ROUND(K25*S25,2)</f>
        <v>#REF!</v>
      </c>
    </row>
    <row r="26" spans="1:20" ht="27" customHeight="1">
      <c r="A26" s="63" t="str">
        <f t="shared" si="16"/>
        <v>CDHU04.14.020</v>
      </c>
      <c r="B26" s="17" t="s">
        <v>29</v>
      </c>
      <c r="C26" s="341" t="s">
        <v>30</v>
      </c>
      <c r="D26" s="11">
        <f t="shared" si="13"/>
        <v>2</v>
      </c>
      <c r="E26" s="353" t="s">
        <v>22</v>
      </c>
      <c r="F26" s="353">
        <f>F25+1</f>
        <v>4</v>
      </c>
      <c r="G26" s="353"/>
      <c r="H26" s="353"/>
      <c r="I26" s="145" t="e">
        <f>INDEX(#REF!,MATCH(A26,#REF!,0),0)</f>
        <v>#REF!</v>
      </c>
      <c r="J26" s="144" t="e">
        <f>INDEX(#REF!,MATCH(A26,#REF!,0),0)</f>
        <v>#REF!</v>
      </c>
      <c r="K26" s="142">
        <v>1</v>
      </c>
      <c r="L26" s="143" t="e">
        <f>INDEX(#REF!,MATCH(A26,#REF!,0),0)</f>
        <v>#REF!</v>
      </c>
      <c r="M26" s="12">
        <f t="shared" si="9"/>
        <v>1.25</v>
      </c>
      <c r="N26" s="13" t="e">
        <f t="shared" si="17"/>
        <v>#REF!</v>
      </c>
      <c r="O26" s="13" t="e">
        <f t="shared" si="18"/>
        <v>#REF!</v>
      </c>
      <c r="Q26" s="143" t="e">
        <f>INDEX(#REF!,MATCH(A26,#REF!,0),0)</f>
        <v>#REF!</v>
      </c>
      <c r="R26" s="12">
        <f t="shared" si="12"/>
        <v>1.2757000000000001</v>
      </c>
      <c r="S26" s="13" t="e">
        <f t="shared" ref="S26" si="19">ROUND(Q26*R26,2)</f>
        <v>#REF!</v>
      </c>
      <c r="T26" s="13" t="e">
        <f t="shared" ref="T26" si="20">ROUND(K26*S26,2)</f>
        <v>#REF!</v>
      </c>
    </row>
    <row r="27" spans="1:20" ht="20.25" customHeight="1">
      <c r="C27" s="341"/>
      <c r="D27" s="436" t="s">
        <v>32</v>
      </c>
      <c r="E27" s="437"/>
      <c r="F27" s="437"/>
      <c r="G27" s="437"/>
      <c r="H27" s="437"/>
      <c r="I27" s="437"/>
      <c r="J27" s="437"/>
      <c r="K27" s="437"/>
      <c r="L27" s="437"/>
      <c r="M27" s="437"/>
      <c r="N27" s="437"/>
      <c r="O27" s="438"/>
      <c r="Q27" s="143"/>
      <c r="R27" s="12"/>
      <c r="S27" s="13"/>
      <c r="T27" s="13"/>
    </row>
    <row r="28" spans="1:20" ht="28.5" customHeight="1">
      <c r="A28" s="63" t="str">
        <f t="shared" si="8"/>
        <v>CDHU04.01.040</v>
      </c>
      <c r="B28" s="17" t="s">
        <v>29</v>
      </c>
      <c r="C28" s="341" t="s">
        <v>33</v>
      </c>
      <c r="D28" s="11">
        <f t="shared" si="13"/>
        <v>2</v>
      </c>
      <c r="E28" s="353" t="s">
        <v>22</v>
      </c>
      <c r="F28" s="353">
        <f>F26+1</f>
        <v>5</v>
      </c>
      <c r="G28" s="353"/>
      <c r="H28" s="353"/>
      <c r="I28" s="145" t="e">
        <f>INDEX(#REF!,MATCH(A28,#REF!,0),0)</f>
        <v>#REF!</v>
      </c>
      <c r="J28" s="144" t="e">
        <f>INDEX(#REF!,MATCH(A28,#REF!,0),0)</f>
        <v>#REF!</v>
      </c>
      <c r="K28" s="142">
        <v>6.51</v>
      </c>
      <c r="L28" s="143" t="e">
        <f>INDEX(#REF!,MATCH(A28,#REF!,0),0)</f>
        <v>#REF!</v>
      </c>
      <c r="M28" s="12">
        <f t="shared" si="9"/>
        <v>1.25</v>
      </c>
      <c r="N28" s="13" t="e">
        <f t="shared" si="10"/>
        <v>#REF!</v>
      </c>
      <c r="O28" s="13" t="e">
        <f t="shared" si="11"/>
        <v>#REF!</v>
      </c>
      <c r="Q28" s="143" t="e">
        <f>INDEX(#REF!,MATCH(A28,#REF!,0),0)</f>
        <v>#REF!</v>
      </c>
      <c r="R28" s="12">
        <f t="shared" si="12"/>
        <v>1.2757000000000001</v>
      </c>
      <c r="S28" s="13" t="e">
        <f t="shared" si="14"/>
        <v>#REF!</v>
      </c>
      <c r="T28" s="13" t="e">
        <f t="shared" si="15"/>
        <v>#REF!</v>
      </c>
    </row>
    <row r="29" spans="1:20" ht="20.25" customHeight="1">
      <c r="C29" s="341"/>
      <c r="D29" s="436" t="s">
        <v>34</v>
      </c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8"/>
      <c r="Q29" s="143"/>
      <c r="R29" s="12"/>
      <c r="S29" s="13"/>
      <c r="T29" s="13"/>
    </row>
    <row r="30" spans="1:20" ht="28.5" customHeight="1">
      <c r="A30" s="63" t="str">
        <f t="shared" ref="A30" si="21">B30&amp;C30</f>
        <v>CDHU04.01.040</v>
      </c>
      <c r="B30" s="17" t="s">
        <v>29</v>
      </c>
      <c r="C30" s="341" t="s">
        <v>33</v>
      </c>
      <c r="D30" s="11">
        <f t="shared" si="13"/>
        <v>2</v>
      </c>
      <c r="E30" s="353" t="s">
        <v>22</v>
      </c>
      <c r="F30" s="353">
        <f>F28+1</f>
        <v>6</v>
      </c>
      <c r="G30" s="353"/>
      <c r="H30" s="353"/>
      <c r="I30" s="145" t="e">
        <f>INDEX(#REF!,MATCH(A30,#REF!,0),0)</f>
        <v>#REF!</v>
      </c>
      <c r="J30" s="144" t="e">
        <f>INDEX(#REF!,MATCH(A30,#REF!,0),0)</f>
        <v>#REF!</v>
      </c>
      <c r="K30" s="142">
        <v>6.3</v>
      </c>
      <c r="L30" s="143" t="e">
        <f>INDEX(#REF!,MATCH(A30,#REF!,0),0)</f>
        <v>#REF!</v>
      </c>
      <c r="M30" s="12">
        <f t="shared" si="9"/>
        <v>1.25</v>
      </c>
      <c r="N30" s="13" t="e">
        <f t="shared" ref="N30" si="22">ROUND(L30*M30,2)</f>
        <v>#REF!</v>
      </c>
      <c r="O30" s="13" t="e">
        <f t="shared" ref="O30" si="23">ROUND(K30*N30,2)</f>
        <v>#REF!</v>
      </c>
      <c r="Q30" s="143" t="e">
        <f>INDEX(#REF!,MATCH(A30,#REF!,0),0)</f>
        <v>#REF!</v>
      </c>
      <c r="R30" s="12">
        <f t="shared" si="12"/>
        <v>1.2757000000000001</v>
      </c>
      <c r="S30" s="13" t="e">
        <f t="shared" ref="S30" si="24">ROUND(Q30*R30,2)</f>
        <v>#REF!</v>
      </c>
      <c r="T30" s="13" t="e">
        <f t="shared" ref="T30" si="25">ROUND(K30*S30,2)</f>
        <v>#REF!</v>
      </c>
    </row>
    <row r="31" spans="1:20" ht="20.25" customHeight="1">
      <c r="C31" s="341"/>
      <c r="D31" s="436" t="s">
        <v>35</v>
      </c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8"/>
      <c r="Q31" s="143"/>
      <c r="R31" s="12"/>
      <c r="S31" s="13"/>
      <c r="T31" s="13"/>
    </row>
    <row r="32" spans="1:20" ht="28.5" customHeight="1">
      <c r="A32" s="63" t="str">
        <f>B32&amp;C32</f>
        <v>SIURB EDIF17050015</v>
      </c>
      <c r="B32" s="17" t="s">
        <v>24</v>
      </c>
      <c r="C32" s="341">
        <v>17050015</v>
      </c>
      <c r="D32" s="11">
        <f t="shared" si="13"/>
        <v>2</v>
      </c>
      <c r="E32" s="353" t="s">
        <v>22</v>
      </c>
      <c r="F32" s="353">
        <f>F30+1</f>
        <v>7</v>
      </c>
      <c r="G32" s="353"/>
      <c r="H32" s="353"/>
      <c r="I32" s="145" t="e">
        <f>INDEX(#REF!,MATCH(A32,#REF!,0),0)</f>
        <v>#REF!</v>
      </c>
      <c r="J32" s="144" t="e">
        <f>INDEX(#REF!,MATCH(A32,#REF!,0),0)</f>
        <v>#REF!</v>
      </c>
      <c r="K32" s="142">
        <v>24.85</v>
      </c>
      <c r="L32" s="143" t="e">
        <f>INDEX(#REF!,MATCH(A32,#REF!,0),0)</f>
        <v>#REF!</v>
      </c>
      <c r="M32" s="12">
        <f t="shared" si="9"/>
        <v>1.25</v>
      </c>
      <c r="N32" s="13" t="e">
        <f t="shared" ref="N32" si="26">ROUND(L32*M32,2)</f>
        <v>#REF!</v>
      </c>
      <c r="O32" s="13" t="e">
        <f t="shared" ref="O32" si="27">ROUND(K32*N32,2)</f>
        <v>#REF!</v>
      </c>
      <c r="Q32" s="143" t="e">
        <f>INDEX(#REF!,MATCH(A32,#REF!,0),0)</f>
        <v>#REF!</v>
      </c>
      <c r="R32" s="12">
        <f t="shared" si="12"/>
        <v>1.2757000000000001</v>
      </c>
      <c r="S32" s="13" t="e">
        <f t="shared" ref="S32" si="28">ROUND(Q32*R32,2)</f>
        <v>#REF!</v>
      </c>
      <c r="T32" s="13" t="e">
        <f t="shared" ref="T32" si="29">ROUND(K32*S32,2)</f>
        <v>#REF!</v>
      </c>
    </row>
    <row r="33" spans="1:20" ht="20.25" customHeight="1">
      <c r="C33" s="341"/>
      <c r="D33" s="436" t="s">
        <v>36</v>
      </c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8"/>
      <c r="Q33" s="143"/>
      <c r="R33" s="12"/>
      <c r="S33" s="13"/>
      <c r="T33" s="13"/>
    </row>
    <row r="34" spans="1:20" ht="28.5" customHeight="1">
      <c r="A34" s="63" t="str">
        <f>B34&amp;C34</f>
        <v>SIURB EDIF13050001</v>
      </c>
      <c r="B34" s="17" t="s">
        <v>24</v>
      </c>
      <c r="C34" s="341">
        <v>13050001</v>
      </c>
      <c r="D34" s="11">
        <f t="shared" si="13"/>
        <v>2</v>
      </c>
      <c r="E34" s="353" t="s">
        <v>22</v>
      </c>
      <c r="F34" s="353">
        <f>F32+1</f>
        <v>8</v>
      </c>
      <c r="G34" s="353"/>
      <c r="H34" s="353"/>
      <c r="I34" s="145" t="e">
        <f>INDEX(#REF!,MATCH(A34,#REF!,0),0)</f>
        <v>#REF!</v>
      </c>
      <c r="J34" s="144" t="e">
        <f>INDEX(#REF!,MATCH(A34,#REF!,0),0)</f>
        <v>#REF!</v>
      </c>
      <c r="K34" s="142">
        <v>9.85</v>
      </c>
      <c r="L34" s="143" t="e">
        <f>INDEX(#REF!,MATCH(A34,#REF!,0),0)</f>
        <v>#REF!</v>
      </c>
      <c r="M34" s="12">
        <f t="shared" si="9"/>
        <v>1.25</v>
      </c>
      <c r="N34" s="13" t="e">
        <f t="shared" ref="N34" si="30">ROUND(L34*M34,2)</f>
        <v>#REF!</v>
      </c>
      <c r="O34" s="13" t="e">
        <f t="shared" ref="O34" si="31">ROUND(K34*N34,2)</f>
        <v>#REF!</v>
      </c>
      <c r="Q34" s="143" t="e">
        <f>INDEX(#REF!,MATCH(A34,#REF!,0),0)</f>
        <v>#REF!</v>
      </c>
      <c r="R34" s="12">
        <f t="shared" si="12"/>
        <v>1.2757000000000001</v>
      </c>
      <c r="S34" s="13" t="e">
        <f t="shared" ref="S34" si="32">ROUND(Q34*R34,2)</f>
        <v>#REF!</v>
      </c>
      <c r="T34" s="13" t="e">
        <f t="shared" ref="T34" si="33">ROUND(K34*S34,2)</f>
        <v>#REF!</v>
      </c>
    </row>
    <row r="35" spans="1:20" ht="20.25" customHeight="1">
      <c r="C35" s="341"/>
      <c r="D35" s="436" t="s">
        <v>37</v>
      </c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8"/>
      <c r="Q35" s="143"/>
      <c r="R35" s="12"/>
      <c r="S35" s="13"/>
      <c r="T35" s="13"/>
    </row>
    <row r="36" spans="1:20" ht="28.5" customHeight="1">
      <c r="A36" s="63" t="str">
        <f>B36&amp;C36</f>
        <v>FDE08.60.013</v>
      </c>
      <c r="B36" s="17" t="s">
        <v>38</v>
      </c>
      <c r="C36" s="341" t="s">
        <v>39</v>
      </c>
      <c r="D36" s="11">
        <f t="shared" si="13"/>
        <v>2</v>
      </c>
      <c r="E36" s="353" t="s">
        <v>22</v>
      </c>
      <c r="F36" s="353">
        <f>F34+1</f>
        <v>9</v>
      </c>
      <c r="G36" s="353"/>
      <c r="H36" s="353"/>
      <c r="I36" s="145" t="e">
        <f>INDEX(#REF!,MATCH(A36,#REF!,0),0)</f>
        <v>#REF!</v>
      </c>
      <c r="J36" s="144" t="e">
        <f>INDEX(#REF!,MATCH(A36,#REF!,0),0)</f>
        <v>#REF!</v>
      </c>
      <c r="K36" s="142">
        <v>3</v>
      </c>
      <c r="L36" s="143" t="e">
        <f>INDEX(#REF!,MATCH(A36,#REF!,0),0)</f>
        <v>#REF!</v>
      </c>
      <c r="M36" s="12">
        <f t="shared" si="9"/>
        <v>1.25</v>
      </c>
      <c r="N36" s="13" t="e">
        <f t="shared" ref="N36" si="34">ROUND(L36*M36,2)</f>
        <v>#REF!</v>
      </c>
      <c r="O36" s="13" t="e">
        <f t="shared" ref="O36" si="35">ROUND(K36*N36,2)</f>
        <v>#REF!</v>
      </c>
      <c r="Q36" s="143" t="e">
        <f>INDEX(#REF!,MATCH(A36,#REF!,0),0)</f>
        <v>#REF!</v>
      </c>
      <c r="R36" s="12">
        <f t="shared" si="12"/>
        <v>1.2757000000000001</v>
      </c>
      <c r="S36" s="13" t="e">
        <f t="shared" ref="S36" si="36">ROUND(Q36*R36,2)</f>
        <v>#REF!</v>
      </c>
      <c r="T36" s="13" t="e">
        <f t="shared" ref="T36" si="37">ROUND(K36*S36,2)</f>
        <v>#REF!</v>
      </c>
    </row>
    <row r="37" spans="1:20" ht="20.25" customHeight="1">
      <c r="C37" s="341"/>
      <c r="D37" s="436" t="s">
        <v>40</v>
      </c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8"/>
      <c r="Q37" s="143"/>
      <c r="R37" s="12"/>
      <c r="S37" s="13"/>
      <c r="T37" s="13"/>
    </row>
    <row r="38" spans="1:20" ht="28.5" customHeight="1">
      <c r="A38" s="63" t="str">
        <f>B38&amp;C38</f>
        <v>SIURB EDIF1001007</v>
      </c>
      <c r="B38" s="17" t="s">
        <v>24</v>
      </c>
      <c r="C38" s="341">
        <v>1001007</v>
      </c>
      <c r="D38" s="11">
        <f t="shared" si="13"/>
        <v>2</v>
      </c>
      <c r="E38" s="353" t="s">
        <v>22</v>
      </c>
      <c r="F38" s="353">
        <f>F36+1</f>
        <v>10</v>
      </c>
      <c r="G38" s="353"/>
      <c r="H38" s="353"/>
      <c r="I38" s="145" t="e">
        <f>INDEX(#REF!,MATCH(A38,#REF!,0),0)</f>
        <v>#REF!</v>
      </c>
      <c r="J38" s="144" t="e">
        <f>INDEX(#REF!,MATCH(A38,#REF!,0),0)</f>
        <v>#REF!</v>
      </c>
      <c r="K38" s="142">
        <v>14.75</v>
      </c>
      <c r="L38" s="143" t="e">
        <f>INDEX(#REF!,MATCH(A38,#REF!,0),0)</f>
        <v>#REF!</v>
      </c>
      <c r="M38" s="12">
        <f t="shared" si="9"/>
        <v>1.25</v>
      </c>
      <c r="N38" s="13" t="e">
        <f t="shared" ref="N38" si="38">ROUND(L38*M38,2)</f>
        <v>#REF!</v>
      </c>
      <c r="O38" s="13" t="e">
        <f t="shared" ref="O38" si="39">ROUND(K38*N38,2)</f>
        <v>#REF!</v>
      </c>
      <c r="Q38" s="143" t="e">
        <f>INDEX(#REF!,MATCH(A38,#REF!,0),0)</f>
        <v>#REF!</v>
      </c>
      <c r="R38" s="12">
        <f t="shared" si="12"/>
        <v>1.2757000000000001</v>
      </c>
      <c r="S38" s="13" t="e">
        <f t="shared" ref="S38" si="40">ROUND(Q38*R38,2)</f>
        <v>#REF!</v>
      </c>
      <c r="T38" s="13" t="e">
        <f t="shared" ref="T38" si="41">ROUND(K38*S38,2)</f>
        <v>#REF!</v>
      </c>
    </row>
    <row r="39" spans="1:20" s="170" customFormat="1" ht="12.75">
      <c r="A39" s="63" t="str">
        <f t="shared" ref="A39:A44" si="42">B39&amp;C39</f>
        <v/>
      </c>
      <c r="B39" s="17"/>
      <c r="C39" s="341"/>
      <c r="D39" s="10"/>
      <c r="E39" s="347"/>
      <c r="F39" s="347"/>
      <c r="G39" s="347"/>
      <c r="H39" s="347"/>
      <c r="I39" s="434" t="s">
        <v>25</v>
      </c>
      <c r="J39" s="434"/>
      <c r="K39" s="434"/>
      <c r="L39" s="434"/>
      <c r="M39" s="434"/>
      <c r="N39" s="434"/>
      <c r="O39" s="352" t="e">
        <f>SUM(O22:O38)</f>
        <v>#REF!</v>
      </c>
      <c r="Q39" s="349"/>
      <c r="R39" s="350"/>
      <c r="S39" s="351"/>
      <c r="T39" s="352" t="e">
        <f>SUM(T22:T38)</f>
        <v>#REF!</v>
      </c>
    </row>
    <row r="40" spans="1:20" s="170" customFormat="1" ht="19.5" customHeight="1">
      <c r="A40" s="63" t="str">
        <f t="shared" si="42"/>
        <v/>
      </c>
      <c r="B40" s="17"/>
      <c r="C40" s="341"/>
      <c r="D40" s="10">
        <v>3</v>
      </c>
      <c r="E40" s="347" t="s">
        <v>22</v>
      </c>
      <c r="F40" s="347">
        <v>0</v>
      </c>
      <c r="G40" s="347"/>
      <c r="H40" s="347"/>
      <c r="I40" s="348" t="s">
        <v>41</v>
      </c>
      <c r="J40" s="347"/>
      <c r="K40" s="349"/>
      <c r="L40" s="349"/>
      <c r="M40" s="350"/>
      <c r="N40" s="351"/>
      <c r="O40" s="352"/>
      <c r="Q40" s="349"/>
      <c r="R40" s="350"/>
      <c r="S40" s="351"/>
      <c r="T40" s="352"/>
    </row>
    <row r="41" spans="1:20" ht="20.25" customHeight="1">
      <c r="C41" s="341"/>
      <c r="D41" s="436" t="s">
        <v>27</v>
      </c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8"/>
      <c r="Q41" s="143"/>
      <c r="R41" s="12"/>
      <c r="S41" s="13"/>
      <c r="T41" s="13"/>
    </row>
    <row r="42" spans="1:20" ht="38.25" customHeight="1">
      <c r="A42" s="63" t="str">
        <f t="shared" si="42"/>
        <v>FDE05.05.086</v>
      </c>
      <c r="B42" s="17" t="s">
        <v>38</v>
      </c>
      <c r="C42" s="341" t="s">
        <v>71</v>
      </c>
      <c r="D42" s="11">
        <f>$D$40</f>
        <v>3</v>
      </c>
      <c r="E42" s="353" t="s">
        <v>22</v>
      </c>
      <c r="F42" s="353">
        <v>1</v>
      </c>
      <c r="G42" s="353"/>
      <c r="H42" s="353"/>
      <c r="I42" s="145" t="e">
        <f>INDEX(#REF!,MATCH(A42,#REF!,0),0)</f>
        <v>#REF!</v>
      </c>
      <c r="J42" s="144" t="e">
        <f>INDEX(#REF!,MATCH(A42,#REF!,0),0)</f>
        <v>#REF!</v>
      </c>
      <c r="K42" s="142">
        <v>1</v>
      </c>
      <c r="L42" s="143" t="e">
        <f>INDEX(#REF!,MATCH(A42,#REF!,0),0)</f>
        <v>#REF!</v>
      </c>
      <c r="M42" s="12">
        <f t="shared" ref="M42:M79" si="43">1+$O$11</f>
        <v>1.25</v>
      </c>
      <c r="N42" s="13" t="e">
        <f t="shared" ref="N42:N44" si="44">ROUND(L42*M42,2)</f>
        <v>#REF!</v>
      </c>
      <c r="O42" s="13" t="e">
        <f t="shared" ref="O42:O44" si="45">ROUND(K42*N42,2)</f>
        <v>#REF!</v>
      </c>
      <c r="Q42" s="143" t="e">
        <f>INDEX(#REF!,MATCH(A42,#REF!,0),0)</f>
        <v>#REF!</v>
      </c>
      <c r="R42" s="12">
        <f t="shared" ref="R42:R79" si="46">1+$T$11</f>
        <v>1.2757000000000001</v>
      </c>
      <c r="S42" s="13" t="e">
        <f>ROUND(Q42*R42,2)</f>
        <v>#REF!</v>
      </c>
      <c r="T42" s="13" t="e">
        <f>ROUND(K42*S42,2)</f>
        <v>#REF!</v>
      </c>
    </row>
    <row r="43" spans="1:20" ht="38.25" customHeight="1">
      <c r="A43" s="63" t="str">
        <f t="shared" si="42"/>
        <v>SIURB EDIF13002043</v>
      </c>
      <c r="B43" s="17" t="s">
        <v>24</v>
      </c>
      <c r="C43" s="341">
        <v>13002043</v>
      </c>
      <c r="D43" s="11">
        <f t="shared" ref="D43:D79" si="47">$D$40</f>
        <v>3</v>
      </c>
      <c r="E43" s="353" t="s">
        <v>22</v>
      </c>
      <c r="F43" s="353">
        <v>2</v>
      </c>
      <c r="G43" s="353"/>
      <c r="H43" s="353"/>
      <c r="I43" s="145" t="e">
        <f>INDEX(#REF!,MATCH(A43,#REF!,0),0)</f>
        <v>#REF!</v>
      </c>
      <c r="J43" s="144" t="e">
        <f>INDEX(#REF!,MATCH(A43,#REF!,0),0)</f>
        <v>#REF!</v>
      </c>
      <c r="K43" s="142">
        <v>0.9</v>
      </c>
      <c r="L43" s="143" t="e">
        <f>INDEX(#REF!,MATCH(A43,#REF!,0),0)</f>
        <v>#REF!</v>
      </c>
      <c r="M43" s="12">
        <f t="shared" si="43"/>
        <v>1.25</v>
      </c>
      <c r="N43" s="13" t="e">
        <f t="shared" si="44"/>
        <v>#REF!</v>
      </c>
      <c r="O43" s="13" t="e">
        <f t="shared" si="45"/>
        <v>#REF!</v>
      </c>
      <c r="Q43" s="143" t="e">
        <f>INDEX(#REF!,MATCH(A43,#REF!,0),0)</f>
        <v>#REF!</v>
      </c>
      <c r="R43" s="12">
        <f t="shared" si="46"/>
        <v>1.2757000000000001</v>
      </c>
      <c r="S43" s="13" t="e">
        <f t="shared" ref="S43:S44" si="48">ROUND(Q43*R43,2)</f>
        <v>#REF!</v>
      </c>
      <c r="T43" s="13" t="e">
        <f t="shared" ref="T43:T44" si="49">ROUND(K43*S43,2)</f>
        <v>#REF!</v>
      </c>
    </row>
    <row r="44" spans="1:20" ht="38.25" customHeight="1">
      <c r="A44" s="63" t="str">
        <f t="shared" si="42"/>
        <v>CDHU26.20.020</v>
      </c>
      <c r="B44" s="17" t="s">
        <v>29</v>
      </c>
      <c r="C44" s="341" t="s">
        <v>42</v>
      </c>
      <c r="D44" s="11">
        <f t="shared" si="47"/>
        <v>3</v>
      </c>
      <c r="E44" s="353" t="s">
        <v>22</v>
      </c>
      <c r="F44" s="353">
        <v>3</v>
      </c>
      <c r="G44" s="353"/>
      <c r="H44" s="353"/>
      <c r="I44" s="145" t="e">
        <f>INDEX(#REF!,MATCH(A44,#REF!,0),0)</f>
        <v>#REF!</v>
      </c>
      <c r="J44" s="144" t="e">
        <f>INDEX(#REF!,MATCH(A44,#REF!,0),0)</f>
        <v>#REF!</v>
      </c>
      <c r="K44" s="142">
        <v>2</v>
      </c>
      <c r="L44" s="143" t="e">
        <f>INDEX(#REF!,MATCH(A44,#REF!,0),0)</f>
        <v>#REF!</v>
      </c>
      <c r="M44" s="12">
        <f t="shared" si="43"/>
        <v>1.25</v>
      </c>
      <c r="N44" s="13" t="e">
        <f t="shared" si="44"/>
        <v>#REF!</v>
      </c>
      <c r="O44" s="13" t="e">
        <f t="shared" si="45"/>
        <v>#REF!</v>
      </c>
      <c r="Q44" s="143" t="e">
        <f>INDEX(#REF!,MATCH(A44,#REF!,0),0)</f>
        <v>#REF!</v>
      </c>
      <c r="R44" s="12">
        <f t="shared" si="46"/>
        <v>1.2757000000000001</v>
      </c>
      <c r="S44" s="13" t="e">
        <f t="shared" si="48"/>
        <v>#REF!</v>
      </c>
      <c r="T44" s="13" t="e">
        <f t="shared" si="49"/>
        <v>#REF!</v>
      </c>
    </row>
    <row r="45" spans="1:20" ht="20.25" customHeight="1">
      <c r="C45" s="341"/>
      <c r="D45" s="436" t="s">
        <v>31</v>
      </c>
      <c r="E45" s="437"/>
      <c r="F45" s="437"/>
      <c r="G45" s="437"/>
      <c r="H45" s="437"/>
      <c r="I45" s="437"/>
      <c r="J45" s="437"/>
      <c r="K45" s="437"/>
      <c r="L45" s="437"/>
      <c r="M45" s="437"/>
      <c r="N45" s="437"/>
      <c r="O45" s="438"/>
      <c r="Q45" s="143"/>
      <c r="R45" s="12"/>
      <c r="S45" s="13"/>
      <c r="T45" s="13"/>
    </row>
    <row r="46" spans="1:20" ht="38.25" customHeight="1">
      <c r="A46" s="63" t="str">
        <f t="shared" ref="A46:A48" si="50">B46&amp;C46</f>
        <v>FDE05.05.086</v>
      </c>
      <c r="B46" s="17" t="s">
        <v>38</v>
      </c>
      <c r="C46" s="341" t="s">
        <v>71</v>
      </c>
      <c r="D46" s="11">
        <f>$D$40</f>
        <v>3</v>
      </c>
      <c r="E46" s="353" t="s">
        <v>22</v>
      </c>
      <c r="F46" s="353">
        <v>4</v>
      </c>
      <c r="G46" s="353"/>
      <c r="H46" s="353"/>
      <c r="I46" s="145" t="e">
        <f>INDEX(#REF!,MATCH(A46,#REF!,0),0)</f>
        <v>#REF!</v>
      </c>
      <c r="J46" s="144" t="e">
        <f>INDEX(#REF!,MATCH(A46,#REF!,0),0)</f>
        <v>#REF!</v>
      </c>
      <c r="K46" s="142">
        <v>1</v>
      </c>
      <c r="L46" s="143" t="e">
        <f>INDEX(#REF!,MATCH(A46,#REF!,0),0)</f>
        <v>#REF!</v>
      </c>
      <c r="M46" s="12">
        <f t="shared" si="43"/>
        <v>1.25</v>
      </c>
      <c r="N46" s="13" t="e">
        <f t="shared" ref="N46:N48" si="51">ROUND(L46*M46,2)</f>
        <v>#REF!</v>
      </c>
      <c r="O46" s="13" t="e">
        <f t="shared" ref="O46:O48" si="52">ROUND(K46*N46,2)</f>
        <v>#REF!</v>
      </c>
      <c r="Q46" s="143" t="e">
        <f>INDEX(#REF!,MATCH(A46,#REF!,0),0)</f>
        <v>#REF!</v>
      </c>
      <c r="R46" s="12">
        <f t="shared" si="46"/>
        <v>1.2757000000000001</v>
      </c>
      <c r="S46" s="13" t="e">
        <f>ROUND(Q46*R46,2)</f>
        <v>#REF!</v>
      </c>
      <c r="T46" s="13" t="e">
        <f>ROUND(K46*S46,2)</f>
        <v>#REF!</v>
      </c>
    </row>
    <row r="47" spans="1:20" ht="38.25" customHeight="1">
      <c r="A47" s="63" t="str">
        <f t="shared" si="50"/>
        <v>SIURB EDIF13002043</v>
      </c>
      <c r="B47" s="17" t="s">
        <v>24</v>
      </c>
      <c r="C47" s="341">
        <v>13002043</v>
      </c>
      <c r="D47" s="11">
        <f t="shared" si="47"/>
        <v>3</v>
      </c>
      <c r="E47" s="353" t="s">
        <v>22</v>
      </c>
      <c r="F47" s="353">
        <v>5</v>
      </c>
      <c r="G47" s="353"/>
      <c r="H47" s="353"/>
      <c r="I47" s="145" t="e">
        <f>INDEX(#REF!,MATCH(A47,#REF!,0),0)</f>
        <v>#REF!</v>
      </c>
      <c r="J47" s="144" t="e">
        <f>INDEX(#REF!,MATCH(A47,#REF!,0),0)</f>
        <v>#REF!</v>
      </c>
      <c r="K47" s="142">
        <v>0.9</v>
      </c>
      <c r="L47" s="143" t="e">
        <f>INDEX(#REF!,MATCH(A47,#REF!,0),0)</f>
        <v>#REF!</v>
      </c>
      <c r="M47" s="12">
        <f t="shared" si="43"/>
        <v>1.25</v>
      </c>
      <c r="N47" s="13" t="e">
        <f t="shared" si="51"/>
        <v>#REF!</v>
      </c>
      <c r="O47" s="13" t="e">
        <f t="shared" si="52"/>
        <v>#REF!</v>
      </c>
      <c r="Q47" s="143" t="e">
        <f>INDEX(#REF!,MATCH(A47,#REF!,0),0)</f>
        <v>#REF!</v>
      </c>
      <c r="R47" s="12">
        <f t="shared" si="46"/>
        <v>1.2757000000000001</v>
      </c>
      <c r="S47" s="13" t="e">
        <f t="shared" ref="S47:S48" si="53">ROUND(Q47*R47,2)</f>
        <v>#REF!</v>
      </c>
      <c r="T47" s="13" t="e">
        <f t="shared" ref="T47:T48" si="54">ROUND(K47*S47,2)</f>
        <v>#REF!</v>
      </c>
    </row>
    <row r="48" spans="1:20" ht="38.25" customHeight="1">
      <c r="A48" s="63" t="str">
        <f t="shared" si="50"/>
        <v>CDHU26.20.020</v>
      </c>
      <c r="B48" s="17" t="s">
        <v>29</v>
      </c>
      <c r="C48" s="341" t="s">
        <v>42</v>
      </c>
      <c r="D48" s="11">
        <f t="shared" si="47"/>
        <v>3</v>
      </c>
      <c r="E48" s="353" t="s">
        <v>22</v>
      </c>
      <c r="F48" s="353">
        <v>6</v>
      </c>
      <c r="G48" s="353"/>
      <c r="H48" s="353"/>
      <c r="I48" s="145" t="e">
        <f>INDEX(#REF!,MATCH(A48,#REF!,0),0)</f>
        <v>#REF!</v>
      </c>
      <c r="J48" s="144" t="e">
        <f>INDEX(#REF!,MATCH(A48,#REF!,0),0)</f>
        <v>#REF!</v>
      </c>
      <c r="K48" s="142">
        <v>1</v>
      </c>
      <c r="L48" s="143" t="e">
        <f>INDEX(#REF!,MATCH(A48,#REF!,0),0)</f>
        <v>#REF!</v>
      </c>
      <c r="M48" s="12">
        <f t="shared" si="43"/>
        <v>1.25</v>
      </c>
      <c r="N48" s="13" t="e">
        <f t="shared" si="51"/>
        <v>#REF!</v>
      </c>
      <c r="O48" s="13" t="e">
        <f t="shared" si="52"/>
        <v>#REF!</v>
      </c>
      <c r="Q48" s="143" t="e">
        <f>INDEX(#REF!,MATCH(A48,#REF!,0),0)</f>
        <v>#REF!</v>
      </c>
      <c r="R48" s="12">
        <f t="shared" si="46"/>
        <v>1.2757000000000001</v>
      </c>
      <c r="S48" s="13" t="e">
        <f t="shared" si="53"/>
        <v>#REF!</v>
      </c>
      <c r="T48" s="13" t="e">
        <f t="shared" si="54"/>
        <v>#REF!</v>
      </c>
    </row>
    <row r="49" spans="1:20" ht="20.25" customHeight="1">
      <c r="C49" s="341"/>
      <c r="D49" s="436" t="s">
        <v>32</v>
      </c>
      <c r="E49" s="437"/>
      <c r="F49" s="437"/>
      <c r="G49" s="437"/>
      <c r="H49" s="437"/>
      <c r="I49" s="437"/>
      <c r="J49" s="437"/>
      <c r="K49" s="437"/>
      <c r="L49" s="437"/>
      <c r="M49" s="437"/>
      <c r="N49" s="437"/>
      <c r="O49" s="438"/>
      <c r="Q49" s="143"/>
      <c r="R49" s="12"/>
      <c r="S49" s="13"/>
      <c r="T49" s="13"/>
    </row>
    <row r="50" spans="1:20" ht="38.25" customHeight="1">
      <c r="A50" s="63" t="str">
        <f t="shared" ref="A50:A53" si="55">B50&amp;C50</f>
        <v>SIURB EDIF4001051</v>
      </c>
      <c r="B50" s="17" t="s">
        <v>24</v>
      </c>
      <c r="C50" s="341">
        <v>4001051</v>
      </c>
      <c r="D50" s="11">
        <f>$D$40</f>
        <v>3</v>
      </c>
      <c r="E50" s="353" t="s">
        <v>22</v>
      </c>
      <c r="F50" s="353">
        <v>7</v>
      </c>
      <c r="G50" s="353"/>
      <c r="H50" s="353"/>
      <c r="I50" s="145" t="e">
        <f>INDEX(#REF!,MATCH(A50,#REF!,0),0)</f>
        <v>#REF!</v>
      </c>
      <c r="J50" s="144" t="e">
        <f>INDEX(#REF!,MATCH(A50,#REF!,0),0)</f>
        <v>#REF!</v>
      </c>
      <c r="K50" s="142">
        <v>1.17</v>
      </c>
      <c r="L50" s="143" t="e">
        <f>INDEX(#REF!,MATCH(A50,#REF!,0),0)</f>
        <v>#REF!</v>
      </c>
      <c r="M50" s="12">
        <f t="shared" si="43"/>
        <v>1.25</v>
      </c>
      <c r="N50" s="13" t="e">
        <f t="shared" ref="N50:N53" si="56">ROUND(L50*M50,2)</f>
        <v>#REF!</v>
      </c>
      <c r="O50" s="13" t="e">
        <f t="shared" ref="O50:O53" si="57">ROUND(K50*N50,2)</f>
        <v>#REF!</v>
      </c>
      <c r="Q50" s="143" t="e">
        <f>INDEX(#REF!,MATCH(A50,#REF!,0),0)</f>
        <v>#REF!</v>
      </c>
      <c r="R50" s="12">
        <f t="shared" si="46"/>
        <v>1.2757000000000001</v>
      </c>
      <c r="S50" s="13" t="e">
        <f>ROUND(Q50*R50,2)</f>
        <v>#REF!</v>
      </c>
      <c r="T50" s="13" t="e">
        <f>ROUND(K50*S50,2)</f>
        <v>#REF!</v>
      </c>
    </row>
    <row r="51" spans="1:20" ht="38.25" customHeight="1">
      <c r="A51" s="63" t="str">
        <f t="shared" si="55"/>
        <v>SIURB EDIF11002001</v>
      </c>
      <c r="B51" s="17" t="s">
        <v>24</v>
      </c>
      <c r="C51" s="341">
        <v>11002001</v>
      </c>
      <c r="D51" s="11">
        <f t="shared" si="47"/>
        <v>3</v>
      </c>
      <c r="E51" s="353" t="s">
        <v>22</v>
      </c>
      <c r="F51" s="353">
        <v>8</v>
      </c>
      <c r="G51" s="353"/>
      <c r="H51" s="353"/>
      <c r="I51" s="145" t="e">
        <f>INDEX(#REF!,MATCH(A51,#REF!,0),0)</f>
        <v>#REF!</v>
      </c>
      <c r="J51" s="144" t="e">
        <f>INDEX(#REF!,MATCH(A51,#REF!,0),0)</f>
        <v>#REF!</v>
      </c>
      <c r="K51" s="142">
        <v>3.5</v>
      </c>
      <c r="L51" s="143" t="e">
        <f>INDEX(#REF!,MATCH(A51,#REF!,0),0)</f>
        <v>#REF!</v>
      </c>
      <c r="M51" s="12">
        <f t="shared" si="43"/>
        <v>1.25</v>
      </c>
      <c r="N51" s="13" t="e">
        <f t="shared" si="56"/>
        <v>#REF!</v>
      </c>
      <c r="O51" s="13" t="e">
        <f t="shared" si="57"/>
        <v>#REF!</v>
      </c>
      <c r="Q51" s="143" t="e">
        <f>INDEX(#REF!,MATCH(A51,#REF!,0),0)</f>
        <v>#REF!</v>
      </c>
      <c r="R51" s="12">
        <f t="shared" si="46"/>
        <v>1.2757000000000001</v>
      </c>
      <c r="S51" s="13" t="e">
        <f t="shared" ref="S51:S53" si="58">ROUND(Q51*R51,2)</f>
        <v>#REF!</v>
      </c>
      <c r="T51" s="13" t="e">
        <f t="shared" ref="T51:T53" si="59">ROUND(K51*S51,2)</f>
        <v>#REF!</v>
      </c>
    </row>
    <row r="52" spans="1:20" ht="38.25" customHeight="1">
      <c r="A52" s="63" t="str">
        <f t="shared" si="55"/>
        <v>SIURB EDIF11002010</v>
      </c>
      <c r="B52" s="17" t="s">
        <v>24</v>
      </c>
      <c r="C52" s="341">
        <v>11002010</v>
      </c>
      <c r="D52" s="11">
        <f t="shared" si="47"/>
        <v>3</v>
      </c>
      <c r="E52" s="353" t="s">
        <v>22</v>
      </c>
      <c r="F52" s="353">
        <v>9</v>
      </c>
      <c r="G52" s="353"/>
      <c r="H52" s="353"/>
      <c r="I52" s="145" t="e">
        <f>INDEX(#REF!,MATCH(A52,#REF!,0),0)</f>
        <v>#REF!</v>
      </c>
      <c r="J52" s="144" t="e">
        <f>INDEX(#REF!,MATCH(A52,#REF!,0),0)</f>
        <v>#REF!</v>
      </c>
      <c r="K52" s="142">
        <v>3.5</v>
      </c>
      <c r="L52" s="143" t="e">
        <f>INDEX(#REF!,MATCH(A52,#REF!,0),0)</f>
        <v>#REF!</v>
      </c>
      <c r="M52" s="12">
        <f t="shared" si="43"/>
        <v>1.25</v>
      </c>
      <c r="N52" s="13" t="e">
        <f t="shared" si="56"/>
        <v>#REF!</v>
      </c>
      <c r="O52" s="13" t="e">
        <f t="shared" si="57"/>
        <v>#REF!</v>
      </c>
      <c r="Q52" s="143" t="e">
        <f>INDEX(#REF!,MATCH(A52,#REF!,0),0)</f>
        <v>#REF!</v>
      </c>
      <c r="R52" s="12">
        <f t="shared" si="46"/>
        <v>1.2757000000000001</v>
      </c>
      <c r="S52" s="13" t="e">
        <f t="shared" si="58"/>
        <v>#REF!</v>
      </c>
      <c r="T52" s="13" t="e">
        <f t="shared" si="59"/>
        <v>#REF!</v>
      </c>
    </row>
    <row r="53" spans="1:20" ht="38.25" customHeight="1">
      <c r="A53" s="63" t="str">
        <f t="shared" si="55"/>
        <v>SIURB EDIF13003004</v>
      </c>
      <c r="B53" s="17" t="s">
        <v>24</v>
      </c>
      <c r="C53" s="341">
        <v>13003004</v>
      </c>
      <c r="D53" s="11">
        <f t="shared" si="47"/>
        <v>3</v>
      </c>
      <c r="E53" s="353" t="s">
        <v>22</v>
      </c>
      <c r="F53" s="353">
        <v>10</v>
      </c>
      <c r="G53" s="353"/>
      <c r="H53" s="353"/>
      <c r="I53" s="145" t="e">
        <f>INDEX(#REF!,MATCH(A53,#REF!,0),0)</f>
        <v>#REF!</v>
      </c>
      <c r="J53" s="144" t="e">
        <f>INDEX(#REF!,MATCH(A53,#REF!,0),0)</f>
        <v>#REF!</v>
      </c>
      <c r="K53" s="142">
        <v>11.68</v>
      </c>
      <c r="L53" s="143" t="e">
        <f>INDEX(#REF!,MATCH(A53,#REF!,0),0)</f>
        <v>#REF!</v>
      </c>
      <c r="M53" s="12">
        <f t="shared" si="43"/>
        <v>1.25</v>
      </c>
      <c r="N53" s="13" t="e">
        <f t="shared" si="56"/>
        <v>#REF!</v>
      </c>
      <c r="O53" s="13" t="e">
        <f t="shared" si="57"/>
        <v>#REF!</v>
      </c>
      <c r="Q53" s="143" t="e">
        <f>INDEX(#REF!,MATCH(A53,#REF!,0),0)</f>
        <v>#REF!</v>
      </c>
      <c r="R53" s="12">
        <f t="shared" si="46"/>
        <v>1.2757000000000001</v>
      </c>
      <c r="S53" s="13" t="e">
        <f t="shared" si="58"/>
        <v>#REF!</v>
      </c>
      <c r="T53" s="13" t="e">
        <f t="shared" si="59"/>
        <v>#REF!</v>
      </c>
    </row>
    <row r="54" spans="1:20" ht="38.25" customHeight="1">
      <c r="A54" s="63" t="str">
        <f>B54&amp;C54</f>
        <v>CDHU14.30.190</v>
      </c>
      <c r="B54" s="63" t="s">
        <v>29</v>
      </c>
      <c r="C54" s="63" t="s">
        <v>72</v>
      </c>
      <c r="D54" s="11">
        <f t="shared" si="47"/>
        <v>3</v>
      </c>
      <c r="E54" s="353" t="s">
        <v>22</v>
      </c>
      <c r="F54" s="353">
        <v>11</v>
      </c>
      <c r="G54" s="353"/>
      <c r="H54" s="353"/>
      <c r="I54" s="145" t="e">
        <f>INDEX(#REF!,MATCH(A54,#REF!,0),0)</f>
        <v>#REF!</v>
      </c>
      <c r="J54" s="144" t="e">
        <f>INDEX(#REF!,MATCH(A54,#REF!,0),0)</f>
        <v>#REF!</v>
      </c>
      <c r="K54" s="142">
        <v>13.32</v>
      </c>
      <c r="L54" s="143" t="e">
        <f>INDEX(#REF!,MATCH(A54,#REF!,0),0)</f>
        <v>#REF!</v>
      </c>
      <c r="M54" s="12">
        <f t="shared" si="43"/>
        <v>1.25</v>
      </c>
      <c r="N54" s="13" t="e">
        <f>ROUND(L54*M54,2)</f>
        <v>#REF!</v>
      </c>
      <c r="O54" s="13" t="e">
        <f>ROUND(K54*N54,2)</f>
        <v>#REF!</v>
      </c>
      <c r="Q54" s="143" t="e">
        <f>INDEX(#REF!,MATCH(A54,#REF!,0),0)</f>
        <v>#REF!</v>
      </c>
      <c r="R54" s="12">
        <f t="shared" si="46"/>
        <v>1.2757000000000001</v>
      </c>
      <c r="S54" s="13" t="e">
        <f>ROUND(Q54*R54,2)</f>
        <v>#REF!</v>
      </c>
      <c r="T54" s="13" t="e">
        <f>ROUND(K54*S54,2)</f>
        <v>#REF!</v>
      </c>
    </row>
    <row r="55" spans="1:20" ht="38.25" customHeight="1">
      <c r="A55" s="63" t="str">
        <f>B55&amp;C55</f>
        <v>CDHU28.01.080</v>
      </c>
      <c r="B55" s="63" t="s">
        <v>29</v>
      </c>
      <c r="C55" s="63" t="s">
        <v>73</v>
      </c>
      <c r="D55" s="11">
        <f t="shared" si="47"/>
        <v>3</v>
      </c>
      <c r="E55" s="353" t="s">
        <v>22</v>
      </c>
      <c r="F55" s="353">
        <v>12</v>
      </c>
      <c r="G55" s="353"/>
      <c r="H55" s="353"/>
      <c r="I55" s="145" t="e">
        <f>INDEX(#REF!,MATCH(A55,#REF!,0),0)</f>
        <v>#REF!</v>
      </c>
      <c r="J55" s="144" t="e">
        <f>INDEX(#REF!,MATCH(A55,#REF!,0),0)</f>
        <v>#REF!</v>
      </c>
      <c r="K55" s="142">
        <v>1</v>
      </c>
      <c r="L55" s="143" t="e">
        <f>INDEX(#REF!,MATCH(A55,#REF!,0),0)</f>
        <v>#REF!</v>
      </c>
      <c r="M55" s="12">
        <f t="shared" si="43"/>
        <v>1.25</v>
      </c>
      <c r="N55" s="13" t="e">
        <f>ROUND(L55*M55,2)</f>
        <v>#REF!</v>
      </c>
      <c r="O55" s="13" t="e">
        <f>ROUND(K55*N55,2)</f>
        <v>#REF!</v>
      </c>
      <c r="Q55" s="143" t="e">
        <f>INDEX(#REF!,MATCH(A55,#REF!,0),0)</f>
        <v>#REF!</v>
      </c>
      <c r="R55" s="12">
        <f t="shared" si="46"/>
        <v>1.2757000000000001</v>
      </c>
      <c r="S55" s="13" t="e">
        <f>ROUND(Q55*R55,2)</f>
        <v>#REF!</v>
      </c>
      <c r="T55" s="13" t="e">
        <f>ROUND(K55*S55,2)</f>
        <v>#REF!</v>
      </c>
    </row>
    <row r="56" spans="1:20" ht="20.25" customHeight="1">
      <c r="C56" s="341"/>
      <c r="D56" s="436" t="s">
        <v>44</v>
      </c>
      <c r="E56" s="437"/>
      <c r="F56" s="437"/>
      <c r="G56" s="437"/>
      <c r="H56" s="437"/>
      <c r="I56" s="437"/>
      <c r="J56" s="437"/>
      <c r="K56" s="437"/>
      <c r="L56" s="437"/>
      <c r="M56" s="437"/>
      <c r="N56" s="437"/>
      <c r="O56" s="438"/>
      <c r="Q56" s="143"/>
      <c r="R56" s="12"/>
      <c r="S56" s="13"/>
      <c r="T56" s="13"/>
    </row>
    <row r="57" spans="1:20" ht="38.25" customHeight="1">
      <c r="A57" s="63" t="str">
        <f t="shared" ref="A57:A61" si="60">B57&amp;C57</f>
        <v>SIURB EDIF4001051</v>
      </c>
      <c r="B57" s="17" t="s">
        <v>24</v>
      </c>
      <c r="C57" s="341">
        <v>4001051</v>
      </c>
      <c r="D57" s="11">
        <f>$D$40</f>
        <v>3</v>
      </c>
      <c r="E57" s="353" t="s">
        <v>22</v>
      </c>
      <c r="F57" s="353">
        <v>13</v>
      </c>
      <c r="G57" s="353"/>
      <c r="H57" s="353"/>
      <c r="I57" s="145" t="e">
        <f>INDEX(#REF!,MATCH(A57,#REF!,0),0)</f>
        <v>#REF!</v>
      </c>
      <c r="J57" s="144" t="e">
        <f>INDEX(#REF!,MATCH(A57,#REF!,0),0)</f>
        <v>#REF!</v>
      </c>
      <c r="K57" s="142">
        <v>0.53</v>
      </c>
      <c r="L57" s="143" t="e">
        <f>INDEX(#REF!,MATCH(A57,#REF!,0),0)</f>
        <v>#REF!</v>
      </c>
      <c r="M57" s="12">
        <f t="shared" si="43"/>
        <v>1.25</v>
      </c>
      <c r="N57" s="13" t="e">
        <f t="shared" ref="N57:N61" si="61">ROUND(L57*M57,2)</f>
        <v>#REF!</v>
      </c>
      <c r="O57" s="13" t="e">
        <f t="shared" ref="O57:O61" si="62">ROUND(K57*N57,2)</f>
        <v>#REF!</v>
      </c>
      <c r="Q57" s="143" t="e">
        <f>INDEX(#REF!,MATCH(A57,#REF!,0),0)</f>
        <v>#REF!</v>
      </c>
      <c r="R57" s="12">
        <f t="shared" si="46"/>
        <v>1.2757000000000001</v>
      </c>
      <c r="S57" s="13" t="e">
        <f>ROUND(Q57*R57,2)</f>
        <v>#REF!</v>
      </c>
      <c r="T57" s="13" t="e">
        <f>ROUND(K57*S57,2)</f>
        <v>#REF!</v>
      </c>
    </row>
    <row r="58" spans="1:20" ht="38.25" customHeight="1">
      <c r="A58" s="63" t="str">
        <f t="shared" si="60"/>
        <v>SIURB EDIF11002001</v>
      </c>
      <c r="B58" s="17" t="s">
        <v>24</v>
      </c>
      <c r="C58" s="341">
        <v>11002001</v>
      </c>
      <c r="D58" s="11">
        <f t="shared" si="47"/>
        <v>3</v>
      </c>
      <c r="E58" s="353" t="s">
        <v>22</v>
      </c>
      <c r="F58" s="353">
        <v>14</v>
      </c>
      <c r="G58" s="353"/>
      <c r="H58" s="353"/>
      <c r="I58" s="145" t="e">
        <f>INDEX(#REF!,MATCH(A58,#REF!,0),0)</f>
        <v>#REF!</v>
      </c>
      <c r="J58" s="144" t="e">
        <f>INDEX(#REF!,MATCH(A58,#REF!,0),0)</f>
        <v>#REF!</v>
      </c>
      <c r="K58" s="142">
        <v>1.59</v>
      </c>
      <c r="L58" s="143" t="e">
        <f>INDEX(#REF!,MATCH(A58,#REF!,0),0)</f>
        <v>#REF!</v>
      </c>
      <c r="M58" s="12">
        <f t="shared" si="43"/>
        <v>1.25</v>
      </c>
      <c r="N58" s="13" t="e">
        <f t="shared" si="61"/>
        <v>#REF!</v>
      </c>
      <c r="O58" s="13" t="e">
        <f t="shared" si="62"/>
        <v>#REF!</v>
      </c>
      <c r="Q58" s="143" t="e">
        <f>INDEX(#REF!,MATCH(A58,#REF!,0),0)</f>
        <v>#REF!</v>
      </c>
      <c r="R58" s="12">
        <f t="shared" si="46"/>
        <v>1.2757000000000001</v>
      </c>
      <c r="S58" s="13" t="e">
        <f t="shared" ref="S58:S61" si="63">ROUND(Q58*R58,2)</f>
        <v>#REF!</v>
      </c>
      <c r="T58" s="13" t="e">
        <f t="shared" ref="T58:T61" si="64">ROUND(K58*S58,2)</f>
        <v>#REF!</v>
      </c>
    </row>
    <row r="59" spans="1:20" ht="38.25" customHeight="1">
      <c r="A59" s="63" t="str">
        <f t="shared" si="60"/>
        <v>SIURB EDIF11002010</v>
      </c>
      <c r="B59" s="17" t="s">
        <v>24</v>
      </c>
      <c r="C59" s="341">
        <v>11002010</v>
      </c>
      <c r="D59" s="11">
        <f t="shared" si="47"/>
        <v>3</v>
      </c>
      <c r="E59" s="353" t="s">
        <v>22</v>
      </c>
      <c r="F59" s="353">
        <v>15</v>
      </c>
      <c r="G59" s="353"/>
      <c r="H59" s="353"/>
      <c r="I59" s="145" t="e">
        <f>INDEX(#REF!,MATCH(A59,#REF!,0),0)</f>
        <v>#REF!</v>
      </c>
      <c r="J59" s="144" t="e">
        <f>INDEX(#REF!,MATCH(A59,#REF!,0),0)</f>
        <v>#REF!</v>
      </c>
      <c r="K59" s="142">
        <v>1.59</v>
      </c>
      <c r="L59" s="143" t="e">
        <f>INDEX(#REF!,MATCH(A59,#REF!,0),0)</f>
        <v>#REF!</v>
      </c>
      <c r="M59" s="12">
        <f t="shared" si="43"/>
        <v>1.25</v>
      </c>
      <c r="N59" s="13" t="e">
        <f t="shared" si="61"/>
        <v>#REF!</v>
      </c>
      <c r="O59" s="13" t="e">
        <f t="shared" si="62"/>
        <v>#REF!</v>
      </c>
      <c r="Q59" s="143" t="e">
        <f>INDEX(#REF!,MATCH(A59,#REF!,0),0)</f>
        <v>#REF!</v>
      </c>
      <c r="R59" s="12">
        <f t="shared" si="46"/>
        <v>1.2757000000000001</v>
      </c>
      <c r="S59" s="13" t="e">
        <f t="shared" si="63"/>
        <v>#REF!</v>
      </c>
      <c r="T59" s="13" t="e">
        <f t="shared" si="64"/>
        <v>#REF!</v>
      </c>
    </row>
    <row r="60" spans="1:20" ht="38.25" customHeight="1">
      <c r="A60" s="63" t="str">
        <f t="shared" si="60"/>
        <v>SIURB EDIF13003004</v>
      </c>
      <c r="B60" s="17" t="s">
        <v>24</v>
      </c>
      <c r="C60" s="341">
        <v>13003004</v>
      </c>
      <c r="D60" s="11">
        <f t="shared" si="47"/>
        <v>3</v>
      </c>
      <c r="E60" s="353" t="s">
        <v>22</v>
      </c>
      <c r="F60" s="353">
        <v>16</v>
      </c>
      <c r="G60" s="353"/>
      <c r="H60" s="353"/>
      <c r="I60" s="145" t="e">
        <f>INDEX(#REF!,MATCH(A60,#REF!,0),0)</f>
        <v>#REF!</v>
      </c>
      <c r="J60" s="144" t="e">
        <f>INDEX(#REF!,MATCH(A60,#REF!,0),0)</f>
        <v>#REF!</v>
      </c>
      <c r="K60" s="142">
        <v>5.3</v>
      </c>
      <c r="L60" s="143" t="e">
        <f>INDEX(#REF!,MATCH(A60,#REF!,0),0)</f>
        <v>#REF!</v>
      </c>
      <c r="M60" s="12">
        <f t="shared" si="43"/>
        <v>1.25</v>
      </c>
      <c r="N60" s="13" t="e">
        <f t="shared" si="61"/>
        <v>#REF!</v>
      </c>
      <c r="O60" s="13" t="e">
        <f t="shared" si="62"/>
        <v>#REF!</v>
      </c>
      <c r="Q60" s="143" t="e">
        <f>INDEX(#REF!,MATCH(A60,#REF!,0),0)</f>
        <v>#REF!</v>
      </c>
      <c r="R60" s="12">
        <f t="shared" si="46"/>
        <v>1.2757000000000001</v>
      </c>
      <c r="S60" s="13" t="e">
        <f t="shared" si="63"/>
        <v>#REF!</v>
      </c>
      <c r="T60" s="13" t="e">
        <f t="shared" si="64"/>
        <v>#REF!</v>
      </c>
    </row>
    <row r="61" spans="1:20" ht="38.25" customHeight="1">
      <c r="A61" s="63" t="str">
        <f t="shared" si="60"/>
        <v>CDHU14.30.190</v>
      </c>
      <c r="B61" s="63" t="s">
        <v>29</v>
      </c>
      <c r="C61" s="63" t="s">
        <v>72</v>
      </c>
      <c r="D61" s="11">
        <f t="shared" si="47"/>
        <v>3</v>
      </c>
      <c r="E61" s="353" t="s">
        <v>22</v>
      </c>
      <c r="F61" s="353">
        <v>17</v>
      </c>
      <c r="G61" s="353"/>
      <c r="H61" s="353"/>
      <c r="I61" s="145" t="e">
        <f>INDEX(#REF!,MATCH(A61,#REF!,0),0)</f>
        <v>#REF!</v>
      </c>
      <c r="J61" s="144" t="e">
        <f>INDEX(#REF!,MATCH(A61,#REF!,0),0)</f>
        <v>#REF!</v>
      </c>
      <c r="K61" s="142">
        <v>5.3</v>
      </c>
      <c r="L61" s="143" t="e">
        <f>INDEX(#REF!,MATCH(A61,#REF!,0),0)</f>
        <v>#REF!</v>
      </c>
      <c r="M61" s="12">
        <f t="shared" si="43"/>
        <v>1.25</v>
      </c>
      <c r="N61" s="13" t="e">
        <f t="shared" si="61"/>
        <v>#REF!</v>
      </c>
      <c r="O61" s="13" t="e">
        <f t="shared" si="62"/>
        <v>#REF!</v>
      </c>
      <c r="Q61" s="143" t="e">
        <f>INDEX(#REF!,MATCH(A61,#REF!,0),0)</f>
        <v>#REF!</v>
      </c>
      <c r="R61" s="12">
        <f t="shared" si="46"/>
        <v>1.2757000000000001</v>
      </c>
      <c r="S61" s="13" t="e">
        <f t="shared" si="63"/>
        <v>#REF!</v>
      </c>
      <c r="T61" s="13" t="e">
        <f t="shared" si="64"/>
        <v>#REF!</v>
      </c>
    </row>
    <row r="62" spans="1:20" ht="20.25" customHeight="1">
      <c r="C62" s="341"/>
      <c r="D62" s="436" t="s">
        <v>34</v>
      </c>
      <c r="E62" s="437"/>
      <c r="F62" s="437"/>
      <c r="G62" s="437"/>
      <c r="H62" s="437"/>
      <c r="I62" s="437"/>
      <c r="J62" s="437"/>
      <c r="K62" s="437"/>
      <c r="L62" s="437"/>
      <c r="M62" s="437"/>
      <c r="N62" s="437"/>
      <c r="O62" s="438"/>
      <c r="Q62" s="143"/>
      <c r="R62" s="12"/>
      <c r="S62" s="13"/>
      <c r="T62" s="13"/>
    </row>
    <row r="63" spans="1:20" ht="38.25" customHeight="1">
      <c r="A63" s="63" t="str">
        <f t="shared" ref="A63:A66" si="65">B63&amp;C63</f>
        <v>SIURB EDIF4001051</v>
      </c>
      <c r="B63" s="17" t="s">
        <v>24</v>
      </c>
      <c r="C63" s="341">
        <v>4001051</v>
      </c>
      <c r="D63" s="11">
        <f>$D$40</f>
        <v>3</v>
      </c>
      <c r="E63" s="353" t="s">
        <v>22</v>
      </c>
      <c r="F63" s="353">
        <v>18</v>
      </c>
      <c r="G63" s="353"/>
      <c r="H63" s="353"/>
      <c r="I63" s="145" t="e">
        <f>INDEX(#REF!,MATCH(A63,#REF!,0),0)</f>
        <v>#REF!</v>
      </c>
      <c r="J63" s="144" t="e">
        <f>INDEX(#REF!,MATCH(A63,#REF!,0),0)</f>
        <v>#REF!</v>
      </c>
      <c r="K63" s="142">
        <v>0.42</v>
      </c>
      <c r="L63" s="143" t="e">
        <f>INDEX(#REF!,MATCH(A63,#REF!,0),0)</f>
        <v>#REF!</v>
      </c>
      <c r="M63" s="12">
        <f t="shared" si="43"/>
        <v>1.25</v>
      </c>
      <c r="N63" s="13" t="e">
        <f t="shared" ref="N63:N66" si="66">ROUND(L63*M63,2)</f>
        <v>#REF!</v>
      </c>
      <c r="O63" s="13" t="e">
        <f t="shared" ref="O63:O66" si="67">ROUND(K63*N63,2)</f>
        <v>#REF!</v>
      </c>
      <c r="Q63" s="143" t="e">
        <f>INDEX(#REF!,MATCH(A63,#REF!,0),0)</f>
        <v>#REF!</v>
      </c>
      <c r="R63" s="12">
        <f t="shared" si="46"/>
        <v>1.2757000000000001</v>
      </c>
      <c r="S63" s="13" t="e">
        <f>ROUND(Q63*R63,2)</f>
        <v>#REF!</v>
      </c>
      <c r="T63" s="13" t="e">
        <f>ROUND(K63*S63,2)</f>
        <v>#REF!</v>
      </c>
    </row>
    <row r="64" spans="1:20" ht="38.25" customHeight="1">
      <c r="A64" s="63" t="str">
        <f t="shared" si="65"/>
        <v>SIURB EDIF11002001</v>
      </c>
      <c r="B64" s="17" t="s">
        <v>24</v>
      </c>
      <c r="C64" s="341">
        <v>11002001</v>
      </c>
      <c r="D64" s="11">
        <f t="shared" si="47"/>
        <v>3</v>
      </c>
      <c r="E64" s="353" t="s">
        <v>22</v>
      </c>
      <c r="F64" s="353">
        <v>19</v>
      </c>
      <c r="G64" s="353"/>
      <c r="H64" s="353"/>
      <c r="I64" s="145" t="e">
        <f>INDEX(#REF!,MATCH(A64,#REF!,0),0)</f>
        <v>#REF!</v>
      </c>
      <c r="J64" s="144" t="e">
        <f>INDEX(#REF!,MATCH(A64,#REF!,0),0)</f>
        <v>#REF!</v>
      </c>
      <c r="K64" s="142">
        <v>1.25</v>
      </c>
      <c r="L64" s="143" t="e">
        <f>INDEX(#REF!,MATCH(A64,#REF!,0),0)</f>
        <v>#REF!</v>
      </c>
      <c r="M64" s="12">
        <f t="shared" si="43"/>
        <v>1.25</v>
      </c>
      <c r="N64" s="13" t="e">
        <f t="shared" si="66"/>
        <v>#REF!</v>
      </c>
      <c r="O64" s="13" t="e">
        <f t="shared" si="67"/>
        <v>#REF!</v>
      </c>
      <c r="Q64" s="143" t="e">
        <f>INDEX(#REF!,MATCH(A64,#REF!,0),0)</f>
        <v>#REF!</v>
      </c>
      <c r="R64" s="12">
        <f t="shared" si="46"/>
        <v>1.2757000000000001</v>
      </c>
      <c r="S64" s="13" t="e">
        <f t="shared" ref="S64:S66" si="68">ROUND(Q64*R64,2)</f>
        <v>#REF!</v>
      </c>
      <c r="T64" s="13" t="e">
        <f t="shared" ref="T64:T66" si="69">ROUND(K64*S64,2)</f>
        <v>#REF!</v>
      </c>
    </row>
    <row r="65" spans="1:20" ht="38.25" customHeight="1">
      <c r="A65" s="63" t="str">
        <f t="shared" si="65"/>
        <v>SIURB EDIF11002010</v>
      </c>
      <c r="B65" s="17" t="s">
        <v>24</v>
      </c>
      <c r="C65" s="341">
        <v>11002010</v>
      </c>
      <c r="D65" s="11">
        <f t="shared" si="47"/>
        <v>3</v>
      </c>
      <c r="E65" s="353" t="s">
        <v>22</v>
      </c>
      <c r="F65" s="353">
        <v>20</v>
      </c>
      <c r="G65" s="353"/>
      <c r="H65" s="353"/>
      <c r="I65" s="145" t="e">
        <f>INDEX(#REF!,MATCH(A65,#REF!,0),0)</f>
        <v>#REF!</v>
      </c>
      <c r="J65" s="144" t="e">
        <f>INDEX(#REF!,MATCH(A65,#REF!,0),0)</f>
        <v>#REF!</v>
      </c>
      <c r="K65" s="142">
        <v>1.25</v>
      </c>
      <c r="L65" s="143" t="e">
        <f>INDEX(#REF!,MATCH(A65,#REF!,0),0)</f>
        <v>#REF!</v>
      </c>
      <c r="M65" s="12">
        <f t="shared" si="43"/>
        <v>1.25</v>
      </c>
      <c r="N65" s="13" t="e">
        <f t="shared" si="66"/>
        <v>#REF!</v>
      </c>
      <c r="O65" s="13" t="e">
        <f t="shared" si="67"/>
        <v>#REF!</v>
      </c>
      <c r="Q65" s="143" t="e">
        <f>INDEX(#REF!,MATCH(A65,#REF!,0),0)</f>
        <v>#REF!</v>
      </c>
      <c r="R65" s="12">
        <f t="shared" si="46"/>
        <v>1.2757000000000001</v>
      </c>
      <c r="S65" s="13" t="e">
        <f t="shared" si="68"/>
        <v>#REF!</v>
      </c>
      <c r="T65" s="13" t="e">
        <f t="shared" si="69"/>
        <v>#REF!</v>
      </c>
    </row>
    <row r="66" spans="1:20" ht="38.25" customHeight="1">
      <c r="A66" s="63" t="str">
        <f t="shared" si="65"/>
        <v>SIURB EDIF13003004</v>
      </c>
      <c r="B66" s="17" t="s">
        <v>24</v>
      </c>
      <c r="C66" s="341">
        <v>13003004</v>
      </c>
      <c r="D66" s="11">
        <f t="shared" si="47"/>
        <v>3</v>
      </c>
      <c r="E66" s="353" t="s">
        <v>22</v>
      </c>
      <c r="F66" s="353">
        <v>21</v>
      </c>
      <c r="G66" s="353"/>
      <c r="H66" s="353"/>
      <c r="I66" s="145" t="e">
        <f>INDEX(#REF!,MATCH(A66,#REF!,0),0)</f>
        <v>#REF!</v>
      </c>
      <c r="J66" s="144" t="e">
        <f>INDEX(#REF!,MATCH(A66,#REF!,0),0)</f>
        <v>#REF!</v>
      </c>
      <c r="K66" s="142">
        <v>4.16</v>
      </c>
      <c r="L66" s="143" t="e">
        <f>INDEX(#REF!,MATCH(A66,#REF!,0),0)</f>
        <v>#REF!</v>
      </c>
      <c r="M66" s="12">
        <f t="shared" si="43"/>
        <v>1.25</v>
      </c>
      <c r="N66" s="13" t="e">
        <f t="shared" si="66"/>
        <v>#REF!</v>
      </c>
      <c r="O66" s="13" t="e">
        <f t="shared" si="67"/>
        <v>#REF!</v>
      </c>
      <c r="Q66" s="143" t="e">
        <f>INDEX(#REF!,MATCH(A66,#REF!,0),0)</f>
        <v>#REF!</v>
      </c>
      <c r="R66" s="12">
        <f t="shared" si="46"/>
        <v>1.2757000000000001</v>
      </c>
      <c r="S66" s="13" t="e">
        <f t="shared" si="68"/>
        <v>#REF!</v>
      </c>
      <c r="T66" s="13" t="e">
        <f t="shared" si="69"/>
        <v>#REF!</v>
      </c>
    </row>
    <row r="67" spans="1:20" ht="38.25" customHeight="1">
      <c r="A67" s="63" t="str">
        <f>B67&amp;C67</f>
        <v>CDHU14.30.190</v>
      </c>
      <c r="B67" s="17" t="s">
        <v>29</v>
      </c>
      <c r="C67" s="341" t="s">
        <v>72</v>
      </c>
      <c r="D67" s="11">
        <f t="shared" si="47"/>
        <v>3</v>
      </c>
      <c r="E67" s="353" t="s">
        <v>22</v>
      </c>
      <c r="F67" s="353">
        <v>22</v>
      </c>
      <c r="G67" s="353"/>
      <c r="H67" s="353"/>
      <c r="I67" s="145" t="e">
        <f>INDEX(#REF!,MATCH(A67,#REF!,0),0)</f>
        <v>#REF!</v>
      </c>
      <c r="J67" s="144" t="e">
        <f>INDEX(#REF!,MATCH(A67,#REF!,0),0)</f>
        <v>#REF!</v>
      </c>
      <c r="K67" s="142">
        <v>8.9600000000000009</v>
      </c>
      <c r="L67" s="143" t="e">
        <f>INDEX(#REF!,MATCH(A67,#REF!,0),0)</f>
        <v>#REF!</v>
      </c>
      <c r="M67" s="12">
        <f t="shared" si="43"/>
        <v>1.25</v>
      </c>
      <c r="N67" s="13" t="e">
        <f>ROUND(L67*M67,2)</f>
        <v>#REF!</v>
      </c>
      <c r="O67" s="13" t="e">
        <f>ROUND(K67*N67,2)</f>
        <v>#REF!</v>
      </c>
      <c r="Q67" s="143" t="e">
        <f>INDEX(#REF!,MATCH(A67,#REF!,0),0)</f>
        <v>#REF!</v>
      </c>
      <c r="R67" s="12">
        <f t="shared" si="46"/>
        <v>1.2757000000000001</v>
      </c>
      <c r="S67" s="13" t="e">
        <f>ROUND(Q67*R67,2)</f>
        <v>#REF!</v>
      </c>
      <c r="T67" s="13" t="e">
        <f>ROUND(K67*S67,2)</f>
        <v>#REF!</v>
      </c>
    </row>
    <row r="68" spans="1:20" ht="38.25" customHeight="1">
      <c r="A68" s="63" t="str">
        <f t="shared" ref="A68" si="70">B68&amp;C68</f>
        <v>CDHU28.01.080</v>
      </c>
      <c r="B68" s="63" t="s">
        <v>29</v>
      </c>
      <c r="C68" s="63" t="s">
        <v>73</v>
      </c>
      <c r="D68" s="11">
        <f t="shared" si="47"/>
        <v>3</v>
      </c>
      <c r="E68" s="353" t="s">
        <v>22</v>
      </c>
      <c r="F68" s="353">
        <v>23</v>
      </c>
      <c r="G68" s="353"/>
      <c r="H68" s="353"/>
      <c r="I68" s="145" t="e">
        <f>INDEX(#REF!,MATCH(A68,#REF!,0),0)</f>
        <v>#REF!</v>
      </c>
      <c r="J68" s="144" t="e">
        <f>INDEX(#REF!,MATCH(A68,#REF!,0),0)</f>
        <v>#REF!</v>
      </c>
      <c r="K68" s="142">
        <v>1</v>
      </c>
      <c r="L68" s="143" t="e">
        <f>INDEX(#REF!,MATCH(A68,#REF!,0),0)</f>
        <v>#REF!</v>
      </c>
      <c r="M68" s="12">
        <f t="shared" si="43"/>
        <v>1.25</v>
      </c>
      <c r="N68" s="13" t="e">
        <f t="shared" ref="N68" si="71">ROUND(L68*M68,2)</f>
        <v>#REF!</v>
      </c>
      <c r="O68" s="13" t="e">
        <f t="shared" ref="O68" si="72">ROUND(K68*N68,2)</f>
        <v>#REF!</v>
      </c>
      <c r="Q68" s="143" t="e">
        <f>INDEX(#REF!,MATCH(A68,#REF!,0),0)</f>
        <v>#REF!</v>
      </c>
      <c r="R68" s="12">
        <f t="shared" si="46"/>
        <v>1.2757000000000001</v>
      </c>
      <c r="S68" s="13" t="e">
        <f t="shared" ref="S68" si="73">ROUND(Q68*R68,2)</f>
        <v>#REF!</v>
      </c>
      <c r="T68" s="13" t="e">
        <f t="shared" ref="T68" si="74">ROUND(K68*S68,2)</f>
        <v>#REF!</v>
      </c>
    </row>
    <row r="69" spans="1:20" ht="32.25" customHeight="1">
      <c r="A69" s="63" t="str">
        <f>B69&amp;C69</f>
        <v>SIURB EDIF8080050</v>
      </c>
      <c r="B69" s="17" t="s">
        <v>24</v>
      </c>
      <c r="C69" s="341">
        <v>8080050</v>
      </c>
      <c r="D69" s="11">
        <f>D68</f>
        <v>3</v>
      </c>
      <c r="E69" s="353" t="s">
        <v>22</v>
      </c>
      <c r="F69" s="353">
        <v>24</v>
      </c>
      <c r="G69" s="353"/>
      <c r="H69" s="353"/>
      <c r="I69" s="145" t="s">
        <v>46</v>
      </c>
      <c r="J69" s="144" t="e">
        <f>INDEX(#REF!,MATCH(A69,#REF!,0),0)</f>
        <v>#REF!</v>
      </c>
      <c r="K69" s="142">
        <v>32.44</v>
      </c>
      <c r="L69" s="143" t="e">
        <f>INDEX(#REF!,MATCH(A69,#REF!,0),0)</f>
        <v>#REF!</v>
      </c>
      <c r="M69" s="12">
        <f t="shared" si="43"/>
        <v>1.25</v>
      </c>
      <c r="N69" s="13" t="e">
        <f>ROUND(L69*M69,2)</f>
        <v>#REF!</v>
      </c>
      <c r="O69" s="13" t="e">
        <f>ROUND(K69*N69,2)</f>
        <v>#REF!</v>
      </c>
      <c r="Q69" s="143" t="e">
        <f>INDEX(#REF!,MATCH(A69,#REF!,0),0)</f>
        <v>#REF!</v>
      </c>
      <c r="R69" s="12">
        <f t="shared" si="46"/>
        <v>1.2757000000000001</v>
      </c>
      <c r="S69" s="13" t="e">
        <f>ROUND(Q69*R69,2)</f>
        <v>#REF!</v>
      </c>
      <c r="T69" s="13" t="e">
        <f>ROUND(K69*S69,2)</f>
        <v>#REF!</v>
      </c>
    </row>
    <row r="70" spans="1:20" ht="20.25" customHeight="1">
      <c r="C70" s="341"/>
      <c r="D70" s="436" t="s">
        <v>35</v>
      </c>
      <c r="E70" s="437"/>
      <c r="F70" s="437"/>
      <c r="G70" s="437"/>
      <c r="H70" s="437"/>
      <c r="I70" s="437"/>
      <c r="J70" s="437"/>
      <c r="K70" s="437"/>
      <c r="L70" s="437"/>
      <c r="M70" s="437"/>
      <c r="N70" s="437"/>
      <c r="O70" s="438"/>
      <c r="Q70" s="143"/>
      <c r="R70" s="12"/>
      <c r="S70" s="13"/>
      <c r="T70" s="13"/>
    </row>
    <row r="71" spans="1:20" ht="38.25" customHeight="1">
      <c r="A71" s="63" t="str">
        <f t="shared" ref="A71:A102" si="75">B71&amp;C71</f>
        <v>SIURB EDIF17001028</v>
      </c>
      <c r="B71" s="17" t="s">
        <v>24</v>
      </c>
      <c r="C71" s="341">
        <v>17001028</v>
      </c>
      <c r="D71" s="11">
        <f t="shared" si="47"/>
        <v>3</v>
      </c>
      <c r="E71" s="353" t="s">
        <v>22</v>
      </c>
      <c r="F71" s="353">
        <v>25</v>
      </c>
      <c r="G71" s="353"/>
      <c r="H71" s="353"/>
      <c r="I71" s="145" t="e">
        <f>INDEX(#REF!,MATCH(A71,#REF!,0),0)</f>
        <v>#REF!</v>
      </c>
      <c r="J71" s="144" t="e">
        <f>INDEX(#REF!,MATCH(A71,#REF!,0),0)</f>
        <v>#REF!</v>
      </c>
      <c r="K71" s="142">
        <v>24.85</v>
      </c>
      <c r="L71" s="143" t="e">
        <f>INDEX(#REF!,MATCH(A71,#REF!,0),0)</f>
        <v>#REF!</v>
      </c>
      <c r="M71" s="12">
        <f t="shared" si="43"/>
        <v>1.25</v>
      </c>
      <c r="N71" s="13" t="e">
        <f t="shared" ref="N71:N75" si="76">ROUND(L71*M71,2)</f>
        <v>#REF!</v>
      </c>
      <c r="O71" s="13" t="e">
        <f t="shared" ref="O71:O75" si="77">ROUND(K71*N71,2)</f>
        <v>#REF!</v>
      </c>
      <c r="Q71" s="143" t="e">
        <f>INDEX(#REF!,MATCH(A71,#REF!,0),0)</f>
        <v>#REF!</v>
      </c>
      <c r="R71" s="12">
        <f t="shared" si="46"/>
        <v>1.2757000000000001</v>
      </c>
      <c r="S71" s="13" t="e">
        <f t="shared" ref="S71:S75" si="78">ROUND(Q71*R71,2)</f>
        <v>#REF!</v>
      </c>
      <c r="T71" s="13" t="e">
        <f t="shared" ref="T71:T75" si="79">ROUND(K71*S71,2)</f>
        <v>#REF!</v>
      </c>
    </row>
    <row r="72" spans="1:20" ht="20.25" customHeight="1">
      <c r="C72" s="341"/>
      <c r="D72" s="436" t="s">
        <v>36</v>
      </c>
      <c r="E72" s="437"/>
      <c r="F72" s="437"/>
      <c r="G72" s="437"/>
      <c r="H72" s="437"/>
      <c r="I72" s="437"/>
      <c r="J72" s="437"/>
      <c r="K72" s="437"/>
      <c r="L72" s="437"/>
      <c r="M72" s="437"/>
      <c r="N72" s="437"/>
      <c r="O72" s="438"/>
      <c r="Q72" s="143"/>
      <c r="R72" s="12"/>
      <c r="S72" s="13"/>
      <c r="T72" s="13"/>
    </row>
    <row r="73" spans="1:20" ht="38.25" customHeight="1">
      <c r="A73" s="63" t="str">
        <f t="shared" ref="A73" si="80">B73&amp;C73</f>
        <v>SIURB EDIF17002046</v>
      </c>
      <c r="B73" s="17" t="s">
        <v>24</v>
      </c>
      <c r="C73" s="341">
        <v>17002046</v>
      </c>
      <c r="D73" s="11">
        <f t="shared" si="47"/>
        <v>3</v>
      </c>
      <c r="E73" s="353" t="s">
        <v>22</v>
      </c>
      <c r="F73" s="353">
        <v>26</v>
      </c>
      <c r="G73" s="353"/>
      <c r="H73" s="353"/>
      <c r="I73" s="145" t="e">
        <f>INDEX(#REF!,MATCH(A73,#REF!,0),0)</f>
        <v>#REF!</v>
      </c>
      <c r="J73" s="144" t="e">
        <f>INDEX(#REF!,MATCH(A73,#REF!,0),0)</f>
        <v>#REF!</v>
      </c>
      <c r="K73" s="142">
        <v>9.85</v>
      </c>
      <c r="L73" s="143" t="e">
        <f>INDEX(#REF!,MATCH(A73,#REF!,0),0)</f>
        <v>#REF!</v>
      </c>
      <c r="M73" s="12">
        <f t="shared" si="43"/>
        <v>1.25</v>
      </c>
      <c r="N73" s="13" t="e">
        <f t="shared" ref="N73" si="81">ROUND(L73*M73,2)</f>
        <v>#REF!</v>
      </c>
      <c r="O73" s="13" t="e">
        <f t="shared" ref="O73" si="82">ROUND(K73*N73,2)</f>
        <v>#REF!</v>
      </c>
      <c r="Q73" s="143" t="e">
        <f>INDEX(#REF!,MATCH(A73,#REF!,0),0)</f>
        <v>#REF!</v>
      </c>
      <c r="R73" s="12">
        <f t="shared" si="46"/>
        <v>1.2757000000000001</v>
      </c>
      <c r="S73" s="13" t="e">
        <f t="shared" ref="S73" si="83">ROUND(Q73*R73,2)</f>
        <v>#REF!</v>
      </c>
      <c r="T73" s="13" t="e">
        <f t="shared" ref="T73" si="84">ROUND(K73*S73,2)</f>
        <v>#REF!</v>
      </c>
    </row>
    <row r="74" spans="1:20" ht="38.25" customHeight="1">
      <c r="A74" s="63" t="str">
        <f t="shared" si="75"/>
        <v>SIURB EDIF2005005</v>
      </c>
      <c r="B74" s="17" t="s">
        <v>24</v>
      </c>
      <c r="C74" s="341">
        <v>2005005</v>
      </c>
      <c r="D74" s="11">
        <f t="shared" si="47"/>
        <v>3</v>
      </c>
      <c r="E74" s="353" t="s">
        <v>22</v>
      </c>
      <c r="F74" s="353">
        <v>27</v>
      </c>
      <c r="G74" s="353"/>
      <c r="H74" s="353"/>
      <c r="I74" s="145" t="e">
        <f>INDEX(#REF!,MATCH(A74,#REF!,0),0)</f>
        <v>#REF!</v>
      </c>
      <c r="J74" s="144" t="e">
        <f>INDEX(#REF!,MATCH(A74,#REF!,0),0)</f>
        <v>#REF!</v>
      </c>
      <c r="K74" s="142">
        <v>9.85</v>
      </c>
      <c r="L74" s="143" t="e">
        <f>INDEX(#REF!,MATCH(A74,#REF!,0),0)</f>
        <v>#REF!</v>
      </c>
      <c r="M74" s="12">
        <f t="shared" si="43"/>
        <v>1.25</v>
      </c>
      <c r="N74" s="13" t="e">
        <f t="shared" si="76"/>
        <v>#REF!</v>
      </c>
      <c r="O74" s="13" t="e">
        <f t="shared" si="77"/>
        <v>#REF!</v>
      </c>
      <c r="Q74" s="143" t="e">
        <f>INDEX(#REF!,MATCH(A74,#REF!,0),0)</f>
        <v>#REF!</v>
      </c>
      <c r="R74" s="12">
        <f t="shared" si="46"/>
        <v>1.2757000000000001</v>
      </c>
      <c r="S74" s="13" t="e">
        <f t="shared" si="78"/>
        <v>#REF!</v>
      </c>
      <c r="T74" s="13" t="e">
        <f t="shared" si="79"/>
        <v>#REF!</v>
      </c>
    </row>
    <row r="75" spans="1:20" ht="38.25" customHeight="1">
      <c r="A75" s="63" t="str">
        <f t="shared" si="75"/>
        <v>SIURB EDIF3002009</v>
      </c>
      <c r="B75" s="17" t="s">
        <v>24</v>
      </c>
      <c r="C75" s="341">
        <v>3002009</v>
      </c>
      <c r="D75" s="11">
        <f t="shared" si="47"/>
        <v>3</v>
      </c>
      <c r="E75" s="353" t="s">
        <v>22</v>
      </c>
      <c r="F75" s="353">
        <v>28</v>
      </c>
      <c r="G75" s="353"/>
      <c r="H75" s="353"/>
      <c r="I75" s="145" t="e">
        <f>INDEX(#REF!,MATCH(A75,#REF!,0),0)</f>
        <v>#REF!</v>
      </c>
      <c r="J75" s="144" t="e">
        <f>INDEX(#REF!,MATCH(A75,#REF!,0),0)</f>
        <v>#REF!</v>
      </c>
      <c r="K75" s="142">
        <v>228.9</v>
      </c>
      <c r="L75" s="143" t="e">
        <f>INDEX(#REF!,MATCH(A75,#REF!,0),0)</f>
        <v>#REF!</v>
      </c>
      <c r="M75" s="12">
        <f t="shared" si="43"/>
        <v>1.25</v>
      </c>
      <c r="N75" s="13" t="e">
        <f t="shared" si="76"/>
        <v>#REF!</v>
      </c>
      <c r="O75" s="13" t="e">
        <f t="shared" si="77"/>
        <v>#REF!</v>
      </c>
      <c r="Q75" s="143" t="e">
        <f>INDEX(#REF!,MATCH(A75,#REF!,0),0)</f>
        <v>#REF!</v>
      </c>
      <c r="R75" s="12">
        <f t="shared" si="46"/>
        <v>1.2757000000000001</v>
      </c>
      <c r="S75" s="13" t="e">
        <f t="shared" si="78"/>
        <v>#REF!</v>
      </c>
      <c r="T75" s="13" t="e">
        <f t="shared" si="79"/>
        <v>#REF!</v>
      </c>
    </row>
    <row r="76" spans="1:20" ht="30" customHeight="1">
      <c r="A76" s="63" t="str">
        <f t="shared" si="75"/>
        <v>SIURB EDIF8080050</v>
      </c>
      <c r="B76" s="17" t="s">
        <v>24</v>
      </c>
      <c r="C76" s="341">
        <v>8080050</v>
      </c>
      <c r="D76" s="11">
        <f>D74</f>
        <v>3</v>
      </c>
      <c r="E76" s="353" t="s">
        <v>22</v>
      </c>
      <c r="F76" s="353">
        <v>29</v>
      </c>
      <c r="G76" s="353"/>
      <c r="H76" s="353"/>
      <c r="I76" s="145" t="s">
        <v>46</v>
      </c>
      <c r="J76" s="144" t="e">
        <f>INDEX(#REF!,MATCH(A76,#REF!,0),0)</f>
        <v>#REF!</v>
      </c>
      <c r="K76" s="142">
        <v>58.48</v>
      </c>
      <c r="L76" s="143" t="e">
        <f>INDEX(#REF!,MATCH(A76,#REF!,0),0)</f>
        <v>#REF!</v>
      </c>
      <c r="M76" s="12">
        <f t="shared" si="43"/>
        <v>1.25</v>
      </c>
      <c r="N76" s="13" t="e">
        <f>ROUND(L76*M76,2)</f>
        <v>#REF!</v>
      </c>
      <c r="O76" s="13" t="e">
        <f>ROUND(K76*N76,2)</f>
        <v>#REF!</v>
      </c>
      <c r="Q76" s="143" t="e">
        <f>INDEX(#REF!,MATCH(A76,#REF!,0),0)</f>
        <v>#REF!</v>
      </c>
      <c r="R76" s="12">
        <f t="shared" si="46"/>
        <v>1.2757000000000001</v>
      </c>
      <c r="S76" s="13" t="e">
        <f>ROUND(Q76*R76,2)</f>
        <v>#REF!</v>
      </c>
      <c r="T76" s="13" t="e">
        <f>ROUND(K76*S76,2)</f>
        <v>#REF!</v>
      </c>
    </row>
    <row r="77" spans="1:20" ht="20.25" customHeight="1">
      <c r="C77" s="341"/>
      <c r="D77" s="436" t="s">
        <v>37</v>
      </c>
      <c r="E77" s="437"/>
      <c r="F77" s="437"/>
      <c r="G77" s="437"/>
      <c r="H77" s="437"/>
      <c r="I77" s="437"/>
      <c r="J77" s="437"/>
      <c r="K77" s="437"/>
      <c r="L77" s="437"/>
      <c r="M77" s="437"/>
      <c r="N77" s="437"/>
      <c r="O77" s="438"/>
      <c r="Q77" s="143"/>
      <c r="R77" s="12"/>
      <c r="S77" s="13"/>
      <c r="T77" s="13"/>
    </row>
    <row r="78" spans="1:20" ht="38.25" customHeight="1">
      <c r="A78" s="63" t="str">
        <f t="shared" ref="A78:A79" si="85">B78&amp;C78</f>
        <v>COMP SINAPI102624</v>
      </c>
      <c r="B78" s="17" t="s">
        <v>47</v>
      </c>
      <c r="C78" s="341">
        <v>102624</v>
      </c>
      <c r="D78" s="11">
        <f t="shared" si="47"/>
        <v>3</v>
      </c>
      <c r="E78" s="353" t="s">
        <v>22</v>
      </c>
      <c r="F78" s="353">
        <v>30</v>
      </c>
      <c r="G78" s="353"/>
      <c r="H78" s="353"/>
      <c r="I78" s="145" t="s">
        <v>48</v>
      </c>
      <c r="J78" s="144" t="e">
        <f>INDEX(#REF!,MATCH(A78,#REF!,0),0)</f>
        <v>#REF!</v>
      </c>
      <c r="K78" s="142">
        <v>1</v>
      </c>
      <c r="L78" s="143" t="e">
        <f>INDEX(#REF!,MATCH(A78,#REF!,0),0)</f>
        <v>#REF!</v>
      </c>
      <c r="M78" s="12">
        <f t="shared" si="43"/>
        <v>1.25</v>
      </c>
      <c r="N78" s="13" t="e">
        <f t="shared" ref="N78:N79" si="86">ROUND(L78*M78,2)</f>
        <v>#REF!</v>
      </c>
      <c r="O78" s="13" t="e">
        <f t="shared" ref="O78:O79" si="87">ROUND(K78*N78,2)</f>
        <v>#REF!</v>
      </c>
      <c r="Q78" s="143" t="e">
        <f>INDEX(#REF!,MATCH(A78,#REF!,0),0)</f>
        <v>#REF!</v>
      </c>
      <c r="R78" s="12">
        <f t="shared" si="46"/>
        <v>1.2757000000000001</v>
      </c>
      <c r="S78" s="13" t="e">
        <f t="shared" ref="S78:S79" si="88">ROUND(Q78*R78,2)</f>
        <v>#REF!</v>
      </c>
      <c r="T78" s="13" t="e">
        <f t="shared" ref="T78:T79" si="89">ROUND(K78*S78,2)</f>
        <v>#REF!</v>
      </c>
    </row>
    <row r="79" spans="1:20" ht="38.25" customHeight="1">
      <c r="A79" s="63" t="str">
        <f t="shared" si="85"/>
        <v>SINAPI102623</v>
      </c>
      <c r="B79" s="17" t="s">
        <v>49</v>
      </c>
      <c r="C79" s="341" t="s">
        <v>50</v>
      </c>
      <c r="D79" s="11">
        <f t="shared" si="47"/>
        <v>3</v>
      </c>
      <c r="E79" s="353" t="s">
        <v>22</v>
      </c>
      <c r="F79" s="353">
        <v>31</v>
      </c>
      <c r="G79" s="353"/>
      <c r="H79" s="353"/>
      <c r="I79" s="145" t="s">
        <v>51</v>
      </c>
      <c r="J79" s="144" t="e">
        <f>INDEX(#REF!,MATCH(A79,#REF!,0),0)</f>
        <v>#REF!</v>
      </c>
      <c r="K79" s="142">
        <v>1</v>
      </c>
      <c r="L79" s="143" t="e">
        <f>INDEX(#REF!,MATCH(A79,#REF!,0),0)</f>
        <v>#REF!</v>
      </c>
      <c r="M79" s="12">
        <f t="shared" si="43"/>
        <v>1.25</v>
      </c>
      <c r="N79" s="13" t="e">
        <f t="shared" si="86"/>
        <v>#REF!</v>
      </c>
      <c r="O79" s="13" t="e">
        <f t="shared" si="87"/>
        <v>#REF!</v>
      </c>
      <c r="Q79" s="143" t="e">
        <f>INDEX(#REF!,MATCH(A79,#REF!,0),0)</f>
        <v>#REF!</v>
      </c>
      <c r="R79" s="12">
        <f t="shared" si="46"/>
        <v>1.2757000000000001</v>
      </c>
      <c r="S79" s="13" t="e">
        <f t="shared" si="88"/>
        <v>#REF!</v>
      </c>
      <c r="T79" s="13" t="e">
        <f t="shared" si="89"/>
        <v>#REF!</v>
      </c>
    </row>
    <row r="80" spans="1:20" s="170" customFormat="1" ht="12.75">
      <c r="A80" s="63" t="str">
        <f t="shared" si="75"/>
        <v/>
      </c>
      <c r="B80" s="17"/>
      <c r="C80" s="341"/>
      <c r="D80" s="10"/>
      <c r="E80" s="347"/>
      <c r="F80" s="347"/>
      <c r="G80" s="347"/>
      <c r="H80" s="347"/>
      <c r="I80" s="434" t="s">
        <v>25</v>
      </c>
      <c r="J80" s="434"/>
      <c r="K80" s="434"/>
      <c r="L80" s="434"/>
      <c r="M80" s="434"/>
      <c r="N80" s="434"/>
      <c r="O80" s="352" t="e">
        <f>SUM(O42:O79)</f>
        <v>#REF!</v>
      </c>
      <c r="Q80" s="349"/>
      <c r="R80" s="350"/>
      <c r="S80" s="351"/>
      <c r="T80" s="352" t="e">
        <f>SUM(T42:T79)</f>
        <v>#REF!</v>
      </c>
    </row>
    <row r="81" spans="1:20" s="170" customFormat="1" ht="19.5" customHeight="1">
      <c r="A81" s="63" t="str">
        <f t="shared" si="75"/>
        <v/>
      </c>
      <c r="B81" s="17"/>
      <c r="C81" s="341"/>
      <c r="D81" s="10">
        <v>4</v>
      </c>
      <c r="E81" s="347" t="s">
        <v>22</v>
      </c>
      <c r="F81" s="347">
        <v>0</v>
      </c>
      <c r="G81" s="347"/>
      <c r="H81" s="347"/>
      <c r="I81" s="348" t="s">
        <v>52</v>
      </c>
      <c r="J81" s="347"/>
      <c r="K81" s="349"/>
      <c r="L81" s="349"/>
      <c r="M81" s="350"/>
      <c r="N81" s="351"/>
      <c r="O81" s="352"/>
      <c r="Q81" s="349"/>
      <c r="R81" s="350"/>
      <c r="S81" s="351"/>
      <c r="T81" s="352"/>
    </row>
    <row r="82" spans="1:20" ht="38.25" customHeight="1">
      <c r="A82" s="63" t="str">
        <f t="shared" si="75"/>
        <v>SIURB EDIF15001015</v>
      </c>
      <c r="B82" s="17" t="s">
        <v>24</v>
      </c>
      <c r="C82" s="341">
        <v>15001015</v>
      </c>
      <c r="D82" s="11">
        <f>$D$81</f>
        <v>4</v>
      </c>
      <c r="E82" s="353" t="s">
        <v>22</v>
      </c>
      <c r="F82" s="353">
        <v>1</v>
      </c>
      <c r="G82" s="353"/>
      <c r="H82" s="353"/>
      <c r="I82" s="145" t="e">
        <f>INDEX(#REF!,MATCH(A82,#REF!,0),0)</f>
        <v>#REF!</v>
      </c>
      <c r="J82" s="144" t="e">
        <f>INDEX(#REF!,MATCH(A82,#REF!,0),0)</f>
        <v>#REF!</v>
      </c>
      <c r="K82" s="142">
        <v>1051.53</v>
      </c>
      <c r="L82" s="143" t="e">
        <f>INDEX(#REF!,MATCH(A82,#REF!,0),0)</f>
        <v>#REF!</v>
      </c>
      <c r="M82" s="12">
        <f t="shared" ref="M82:M88" si="90">1+$O$11</f>
        <v>1.25</v>
      </c>
      <c r="N82" s="13" t="e">
        <f t="shared" ref="N82:N88" si="91">ROUND(L82*M82,2)</f>
        <v>#REF!</v>
      </c>
      <c r="O82" s="13" t="e">
        <f t="shared" ref="O82:O88" si="92">ROUND(K82*N82,2)</f>
        <v>#REF!</v>
      </c>
      <c r="Q82" s="143" t="e">
        <f>INDEX(#REF!,MATCH(A82,#REF!,0),0)</f>
        <v>#REF!</v>
      </c>
      <c r="R82" s="12">
        <f t="shared" ref="R82:R88" si="93">1+$T$11</f>
        <v>1.2757000000000001</v>
      </c>
      <c r="S82" s="13" t="e">
        <f t="shared" ref="S82:S88" si="94">ROUND(Q82*R82,2)</f>
        <v>#REF!</v>
      </c>
      <c r="T82" s="13" t="e">
        <f t="shared" ref="T82:T88" si="95">ROUND(K82*S82,2)</f>
        <v>#REF!</v>
      </c>
    </row>
    <row r="83" spans="1:20" ht="50.25" customHeight="1">
      <c r="A83" s="63" t="str">
        <f t="shared" si="75"/>
        <v>SIURB EDIF15001023</v>
      </c>
      <c r="B83" s="17" t="s">
        <v>24</v>
      </c>
      <c r="C83" s="17">
        <v>15001023</v>
      </c>
      <c r="D83" s="11">
        <f t="shared" ref="D83:D88" si="96">$D$81</f>
        <v>4</v>
      </c>
      <c r="E83" s="353" t="s">
        <v>22</v>
      </c>
      <c r="F83" s="353">
        <v>2</v>
      </c>
      <c r="G83" s="353"/>
      <c r="H83" s="353"/>
      <c r="I83" s="145" t="e">
        <f>INDEX(#REF!,MATCH(A83,#REF!,0),0)</f>
        <v>#REF!</v>
      </c>
      <c r="J83" s="144" t="e">
        <f>INDEX(#REF!,MATCH(A83,#REF!,0),0)</f>
        <v>#REF!</v>
      </c>
      <c r="K83" s="142">
        <v>290.51</v>
      </c>
      <c r="L83" s="143" t="e">
        <f>INDEX(#REF!,MATCH(A83,#REF!,0),0)</f>
        <v>#REF!</v>
      </c>
      <c r="M83" s="12">
        <f t="shared" si="90"/>
        <v>1.25</v>
      </c>
      <c r="N83" s="13" t="e">
        <f t="shared" si="91"/>
        <v>#REF!</v>
      </c>
      <c r="O83" s="13" t="e">
        <f t="shared" si="92"/>
        <v>#REF!</v>
      </c>
      <c r="Q83" s="143" t="e">
        <f>INDEX(#REF!,MATCH(A83,#REF!,0),0)</f>
        <v>#REF!</v>
      </c>
      <c r="R83" s="12">
        <f t="shared" si="93"/>
        <v>1.2757000000000001</v>
      </c>
      <c r="S83" s="13" t="e">
        <f t="shared" si="94"/>
        <v>#REF!</v>
      </c>
      <c r="T83" s="13" t="e">
        <f t="shared" si="95"/>
        <v>#REF!</v>
      </c>
    </row>
    <row r="84" spans="1:20" ht="38.25" customHeight="1">
      <c r="A84" s="63" t="str">
        <f t="shared" si="75"/>
        <v>SIURB EDIF15002010</v>
      </c>
      <c r="B84" s="17" t="s">
        <v>24</v>
      </c>
      <c r="C84" s="341">
        <v>15002010</v>
      </c>
      <c r="D84" s="11">
        <f t="shared" si="96"/>
        <v>4</v>
      </c>
      <c r="E84" s="353" t="s">
        <v>22</v>
      </c>
      <c r="F84" s="353">
        <v>3</v>
      </c>
      <c r="G84" s="353"/>
      <c r="H84" s="353"/>
      <c r="I84" s="145" t="e">
        <f>INDEX(#REF!,MATCH(A84,#REF!,0),0)</f>
        <v>#REF!</v>
      </c>
      <c r="J84" s="144" t="e">
        <f>INDEX(#REF!,MATCH(A84,#REF!,0),0)</f>
        <v>#REF!</v>
      </c>
      <c r="K84" s="142">
        <v>110.25</v>
      </c>
      <c r="L84" s="143" t="e">
        <f>INDEX(#REF!,MATCH(A84,#REF!,0),0)</f>
        <v>#REF!</v>
      </c>
      <c r="M84" s="12">
        <f t="shared" si="90"/>
        <v>1.25</v>
      </c>
      <c r="N84" s="13" t="e">
        <f t="shared" si="91"/>
        <v>#REF!</v>
      </c>
      <c r="O84" s="13" t="e">
        <f t="shared" si="92"/>
        <v>#REF!</v>
      </c>
      <c r="Q84" s="143" t="e">
        <f>INDEX(#REF!,MATCH(A84,#REF!,0),0)</f>
        <v>#REF!</v>
      </c>
      <c r="R84" s="12">
        <f t="shared" si="93"/>
        <v>1.2757000000000001</v>
      </c>
      <c r="S84" s="13" t="e">
        <f t="shared" si="94"/>
        <v>#REF!</v>
      </c>
      <c r="T84" s="13" t="e">
        <f t="shared" si="95"/>
        <v>#REF!</v>
      </c>
    </row>
    <row r="85" spans="1:20" ht="38.25" customHeight="1">
      <c r="A85" s="63" t="str">
        <f t="shared" si="75"/>
        <v>SIURB EDIF15003010</v>
      </c>
      <c r="B85" s="17" t="s">
        <v>24</v>
      </c>
      <c r="C85" s="341">
        <v>15003010</v>
      </c>
      <c r="D85" s="11">
        <f t="shared" si="96"/>
        <v>4</v>
      </c>
      <c r="E85" s="353" t="s">
        <v>22</v>
      </c>
      <c r="F85" s="353">
        <v>4</v>
      </c>
      <c r="G85" s="353"/>
      <c r="H85" s="353"/>
      <c r="I85" s="145" t="e">
        <f>INDEX(#REF!,MATCH(A85,#REF!,0),0)</f>
        <v>#REF!</v>
      </c>
      <c r="J85" s="144" t="e">
        <f>INDEX(#REF!,MATCH(A85,#REF!,0),0)</f>
        <v>#REF!</v>
      </c>
      <c r="K85" s="142">
        <v>154.54</v>
      </c>
      <c r="L85" s="143" t="e">
        <f>INDEX(#REF!,MATCH(A85,#REF!,0),0)</f>
        <v>#REF!</v>
      </c>
      <c r="M85" s="12">
        <f t="shared" si="90"/>
        <v>1.25</v>
      </c>
      <c r="N85" s="13" t="e">
        <f t="shared" si="91"/>
        <v>#REF!</v>
      </c>
      <c r="O85" s="13" t="e">
        <f t="shared" si="92"/>
        <v>#REF!</v>
      </c>
      <c r="Q85" s="143" t="e">
        <f>INDEX(#REF!,MATCH(A85,#REF!,0),0)</f>
        <v>#REF!</v>
      </c>
      <c r="R85" s="12">
        <f t="shared" si="93"/>
        <v>1.2757000000000001</v>
      </c>
      <c r="S85" s="13" t="e">
        <f t="shared" si="94"/>
        <v>#REF!</v>
      </c>
      <c r="T85" s="13" t="e">
        <f t="shared" si="95"/>
        <v>#REF!</v>
      </c>
    </row>
    <row r="86" spans="1:20" ht="38.25" customHeight="1">
      <c r="A86" s="63" t="str">
        <f t="shared" si="75"/>
        <v>CDHU30.06.100</v>
      </c>
      <c r="B86" s="17" t="s">
        <v>29</v>
      </c>
      <c r="C86" s="341" t="s">
        <v>55</v>
      </c>
      <c r="D86" s="11">
        <f t="shared" si="96"/>
        <v>4</v>
      </c>
      <c r="E86" s="353" t="s">
        <v>22</v>
      </c>
      <c r="F86" s="353">
        <v>5</v>
      </c>
      <c r="G86" s="353"/>
      <c r="H86" s="353"/>
      <c r="I86" s="145" t="e">
        <f>INDEX(#REF!,MATCH(A86,#REF!,0),0)</f>
        <v>#REF!</v>
      </c>
      <c r="J86" s="144" t="e">
        <f>INDEX(#REF!,MATCH(A86,#REF!,0),0)</f>
        <v>#REF!</v>
      </c>
      <c r="K86" s="142">
        <v>2</v>
      </c>
      <c r="L86" s="143" t="e">
        <f>INDEX(#REF!,MATCH(A86,#REF!,0),0)</f>
        <v>#REF!</v>
      </c>
      <c r="M86" s="12">
        <f t="shared" si="90"/>
        <v>1.25</v>
      </c>
      <c r="N86" s="13" t="e">
        <f t="shared" si="91"/>
        <v>#REF!</v>
      </c>
      <c r="O86" s="13" t="e">
        <f t="shared" si="92"/>
        <v>#REF!</v>
      </c>
      <c r="Q86" s="143" t="e">
        <f>INDEX(#REF!,MATCH(A86,#REF!,0),0)</f>
        <v>#REF!</v>
      </c>
      <c r="R86" s="12">
        <f t="shared" si="93"/>
        <v>1.2757000000000001</v>
      </c>
      <c r="S86" s="13" t="e">
        <f t="shared" si="94"/>
        <v>#REF!</v>
      </c>
      <c r="T86" s="13" t="e">
        <f t="shared" si="95"/>
        <v>#REF!</v>
      </c>
    </row>
    <row r="87" spans="1:20" ht="38.25" customHeight="1">
      <c r="A87" s="63" t="str">
        <f t="shared" si="75"/>
        <v>SIURB EDIF13080061</v>
      </c>
      <c r="B87" s="17" t="s">
        <v>24</v>
      </c>
      <c r="C87" s="341">
        <v>13080061</v>
      </c>
      <c r="D87" s="11">
        <f t="shared" si="96"/>
        <v>4</v>
      </c>
      <c r="E87" s="353" t="s">
        <v>22</v>
      </c>
      <c r="F87" s="353">
        <v>6</v>
      </c>
      <c r="G87" s="353"/>
      <c r="H87" s="353"/>
      <c r="I87" s="145" t="e">
        <f>INDEX(#REF!,MATCH(A87,#REF!,0),0)</f>
        <v>#REF!</v>
      </c>
      <c r="J87" s="144" t="e">
        <f>INDEX(#REF!,MATCH(A87,#REF!,0),0)</f>
        <v>#REF!</v>
      </c>
      <c r="K87" s="142">
        <v>207.99</v>
      </c>
      <c r="L87" s="143" t="e">
        <f>INDEX(#REF!,MATCH(A87,#REF!,0),0)</f>
        <v>#REF!</v>
      </c>
      <c r="M87" s="12">
        <f t="shared" si="90"/>
        <v>1.25</v>
      </c>
      <c r="N87" s="13" t="e">
        <f t="shared" si="91"/>
        <v>#REF!</v>
      </c>
      <c r="O87" s="13" t="e">
        <f t="shared" si="92"/>
        <v>#REF!</v>
      </c>
      <c r="Q87" s="143" t="e">
        <f>INDEX(#REF!,MATCH(A87,#REF!,0),0)</f>
        <v>#REF!</v>
      </c>
      <c r="R87" s="12">
        <f t="shared" si="93"/>
        <v>1.2757000000000001</v>
      </c>
      <c r="S87" s="13" t="e">
        <f t="shared" si="94"/>
        <v>#REF!</v>
      </c>
      <c r="T87" s="13" t="e">
        <f t="shared" si="95"/>
        <v>#REF!</v>
      </c>
    </row>
    <row r="88" spans="1:20" ht="38.25" customHeight="1">
      <c r="A88" s="63" t="str">
        <f t="shared" si="75"/>
        <v>SIURB EDIF13080070</v>
      </c>
      <c r="B88" s="17" t="s">
        <v>24</v>
      </c>
      <c r="C88" s="341">
        <v>13080070</v>
      </c>
      <c r="D88" s="11">
        <f t="shared" si="96"/>
        <v>4</v>
      </c>
      <c r="E88" s="353" t="s">
        <v>22</v>
      </c>
      <c r="F88" s="353">
        <v>7</v>
      </c>
      <c r="G88" s="353"/>
      <c r="H88" s="353"/>
      <c r="I88" s="145" t="e">
        <f>INDEX(#REF!,MATCH(A88,#REF!,0),0)</f>
        <v>#REF!</v>
      </c>
      <c r="J88" s="144" t="e">
        <f>INDEX(#REF!,MATCH(A88,#REF!,0),0)</f>
        <v>#REF!</v>
      </c>
      <c r="K88" s="142">
        <v>207.99</v>
      </c>
      <c r="L88" s="143" t="e">
        <f>INDEX(#REF!,MATCH(A88,#REF!,0),0)</f>
        <v>#REF!</v>
      </c>
      <c r="M88" s="12">
        <f t="shared" si="90"/>
        <v>1.25</v>
      </c>
      <c r="N88" s="13" t="e">
        <f t="shared" si="91"/>
        <v>#REF!</v>
      </c>
      <c r="O88" s="13" t="e">
        <f t="shared" si="92"/>
        <v>#REF!</v>
      </c>
      <c r="Q88" s="143" t="e">
        <f>INDEX(#REF!,MATCH(A88,#REF!,0),0)</f>
        <v>#REF!</v>
      </c>
      <c r="R88" s="12">
        <f t="shared" si="93"/>
        <v>1.2757000000000001</v>
      </c>
      <c r="S88" s="13" t="e">
        <f t="shared" si="94"/>
        <v>#REF!</v>
      </c>
      <c r="T88" s="13" t="e">
        <f t="shared" si="95"/>
        <v>#REF!</v>
      </c>
    </row>
    <row r="89" spans="1:20" s="170" customFormat="1" ht="12.75">
      <c r="A89" s="63" t="str">
        <f t="shared" si="75"/>
        <v/>
      </c>
      <c r="B89" s="17"/>
      <c r="C89" s="341"/>
      <c r="D89" s="10"/>
      <c r="E89" s="347"/>
      <c r="F89" s="347"/>
      <c r="G89" s="347"/>
      <c r="H89" s="347"/>
      <c r="I89" s="434" t="s">
        <v>25</v>
      </c>
      <c r="J89" s="434"/>
      <c r="K89" s="434"/>
      <c r="L89" s="434"/>
      <c r="M89" s="434"/>
      <c r="N89" s="434"/>
      <c r="O89" s="352" t="e">
        <f>SUM(O82:O88)</f>
        <v>#REF!</v>
      </c>
      <c r="Q89" s="349"/>
      <c r="R89" s="350"/>
      <c r="S89" s="351"/>
      <c r="T89" s="352" t="e">
        <f>SUM(T82:T88)</f>
        <v>#REF!</v>
      </c>
    </row>
    <row r="90" spans="1:20" s="170" customFormat="1" ht="19.5" customHeight="1">
      <c r="A90" s="63" t="str">
        <f t="shared" si="75"/>
        <v/>
      </c>
      <c r="B90" s="17"/>
      <c r="C90" s="341"/>
      <c r="D90" s="10">
        <v>5</v>
      </c>
      <c r="E90" s="347" t="s">
        <v>22</v>
      </c>
      <c r="F90" s="347">
        <v>0</v>
      </c>
      <c r="G90" s="347"/>
      <c r="H90" s="347"/>
      <c r="I90" s="348" t="s">
        <v>56</v>
      </c>
      <c r="J90" s="347"/>
      <c r="K90" s="349"/>
      <c r="L90" s="349"/>
      <c r="M90" s="350"/>
      <c r="N90" s="351"/>
      <c r="O90" s="352"/>
      <c r="Q90" s="349"/>
      <c r="R90" s="350"/>
      <c r="S90" s="351"/>
      <c r="T90" s="352"/>
    </row>
    <row r="91" spans="1:20" ht="38.25" customHeight="1">
      <c r="A91" s="63" t="str">
        <f t="shared" si="75"/>
        <v>SIURB EDIF17004001</v>
      </c>
      <c r="B91" s="17" t="s">
        <v>24</v>
      </c>
      <c r="C91" s="341">
        <v>17004001</v>
      </c>
      <c r="D91" s="11">
        <f>D90</f>
        <v>5</v>
      </c>
      <c r="E91" s="353" t="s">
        <v>22</v>
      </c>
      <c r="F91" s="353">
        <v>1</v>
      </c>
      <c r="G91" s="353"/>
      <c r="H91" s="353"/>
      <c r="I91" s="145" t="e">
        <f>INDEX(#REF!,MATCH(A91,#REF!,0),0)</f>
        <v>#REF!</v>
      </c>
      <c r="J91" s="144" t="e">
        <f>INDEX(#REF!,MATCH(A91,#REF!,0),0)</f>
        <v>#REF!</v>
      </c>
      <c r="K91" s="142">
        <v>644.41</v>
      </c>
      <c r="L91" s="143" t="e">
        <f>INDEX(#REF!,MATCH(A91,#REF!,0),0)</f>
        <v>#REF!</v>
      </c>
      <c r="M91" s="12">
        <f t="shared" ref="M91" si="97">1+$O$11</f>
        <v>1.25</v>
      </c>
      <c r="N91" s="13" t="e">
        <f t="shared" ref="N91" si="98">ROUND(L91*M91,2)</f>
        <v>#REF!</v>
      </c>
      <c r="O91" s="13" t="e">
        <f t="shared" ref="O91" si="99">ROUND(K91*N91,2)</f>
        <v>#REF!</v>
      </c>
      <c r="Q91" s="143" t="e">
        <f>INDEX(#REF!,MATCH(A91,#REF!,0),0)</f>
        <v>#REF!</v>
      </c>
      <c r="R91" s="12">
        <f t="shared" ref="R91" si="100">1+$T$11</f>
        <v>1.2757000000000001</v>
      </c>
      <c r="S91" s="13" t="e">
        <f t="shared" ref="S91" si="101">ROUND(Q91*R91,2)</f>
        <v>#REF!</v>
      </c>
      <c r="T91" s="13" t="e">
        <f t="shared" ref="T91" si="102">ROUND(K91*S91,2)</f>
        <v>#REF!</v>
      </c>
    </row>
    <row r="92" spans="1:20" s="170" customFormat="1" ht="12.75">
      <c r="A92" s="63" t="str">
        <f t="shared" si="75"/>
        <v/>
      </c>
      <c r="B92" s="17"/>
      <c r="C92" s="341"/>
      <c r="D92" s="10"/>
      <c r="E92" s="347"/>
      <c r="F92" s="347"/>
      <c r="G92" s="347"/>
      <c r="H92" s="347"/>
      <c r="I92" s="434" t="s">
        <v>25</v>
      </c>
      <c r="J92" s="434"/>
      <c r="K92" s="434"/>
      <c r="L92" s="434"/>
      <c r="M92" s="434"/>
      <c r="N92" s="434"/>
      <c r="O92" s="352" t="e">
        <f>SUM(O91)</f>
        <v>#REF!</v>
      </c>
      <c r="Q92" s="349"/>
      <c r="R92" s="350"/>
      <c r="S92" s="351"/>
      <c r="T92" s="352" t="e">
        <f>SUM(T91)</f>
        <v>#REF!</v>
      </c>
    </row>
    <row r="93" spans="1:20" ht="11.25" customHeight="1">
      <c r="C93" s="341"/>
      <c r="D93" s="167"/>
      <c r="L93" s="168"/>
      <c r="M93" s="168"/>
      <c r="N93" s="168"/>
      <c r="O93" s="173"/>
      <c r="Q93" s="168"/>
      <c r="R93" s="168"/>
      <c r="S93" s="168"/>
      <c r="T93" s="173"/>
    </row>
    <row r="94" spans="1:20" s="170" customFormat="1" ht="12.75">
      <c r="A94" s="63"/>
      <c r="B94" s="17"/>
      <c r="C94" s="341"/>
      <c r="D94" s="10"/>
      <c r="E94" s="347"/>
      <c r="F94" s="347"/>
      <c r="G94" s="347"/>
      <c r="H94" s="347"/>
      <c r="I94" s="435" t="s">
        <v>57</v>
      </c>
      <c r="J94" s="435"/>
      <c r="K94" s="435"/>
      <c r="L94" s="435"/>
      <c r="M94" s="435"/>
      <c r="N94" s="354"/>
      <c r="O94" s="352" t="e">
        <f>SUM(O92,O89,O80,O39)</f>
        <v>#REF!</v>
      </c>
      <c r="Q94" s="349"/>
      <c r="R94" s="350"/>
      <c r="S94" s="354" t="s">
        <v>58</v>
      </c>
      <c r="T94" s="352" t="e">
        <f>SUM(T92,T89,T80,T39,T19)</f>
        <v>#REF!</v>
      </c>
    </row>
    <row r="95" spans="1:20" s="170" customFormat="1" ht="19.5" customHeight="1">
      <c r="A95" s="63" t="str">
        <f t="shared" ref="A95:A97" si="103">B95&amp;C95</f>
        <v/>
      </c>
      <c r="B95" s="17"/>
      <c r="C95" s="341"/>
      <c r="D95" s="10">
        <v>6</v>
      </c>
      <c r="E95" s="347" t="s">
        <v>22</v>
      </c>
      <c r="F95" s="347">
        <v>0</v>
      </c>
      <c r="G95" s="347"/>
      <c r="H95" s="347"/>
      <c r="I95" s="348" t="s">
        <v>59</v>
      </c>
      <c r="J95" s="347"/>
      <c r="K95" s="349"/>
      <c r="L95" s="349"/>
      <c r="M95" s="350"/>
      <c r="N95" s="351"/>
      <c r="O95" s="352"/>
      <c r="Q95" s="349"/>
      <c r="R95" s="350"/>
      <c r="S95" s="351"/>
      <c r="T95" s="352"/>
    </row>
    <row r="96" spans="1:20" ht="38.25" customHeight="1">
      <c r="C96" s="341"/>
      <c r="D96" s="11">
        <f>D95</f>
        <v>6</v>
      </c>
      <c r="E96" s="353" t="s">
        <v>22</v>
      </c>
      <c r="F96" s="353">
        <v>1</v>
      </c>
      <c r="G96" s="353"/>
      <c r="H96" s="353"/>
      <c r="I96" s="145" t="s">
        <v>60</v>
      </c>
      <c r="J96" s="144" t="s">
        <v>61</v>
      </c>
      <c r="K96" s="197">
        <v>0.02</v>
      </c>
      <c r="L96" s="195" t="e">
        <f>O94</f>
        <v>#REF!</v>
      </c>
      <c r="M96" s="12"/>
      <c r="N96" s="13" t="e">
        <f>L96*K96</f>
        <v>#REF!</v>
      </c>
      <c r="O96" s="13" t="e">
        <f>N96</f>
        <v>#REF!</v>
      </c>
      <c r="Q96" s="143">
        <v>2</v>
      </c>
      <c r="R96" s="12">
        <f t="shared" ref="R96" si="104">1+$T$11</f>
        <v>1.2757000000000001</v>
      </c>
      <c r="S96" s="13" t="e">
        <f>T94*P96</f>
        <v>#REF!</v>
      </c>
      <c r="T96" s="13" t="e">
        <f t="shared" ref="T96" si="105">ROUND(K96*S96,2)</f>
        <v>#REF!</v>
      </c>
    </row>
    <row r="97" spans="1:20" s="170" customFormat="1" ht="12.75">
      <c r="A97" s="63" t="str">
        <f t="shared" si="103"/>
        <v/>
      </c>
      <c r="B97" s="17"/>
      <c r="C97" s="341"/>
      <c r="D97" s="10"/>
      <c r="E97" s="347"/>
      <c r="F97" s="347"/>
      <c r="G97" s="347"/>
      <c r="H97" s="347"/>
      <c r="I97" s="434" t="s">
        <v>25</v>
      </c>
      <c r="J97" s="434"/>
      <c r="K97" s="434"/>
      <c r="L97" s="434"/>
      <c r="M97" s="434"/>
      <c r="N97" s="434"/>
      <c r="O97" s="352" t="e">
        <f>SUM(O96)</f>
        <v>#REF!</v>
      </c>
      <c r="Q97" s="349"/>
      <c r="R97" s="350"/>
      <c r="S97" s="351"/>
      <c r="T97" s="352" t="e">
        <f>SUM(T96)</f>
        <v>#REF!</v>
      </c>
    </row>
    <row r="98" spans="1:20" ht="9" customHeight="1">
      <c r="C98" s="361"/>
      <c r="D98" s="196"/>
      <c r="E98" s="362"/>
      <c r="F98" s="362"/>
      <c r="G98" s="362"/>
      <c r="H98" s="362"/>
      <c r="I98" s="363"/>
      <c r="J98" s="363"/>
      <c r="K98" s="363"/>
      <c r="L98" s="363"/>
      <c r="M98" s="363"/>
      <c r="N98" s="363"/>
      <c r="O98" s="364"/>
      <c r="Q98" s="365"/>
      <c r="R98" s="358"/>
      <c r="S98" s="359"/>
      <c r="T98" s="364"/>
    </row>
    <row r="99" spans="1:20" s="170" customFormat="1" ht="12.75">
      <c r="A99" s="63"/>
      <c r="B99" s="17"/>
      <c r="C99" s="341"/>
      <c r="D99" s="10"/>
      <c r="E99" s="347"/>
      <c r="F99" s="347"/>
      <c r="G99" s="347"/>
      <c r="H99" s="347"/>
      <c r="I99" s="435" t="s">
        <v>62</v>
      </c>
      <c r="J99" s="435"/>
      <c r="K99" s="435"/>
      <c r="L99" s="435"/>
      <c r="M99" s="435"/>
      <c r="N99" s="354"/>
      <c r="O99" s="352" t="e">
        <f>SUM(O97,O94)</f>
        <v>#REF!</v>
      </c>
      <c r="Q99" s="349"/>
      <c r="R99" s="350"/>
      <c r="S99" s="354" t="s">
        <v>58</v>
      </c>
      <c r="T99" s="352" t="e">
        <f>SUM(T97,T94)</f>
        <v>#REF!</v>
      </c>
    </row>
    <row r="100" spans="1:20" s="170" customFormat="1" ht="19.5" customHeight="1">
      <c r="A100" s="63" t="str">
        <f t="shared" si="75"/>
        <v/>
      </c>
      <c r="B100" s="17"/>
      <c r="C100" s="341"/>
      <c r="D100" s="10">
        <v>7</v>
      </c>
      <c r="E100" s="347" t="s">
        <v>22</v>
      </c>
      <c r="F100" s="347">
        <v>0</v>
      </c>
      <c r="G100" s="347"/>
      <c r="H100" s="347"/>
      <c r="I100" s="348" t="s">
        <v>63</v>
      </c>
      <c r="J100" s="347"/>
      <c r="K100" s="349"/>
      <c r="L100" s="349"/>
      <c r="M100" s="350"/>
      <c r="N100" s="351"/>
      <c r="O100" s="352"/>
      <c r="Q100" s="349"/>
      <c r="R100" s="350"/>
      <c r="S100" s="351"/>
      <c r="T100" s="352"/>
    </row>
    <row r="101" spans="1:20" ht="38.25" customHeight="1">
      <c r="A101" s="63" t="str">
        <f t="shared" si="75"/>
        <v/>
      </c>
      <c r="C101" s="341"/>
      <c r="D101" s="11">
        <f>D100</f>
        <v>7</v>
      </c>
      <c r="E101" s="353" t="s">
        <v>22</v>
      </c>
      <c r="F101" s="353">
        <v>1</v>
      </c>
      <c r="G101" s="353"/>
      <c r="H101" s="353"/>
      <c r="I101" s="145" t="s">
        <v>63</v>
      </c>
      <c r="J101" s="144" t="s">
        <v>61</v>
      </c>
      <c r="K101" s="197">
        <v>0.05</v>
      </c>
      <c r="L101" s="195" t="e">
        <f>O99</f>
        <v>#REF!</v>
      </c>
      <c r="M101" s="12"/>
      <c r="N101" s="13" t="e">
        <f>L101*K101</f>
        <v>#REF!</v>
      </c>
      <c r="O101" s="13" t="e">
        <f>N101</f>
        <v>#REF!</v>
      </c>
      <c r="Q101" s="174">
        <v>0.1</v>
      </c>
      <c r="R101" s="12">
        <f t="shared" ref="R101" si="106">1+$T$11</f>
        <v>1.2757000000000001</v>
      </c>
      <c r="S101" s="13" t="e">
        <f>T99*Q101</f>
        <v>#REF!</v>
      </c>
      <c r="T101" s="13" t="e">
        <f>S101</f>
        <v>#REF!</v>
      </c>
    </row>
    <row r="102" spans="1:20" s="170" customFormat="1" ht="12.75">
      <c r="A102" s="63" t="str">
        <f t="shared" si="75"/>
        <v/>
      </c>
      <c r="B102" s="17"/>
      <c r="C102" s="341"/>
      <c r="D102" s="10"/>
      <c r="E102" s="347"/>
      <c r="F102" s="347"/>
      <c r="G102" s="347"/>
      <c r="H102" s="347"/>
      <c r="I102" s="434" t="s">
        <v>74</v>
      </c>
      <c r="J102" s="434"/>
      <c r="K102" s="434"/>
      <c r="L102" s="434"/>
      <c r="M102" s="434"/>
      <c r="N102" s="434"/>
      <c r="O102" s="352" t="e">
        <f>SUM(O101)</f>
        <v>#REF!</v>
      </c>
      <c r="Q102" s="349"/>
      <c r="R102" s="350"/>
      <c r="S102" s="351"/>
      <c r="T102" s="352" t="e">
        <f>SUM(T101)</f>
        <v>#REF!</v>
      </c>
    </row>
    <row r="103" spans="1:20" ht="11.25" customHeight="1">
      <c r="C103" s="341"/>
      <c r="D103" s="167"/>
      <c r="L103" s="168"/>
      <c r="M103" s="168"/>
      <c r="N103" s="168"/>
      <c r="O103" s="173"/>
      <c r="Q103" s="168"/>
      <c r="R103" s="168"/>
      <c r="S103" s="168"/>
      <c r="T103" s="173"/>
    </row>
    <row r="104" spans="1:20" s="170" customFormat="1" ht="12.75">
      <c r="A104" s="63" t="str">
        <f t="shared" ref="A104" si="107">B104&amp;C104</f>
        <v/>
      </c>
      <c r="B104" s="17"/>
      <c r="C104" s="341"/>
      <c r="D104" s="10"/>
      <c r="E104" s="347"/>
      <c r="F104" s="347"/>
      <c r="G104" s="347"/>
      <c r="H104" s="347"/>
      <c r="I104" s="354" t="s">
        <v>64</v>
      </c>
      <c r="J104" s="354"/>
      <c r="K104" s="347"/>
      <c r="L104" s="354"/>
      <c r="M104" s="354"/>
      <c r="N104" s="354"/>
      <c r="O104" s="352" t="e">
        <f>O19+O39+O80+O89+O92+O97+O102</f>
        <v>#REF!</v>
      </c>
      <c r="Q104" s="349"/>
      <c r="R104" s="350"/>
      <c r="S104" s="351"/>
      <c r="T104" s="352" t="e">
        <f>T99+T102</f>
        <v>#REF!</v>
      </c>
    </row>
    <row r="105" spans="1:20" ht="11.25" customHeight="1">
      <c r="C105" s="341"/>
      <c r="D105" s="167"/>
      <c r="L105" s="168"/>
      <c r="M105" s="168"/>
      <c r="N105" s="168"/>
      <c r="O105" s="173"/>
      <c r="Q105" s="168"/>
      <c r="R105" s="168"/>
      <c r="S105" s="168"/>
      <c r="T105" s="173"/>
    </row>
    <row r="106" spans="1:20" s="166" customFormat="1" ht="30" customHeight="1">
      <c r="A106" s="63"/>
      <c r="B106" s="17"/>
      <c r="C106" s="341"/>
      <c r="D106" s="366"/>
      <c r="E106" s="367"/>
      <c r="F106" s="367"/>
      <c r="G106" s="367"/>
      <c r="H106" s="367"/>
      <c r="I106" s="64" t="s">
        <v>65</v>
      </c>
      <c r="J106" s="367"/>
      <c r="K106" s="368"/>
      <c r="L106" s="369"/>
      <c r="M106" s="369"/>
      <c r="N106" s="369"/>
      <c r="O106" s="14" t="e">
        <f>O104</f>
        <v>#REF!</v>
      </c>
      <c r="P106" s="165"/>
      <c r="Q106" s="370"/>
      <c r="R106" s="370"/>
      <c r="S106" s="370"/>
      <c r="T106" s="14" t="e">
        <f>T104</f>
        <v>#REF!</v>
      </c>
    </row>
    <row r="107" spans="1:20" ht="30" customHeight="1">
      <c r="C107" s="341"/>
      <c r="D107" s="175"/>
      <c r="E107" s="175"/>
      <c r="F107" s="175"/>
      <c r="G107" s="175"/>
      <c r="H107" s="175"/>
      <c r="I107" s="65"/>
      <c r="J107" s="175"/>
      <c r="K107" s="176"/>
      <c r="L107" s="177"/>
      <c r="M107" s="177"/>
      <c r="N107" s="177"/>
      <c r="O107" s="66"/>
      <c r="T107" s="178"/>
    </row>
    <row r="108" spans="1:20" ht="30" customHeight="1">
      <c r="C108" s="341"/>
      <c r="D108" s="175"/>
      <c r="E108" s="175"/>
      <c r="F108" s="175"/>
      <c r="G108" s="175"/>
      <c r="H108" s="175"/>
      <c r="I108" s="65"/>
      <c r="J108" s="175"/>
      <c r="K108" s="176"/>
      <c r="L108" s="177"/>
      <c r="M108" s="177"/>
      <c r="N108" s="177"/>
      <c r="O108" s="66"/>
      <c r="P108" s="171"/>
      <c r="T108" s="178"/>
    </row>
    <row r="109" spans="1:20" ht="30" customHeight="1">
      <c r="C109" s="341"/>
      <c r="D109" s="175"/>
      <c r="E109" s="175"/>
      <c r="F109" s="175"/>
      <c r="G109" s="175"/>
      <c r="H109" s="175"/>
      <c r="I109" s="175"/>
      <c r="J109" s="175"/>
      <c r="K109" s="176"/>
      <c r="L109" s="175"/>
      <c r="M109" s="175"/>
      <c r="N109" s="175"/>
      <c r="O109" s="175"/>
      <c r="P109" s="171"/>
      <c r="T109" s="178"/>
    </row>
    <row r="110" spans="1:20" ht="12" customHeight="1">
      <c r="C110" s="341"/>
      <c r="E110" s="179"/>
      <c r="F110" s="179" t="s">
        <v>66</v>
      </c>
      <c r="G110" s="179"/>
      <c r="H110" s="179"/>
      <c r="I110" s="179"/>
      <c r="J110" s="47" t="s">
        <v>67</v>
      </c>
      <c r="K110" s="180"/>
      <c r="L110" s="181"/>
      <c r="M110" s="181"/>
      <c r="N110" s="181"/>
      <c r="O110" s="181"/>
    </row>
    <row r="111" spans="1:20" s="182" customFormat="1" ht="12.75" customHeight="1">
      <c r="A111" s="63"/>
      <c r="B111" s="17"/>
      <c r="C111" s="341"/>
      <c r="D111" s="175"/>
      <c r="E111" s="175"/>
      <c r="F111" s="175"/>
      <c r="G111" s="175"/>
      <c r="I111" s="183" t="s">
        <v>68</v>
      </c>
      <c r="J111" s="45" t="s">
        <v>69</v>
      </c>
      <c r="K111" s="176"/>
      <c r="L111" s="175"/>
      <c r="M111" s="175"/>
      <c r="N111" s="175"/>
      <c r="O111" s="175"/>
      <c r="T111" s="184"/>
    </row>
    <row r="112" spans="1:20" s="182" customFormat="1" ht="12.75" customHeight="1">
      <c r="A112" s="63"/>
      <c r="B112" s="17"/>
      <c r="C112" s="341"/>
      <c r="D112" s="175"/>
      <c r="E112" s="175"/>
      <c r="F112" s="175"/>
      <c r="G112" s="175"/>
      <c r="I112" s="175"/>
      <c r="J112" s="47"/>
      <c r="K112" s="40"/>
      <c r="L112" s="47"/>
      <c r="M112" s="47"/>
      <c r="N112" s="47"/>
      <c r="O112" s="47"/>
    </row>
    <row r="113" spans="1:22" s="182" customFormat="1" ht="12.75" customHeight="1">
      <c r="A113" s="63"/>
      <c r="B113" s="17"/>
      <c r="C113" s="341"/>
      <c r="D113" s="175"/>
      <c r="E113" s="175"/>
      <c r="F113" s="175"/>
      <c r="G113" s="175"/>
      <c r="H113" s="175"/>
      <c r="I113" s="175"/>
      <c r="J113" s="47"/>
      <c r="K113" s="40"/>
      <c r="L113" s="47"/>
      <c r="M113" s="47"/>
      <c r="N113" s="47"/>
      <c r="O113" s="47"/>
    </row>
    <row r="114" spans="1:22" s="182" customFormat="1" ht="12.75" customHeight="1">
      <c r="A114" s="63"/>
      <c r="B114" s="17"/>
      <c r="C114" s="341"/>
      <c r="D114" s="175"/>
      <c r="E114" s="175"/>
      <c r="F114" s="175"/>
      <c r="G114" s="175"/>
      <c r="H114" s="175"/>
      <c r="I114" s="175"/>
      <c r="J114" s="47"/>
      <c r="K114" s="40"/>
      <c r="L114" s="47"/>
      <c r="M114" s="47"/>
      <c r="N114" s="47"/>
      <c r="O114" s="47"/>
    </row>
    <row r="115" spans="1:22" s="182" customFormat="1" ht="15" customHeight="1">
      <c r="A115" s="63"/>
      <c r="B115" s="17"/>
      <c r="C115" s="341"/>
      <c r="D115" s="175"/>
      <c r="E115" s="175"/>
      <c r="F115" s="175"/>
      <c r="G115" s="175"/>
      <c r="H115" s="175"/>
      <c r="I115" s="175"/>
      <c r="J115" s="40"/>
      <c r="K115" s="40"/>
      <c r="L115" s="40"/>
      <c r="M115" s="40"/>
      <c r="N115" s="40"/>
      <c r="O115" s="40"/>
      <c r="P115" s="15"/>
      <c r="Q115" s="15"/>
      <c r="R115" s="15"/>
      <c r="S115" s="15"/>
      <c r="T115" s="15"/>
      <c r="U115" s="15"/>
      <c r="V115" s="15"/>
    </row>
    <row r="116" spans="1:22" s="182" customFormat="1" ht="15" customHeight="1">
      <c r="A116" s="63"/>
      <c r="B116" s="17"/>
      <c r="C116" s="341"/>
      <c r="D116" s="175"/>
      <c r="E116" s="175"/>
      <c r="F116" s="175"/>
      <c r="G116" s="175"/>
      <c r="H116" s="175"/>
      <c r="I116" s="175"/>
      <c r="J116" s="175"/>
      <c r="K116" s="176"/>
      <c r="L116" s="175"/>
      <c r="M116" s="175"/>
      <c r="N116" s="175"/>
      <c r="O116" s="175"/>
      <c r="P116" s="16"/>
      <c r="Q116" s="16"/>
      <c r="R116" s="16"/>
      <c r="S116" s="16"/>
      <c r="T116" s="16"/>
      <c r="U116" s="16"/>
      <c r="V116" s="16"/>
    </row>
    <row r="117" spans="1:22" s="182" customFormat="1" ht="15" customHeight="1">
      <c r="A117" s="63"/>
      <c r="B117" s="17"/>
      <c r="C117" s="341"/>
      <c r="D117" s="175"/>
      <c r="G117" s="47"/>
      <c r="H117" s="47"/>
      <c r="I117" s="47"/>
      <c r="J117" s="47"/>
      <c r="K117" s="40"/>
      <c r="L117" s="47"/>
      <c r="M117" s="47"/>
      <c r="N117" s="47"/>
      <c r="O117" s="47"/>
    </row>
    <row r="118" spans="1:22" s="182" customFormat="1" ht="15" customHeight="1">
      <c r="A118" s="63"/>
      <c r="B118" s="17"/>
      <c r="C118" s="341"/>
      <c r="D118" s="175"/>
      <c r="E118" s="175"/>
      <c r="F118" s="175"/>
      <c r="G118" s="175"/>
      <c r="H118" s="175"/>
      <c r="J118" s="45"/>
      <c r="K118" s="43"/>
      <c r="L118" s="45"/>
      <c r="M118" s="45"/>
      <c r="N118" s="45"/>
      <c r="O118" s="45"/>
    </row>
    <row r="119" spans="1:22" ht="30" customHeight="1">
      <c r="C119" s="341"/>
      <c r="D119" s="175"/>
      <c r="E119" s="175"/>
      <c r="F119" s="175"/>
      <c r="G119" s="175"/>
      <c r="H119" s="175"/>
      <c r="J119" s="198"/>
      <c r="K119" s="198"/>
      <c r="L119" s="199"/>
    </row>
    <row r="120" spans="1:22" ht="30" customHeight="1">
      <c r="C120" s="341"/>
      <c r="J120" s="199"/>
      <c r="K120" s="199"/>
    </row>
    <row r="121" spans="1:22" ht="30" customHeight="1">
      <c r="C121" s="341"/>
      <c r="K121" s="200"/>
    </row>
    <row r="122" spans="1:22" ht="30" customHeight="1">
      <c r="C122" s="341"/>
      <c r="J122" s="199"/>
    </row>
  </sheetData>
  <autoFilter ref="D12:O114" xr:uid="{00000000-0009-0000-0000-000002000000}"/>
  <mergeCells count="29">
    <mergeCell ref="I94:M94"/>
    <mergeCell ref="I97:N97"/>
    <mergeCell ref="I99:M99"/>
    <mergeCell ref="I102:N102"/>
    <mergeCell ref="Q2:T6"/>
    <mergeCell ref="D6:O6"/>
    <mergeCell ref="D8:H8"/>
    <mergeCell ref="D9:H9"/>
    <mergeCell ref="I19:N19"/>
    <mergeCell ref="I92:N92"/>
    <mergeCell ref="I89:N89"/>
    <mergeCell ref="D49:O49"/>
    <mergeCell ref="D77:O77"/>
    <mergeCell ref="D56:O56"/>
    <mergeCell ref="D62:O62"/>
    <mergeCell ref="D70:O70"/>
    <mergeCell ref="D72:O72"/>
    <mergeCell ref="I80:N80"/>
    <mergeCell ref="D21:O21"/>
    <mergeCell ref="D24:O24"/>
    <mergeCell ref="D27:O27"/>
    <mergeCell ref="D29:O29"/>
    <mergeCell ref="D31:O31"/>
    <mergeCell ref="D33:O33"/>
    <mergeCell ref="D35:O35"/>
    <mergeCell ref="D37:O37"/>
    <mergeCell ref="I39:N39"/>
    <mergeCell ref="D41:O41"/>
    <mergeCell ref="D45:O45"/>
  </mergeCells>
  <pageMargins left="0.51181102362204722" right="0.51181102362204722" top="0.78740157480314965" bottom="0.78740157480314965" header="0.31496062992125984" footer="0.31496062992125984"/>
  <pageSetup paperSize="9" scale="61" fitToHeight="0" orientation="portrait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FA149-DB3D-4615-9ACD-09ED0DAEB03B}">
  <sheetPr>
    <pageSetUpPr fitToPage="1"/>
  </sheetPr>
  <dimension ref="A1:L41"/>
  <sheetViews>
    <sheetView view="pageBreakPreview" zoomScale="85" zoomScaleNormal="85" zoomScaleSheetLayoutView="85" workbookViewId="0">
      <selection activeCell="X15" sqref="X15"/>
    </sheetView>
  </sheetViews>
  <sheetFormatPr defaultRowHeight="30" customHeight="1"/>
  <cols>
    <col min="1" max="1" width="8.7109375" style="17" customWidth="1"/>
    <col min="2" max="2" width="18.5703125" style="146" customWidth="1"/>
    <col min="3" max="3" width="3.7109375" style="165" customWidth="1"/>
    <col min="4" max="4" width="1.7109375" style="165" customWidth="1"/>
    <col min="5" max="5" width="3.7109375" style="165" customWidth="1"/>
    <col min="6" max="6" width="1.7109375" style="165" customWidth="1"/>
    <col min="7" max="7" width="3.7109375" style="165" customWidth="1"/>
    <col min="8" max="8" width="80.7109375" style="165" customWidth="1"/>
    <col min="9" max="9" width="10" style="165" customWidth="1"/>
    <col min="10" max="10" width="20.28515625" style="172" customWidth="1"/>
    <col min="11" max="11" width="16.85546875" style="172" customWidth="1"/>
    <col min="12" max="12" width="17.85546875" style="172" customWidth="1"/>
    <col min="13" max="13" width="16.85546875" style="165" customWidth="1"/>
    <col min="14" max="16384" width="9.140625" style="165"/>
  </cols>
  <sheetData>
    <row r="1" spans="1:12" s="153" customFormat="1" ht="11.25" customHeight="1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53" customFormat="1" ht="20.2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s="153" customFormat="1" ht="20.25" customHeight="1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</row>
    <row r="4" spans="1:12" s="153" customFormat="1" ht="15" customHeight="1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</row>
    <row r="5" spans="1:12" s="153" customFormat="1" ht="6.75" customHeight="1" thickBot="1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</row>
    <row r="6" spans="1:12" s="153" customFormat="1" ht="22.5" customHeight="1" thickBot="1">
      <c r="A6" s="429" t="s">
        <v>75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</row>
    <row r="7" spans="1:12" s="153" customFormat="1" ht="6.75" customHeight="1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</row>
    <row r="8" spans="1:12" s="153" customFormat="1" ht="92.25" customHeight="1">
      <c r="A8" s="431" t="s">
        <v>2</v>
      </c>
      <c r="B8" s="431"/>
      <c r="C8" s="432" t="s">
        <v>76</v>
      </c>
      <c r="D8" s="432"/>
      <c r="E8" s="432"/>
      <c r="F8" s="432"/>
      <c r="G8" s="432"/>
      <c r="H8" s="432"/>
      <c r="I8" s="432"/>
      <c r="J8" s="432"/>
      <c r="K8" s="149"/>
      <c r="L8" s="149"/>
    </row>
    <row r="9" spans="1:12" s="153" customFormat="1" ht="28.5" customHeight="1">
      <c r="A9" s="431" t="s">
        <v>4</v>
      </c>
      <c r="B9" s="431"/>
      <c r="C9" s="433" t="s">
        <v>77</v>
      </c>
      <c r="D9" s="433"/>
      <c r="E9" s="433"/>
      <c r="F9" s="433"/>
      <c r="G9" s="433"/>
      <c r="H9" s="433"/>
      <c r="I9" s="433"/>
      <c r="J9" s="433"/>
      <c r="K9" s="149"/>
      <c r="L9" s="149"/>
    </row>
    <row r="10" spans="1:12" s="161" customFormat="1" ht="15" customHeight="1">
      <c r="A10" s="149"/>
      <c r="B10" s="149"/>
      <c r="C10" s="149"/>
      <c r="D10" s="149"/>
      <c r="E10" s="149"/>
      <c r="F10" s="149"/>
      <c r="G10" s="149"/>
      <c r="H10" s="149"/>
      <c r="I10" s="149"/>
      <c r="J10" s="149"/>
      <c r="K10" s="149" t="s">
        <v>6</v>
      </c>
      <c r="L10" s="250">
        <v>46054</v>
      </c>
    </row>
    <row r="11" spans="1:12" ht="20.25" customHeight="1">
      <c r="A11" s="149"/>
      <c r="B11" s="149"/>
      <c r="C11" s="149"/>
      <c r="D11" s="149"/>
      <c r="E11" s="149"/>
      <c r="F11" s="149"/>
      <c r="G11" s="149"/>
      <c r="H11" s="291" t="s">
        <v>78</v>
      </c>
      <c r="I11" s="149"/>
      <c r="J11" s="149"/>
      <c r="K11" s="149" t="s">
        <v>10</v>
      </c>
      <c r="L11" s="227">
        <v>0.25</v>
      </c>
    </row>
    <row r="12" spans="1:12" ht="20.25" customHeight="1" thickBot="1">
      <c r="A12" s="149"/>
      <c r="B12" s="149"/>
      <c r="C12" s="149"/>
      <c r="D12" s="149"/>
      <c r="E12" s="149"/>
      <c r="F12" s="149"/>
      <c r="G12" s="149"/>
      <c r="H12" s="291"/>
      <c r="I12" s="149"/>
      <c r="J12" s="149"/>
      <c r="K12" s="149"/>
      <c r="L12" s="227"/>
    </row>
    <row r="13" spans="1:12" s="318" customFormat="1" ht="30" customHeight="1">
      <c r="A13" s="314" t="s">
        <v>12</v>
      </c>
      <c r="B13" s="315" t="s">
        <v>13</v>
      </c>
      <c r="C13" s="315"/>
      <c r="D13" s="315"/>
      <c r="E13" s="315"/>
      <c r="F13" s="315" t="s">
        <v>14</v>
      </c>
      <c r="G13" s="315"/>
      <c r="H13" s="315" t="s">
        <v>15</v>
      </c>
      <c r="I13" s="315"/>
      <c r="J13" s="316"/>
      <c r="K13" s="317"/>
      <c r="L13" s="317" t="s">
        <v>21</v>
      </c>
    </row>
    <row r="14" spans="1:12" ht="6.75" customHeight="1">
      <c r="A14" s="221"/>
      <c r="B14" s="165"/>
      <c r="J14" s="168"/>
      <c r="K14" s="168"/>
      <c r="L14" s="168"/>
    </row>
    <row r="15" spans="1:12" ht="39.950000000000003" customHeight="1">
      <c r="A15" s="233"/>
      <c r="B15" s="371"/>
      <c r="C15" s="339">
        <v>1</v>
      </c>
      <c r="D15" s="372" t="s">
        <v>22</v>
      </c>
      <c r="E15" s="372">
        <v>0</v>
      </c>
      <c r="F15" s="372"/>
      <c r="G15" s="372"/>
      <c r="H15" s="446" t="s">
        <v>79</v>
      </c>
      <c r="I15" s="447"/>
      <c r="J15" s="448"/>
      <c r="K15" s="340">
        <f>L15/L18</f>
        <v>0.21755886466295821</v>
      </c>
      <c r="L15" s="263">
        <f>'PQPU PROJETOS PQ TOTAL'!L21</f>
        <v>161296.9</v>
      </c>
    </row>
    <row r="16" spans="1:12" ht="39.950000000000003" customHeight="1">
      <c r="A16" s="233"/>
      <c r="B16" s="371"/>
      <c r="C16" s="339">
        <v>2</v>
      </c>
      <c r="D16" s="372" t="s">
        <v>22</v>
      </c>
      <c r="E16" s="372">
        <v>0</v>
      </c>
      <c r="F16" s="372"/>
      <c r="G16" s="372"/>
      <c r="H16" s="446" t="s">
        <v>80</v>
      </c>
      <c r="I16" s="447"/>
      <c r="J16" s="448"/>
      <c r="K16" s="340">
        <f>L16/L18</f>
        <v>4.8845587952936621E-2</v>
      </c>
      <c r="L16" s="263">
        <f>'PQPU PROJETOS PQ TOTAL'!L27</f>
        <v>36213.840000000004</v>
      </c>
    </row>
    <row r="17" spans="1:12" ht="39.950000000000003" customHeight="1">
      <c r="A17" s="233"/>
      <c r="B17" s="299"/>
      <c r="C17" s="300">
        <v>3</v>
      </c>
      <c r="D17" s="301" t="s">
        <v>22</v>
      </c>
      <c r="E17" s="301">
        <v>0</v>
      </c>
      <c r="F17" s="301"/>
      <c r="G17" s="301"/>
      <c r="H17" s="446" t="s">
        <v>81</v>
      </c>
      <c r="I17" s="447"/>
      <c r="J17" s="448"/>
      <c r="K17" s="340">
        <f>1-K15-K16</f>
        <v>0.73359554738410515</v>
      </c>
      <c r="L17" s="338">
        <f>'PQPU PROJETOS PQ TOTAL'!L47</f>
        <v>543883.55000000005</v>
      </c>
    </row>
    <row r="18" spans="1:12" s="335" customFormat="1" ht="30" customHeight="1" thickBot="1">
      <c r="A18" s="327"/>
      <c r="B18" s="328"/>
      <c r="C18" s="329"/>
      <c r="D18" s="330"/>
      <c r="E18" s="330"/>
      <c r="F18" s="330"/>
      <c r="G18" s="330"/>
      <c r="H18" s="331" t="s">
        <v>82</v>
      </c>
      <c r="I18" s="330"/>
      <c r="J18" s="332"/>
      <c r="K18" s="333"/>
      <c r="L18" s="334">
        <f>L15+L16+L17</f>
        <v>741394.29</v>
      </c>
    </row>
    <row r="19" spans="1:12" ht="30" customHeight="1">
      <c r="A19" s="175"/>
      <c r="B19" s="175"/>
      <c r="C19" s="175"/>
      <c r="D19" s="175"/>
      <c r="E19" s="175"/>
      <c r="F19" s="175"/>
      <c r="G19" s="175"/>
      <c r="H19" s="65"/>
      <c r="I19" s="175"/>
      <c r="J19" s="176" t="s">
        <v>74</v>
      </c>
      <c r="K19" s="177"/>
      <c r="L19" s="177"/>
    </row>
    <row r="20" spans="1:12" ht="30" customHeight="1">
      <c r="A20" s="175"/>
      <c r="B20" s="175"/>
      <c r="C20" s="175"/>
      <c r="D20" s="175"/>
      <c r="E20" s="175"/>
      <c r="F20" s="175"/>
      <c r="G20" s="175"/>
      <c r="H20" s="65"/>
      <c r="I20" s="175"/>
      <c r="J20" s="176"/>
      <c r="K20" s="177"/>
      <c r="L20" s="177"/>
    </row>
    <row r="21" spans="1:12" ht="30" customHeight="1">
      <c r="A21" s="175"/>
      <c r="B21" s="175"/>
      <c r="C21" s="175"/>
      <c r="D21" s="175"/>
      <c r="E21" s="175"/>
      <c r="F21" s="175"/>
      <c r="G21" s="175"/>
      <c r="H21" s="175"/>
      <c r="I21" s="175"/>
      <c r="J21" s="176"/>
      <c r="K21" s="177"/>
      <c r="L21" s="177"/>
    </row>
    <row r="22" spans="1:12" ht="12" customHeight="1">
      <c r="A22" s="175"/>
      <c r="B22" s="175"/>
      <c r="C22" s="175"/>
      <c r="D22" s="175"/>
      <c r="E22" s="181" t="s">
        <v>66</v>
      </c>
      <c r="F22" s="179"/>
      <c r="G22" s="179"/>
      <c r="H22" s="179"/>
      <c r="I22" s="47" t="s">
        <v>83</v>
      </c>
      <c r="J22" s="180"/>
      <c r="K22" s="177"/>
      <c r="L22" s="177"/>
    </row>
    <row r="23" spans="1:12" s="182" customFormat="1" ht="12.75" customHeight="1">
      <c r="A23" s="175"/>
      <c r="B23" s="175"/>
      <c r="C23" s="175"/>
      <c r="D23" s="175"/>
      <c r="E23" s="175"/>
      <c r="F23" s="175"/>
      <c r="H23" s="183" t="s">
        <v>272</v>
      </c>
      <c r="I23" s="45" t="s">
        <v>84</v>
      </c>
      <c r="J23" s="176"/>
      <c r="K23" s="177"/>
      <c r="L23" s="177"/>
    </row>
    <row r="24" spans="1:12" s="182" customFormat="1" ht="12.75" customHeight="1">
      <c r="A24" s="175"/>
      <c r="B24" s="175"/>
      <c r="C24" s="175"/>
      <c r="D24" s="175"/>
      <c r="E24" s="175"/>
      <c r="F24" s="175"/>
      <c r="H24" s="175"/>
      <c r="I24" s="47"/>
      <c r="J24" s="40"/>
      <c r="K24" s="177"/>
      <c r="L24" s="177"/>
    </row>
    <row r="25" spans="1:12" s="182" customFormat="1" ht="12.75" customHeight="1">
      <c r="A25" s="175"/>
      <c r="B25" s="175"/>
      <c r="C25" s="175"/>
      <c r="D25" s="175"/>
      <c r="E25" s="175"/>
      <c r="F25" s="175"/>
      <c r="G25" s="175"/>
      <c r="H25" s="175"/>
      <c r="I25" s="47"/>
      <c r="J25" s="40"/>
      <c r="K25" s="177"/>
      <c r="L25" s="177"/>
    </row>
    <row r="26" spans="1:12" ht="30" customHeight="1">
      <c r="B26" s="341"/>
      <c r="C26" s="175"/>
      <c r="D26" s="175"/>
      <c r="E26" s="175"/>
      <c r="F26" s="175"/>
      <c r="G26" s="175"/>
    </row>
    <row r="41" spans="8:8" ht="30" customHeight="1">
      <c r="H41" s="165" t="s">
        <v>85</v>
      </c>
    </row>
  </sheetData>
  <mergeCells count="8">
    <mergeCell ref="H16:J16"/>
    <mergeCell ref="H17:J17"/>
    <mergeCell ref="A6:L6"/>
    <mergeCell ref="A8:B8"/>
    <mergeCell ref="C8:J8"/>
    <mergeCell ref="A9:B9"/>
    <mergeCell ref="C9:J9"/>
    <mergeCell ref="H15:J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2040-BEC9-409F-844E-F9AAD96893FA}">
  <sheetPr>
    <pageSetUpPr fitToPage="1"/>
  </sheetPr>
  <dimension ref="A1:M55"/>
  <sheetViews>
    <sheetView tabSelected="1" view="pageBreakPreview" topLeftCell="A43" zoomScale="85" zoomScaleNormal="85" zoomScaleSheetLayoutView="85" workbookViewId="0">
      <selection activeCell="H56" sqref="H56"/>
    </sheetView>
  </sheetViews>
  <sheetFormatPr defaultRowHeight="30" customHeight="1"/>
  <cols>
    <col min="1" max="1" width="8.7109375" style="17" customWidth="1"/>
    <col min="2" max="2" width="18.5703125" style="146" customWidth="1"/>
    <col min="3" max="3" width="3.7109375" style="165" customWidth="1"/>
    <col min="4" max="4" width="1.7109375" style="165" customWidth="1"/>
    <col min="5" max="5" width="3.7109375" style="165" customWidth="1"/>
    <col min="6" max="6" width="1.7109375" style="165" customWidth="1"/>
    <col min="7" max="7" width="3.7109375" style="165" customWidth="1"/>
    <col min="8" max="8" width="80.7109375" style="165" customWidth="1"/>
    <col min="9" max="9" width="10" style="165" customWidth="1"/>
    <col min="10" max="10" width="20.28515625" style="172" customWidth="1"/>
    <col min="11" max="11" width="16.85546875" style="172" customWidth="1"/>
    <col min="12" max="12" width="17.85546875" style="172" customWidth="1"/>
    <col min="13" max="13" width="16.85546875" style="165" customWidth="1"/>
    <col min="14" max="16384" width="9.140625" style="165"/>
  </cols>
  <sheetData>
    <row r="1" spans="1:12" s="153" customFormat="1" ht="11.25" customHeight="1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53" customFormat="1" ht="20.2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s="153" customFormat="1" ht="20.25" customHeight="1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</row>
    <row r="4" spans="1:12" s="153" customFormat="1" ht="15" customHeight="1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</row>
    <row r="5" spans="1:12" s="153" customFormat="1" ht="6.75" customHeight="1" thickBot="1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</row>
    <row r="6" spans="1:12" s="153" customFormat="1" ht="22.5" customHeight="1" thickBot="1">
      <c r="A6" s="429" t="s">
        <v>1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</row>
    <row r="7" spans="1:12" s="153" customFormat="1" ht="6.75" customHeight="1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</row>
    <row r="8" spans="1:12" s="153" customFormat="1" ht="55.5" customHeight="1">
      <c r="A8" s="431" t="s">
        <v>2</v>
      </c>
      <c r="B8" s="431"/>
      <c r="C8" s="511" t="s">
        <v>76</v>
      </c>
      <c r="D8" s="511"/>
      <c r="E8" s="511"/>
      <c r="F8" s="511"/>
      <c r="G8" s="511"/>
      <c r="H8" s="511"/>
      <c r="I8" s="511"/>
      <c r="J8" s="511"/>
      <c r="K8" s="511"/>
      <c r="L8" s="511"/>
    </row>
    <row r="9" spans="1:12" s="153" customFormat="1" ht="28.5" customHeight="1">
      <c r="A9" s="431" t="s">
        <v>4</v>
      </c>
      <c r="B9" s="431"/>
      <c r="C9" s="433" t="s">
        <v>77</v>
      </c>
      <c r="D9" s="433"/>
      <c r="E9" s="433"/>
      <c r="F9" s="433"/>
      <c r="G9" s="433"/>
      <c r="H9" s="433"/>
      <c r="I9" s="433"/>
      <c r="J9" s="433"/>
      <c r="K9" s="149"/>
      <c r="L9" s="149"/>
    </row>
    <row r="10" spans="1:12" s="161" customFormat="1" ht="15" customHeight="1">
      <c r="A10" s="149"/>
      <c r="B10" s="149"/>
      <c r="C10" s="149"/>
      <c r="D10" s="149"/>
      <c r="E10" s="149"/>
      <c r="F10" s="149"/>
      <c r="G10" s="149"/>
      <c r="H10" s="149"/>
      <c r="I10" s="149"/>
      <c r="J10" s="149"/>
      <c r="K10" s="149" t="s">
        <v>6</v>
      </c>
      <c r="L10" s="250">
        <v>46054</v>
      </c>
    </row>
    <row r="11" spans="1:12" ht="20.25" customHeight="1" thickBot="1">
      <c r="A11" s="149"/>
      <c r="B11" s="149"/>
      <c r="C11" s="149"/>
      <c r="D11" s="149"/>
      <c r="E11" s="149"/>
      <c r="F11" s="149"/>
      <c r="G11" s="149"/>
      <c r="H11" s="291" t="s">
        <v>78</v>
      </c>
      <c r="I11" s="149"/>
      <c r="J11" s="149"/>
      <c r="K11" s="149" t="s">
        <v>10</v>
      </c>
      <c r="L11" s="227">
        <v>0.25</v>
      </c>
    </row>
    <row r="12" spans="1:12" s="318" customFormat="1" ht="30" customHeight="1">
      <c r="A12" s="314" t="s">
        <v>12</v>
      </c>
      <c r="B12" s="315" t="s">
        <v>13</v>
      </c>
      <c r="C12" s="315"/>
      <c r="D12" s="315"/>
      <c r="E12" s="315"/>
      <c r="F12" s="315" t="s">
        <v>14</v>
      </c>
      <c r="G12" s="315"/>
      <c r="H12" s="315" t="s">
        <v>15</v>
      </c>
      <c r="I12" s="315" t="s">
        <v>16</v>
      </c>
      <c r="J12" s="316" t="s">
        <v>17</v>
      </c>
      <c r="K12" s="317" t="s">
        <v>273</v>
      </c>
      <c r="L12" s="317" t="s">
        <v>21</v>
      </c>
    </row>
    <row r="13" spans="1:12" ht="6.75" customHeight="1">
      <c r="A13" s="221"/>
      <c r="B13" s="165"/>
      <c r="J13" s="168"/>
      <c r="K13" s="168"/>
      <c r="L13" s="168"/>
    </row>
    <row r="14" spans="1:12" s="321" customFormat="1" ht="19.5" customHeight="1">
      <c r="A14" s="305"/>
      <c r="B14" s="306"/>
      <c r="C14" s="319">
        <v>1</v>
      </c>
      <c r="D14" s="373" t="s">
        <v>22</v>
      </c>
      <c r="E14" s="373">
        <v>0</v>
      </c>
      <c r="F14" s="373"/>
      <c r="G14" s="373"/>
      <c r="H14" s="374" t="s">
        <v>79</v>
      </c>
      <c r="I14" s="373"/>
      <c r="J14" s="375"/>
      <c r="K14" s="376"/>
      <c r="L14" s="320"/>
    </row>
    <row r="15" spans="1:12" ht="39.950000000000003" customHeight="1">
      <c r="A15" s="233" t="s">
        <v>86</v>
      </c>
      <c r="B15" s="371">
        <v>1010000</v>
      </c>
      <c r="C15" s="234">
        <v>1</v>
      </c>
      <c r="D15" s="377" t="s">
        <v>22</v>
      </c>
      <c r="E15" s="377">
        <v>1</v>
      </c>
      <c r="F15" s="377"/>
      <c r="G15" s="377"/>
      <c r="H15" s="235" t="s">
        <v>87</v>
      </c>
      <c r="I15" s="236" t="s">
        <v>88</v>
      </c>
      <c r="J15" s="290">
        <v>56500</v>
      </c>
      <c r="K15" s="238">
        <v>1.1000000000000001</v>
      </c>
      <c r="L15" s="263">
        <f t="shared" ref="L15:L16" si="0">ROUND(J15*K15,2)</f>
        <v>62150</v>
      </c>
    </row>
    <row r="16" spans="1:12" ht="39.950000000000003" customHeight="1">
      <c r="A16" s="233" t="s">
        <v>24</v>
      </c>
      <c r="B16" s="371">
        <v>20003071</v>
      </c>
      <c r="C16" s="234">
        <v>1</v>
      </c>
      <c r="D16" s="377" t="s">
        <v>22</v>
      </c>
      <c r="E16" s="377">
        <v>2</v>
      </c>
      <c r="F16" s="377"/>
      <c r="G16" s="377"/>
      <c r="H16" s="235" t="s">
        <v>275</v>
      </c>
      <c r="I16" s="236" t="s">
        <v>88</v>
      </c>
      <c r="J16" s="290">
        <v>1500</v>
      </c>
      <c r="K16" s="238">
        <v>9.2899999999999991</v>
      </c>
      <c r="L16" s="263">
        <f t="shared" si="0"/>
        <v>13935</v>
      </c>
    </row>
    <row r="17" spans="1:13" ht="39.950000000000003" customHeight="1">
      <c r="A17" s="233"/>
      <c r="B17" s="299" t="s">
        <v>89</v>
      </c>
      <c r="C17" s="336">
        <v>1</v>
      </c>
      <c r="D17" s="378" t="s">
        <v>22</v>
      </c>
      <c r="E17" s="378">
        <v>3</v>
      </c>
      <c r="F17" s="378"/>
      <c r="G17" s="378"/>
      <c r="H17" s="235" t="s">
        <v>90</v>
      </c>
      <c r="I17" s="236" t="s">
        <v>91</v>
      </c>
      <c r="J17" s="290">
        <v>1</v>
      </c>
      <c r="K17" s="337">
        <v>14626.37</v>
      </c>
      <c r="L17" s="338">
        <f t="shared" ref="L17:L19" si="1">ROUND(J17*K17,2)</f>
        <v>14626.37</v>
      </c>
    </row>
    <row r="18" spans="1:13" ht="39.950000000000003" customHeight="1">
      <c r="A18" s="233"/>
      <c r="B18" s="299" t="s">
        <v>92</v>
      </c>
      <c r="C18" s="336">
        <v>1</v>
      </c>
      <c r="D18" s="378" t="s">
        <v>22</v>
      </c>
      <c r="E18" s="378">
        <v>4</v>
      </c>
      <c r="F18" s="378"/>
      <c r="G18" s="378"/>
      <c r="H18" s="235" t="s">
        <v>93</v>
      </c>
      <c r="I18" s="236" t="s">
        <v>91</v>
      </c>
      <c r="J18" s="290">
        <v>1</v>
      </c>
      <c r="K18" s="337">
        <v>7860.22</v>
      </c>
      <c r="L18" s="338">
        <f t="shared" ref="L18" si="2">ROUND(J18*K18,2)</f>
        <v>7860.22</v>
      </c>
    </row>
    <row r="19" spans="1:13" ht="39.950000000000003" customHeight="1">
      <c r="A19" s="233"/>
      <c r="B19" s="299" t="s">
        <v>94</v>
      </c>
      <c r="C19" s="336">
        <v>1</v>
      </c>
      <c r="D19" s="378" t="s">
        <v>22</v>
      </c>
      <c r="E19" s="378">
        <v>5</v>
      </c>
      <c r="F19" s="378"/>
      <c r="G19" s="378"/>
      <c r="H19" s="235" t="s">
        <v>95</v>
      </c>
      <c r="I19" s="236" t="s">
        <v>91</v>
      </c>
      <c r="J19" s="290">
        <v>1</v>
      </c>
      <c r="K19" s="337">
        <v>27680.62</v>
      </c>
      <c r="L19" s="338">
        <f t="shared" si="1"/>
        <v>27680.62</v>
      </c>
    </row>
    <row r="20" spans="1:13" ht="39.950000000000003" customHeight="1">
      <c r="A20" s="233"/>
      <c r="B20" s="371" t="s">
        <v>96</v>
      </c>
      <c r="C20" s="234">
        <v>1</v>
      </c>
      <c r="D20" s="377" t="s">
        <v>22</v>
      </c>
      <c r="E20" s="377">
        <v>6</v>
      </c>
      <c r="F20" s="377"/>
      <c r="G20" s="377"/>
      <c r="H20" s="235" t="s">
        <v>97</v>
      </c>
      <c r="I20" s="236" t="s">
        <v>91</v>
      </c>
      <c r="J20" s="290">
        <v>1</v>
      </c>
      <c r="K20" s="238">
        <v>35044.69</v>
      </c>
      <c r="L20" s="263">
        <f t="shared" ref="L20" si="3">ROUND(J20*K20,2)</f>
        <v>35044.69</v>
      </c>
    </row>
    <row r="21" spans="1:13" s="326" customFormat="1" ht="15.75">
      <c r="A21" s="323"/>
      <c r="B21" s="379"/>
      <c r="C21" s="324"/>
      <c r="D21" s="380"/>
      <c r="E21" s="380"/>
      <c r="F21" s="380"/>
      <c r="G21" s="380"/>
      <c r="H21" s="381"/>
      <c r="I21" s="381"/>
      <c r="J21" s="381"/>
      <c r="K21" s="382" t="s">
        <v>98</v>
      </c>
      <c r="L21" s="325">
        <f>SUM(L15:L20)</f>
        <v>161296.9</v>
      </c>
    </row>
    <row r="22" spans="1:13" ht="11.25" customHeight="1">
      <c r="A22" s="233"/>
      <c r="B22" s="371"/>
      <c r="C22" s="242"/>
      <c r="D22" s="228"/>
      <c r="E22" s="228"/>
      <c r="F22" s="228"/>
      <c r="G22" s="228"/>
      <c r="H22" s="228"/>
      <c r="I22" s="228"/>
      <c r="J22" s="243"/>
      <c r="K22" s="229"/>
      <c r="L22" s="265"/>
    </row>
    <row r="23" spans="1:13" s="326" customFormat="1" ht="19.5" customHeight="1">
      <c r="A23" s="323"/>
      <c r="B23" s="379"/>
      <c r="C23" s="324">
        <v>2</v>
      </c>
      <c r="D23" s="380" t="s">
        <v>22</v>
      </c>
      <c r="E23" s="380">
        <v>0</v>
      </c>
      <c r="F23" s="380"/>
      <c r="G23" s="380"/>
      <c r="H23" s="383" t="s">
        <v>80</v>
      </c>
      <c r="I23" s="380"/>
      <c r="J23" s="384"/>
      <c r="K23" s="385"/>
      <c r="L23" s="325"/>
    </row>
    <row r="24" spans="1:13" ht="39.950000000000003" customHeight="1">
      <c r="A24" s="292" t="s">
        <v>24</v>
      </c>
      <c r="B24" s="292">
        <v>20002009</v>
      </c>
      <c r="C24" s="234">
        <v>2</v>
      </c>
      <c r="D24" s="377" t="s">
        <v>22</v>
      </c>
      <c r="E24" s="377">
        <v>1</v>
      </c>
      <c r="F24" s="377"/>
      <c r="G24" s="377"/>
      <c r="H24" s="293" t="s">
        <v>99</v>
      </c>
      <c r="I24" s="294" t="s">
        <v>100</v>
      </c>
      <c r="J24" s="313">
        <v>150</v>
      </c>
      <c r="K24" s="238">
        <v>224.7</v>
      </c>
      <c r="L24" s="263">
        <f t="shared" ref="L24:L25" si="4">ROUND(J24*K24,2)</f>
        <v>33705</v>
      </c>
      <c r="M24" s="165">
        <v>25</v>
      </c>
    </row>
    <row r="25" spans="1:13" s="209" customFormat="1" ht="39.950000000000003" customHeight="1">
      <c r="A25" s="233" t="s">
        <v>24</v>
      </c>
      <c r="B25" s="249">
        <v>20002002</v>
      </c>
      <c r="C25" s="245">
        <v>2</v>
      </c>
      <c r="D25" s="386" t="s">
        <v>22</v>
      </c>
      <c r="E25" s="377">
        <v>2</v>
      </c>
      <c r="F25" s="386"/>
      <c r="G25" s="386"/>
      <c r="H25" s="246" t="s">
        <v>101</v>
      </c>
      <c r="I25" s="247" t="s">
        <v>16</v>
      </c>
      <c r="J25" s="237">
        <v>2</v>
      </c>
      <c r="K25" s="248">
        <v>940.2</v>
      </c>
      <c r="L25" s="266">
        <f t="shared" si="4"/>
        <v>1880.4</v>
      </c>
    </row>
    <row r="26" spans="1:13" s="209" customFormat="1" ht="55.5" customHeight="1">
      <c r="A26" s="233" t="s">
        <v>24</v>
      </c>
      <c r="B26" s="295">
        <v>20002003</v>
      </c>
      <c r="C26" s="245">
        <v>2</v>
      </c>
      <c r="D26" s="386" t="s">
        <v>22</v>
      </c>
      <c r="E26" s="377">
        <v>3</v>
      </c>
      <c r="F26" s="386"/>
      <c r="G26" s="386"/>
      <c r="H26" s="296" t="s">
        <v>102</v>
      </c>
      <c r="I26" s="294" t="s">
        <v>16</v>
      </c>
      <c r="J26" s="237">
        <v>6</v>
      </c>
      <c r="K26" s="248">
        <v>104.74</v>
      </c>
      <c r="L26" s="266">
        <f t="shared" ref="L26" si="5">ROUND(J26*K26,2)</f>
        <v>628.44000000000005</v>
      </c>
    </row>
    <row r="27" spans="1:13" s="326" customFormat="1" ht="15.75">
      <c r="A27" s="323"/>
      <c r="B27" s="379"/>
      <c r="C27" s="324"/>
      <c r="D27" s="380"/>
      <c r="E27" s="380"/>
      <c r="F27" s="380"/>
      <c r="G27" s="380"/>
      <c r="H27" s="381"/>
      <c r="I27" s="381"/>
      <c r="J27" s="381"/>
      <c r="K27" s="382" t="s">
        <v>103</v>
      </c>
      <c r="L27" s="325">
        <f>SUM(L24:L26)</f>
        <v>36213.840000000004</v>
      </c>
    </row>
    <row r="28" spans="1:13" ht="11.25" customHeight="1">
      <c r="A28" s="233"/>
      <c r="B28" s="371"/>
      <c r="C28" s="242"/>
      <c r="D28" s="228"/>
      <c r="E28" s="228"/>
      <c r="F28" s="228"/>
      <c r="G28" s="228"/>
      <c r="H28" s="228"/>
      <c r="I28" s="228"/>
      <c r="J28" s="243"/>
      <c r="K28" s="229"/>
      <c r="L28" s="265"/>
    </row>
    <row r="29" spans="1:13" s="326" customFormat="1" ht="19.5" customHeight="1">
      <c r="A29" s="323"/>
      <c r="B29" s="379"/>
      <c r="C29" s="324">
        <v>3</v>
      </c>
      <c r="D29" s="380" t="s">
        <v>22</v>
      </c>
      <c r="E29" s="380">
        <v>0</v>
      </c>
      <c r="F29" s="380"/>
      <c r="G29" s="380"/>
      <c r="H29" s="383" t="s">
        <v>81</v>
      </c>
      <c r="I29" s="380"/>
      <c r="J29" s="384"/>
      <c r="K29" s="385"/>
      <c r="L29" s="325"/>
    </row>
    <row r="30" spans="1:13" s="210" customFormat="1" ht="19.5" customHeight="1">
      <c r="A30" s="305"/>
      <c r="B30" s="306"/>
      <c r="C30" s="307">
        <v>3</v>
      </c>
      <c r="D30" s="308" t="s">
        <v>22</v>
      </c>
      <c r="E30" s="308">
        <v>1</v>
      </c>
      <c r="F30" s="308"/>
      <c r="G30" s="308"/>
      <c r="H30" s="309" t="s">
        <v>104</v>
      </c>
      <c r="I30" s="308"/>
      <c r="J30" s="310"/>
      <c r="K30" s="311"/>
      <c r="L30" s="312"/>
    </row>
    <row r="31" spans="1:13" ht="39.950000000000003" customHeight="1">
      <c r="A31" s="233"/>
      <c r="B31" s="297" t="s">
        <v>105</v>
      </c>
      <c r="C31" s="234">
        <v>3</v>
      </c>
      <c r="D31" s="377" t="s">
        <v>22</v>
      </c>
      <c r="E31" s="377">
        <v>1</v>
      </c>
      <c r="F31" s="377" t="s">
        <v>22</v>
      </c>
      <c r="G31" s="377">
        <v>1</v>
      </c>
      <c r="H31" s="235" t="s">
        <v>106</v>
      </c>
      <c r="I31" s="236" t="s">
        <v>91</v>
      </c>
      <c r="J31" s="237">
        <v>1</v>
      </c>
      <c r="K31" s="238">
        <v>51484.27</v>
      </c>
      <c r="L31" s="263">
        <f t="shared" ref="L31:L33" si="6">ROUND(J31*K31,2)</f>
        <v>51484.27</v>
      </c>
    </row>
    <row r="32" spans="1:13" ht="39.950000000000003" customHeight="1">
      <c r="A32" s="233"/>
      <c r="B32" s="297" t="s">
        <v>107</v>
      </c>
      <c r="C32" s="234">
        <v>3</v>
      </c>
      <c r="D32" s="377" t="s">
        <v>22</v>
      </c>
      <c r="E32" s="377">
        <v>1</v>
      </c>
      <c r="F32" s="377" t="s">
        <v>22</v>
      </c>
      <c r="G32" s="377">
        <v>2</v>
      </c>
      <c r="H32" s="235" t="s">
        <v>108</v>
      </c>
      <c r="I32" s="236" t="s">
        <v>91</v>
      </c>
      <c r="J32" s="237">
        <v>1</v>
      </c>
      <c r="K32" s="238">
        <v>118466.25</v>
      </c>
      <c r="L32" s="263">
        <f t="shared" si="6"/>
        <v>118466.25</v>
      </c>
    </row>
    <row r="33" spans="1:12" ht="60" customHeight="1">
      <c r="A33" s="233" t="s">
        <v>29</v>
      </c>
      <c r="B33" s="371" t="s">
        <v>109</v>
      </c>
      <c r="C33" s="234">
        <v>3</v>
      </c>
      <c r="D33" s="377" t="s">
        <v>22</v>
      </c>
      <c r="E33" s="377">
        <v>1</v>
      </c>
      <c r="F33" s="377" t="s">
        <v>22</v>
      </c>
      <c r="G33" s="377">
        <v>3</v>
      </c>
      <c r="H33" s="235" t="s">
        <v>110</v>
      </c>
      <c r="I33" s="236" t="s">
        <v>16</v>
      </c>
      <c r="J33" s="237">
        <v>1</v>
      </c>
      <c r="K33" s="238">
        <v>19484.03</v>
      </c>
      <c r="L33" s="263">
        <f t="shared" si="6"/>
        <v>19484.03</v>
      </c>
    </row>
    <row r="34" spans="1:12" s="210" customFormat="1" ht="15.75">
      <c r="A34" s="305"/>
      <c r="B34" s="306"/>
      <c r="C34" s="307"/>
      <c r="D34" s="308"/>
      <c r="E34" s="308"/>
      <c r="F34" s="308"/>
      <c r="G34" s="308"/>
      <c r="H34" s="387"/>
      <c r="I34" s="387"/>
      <c r="J34" s="387"/>
      <c r="K34" s="388" t="s">
        <v>111</v>
      </c>
      <c r="L34" s="312">
        <f>SUM(L31:L33)</f>
        <v>189434.55</v>
      </c>
    </row>
    <row r="35" spans="1:12" s="175" customFormat="1" ht="15.75">
      <c r="A35" s="298"/>
      <c r="B35" s="299"/>
      <c r="C35" s="300"/>
      <c r="D35" s="301"/>
      <c r="E35" s="301"/>
      <c r="F35" s="301"/>
      <c r="G35" s="301"/>
      <c r="H35" s="302"/>
      <c r="I35" s="302"/>
      <c r="J35" s="302"/>
      <c r="K35" s="303"/>
      <c r="L35" s="304"/>
    </row>
    <row r="36" spans="1:12" s="322" customFormat="1" ht="19.5" customHeight="1">
      <c r="A36" s="305"/>
      <c r="B36" s="306"/>
      <c r="C36" s="307">
        <v>3</v>
      </c>
      <c r="D36" s="308" t="s">
        <v>22</v>
      </c>
      <c r="E36" s="308">
        <v>2</v>
      </c>
      <c r="F36" s="308"/>
      <c r="G36" s="308"/>
      <c r="H36" s="309" t="s">
        <v>112</v>
      </c>
      <c r="I36" s="308"/>
      <c r="J36" s="310"/>
      <c r="K36" s="311"/>
      <c r="L36" s="312"/>
    </row>
    <row r="37" spans="1:12" ht="39.950000000000003" customHeight="1">
      <c r="A37" s="233"/>
      <c r="B37" s="297" t="s">
        <v>113</v>
      </c>
      <c r="C37" s="234">
        <v>3</v>
      </c>
      <c r="D37" s="377" t="s">
        <v>22</v>
      </c>
      <c r="E37" s="377">
        <v>2</v>
      </c>
      <c r="F37" s="377" t="s">
        <v>22</v>
      </c>
      <c r="G37" s="377">
        <v>1</v>
      </c>
      <c r="H37" s="235" t="s">
        <v>106</v>
      </c>
      <c r="I37" s="236" t="s">
        <v>91</v>
      </c>
      <c r="J37" s="237">
        <v>1</v>
      </c>
      <c r="K37" s="238">
        <v>57919.81</v>
      </c>
      <c r="L37" s="263">
        <f t="shared" ref="L37:L38" si="7">ROUND(J37*K37,2)</f>
        <v>57919.81</v>
      </c>
    </row>
    <row r="38" spans="1:12" ht="39.950000000000003" customHeight="1">
      <c r="A38" s="233"/>
      <c r="B38" s="297" t="s">
        <v>114</v>
      </c>
      <c r="C38" s="234">
        <v>3</v>
      </c>
      <c r="D38" s="377" t="s">
        <v>22</v>
      </c>
      <c r="E38" s="377">
        <v>2</v>
      </c>
      <c r="F38" s="377" t="s">
        <v>22</v>
      </c>
      <c r="G38" s="377">
        <v>2</v>
      </c>
      <c r="H38" s="235" t="s">
        <v>108</v>
      </c>
      <c r="I38" s="236" t="s">
        <v>91</v>
      </c>
      <c r="J38" s="237">
        <v>1</v>
      </c>
      <c r="K38" s="238">
        <v>113530.16</v>
      </c>
      <c r="L38" s="263">
        <f t="shared" si="7"/>
        <v>113530.16</v>
      </c>
    </row>
    <row r="39" spans="1:12" s="210" customFormat="1" ht="15.75">
      <c r="A39" s="305"/>
      <c r="B39" s="306"/>
      <c r="C39" s="307"/>
      <c r="D39" s="308"/>
      <c r="E39" s="308"/>
      <c r="F39" s="308"/>
      <c r="G39" s="308"/>
      <c r="H39" s="387"/>
      <c r="I39" s="387"/>
      <c r="J39" s="387"/>
      <c r="K39" s="388" t="s">
        <v>115</v>
      </c>
      <c r="L39" s="312">
        <f>SUM(L37:L38)</f>
        <v>171449.97</v>
      </c>
    </row>
    <row r="40" spans="1:12" s="175" customFormat="1" ht="15.75">
      <c r="A40" s="298"/>
      <c r="B40" s="299"/>
      <c r="C40" s="300"/>
      <c r="D40" s="301"/>
      <c r="E40" s="301"/>
      <c r="F40" s="301"/>
      <c r="G40" s="301"/>
      <c r="H40" s="302"/>
      <c r="I40" s="302"/>
      <c r="J40" s="302"/>
      <c r="K40" s="303"/>
      <c r="L40" s="304"/>
    </row>
    <row r="41" spans="1:12" s="322" customFormat="1" ht="19.5" customHeight="1">
      <c r="A41" s="305"/>
      <c r="B41" s="306"/>
      <c r="C41" s="307">
        <v>3</v>
      </c>
      <c r="D41" s="308" t="s">
        <v>22</v>
      </c>
      <c r="E41" s="308">
        <v>3</v>
      </c>
      <c r="F41" s="308"/>
      <c r="G41" s="308"/>
      <c r="H41" s="309" t="s">
        <v>116</v>
      </c>
      <c r="I41" s="308"/>
      <c r="J41" s="310"/>
      <c r="K41" s="311"/>
      <c r="L41" s="312"/>
    </row>
    <row r="42" spans="1:12" ht="39.950000000000003" customHeight="1">
      <c r="A42" s="233"/>
      <c r="B42" s="297" t="s">
        <v>117</v>
      </c>
      <c r="C42" s="234">
        <v>3</v>
      </c>
      <c r="D42" s="377" t="s">
        <v>22</v>
      </c>
      <c r="E42" s="377">
        <v>3</v>
      </c>
      <c r="F42" s="377" t="s">
        <v>22</v>
      </c>
      <c r="G42" s="377">
        <v>1</v>
      </c>
      <c r="H42" s="235" t="s">
        <v>106</v>
      </c>
      <c r="I42" s="236" t="s">
        <v>91</v>
      </c>
      <c r="J42" s="237">
        <v>1</v>
      </c>
      <c r="K42" s="238">
        <v>45048.75</v>
      </c>
      <c r="L42" s="263">
        <f t="shared" ref="L42:L44" si="8">ROUND(J42*K42,2)</f>
        <v>45048.75</v>
      </c>
    </row>
    <row r="43" spans="1:12" ht="39.950000000000003" customHeight="1">
      <c r="A43" s="233"/>
      <c r="B43" s="297" t="s">
        <v>118</v>
      </c>
      <c r="C43" s="234">
        <v>3</v>
      </c>
      <c r="D43" s="377" t="s">
        <v>22</v>
      </c>
      <c r="E43" s="377">
        <v>3</v>
      </c>
      <c r="F43" s="377" t="s">
        <v>22</v>
      </c>
      <c r="G43" s="377">
        <v>2</v>
      </c>
      <c r="H43" s="235" t="s">
        <v>108</v>
      </c>
      <c r="I43" s="236" t="s">
        <v>91</v>
      </c>
      <c r="J43" s="237">
        <v>1</v>
      </c>
      <c r="K43" s="238">
        <v>118466.25</v>
      </c>
      <c r="L43" s="263">
        <f t="shared" si="8"/>
        <v>118466.25</v>
      </c>
    </row>
    <row r="44" spans="1:12" ht="60" customHeight="1">
      <c r="A44" s="233" t="s">
        <v>29</v>
      </c>
      <c r="B44" s="371" t="s">
        <v>109</v>
      </c>
      <c r="C44" s="234">
        <v>3</v>
      </c>
      <c r="D44" s="377" t="s">
        <v>22</v>
      </c>
      <c r="E44" s="377">
        <v>3</v>
      </c>
      <c r="F44" s="377" t="s">
        <v>22</v>
      </c>
      <c r="G44" s="377">
        <v>3</v>
      </c>
      <c r="H44" s="235" t="s">
        <v>110</v>
      </c>
      <c r="I44" s="236" t="s">
        <v>16</v>
      </c>
      <c r="J44" s="237">
        <v>1</v>
      </c>
      <c r="K44" s="238">
        <v>19484.03</v>
      </c>
      <c r="L44" s="263">
        <f t="shared" si="8"/>
        <v>19484.03</v>
      </c>
    </row>
    <row r="45" spans="1:12" s="210" customFormat="1" ht="15.75">
      <c r="A45" s="305"/>
      <c r="B45" s="306"/>
      <c r="C45" s="307"/>
      <c r="D45" s="308"/>
      <c r="E45" s="308"/>
      <c r="F45" s="308"/>
      <c r="G45" s="308"/>
      <c r="H45" s="387"/>
      <c r="I45" s="387"/>
      <c r="J45" s="387"/>
      <c r="K45" s="388" t="s">
        <v>119</v>
      </c>
      <c r="L45" s="312">
        <f>SUM(L42:L44)</f>
        <v>182999.03</v>
      </c>
    </row>
    <row r="46" spans="1:12" s="175" customFormat="1" ht="15.75">
      <c r="A46" s="298"/>
      <c r="B46" s="299"/>
      <c r="C46" s="300"/>
      <c r="D46" s="301"/>
      <c r="E46" s="301"/>
      <c r="F46" s="301"/>
      <c r="G46" s="301"/>
      <c r="H46" s="302"/>
      <c r="I46" s="302"/>
      <c r="J46" s="302"/>
      <c r="K46" s="303"/>
      <c r="L46" s="304"/>
    </row>
    <row r="47" spans="1:12" s="326" customFormat="1" ht="15.75">
      <c r="A47" s="323"/>
      <c r="B47" s="379"/>
      <c r="C47" s="324"/>
      <c r="D47" s="380"/>
      <c r="E47" s="380"/>
      <c r="F47" s="380"/>
      <c r="G47" s="380"/>
      <c r="H47" s="381"/>
      <c r="I47" s="381"/>
      <c r="J47" s="381"/>
      <c r="K47" s="382" t="s">
        <v>120</v>
      </c>
      <c r="L47" s="325">
        <f>+L34+L39+L45</f>
        <v>543883.55000000005</v>
      </c>
    </row>
    <row r="48" spans="1:12" s="175" customFormat="1" ht="15.75">
      <c r="A48" s="298"/>
      <c r="B48" s="299"/>
      <c r="C48" s="300"/>
      <c r="D48" s="301"/>
      <c r="E48" s="301"/>
      <c r="F48" s="301"/>
      <c r="G48" s="301"/>
      <c r="H48" s="302"/>
      <c r="I48" s="302"/>
      <c r="J48" s="302"/>
      <c r="K48" s="303"/>
      <c r="L48" s="304"/>
    </row>
    <row r="49" spans="1:12" s="335" customFormat="1" ht="30" customHeight="1" thickBot="1">
      <c r="A49" s="327"/>
      <c r="B49" s="328"/>
      <c r="C49" s="329"/>
      <c r="D49" s="330"/>
      <c r="E49" s="330"/>
      <c r="F49" s="330"/>
      <c r="G49" s="330"/>
      <c r="H49" s="331" t="s">
        <v>82</v>
      </c>
      <c r="I49" s="330"/>
      <c r="J49" s="332"/>
      <c r="K49" s="333"/>
      <c r="L49" s="334">
        <f>+L21+L27+L47</f>
        <v>741394.29</v>
      </c>
    </row>
    <row r="50" spans="1:12" ht="30" customHeight="1">
      <c r="A50" s="175"/>
      <c r="B50" s="175"/>
      <c r="C50" s="175"/>
      <c r="D50" s="175"/>
      <c r="E50" s="175"/>
      <c r="F50" s="175"/>
      <c r="G50" s="175"/>
      <c r="H50" s="175"/>
      <c r="I50" s="175"/>
      <c r="J50" s="176"/>
      <c r="K50" s="177"/>
      <c r="L50" s="177"/>
    </row>
    <row r="51" spans="1:12" ht="12" customHeight="1">
      <c r="A51" s="175"/>
      <c r="B51" s="175"/>
      <c r="C51" s="175"/>
      <c r="D51" s="175"/>
      <c r="E51" s="181" t="s">
        <v>66</v>
      </c>
      <c r="F51" s="179"/>
      <c r="G51" s="179"/>
      <c r="H51" s="179"/>
      <c r="I51" s="47" t="s">
        <v>83</v>
      </c>
      <c r="J51" s="180"/>
      <c r="K51" s="177"/>
      <c r="L51" s="177"/>
    </row>
    <row r="52" spans="1:12" s="182" customFormat="1" ht="12.75" customHeight="1">
      <c r="A52" s="175"/>
      <c r="B52" s="175"/>
      <c r="C52" s="175"/>
      <c r="D52" s="175"/>
      <c r="E52" s="175"/>
      <c r="F52" s="175"/>
      <c r="H52" s="183" t="s">
        <v>272</v>
      </c>
      <c r="I52" s="45" t="s">
        <v>84</v>
      </c>
      <c r="J52" s="176"/>
      <c r="K52" s="177"/>
      <c r="L52" s="177"/>
    </row>
    <row r="53" spans="1:12" s="182" customFormat="1" ht="12.75" customHeight="1">
      <c r="A53" s="175"/>
      <c r="B53" s="175"/>
      <c r="C53" s="175"/>
      <c r="D53" s="175"/>
      <c r="E53" s="175"/>
      <c r="F53" s="175"/>
      <c r="H53" s="175"/>
      <c r="I53" s="47"/>
      <c r="J53" s="40"/>
      <c r="K53" s="177"/>
      <c r="L53" s="177"/>
    </row>
    <row r="54" spans="1:12" s="182" customFormat="1" ht="53.25" customHeight="1">
      <c r="A54" s="175"/>
      <c r="B54" s="175" t="s">
        <v>274</v>
      </c>
      <c r="C54" s="175"/>
      <c r="D54" s="175"/>
      <c r="E54" s="175"/>
      <c r="F54" s="175"/>
      <c r="G54" s="175"/>
      <c r="H54" s="175"/>
      <c r="I54" s="47"/>
      <c r="J54" s="40"/>
      <c r="K54" s="177"/>
      <c r="L54" s="177"/>
    </row>
    <row r="55" spans="1:12" ht="30" customHeight="1">
      <c r="B55" s="341"/>
      <c r="C55" s="175"/>
      <c r="D55" s="175"/>
      <c r="E55" s="175"/>
      <c r="F55" s="175"/>
      <c r="G55" s="175"/>
    </row>
  </sheetData>
  <mergeCells count="5">
    <mergeCell ref="A6:L6"/>
    <mergeCell ref="A8:B8"/>
    <mergeCell ref="A9:B9"/>
    <mergeCell ref="C9:J9"/>
    <mergeCell ref="C8:L8"/>
  </mergeCells>
  <phoneticPr fontId="6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0E128-C908-41F6-93B4-58C3228C505D}">
  <dimension ref="A1:V84"/>
  <sheetViews>
    <sheetView workbookViewId="0">
      <selection activeCell="I15" sqref="I15"/>
    </sheetView>
  </sheetViews>
  <sheetFormatPr defaultRowHeight="30" customHeight="1"/>
  <cols>
    <col min="1" max="1" width="8.7109375" style="63" customWidth="1"/>
    <col min="2" max="2" width="8.7109375" style="17" customWidth="1"/>
    <col min="3" max="3" width="16.42578125" style="146" customWidth="1"/>
    <col min="4" max="4" width="3.7109375" style="165" customWidth="1"/>
    <col min="5" max="5" width="1.7109375" style="165" customWidth="1"/>
    <col min="6" max="6" width="3.7109375" style="165" customWidth="1"/>
    <col min="7" max="7" width="1.7109375" style="165" customWidth="1"/>
    <col min="8" max="8" width="3.7109375" style="165" customWidth="1"/>
    <col min="9" max="9" width="80.7109375" style="165" customWidth="1"/>
    <col min="10" max="10" width="10" style="165" customWidth="1"/>
    <col min="11" max="11" width="20.28515625" style="172" customWidth="1"/>
    <col min="12" max="12" width="17.28515625" style="172" customWidth="1"/>
    <col min="13" max="13" width="8.5703125" style="172" customWidth="1"/>
    <col min="14" max="14" width="15.140625" style="172" customWidth="1"/>
    <col min="15" max="15" width="17.85546875" style="172" customWidth="1"/>
    <col min="16" max="16" width="3" style="251" customWidth="1"/>
    <col min="17" max="17" width="17.28515625" style="172" bestFit="1" customWidth="1"/>
    <col min="18" max="18" width="12.7109375" style="172" customWidth="1"/>
    <col min="19" max="19" width="15" style="172" customWidth="1"/>
    <col min="20" max="20" width="17.85546875" style="172" customWidth="1"/>
    <col min="21" max="21" width="9.140625" style="165"/>
    <col min="22" max="22" width="16.85546875" style="165" customWidth="1"/>
    <col min="23" max="16384" width="9.140625" style="165"/>
  </cols>
  <sheetData>
    <row r="1" spans="1:22" s="153" customFormat="1" ht="11.25" customHeight="1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268"/>
    </row>
    <row r="2" spans="1:22" s="153" customFormat="1" ht="20.2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269"/>
      <c r="Q2" s="439" t="s">
        <v>0</v>
      </c>
      <c r="R2" s="439"/>
      <c r="S2" s="439"/>
      <c r="T2" s="439"/>
    </row>
    <row r="3" spans="1:22" s="153" customFormat="1" ht="20.25" customHeight="1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269"/>
      <c r="Q3" s="439"/>
      <c r="R3" s="439"/>
      <c r="S3" s="439"/>
      <c r="T3" s="439"/>
    </row>
    <row r="4" spans="1:22" s="153" customFormat="1" ht="15" customHeight="1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269"/>
      <c r="Q4" s="439"/>
      <c r="R4" s="439"/>
      <c r="S4" s="439"/>
      <c r="T4" s="439"/>
    </row>
    <row r="5" spans="1:22" s="153" customFormat="1" ht="6.75" customHeight="1" thickBot="1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269"/>
      <c r="Q5" s="439"/>
      <c r="R5" s="439"/>
      <c r="S5" s="439"/>
      <c r="T5" s="439"/>
    </row>
    <row r="6" spans="1:22" s="153" customFormat="1" ht="22.5" customHeight="1" thickBot="1">
      <c r="A6" s="149"/>
      <c r="B6" s="429" t="s">
        <v>1</v>
      </c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  <c r="N6" s="430"/>
      <c r="O6" s="430"/>
      <c r="P6" s="269"/>
      <c r="Q6" s="440"/>
      <c r="R6" s="440"/>
      <c r="S6" s="440"/>
      <c r="T6" s="440"/>
    </row>
    <row r="7" spans="1:22" s="153" customFormat="1" ht="6.75" customHeight="1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269"/>
      <c r="Q7" s="157"/>
      <c r="R7" s="157"/>
      <c r="S7" s="157"/>
      <c r="T7" s="157"/>
    </row>
    <row r="8" spans="1:22" s="153" customFormat="1" ht="44.25" customHeight="1">
      <c r="A8" s="149"/>
      <c r="B8" s="431" t="s">
        <v>2</v>
      </c>
      <c r="C8" s="431"/>
      <c r="D8" s="433" t="s">
        <v>121</v>
      </c>
      <c r="E8" s="433"/>
      <c r="F8" s="433"/>
      <c r="G8" s="433"/>
      <c r="H8" s="433"/>
      <c r="I8" s="433"/>
      <c r="J8" s="149"/>
      <c r="K8" s="149"/>
      <c r="L8" s="149"/>
      <c r="M8" s="149"/>
      <c r="N8" s="149"/>
      <c r="O8" s="149"/>
      <c r="P8" s="269"/>
    </row>
    <row r="9" spans="1:22" s="153" customFormat="1" ht="28.5" customHeight="1">
      <c r="A9" s="149"/>
      <c r="B9" s="431" t="s">
        <v>4</v>
      </c>
      <c r="C9" s="431"/>
      <c r="D9" s="433"/>
      <c r="E9" s="433"/>
      <c r="F9" s="433"/>
      <c r="G9" s="433"/>
      <c r="H9" s="433"/>
      <c r="I9" s="433"/>
      <c r="J9" s="433"/>
      <c r="K9" s="433"/>
      <c r="L9" s="433"/>
      <c r="M9" s="149"/>
      <c r="N9" s="149"/>
      <c r="O9" s="149"/>
      <c r="P9" s="269"/>
      <c r="Q9" s="159"/>
      <c r="R9" s="159"/>
      <c r="S9" s="159"/>
      <c r="T9" s="159"/>
    </row>
    <row r="10" spans="1:22" s="161" customFormat="1" ht="15" customHeight="1">
      <c r="A10" s="149"/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 t="s">
        <v>6</v>
      </c>
      <c r="O10" s="250">
        <v>45717</v>
      </c>
      <c r="P10" s="270"/>
      <c r="Q10" s="7"/>
      <c r="R10" s="7"/>
      <c r="S10" s="8" t="s">
        <v>6</v>
      </c>
      <c r="T10" s="9" t="s">
        <v>8</v>
      </c>
    </row>
    <row r="11" spans="1:22" ht="20.25" customHeight="1" thickBot="1">
      <c r="A11" s="149"/>
      <c r="B11" s="149"/>
      <c r="C11" s="149"/>
      <c r="D11" s="149"/>
      <c r="E11" s="149"/>
      <c r="F11" s="149"/>
      <c r="G11" s="149"/>
      <c r="H11" s="149"/>
      <c r="I11" s="149" t="s">
        <v>9</v>
      </c>
      <c r="J11" s="149"/>
      <c r="K11" s="149"/>
      <c r="L11" s="149"/>
      <c r="M11" s="149"/>
      <c r="N11" s="149" t="s">
        <v>10</v>
      </c>
      <c r="O11" s="227">
        <v>0.25</v>
      </c>
      <c r="P11" s="271"/>
      <c r="Q11" s="7"/>
      <c r="R11" s="7"/>
      <c r="S11" s="8" t="s">
        <v>10</v>
      </c>
      <c r="T11" s="164">
        <v>0.2757</v>
      </c>
    </row>
    <row r="12" spans="1:22" s="211" customFormat="1" ht="30" customHeight="1">
      <c r="A12" s="389" t="s">
        <v>11</v>
      </c>
      <c r="B12" s="216" t="s">
        <v>12</v>
      </c>
      <c r="C12" s="217" t="s">
        <v>13</v>
      </c>
      <c r="D12" s="217"/>
      <c r="E12" s="217"/>
      <c r="F12" s="217"/>
      <c r="G12" s="217" t="s">
        <v>14</v>
      </c>
      <c r="H12" s="217"/>
      <c r="I12" s="217" t="s">
        <v>15</v>
      </c>
      <c r="J12" s="217" t="s">
        <v>16</v>
      </c>
      <c r="K12" s="218" t="s">
        <v>17</v>
      </c>
      <c r="L12" s="219" t="s">
        <v>18</v>
      </c>
      <c r="M12" s="218" t="s">
        <v>19</v>
      </c>
      <c r="N12" s="219" t="s">
        <v>20</v>
      </c>
      <c r="O12" s="219" t="s">
        <v>21</v>
      </c>
      <c r="P12" s="272"/>
      <c r="Q12" s="278" t="s">
        <v>18</v>
      </c>
      <c r="R12" s="218" t="s">
        <v>19</v>
      </c>
      <c r="S12" s="219" t="s">
        <v>20</v>
      </c>
      <c r="T12" s="220" t="s">
        <v>21</v>
      </c>
    </row>
    <row r="13" spans="1:22" ht="6.75" customHeight="1">
      <c r="B13" s="221"/>
      <c r="C13" s="165"/>
      <c r="K13" s="168"/>
      <c r="L13" s="168"/>
      <c r="M13" s="168"/>
      <c r="N13" s="168"/>
      <c r="O13" s="168"/>
      <c r="P13" s="271"/>
      <c r="Q13" s="279"/>
      <c r="R13" s="168"/>
      <c r="S13" s="168"/>
      <c r="T13" s="222"/>
    </row>
    <row r="14" spans="1:22" s="215" customFormat="1" ht="19.5" customHeight="1">
      <c r="A14" s="214" t="str">
        <f t="shared" ref="A14:A26" si="0">B14&amp;C14</f>
        <v/>
      </c>
      <c r="B14" s="230"/>
      <c r="C14" s="390"/>
      <c r="D14" s="231">
        <v>1</v>
      </c>
      <c r="E14" s="391" t="s">
        <v>22</v>
      </c>
      <c r="F14" s="391">
        <v>0</v>
      </c>
      <c r="G14" s="391"/>
      <c r="H14" s="391"/>
      <c r="I14" s="392" t="s">
        <v>79</v>
      </c>
      <c r="J14" s="391"/>
      <c r="K14" s="393"/>
      <c r="L14" s="393"/>
      <c r="M14" s="281"/>
      <c r="N14" s="282"/>
      <c r="O14" s="262"/>
      <c r="P14" s="273"/>
      <c r="Q14" s="280"/>
      <c r="R14" s="281"/>
      <c r="S14" s="282"/>
      <c r="T14" s="232"/>
    </row>
    <row r="15" spans="1:22" ht="39.950000000000003" customHeight="1">
      <c r="A15" s="63" t="str">
        <f t="shared" si="0"/>
        <v>SIURB INFRA1010000</v>
      </c>
      <c r="B15" s="233" t="s">
        <v>86</v>
      </c>
      <c r="C15" s="371">
        <v>1010000</v>
      </c>
      <c r="D15" s="234">
        <f>$D$14</f>
        <v>1</v>
      </c>
      <c r="E15" s="377" t="s">
        <v>22</v>
      </c>
      <c r="F15" s="377">
        <f>F14+1</f>
        <v>1</v>
      </c>
      <c r="G15" s="377"/>
      <c r="H15" s="377"/>
      <c r="I15" s="235" t="e">
        <f>INDEX(#REF!,MATCH(A15,#REF!,0),0)</f>
        <v>#REF!</v>
      </c>
      <c r="J15" s="236" t="e">
        <f>INDEX(#REF!,MATCH(A15,#REF!,0),0)</f>
        <v>#REF!</v>
      </c>
      <c r="K15" s="290">
        <v>400000</v>
      </c>
      <c r="L15" s="256" t="e">
        <f>INDEX(#REF!,MATCH(A15,#REF!,0),0)</f>
        <v>#REF!</v>
      </c>
      <c r="M15" s="257">
        <f t="shared" ref="M15:M25" si="1">1+$O$11</f>
        <v>1.25</v>
      </c>
      <c r="N15" s="238" t="e">
        <f t="shared" ref="N15:N25" si="2">ROUND(L15*M15,2)</f>
        <v>#REF!</v>
      </c>
      <c r="O15" s="263" t="e">
        <f t="shared" ref="O15:O25" si="3">ROUND(K15*N15,2)</f>
        <v>#REF!</v>
      </c>
      <c r="P15" s="274"/>
      <c r="Q15" s="283" t="e">
        <f>INDEX(#REF!,MATCH(A15,#REF!,0),0)</f>
        <v>#REF!</v>
      </c>
      <c r="R15" s="257">
        <f t="shared" ref="R15:R25" si="4">1+$T$11</f>
        <v>1.2757000000000001</v>
      </c>
      <c r="S15" s="238" t="e">
        <f>Q15*R15</f>
        <v>#REF!</v>
      </c>
      <c r="T15" s="239" t="e">
        <f>ROUND(S15*K15,2)</f>
        <v>#REF!</v>
      </c>
    </row>
    <row r="16" spans="1:22" ht="39.950000000000003" customHeight="1">
      <c r="A16" s="63" t="str">
        <f t="shared" si="0"/>
        <v>SIURB EDIF20003070</v>
      </c>
      <c r="B16" s="233" t="s">
        <v>24</v>
      </c>
      <c r="C16" s="371">
        <v>20003070</v>
      </c>
      <c r="D16" s="234">
        <f t="shared" ref="D16:D25" si="5">$D$14</f>
        <v>1</v>
      </c>
      <c r="E16" s="377" t="s">
        <v>22</v>
      </c>
      <c r="F16" s="377">
        <f>F15+1</f>
        <v>2</v>
      </c>
      <c r="G16" s="377"/>
      <c r="H16" s="377"/>
      <c r="I16" s="235" t="e">
        <f>INDEX(#REF!,MATCH(A16,#REF!,0),0)</f>
        <v>#REF!</v>
      </c>
      <c r="J16" s="236" t="e">
        <f>INDEX(#REF!,MATCH(A16,#REF!,0),0)</f>
        <v>#REF!</v>
      </c>
      <c r="K16" s="290">
        <v>22</v>
      </c>
      <c r="L16" s="256" t="e">
        <f>INDEX(#REF!,MATCH(A16,#REF!,0),0)</f>
        <v>#REF!</v>
      </c>
      <c r="M16" s="257">
        <f t="shared" si="1"/>
        <v>1.25</v>
      </c>
      <c r="N16" s="238" t="e">
        <f t="shared" si="2"/>
        <v>#REF!</v>
      </c>
      <c r="O16" s="263" t="e">
        <f t="shared" si="3"/>
        <v>#REF!</v>
      </c>
      <c r="P16" s="274"/>
      <c r="Q16" s="283" t="e">
        <f>INDEX(#REF!,MATCH(A16,#REF!,0),0)</f>
        <v>#REF!</v>
      </c>
      <c r="R16" s="257">
        <f t="shared" si="4"/>
        <v>1.2757000000000001</v>
      </c>
      <c r="S16" s="238" t="e">
        <f t="shared" ref="S16:S25" si="6">Q16*R16</f>
        <v>#REF!</v>
      </c>
      <c r="T16" s="239" t="e">
        <f t="shared" ref="T16:T25" si="7">ROUND(S16*K16,2)</f>
        <v>#REF!</v>
      </c>
      <c r="V16" s="171"/>
    </row>
    <row r="17" spans="1:22" ht="39.950000000000003" customHeight="1">
      <c r="A17" s="63" t="str">
        <f t="shared" si="0"/>
        <v>SIURB EDIF20003071</v>
      </c>
      <c r="B17" s="233" t="s">
        <v>24</v>
      </c>
      <c r="C17" s="371">
        <v>20003071</v>
      </c>
      <c r="D17" s="234">
        <f t="shared" si="5"/>
        <v>1</v>
      </c>
      <c r="E17" s="377" t="s">
        <v>22</v>
      </c>
      <c r="F17" s="377">
        <f t="shared" ref="F17:F25" si="8">F16+1</f>
        <v>3</v>
      </c>
      <c r="G17" s="377"/>
      <c r="H17" s="377"/>
      <c r="I17" s="235" t="e">
        <f>INDEX(#REF!,MATCH(A17,#REF!,0),0)</f>
        <v>#REF!</v>
      </c>
      <c r="J17" s="236" t="e">
        <f>INDEX(#REF!,MATCH(A17,#REF!,0),0)</f>
        <v>#REF!</v>
      </c>
      <c r="K17" s="290">
        <v>8000</v>
      </c>
      <c r="L17" s="256" t="e">
        <f>INDEX(#REF!,MATCH(A17,#REF!,0),0)</f>
        <v>#REF!</v>
      </c>
      <c r="M17" s="257">
        <f t="shared" si="1"/>
        <v>1.25</v>
      </c>
      <c r="N17" s="238" t="e">
        <f t="shared" si="2"/>
        <v>#REF!</v>
      </c>
      <c r="O17" s="263" t="e">
        <f t="shared" si="3"/>
        <v>#REF!</v>
      </c>
      <c r="P17" s="274"/>
      <c r="Q17" s="283" t="e">
        <f>INDEX(#REF!,MATCH(A17,#REF!,0),0)</f>
        <v>#REF!</v>
      </c>
      <c r="R17" s="257">
        <f t="shared" si="4"/>
        <v>1.2757000000000001</v>
      </c>
      <c r="S17" s="238" t="e">
        <f t="shared" si="6"/>
        <v>#REF!</v>
      </c>
      <c r="T17" s="239" t="e">
        <f t="shared" si="7"/>
        <v>#REF!</v>
      </c>
    </row>
    <row r="18" spans="1:22" ht="39.950000000000003" customHeight="1">
      <c r="A18" s="63" t="str">
        <f t="shared" si="0"/>
        <v>SIURB EDIF20003072</v>
      </c>
      <c r="B18" s="233" t="s">
        <v>24</v>
      </c>
      <c r="C18" s="371">
        <v>20003072</v>
      </c>
      <c r="D18" s="234">
        <f t="shared" si="5"/>
        <v>1</v>
      </c>
      <c r="E18" s="377" t="s">
        <v>22</v>
      </c>
      <c r="F18" s="377">
        <f t="shared" si="8"/>
        <v>4</v>
      </c>
      <c r="G18" s="377"/>
      <c r="H18" s="377"/>
      <c r="I18" s="235" t="e">
        <f>INDEX(#REF!,MATCH(A18,#REF!,0),0)</f>
        <v>#REF!</v>
      </c>
      <c r="J18" s="236" t="e">
        <f>INDEX(#REF!,MATCH(A18,#REF!,0),0)</f>
        <v>#REF!</v>
      </c>
      <c r="K18" s="290">
        <v>8000</v>
      </c>
      <c r="L18" s="256" t="e">
        <f>INDEX(#REF!,MATCH(A18,#REF!,0),0)</f>
        <v>#REF!</v>
      </c>
      <c r="M18" s="257">
        <f t="shared" si="1"/>
        <v>1.25</v>
      </c>
      <c r="N18" s="238" t="e">
        <f t="shared" si="2"/>
        <v>#REF!</v>
      </c>
      <c r="O18" s="263" t="e">
        <f t="shared" si="3"/>
        <v>#REF!</v>
      </c>
      <c r="P18" s="274"/>
      <c r="Q18" s="283" t="e">
        <f>INDEX(#REF!,MATCH(A18,#REF!,0),0)</f>
        <v>#REF!</v>
      </c>
      <c r="R18" s="257">
        <f t="shared" si="4"/>
        <v>1.2757000000000001</v>
      </c>
      <c r="S18" s="238" t="e">
        <f t="shared" si="6"/>
        <v>#REF!</v>
      </c>
      <c r="T18" s="239" t="e">
        <f t="shared" si="7"/>
        <v>#REF!</v>
      </c>
      <c r="V18" s="171"/>
    </row>
    <row r="19" spans="1:22" ht="39.950000000000003" customHeight="1">
      <c r="A19" s="63" t="str">
        <f t="shared" si="0"/>
        <v>SIURB INFRA3009000</v>
      </c>
      <c r="B19" s="233" t="s">
        <v>86</v>
      </c>
      <c r="C19" s="258">
        <v>3009000</v>
      </c>
      <c r="D19" s="234">
        <f t="shared" si="5"/>
        <v>1</v>
      </c>
      <c r="E19" s="377" t="s">
        <v>22</v>
      </c>
      <c r="F19" s="377">
        <f t="shared" si="8"/>
        <v>5</v>
      </c>
      <c r="G19" s="377"/>
      <c r="H19" s="377"/>
      <c r="I19" s="235" t="e">
        <f>INDEX(#REF!,MATCH(A19,#REF!,0),0)</f>
        <v>#REF!</v>
      </c>
      <c r="J19" s="236" t="e">
        <f>INDEX(#REF!,MATCH(A19,#REF!,0),0)</f>
        <v>#REF!</v>
      </c>
      <c r="K19" s="290">
        <v>10</v>
      </c>
      <c r="L19" s="256" t="e">
        <f>INDEX(#REF!,MATCH(A19,#REF!,0),0)</f>
        <v>#REF!</v>
      </c>
      <c r="M19" s="257">
        <f t="shared" si="1"/>
        <v>1.25</v>
      </c>
      <c r="N19" s="238" t="e">
        <f t="shared" si="2"/>
        <v>#REF!</v>
      </c>
      <c r="O19" s="263" t="e">
        <f t="shared" si="3"/>
        <v>#REF!</v>
      </c>
      <c r="P19" s="274"/>
      <c r="Q19" s="283" t="e">
        <f>INDEX(#REF!,MATCH(A19,#REF!,0),0)</f>
        <v>#REF!</v>
      </c>
      <c r="R19" s="257">
        <f t="shared" si="4"/>
        <v>1.2757000000000001</v>
      </c>
      <c r="S19" s="238" t="e">
        <f t="shared" si="6"/>
        <v>#REF!</v>
      </c>
      <c r="T19" s="239" t="e">
        <f t="shared" si="7"/>
        <v>#REF!</v>
      </c>
    </row>
    <row r="20" spans="1:22" ht="39.950000000000003" customHeight="1">
      <c r="A20" s="63" t="str">
        <f t="shared" si="0"/>
        <v>SIURB INFRA3010000</v>
      </c>
      <c r="B20" s="233" t="s">
        <v>86</v>
      </c>
      <c r="C20" s="258">
        <v>3010000</v>
      </c>
      <c r="D20" s="234">
        <f t="shared" si="5"/>
        <v>1</v>
      </c>
      <c r="E20" s="377" t="s">
        <v>22</v>
      </c>
      <c r="F20" s="377">
        <f t="shared" si="8"/>
        <v>6</v>
      </c>
      <c r="G20" s="377"/>
      <c r="H20" s="377"/>
      <c r="I20" s="235" t="e">
        <f>INDEX(#REF!,MATCH(A20,#REF!,0),0)</f>
        <v>#REF!</v>
      </c>
      <c r="J20" s="236" t="e">
        <f>INDEX(#REF!,MATCH(A20,#REF!,0),0)</f>
        <v>#REF!</v>
      </c>
      <c r="K20" s="290">
        <v>20</v>
      </c>
      <c r="L20" s="256" t="e">
        <f>INDEX(#REF!,MATCH(A20,#REF!,0),0)</f>
        <v>#REF!</v>
      </c>
      <c r="M20" s="257">
        <f t="shared" si="1"/>
        <v>1.25</v>
      </c>
      <c r="N20" s="238" t="e">
        <f t="shared" si="2"/>
        <v>#REF!</v>
      </c>
      <c r="O20" s="263" t="e">
        <f t="shared" si="3"/>
        <v>#REF!</v>
      </c>
      <c r="P20" s="274"/>
      <c r="Q20" s="283" t="e">
        <f>INDEX(#REF!,MATCH(A20,#REF!,0),0)</f>
        <v>#REF!</v>
      </c>
      <c r="R20" s="257">
        <f t="shared" si="4"/>
        <v>1.2757000000000001</v>
      </c>
      <c r="S20" s="238" t="e">
        <f t="shared" si="6"/>
        <v>#REF!</v>
      </c>
      <c r="T20" s="239" t="e">
        <f t="shared" si="7"/>
        <v>#REF!</v>
      </c>
    </row>
    <row r="21" spans="1:22" ht="39.950000000000003" customHeight="1">
      <c r="A21" s="63" t="str">
        <f t="shared" si="0"/>
        <v>SIURB INFRA3012000</v>
      </c>
      <c r="B21" s="233" t="s">
        <v>86</v>
      </c>
      <c r="C21" s="258">
        <v>3012000</v>
      </c>
      <c r="D21" s="234">
        <f t="shared" si="5"/>
        <v>1</v>
      </c>
      <c r="E21" s="377" t="s">
        <v>22</v>
      </c>
      <c r="F21" s="377">
        <f t="shared" si="8"/>
        <v>7</v>
      </c>
      <c r="G21" s="377"/>
      <c r="H21" s="377"/>
      <c r="I21" s="235" t="e">
        <f>INDEX(#REF!,MATCH(A21,#REF!,0),0)</f>
        <v>#REF!</v>
      </c>
      <c r="J21" s="236" t="e">
        <f>INDEX(#REF!,MATCH(A21,#REF!,0),0)</f>
        <v>#REF!</v>
      </c>
      <c r="K21" s="290">
        <v>3000</v>
      </c>
      <c r="L21" s="256" t="e">
        <f>INDEX(#REF!,MATCH(A21,#REF!,0),0)</f>
        <v>#REF!</v>
      </c>
      <c r="M21" s="257">
        <f t="shared" si="1"/>
        <v>1.25</v>
      </c>
      <c r="N21" s="238" t="e">
        <f t="shared" si="2"/>
        <v>#REF!</v>
      </c>
      <c r="O21" s="263" t="e">
        <f t="shared" si="3"/>
        <v>#REF!</v>
      </c>
      <c r="P21" s="274"/>
      <c r="Q21" s="283" t="e">
        <f>INDEX(#REF!,MATCH(A21,#REF!,0),0)</f>
        <v>#REF!</v>
      </c>
      <c r="R21" s="257">
        <f t="shared" si="4"/>
        <v>1.2757000000000001</v>
      </c>
      <c r="S21" s="238" t="e">
        <f t="shared" si="6"/>
        <v>#REF!</v>
      </c>
      <c r="T21" s="239" t="e">
        <f t="shared" si="7"/>
        <v>#REF!</v>
      </c>
    </row>
    <row r="22" spans="1:22" ht="60" customHeight="1">
      <c r="A22" s="63" t="str">
        <f t="shared" si="0"/>
        <v>CDHU01.02.071</v>
      </c>
      <c r="B22" s="233" t="s">
        <v>29</v>
      </c>
      <c r="C22" s="259" t="s">
        <v>122</v>
      </c>
      <c r="D22" s="234">
        <f t="shared" si="5"/>
        <v>1</v>
      </c>
      <c r="E22" s="377" t="s">
        <v>22</v>
      </c>
      <c r="F22" s="377">
        <f t="shared" si="8"/>
        <v>8</v>
      </c>
      <c r="G22" s="377"/>
      <c r="H22" s="377"/>
      <c r="I22" s="235" t="e">
        <f>INDEX(#REF!,MATCH(A22,#REF!,0),0)</f>
        <v>#REF!</v>
      </c>
      <c r="J22" s="236" t="e">
        <f>INDEX(#REF!,MATCH(A22,#REF!,0),0)</f>
        <v>#REF!</v>
      </c>
      <c r="K22" s="290">
        <v>10</v>
      </c>
      <c r="L22" s="256" t="e">
        <f>INDEX(#REF!,MATCH(A22,#REF!,0),0)</f>
        <v>#REF!</v>
      </c>
      <c r="M22" s="257">
        <f t="shared" si="1"/>
        <v>1.25</v>
      </c>
      <c r="N22" s="238" t="e">
        <f t="shared" si="2"/>
        <v>#REF!</v>
      </c>
      <c r="O22" s="263" t="e">
        <f t="shared" si="3"/>
        <v>#REF!</v>
      </c>
      <c r="P22" s="274"/>
      <c r="Q22" s="283" t="e">
        <f>INDEX(#REF!,MATCH(A22,#REF!,0),0)</f>
        <v>#REF!</v>
      </c>
      <c r="R22" s="257">
        <f t="shared" si="4"/>
        <v>1.2757000000000001</v>
      </c>
      <c r="S22" s="238" t="e">
        <f t="shared" si="6"/>
        <v>#REF!</v>
      </c>
      <c r="T22" s="239" t="e">
        <f t="shared" si="7"/>
        <v>#REF!</v>
      </c>
    </row>
    <row r="23" spans="1:22" ht="60" customHeight="1">
      <c r="A23" s="63" t="str">
        <f t="shared" si="0"/>
        <v>CDHU01.02.081</v>
      </c>
      <c r="B23" s="233" t="s">
        <v>29</v>
      </c>
      <c r="C23" s="259" t="s">
        <v>123</v>
      </c>
      <c r="D23" s="234">
        <f t="shared" si="5"/>
        <v>1</v>
      </c>
      <c r="E23" s="377" t="s">
        <v>22</v>
      </c>
      <c r="F23" s="377">
        <f t="shared" si="8"/>
        <v>9</v>
      </c>
      <c r="G23" s="377"/>
      <c r="H23" s="377"/>
      <c r="I23" s="235" t="e">
        <f>INDEX(#REF!,MATCH(A23,#REF!,0),0)</f>
        <v>#REF!</v>
      </c>
      <c r="J23" s="236" t="e">
        <f>INDEX(#REF!,MATCH(A23,#REF!,0),0)</f>
        <v>#REF!</v>
      </c>
      <c r="K23" s="290">
        <v>6</v>
      </c>
      <c r="L23" s="256" t="e">
        <f>INDEX(#REF!,MATCH(A23,#REF!,0),0)</f>
        <v>#REF!</v>
      </c>
      <c r="M23" s="257">
        <f t="shared" si="1"/>
        <v>1.25</v>
      </c>
      <c r="N23" s="238" t="e">
        <f t="shared" si="2"/>
        <v>#REF!</v>
      </c>
      <c r="O23" s="263" t="e">
        <f t="shared" si="3"/>
        <v>#REF!</v>
      </c>
      <c r="P23" s="274"/>
      <c r="Q23" s="283" t="e">
        <f>INDEX(#REF!,MATCH(A23,#REF!,0),0)</f>
        <v>#REF!</v>
      </c>
      <c r="R23" s="257">
        <f t="shared" si="4"/>
        <v>1.2757000000000001</v>
      </c>
      <c r="S23" s="238" t="e">
        <f t="shared" si="6"/>
        <v>#REF!</v>
      </c>
      <c r="T23" s="239" t="e">
        <f t="shared" si="7"/>
        <v>#REF!</v>
      </c>
    </row>
    <row r="24" spans="1:22" ht="60" customHeight="1">
      <c r="A24" s="63" t="str">
        <f t="shared" si="0"/>
        <v>CDHU01.02.091</v>
      </c>
      <c r="B24" s="233" t="s">
        <v>29</v>
      </c>
      <c r="C24" s="259" t="s">
        <v>124</v>
      </c>
      <c r="D24" s="234">
        <f t="shared" si="5"/>
        <v>1</v>
      </c>
      <c r="E24" s="377" t="s">
        <v>22</v>
      </c>
      <c r="F24" s="377">
        <f t="shared" si="8"/>
        <v>10</v>
      </c>
      <c r="G24" s="377"/>
      <c r="H24" s="377"/>
      <c r="I24" s="235" t="e">
        <f>INDEX(#REF!,MATCH(A24,#REF!,0),0)</f>
        <v>#REF!</v>
      </c>
      <c r="J24" s="236" t="e">
        <f>INDEX(#REF!,MATCH(A24,#REF!,0),0)</f>
        <v>#REF!</v>
      </c>
      <c r="K24" s="290">
        <v>4</v>
      </c>
      <c r="L24" s="256" t="e">
        <f>INDEX(#REF!,MATCH(A24,#REF!,0),0)</f>
        <v>#REF!</v>
      </c>
      <c r="M24" s="257">
        <f t="shared" si="1"/>
        <v>1.25</v>
      </c>
      <c r="N24" s="238" t="e">
        <f t="shared" si="2"/>
        <v>#REF!</v>
      </c>
      <c r="O24" s="263" t="e">
        <f t="shared" si="3"/>
        <v>#REF!</v>
      </c>
      <c r="P24" s="274"/>
      <c r="Q24" s="283" t="e">
        <f>INDEX(#REF!,MATCH(A24,#REF!,0),0)</f>
        <v>#REF!</v>
      </c>
      <c r="R24" s="257">
        <f t="shared" si="4"/>
        <v>1.2757000000000001</v>
      </c>
      <c r="S24" s="238" t="e">
        <f t="shared" si="6"/>
        <v>#REF!</v>
      </c>
      <c r="T24" s="239" t="e">
        <f t="shared" si="7"/>
        <v>#REF!</v>
      </c>
    </row>
    <row r="25" spans="1:22" ht="60" customHeight="1">
      <c r="A25" s="63" t="str">
        <f t="shared" si="0"/>
        <v>CDHU01.02.101</v>
      </c>
      <c r="B25" s="233" t="s">
        <v>29</v>
      </c>
      <c r="C25" s="259" t="s">
        <v>125</v>
      </c>
      <c r="D25" s="234">
        <f t="shared" si="5"/>
        <v>1</v>
      </c>
      <c r="E25" s="377" t="s">
        <v>22</v>
      </c>
      <c r="F25" s="377">
        <f t="shared" si="8"/>
        <v>11</v>
      </c>
      <c r="G25" s="377"/>
      <c r="H25" s="377"/>
      <c r="I25" s="235" t="e">
        <f>INDEX(#REF!,MATCH(A25,#REF!,0),0)</f>
        <v>#REF!</v>
      </c>
      <c r="J25" s="236" t="e">
        <f>INDEX(#REF!,MATCH(A25,#REF!,0),0)</f>
        <v>#REF!</v>
      </c>
      <c r="K25" s="290">
        <v>2</v>
      </c>
      <c r="L25" s="256" t="e">
        <f>INDEX(#REF!,MATCH(A25,#REF!,0),0)</f>
        <v>#REF!</v>
      </c>
      <c r="M25" s="257">
        <f t="shared" si="1"/>
        <v>1.25</v>
      </c>
      <c r="N25" s="238" t="e">
        <f t="shared" si="2"/>
        <v>#REF!</v>
      </c>
      <c r="O25" s="263" t="e">
        <f t="shared" si="3"/>
        <v>#REF!</v>
      </c>
      <c r="P25" s="274"/>
      <c r="Q25" s="283" t="e">
        <f>INDEX(#REF!,MATCH(A25,#REF!,0),0)</f>
        <v>#REF!</v>
      </c>
      <c r="R25" s="257">
        <f t="shared" si="4"/>
        <v>1.2757000000000001</v>
      </c>
      <c r="S25" s="238" t="e">
        <f t="shared" si="6"/>
        <v>#REF!</v>
      </c>
      <c r="T25" s="239" t="e">
        <f t="shared" si="7"/>
        <v>#REF!</v>
      </c>
    </row>
    <row r="26" spans="1:22" s="210" customFormat="1" ht="15.75">
      <c r="A26" s="214" t="str">
        <f t="shared" si="0"/>
        <v/>
      </c>
      <c r="B26" s="230"/>
      <c r="C26" s="390"/>
      <c r="D26" s="240"/>
      <c r="E26" s="394"/>
      <c r="F26" s="394"/>
      <c r="G26" s="394"/>
      <c r="H26" s="394"/>
      <c r="I26" s="395"/>
      <c r="J26" s="395"/>
      <c r="K26" s="395"/>
      <c r="L26" s="395"/>
      <c r="M26" s="395"/>
      <c r="N26" s="396" t="s">
        <v>25</v>
      </c>
      <c r="O26" s="264" t="e">
        <f>SUM(O15:O25)</f>
        <v>#REF!</v>
      </c>
      <c r="P26" s="274"/>
      <c r="Q26" s="284"/>
      <c r="R26" s="285"/>
      <c r="S26" s="286"/>
      <c r="T26" s="241" t="e">
        <f>SUM(T15:T25)</f>
        <v>#REF!</v>
      </c>
    </row>
    <row r="27" spans="1:22" ht="11.25" customHeight="1">
      <c r="B27" s="233"/>
      <c r="C27" s="371"/>
      <c r="D27" s="242"/>
      <c r="E27" s="228"/>
      <c r="F27" s="228"/>
      <c r="G27" s="228"/>
      <c r="H27" s="228"/>
      <c r="I27" s="228"/>
      <c r="J27" s="228"/>
      <c r="K27" s="243"/>
      <c r="L27" s="229"/>
      <c r="M27" s="229"/>
      <c r="N27" s="229"/>
      <c r="O27" s="265"/>
      <c r="P27" s="274"/>
      <c r="Q27" s="287"/>
      <c r="R27" s="229"/>
      <c r="S27" s="229"/>
      <c r="T27" s="244"/>
    </row>
    <row r="28" spans="1:22" s="210" customFormat="1" ht="19.5" customHeight="1">
      <c r="A28" s="214" t="str">
        <f t="shared" ref="A28:A46" si="9">B28&amp;C28</f>
        <v/>
      </c>
      <c r="B28" s="230"/>
      <c r="C28" s="390"/>
      <c r="D28" s="240">
        <v>2</v>
      </c>
      <c r="E28" s="394" t="s">
        <v>22</v>
      </c>
      <c r="F28" s="394">
        <v>0</v>
      </c>
      <c r="G28" s="394"/>
      <c r="H28" s="394"/>
      <c r="I28" s="397" t="s">
        <v>126</v>
      </c>
      <c r="J28" s="394"/>
      <c r="K28" s="398"/>
      <c r="L28" s="398"/>
      <c r="M28" s="285"/>
      <c r="N28" s="286"/>
      <c r="O28" s="264"/>
      <c r="P28" s="274"/>
      <c r="Q28" s="284"/>
      <c r="R28" s="285"/>
      <c r="S28" s="286"/>
      <c r="T28" s="241"/>
    </row>
    <row r="29" spans="1:22" ht="39.950000000000003" customHeight="1">
      <c r="A29" s="63" t="str">
        <f t="shared" si="9"/>
        <v>SIURB INFRA2001001</v>
      </c>
      <c r="B29" s="233" t="s">
        <v>86</v>
      </c>
      <c r="C29" s="258">
        <v>2001001</v>
      </c>
      <c r="D29" s="234">
        <f>D28</f>
        <v>2</v>
      </c>
      <c r="E29" s="377" t="s">
        <v>22</v>
      </c>
      <c r="F29" s="377">
        <f>F28+1</f>
        <v>1</v>
      </c>
      <c r="G29" s="377"/>
      <c r="H29" s="377"/>
      <c r="I29" s="235" t="e">
        <f>INDEX(#REF!,MATCH(A29,#REF!,0),0)</f>
        <v>#REF!</v>
      </c>
      <c r="J29" s="236" t="e">
        <f>INDEX(#REF!,MATCH(A29,#REF!,0),0)</f>
        <v>#REF!</v>
      </c>
      <c r="K29" s="237">
        <v>800</v>
      </c>
      <c r="L29" s="256" t="e">
        <f>INDEX(#REF!,MATCH(A29,#REF!,0),0)</f>
        <v>#REF!</v>
      </c>
      <c r="M29" s="257">
        <f t="shared" ref="M29:M45" si="10">1+$O$11</f>
        <v>1.25</v>
      </c>
      <c r="N29" s="238" t="e">
        <f t="shared" ref="N29:N45" si="11">ROUND(L29*M29,2)</f>
        <v>#REF!</v>
      </c>
      <c r="O29" s="263" t="e">
        <f t="shared" ref="O29:O45" si="12">ROUND(K29*N29,2)</f>
        <v>#REF!</v>
      </c>
      <c r="P29" s="274"/>
      <c r="Q29" s="288" t="e">
        <f>INDEX(#REF!,MATCH(A29,#REF!,0),0)</f>
        <v>#REF!</v>
      </c>
      <c r="R29" s="261">
        <f t="shared" ref="R29:R45" si="13">1+$T$11</f>
        <v>1.2757000000000001</v>
      </c>
      <c r="S29" s="238" t="e">
        <f t="shared" ref="S29:S45" si="14">Q29*R29</f>
        <v>#REF!</v>
      </c>
      <c r="T29" s="239" t="e">
        <f t="shared" ref="T29:T45" si="15">ROUND(S29*K29,2)</f>
        <v>#REF!</v>
      </c>
    </row>
    <row r="30" spans="1:22" s="209" customFormat="1" ht="39.950000000000003" customHeight="1">
      <c r="A30" s="205" t="str">
        <f t="shared" si="9"/>
        <v>SIURB INFRA2001002</v>
      </c>
      <c r="B30" s="233" t="s">
        <v>86</v>
      </c>
      <c r="C30" s="258">
        <v>2001002</v>
      </c>
      <c r="D30" s="245">
        <f t="shared" ref="D30:D45" si="16">$D$28</f>
        <v>2</v>
      </c>
      <c r="E30" s="386" t="s">
        <v>22</v>
      </c>
      <c r="F30" s="377">
        <f t="shared" ref="F30:F45" si="17">F29+1</f>
        <v>2</v>
      </c>
      <c r="G30" s="386"/>
      <c r="H30" s="386"/>
      <c r="I30" s="246" t="e">
        <f>INDEX(#REF!,MATCH(A30,#REF!,0),0)</f>
        <v>#REF!</v>
      </c>
      <c r="J30" s="247" t="e">
        <f>INDEX(#REF!,MATCH(A30,#REF!,0),0)</f>
        <v>#REF!</v>
      </c>
      <c r="K30" s="237">
        <v>140</v>
      </c>
      <c r="L30" s="260" t="e">
        <f>INDEX(#REF!,MATCH(A30,#REF!,0),0)</f>
        <v>#REF!</v>
      </c>
      <c r="M30" s="261">
        <f t="shared" si="10"/>
        <v>1.25</v>
      </c>
      <c r="N30" s="248" t="e">
        <f t="shared" si="11"/>
        <v>#REF!</v>
      </c>
      <c r="O30" s="266" t="e">
        <f t="shared" si="12"/>
        <v>#REF!</v>
      </c>
      <c r="P30" s="275">
        <f>314-358</f>
        <v>-44</v>
      </c>
      <c r="Q30" s="288" t="e">
        <f>INDEX(#REF!,MATCH(A30,#REF!,0),0)</f>
        <v>#REF!</v>
      </c>
      <c r="R30" s="261">
        <f t="shared" si="13"/>
        <v>1.2757000000000001</v>
      </c>
      <c r="S30" s="238" t="e">
        <f t="shared" si="14"/>
        <v>#REF!</v>
      </c>
      <c r="T30" s="239" t="e">
        <f t="shared" si="15"/>
        <v>#REF!</v>
      </c>
    </row>
    <row r="31" spans="1:22" s="209" customFormat="1" ht="39.950000000000003" customHeight="1">
      <c r="A31" s="205" t="str">
        <f t="shared" si="9"/>
        <v>SIURB EDIF20002002</v>
      </c>
      <c r="B31" s="233" t="s">
        <v>24</v>
      </c>
      <c r="C31" s="249">
        <v>20002002</v>
      </c>
      <c r="D31" s="245">
        <f t="shared" si="16"/>
        <v>2</v>
      </c>
      <c r="E31" s="386" t="s">
        <v>22</v>
      </c>
      <c r="F31" s="377">
        <f>F29+1</f>
        <v>2</v>
      </c>
      <c r="G31" s="386"/>
      <c r="H31" s="386"/>
      <c r="I31" s="246" t="e">
        <f>INDEX(#REF!,MATCH(A31,#REF!,0),0)</f>
        <v>#REF!</v>
      </c>
      <c r="J31" s="247" t="e">
        <f>INDEX(#REF!,MATCH(A31,#REF!,0),0)</f>
        <v>#REF!</v>
      </c>
      <c r="K31" s="237">
        <v>20</v>
      </c>
      <c r="L31" s="260" t="e">
        <f>INDEX(#REF!,MATCH(A31,#REF!,0),0)</f>
        <v>#REF!</v>
      </c>
      <c r="M31" s="261">
        <f t="shared" si="10"/>
        <v>1.25</v>
      </c>
      <c r="N31" s="248" t="e">
        <f t="shared" si="11"/>
        <v>#REF!</v>
      </c>
      <c r="O31" s="266" t="e">
        <f t="shared" si="12"/>
        <v>#REF!</v>
      </c>
      <c r="P31" s="275">
        <f>314-358</f>
        <v>-44</v>
      </c>
      <c r="Q31" s="288" t="e">
        <f>INDEX(#REF!,MATCH(A31,#REF!,0),0)</f>
        <v>#REF!</v>
      </c>
      <c r="R31" s="261">
        <f t="shared" si="13"/>
        <v>1.2757000000000001</v>
      </c>
      <c r="S31" s="238" t="e">
        <f t="shared" si="14"/>
        <v>#REF!</v>
      </c>
      <c r="T31" s="239" t="e">
        <f t="shared" si="15"/>
        <v>#REF!</v>
      </c>
    </row>
    <row r="32" spans="1:22" s="209" customFormat="1" ht="39.950000000000003" customHeight="1">
      <c r="A32" s="205" t="str">
        <f t="shared" si="9"/>
        <v>SIURB EDIF20002009</v>
      </c>
      <c r="B32" s="233" t="s">
        <v>24</v>
      </c>
      <c r="C32" s="249">
        <v>20002009</v>
      </c>
      <c r="D32" s="245">
        <f t="shared" si="16"/>
        <v>2</v>
      </c>
      <c r="E32" s="386" t="s">
        <v>22</v>
      </c>
      <c r="F32" s="377">
        <f>F30+1</f>
        <v>3</v>
      </c>
      <c r="G32" s="386"/>
      <c r="H32" s="386"/>
      <c r="I32" s="246" t="e">
        <f>INDEX(#REF!,MATCH(A32,#REF!,0),0)</f>
        <v>#REF!</v>
      </c>
      <c r="J32" s="247" t="e">
        <f>INDEX(#REF!,MATCH(A32,#REF!,0),0)</f>
        <v>#REF!</v>
      </c>
      <c r="K32" s="237">
        <v>1000</v>
      </c>
      <c r="L32" s="260" t="e">
        <f>INDEX(#REF!,MATCH(A32,#REF!,0),0)</f>
        <v>#REF!</v>
      </c>
      <c r="M32" s="261">
        <f t="shared" si="10"/>
        <v>1.25</v>
      </c>
      <c r="N32" s="248" t="e">
        <f t="shared" si="11"/>
        <v>#REF!</v>
      </c>
      <c r="O32" s="266" t="e">
        <f t="shared" si="12"/>
        <v>#REF!</v>
      </c>
      <c r="P32" s="275">
        <f>314-358</f>
        <v>-44</v>
      </c>
      <c r="Q32" s="288" t="e">
        <f>INDEX(#REF!,MATCH(A32,#REF!,0),0)</f>
        <v>#REF!</v>
      </c>
      <c r="R32" s="261">
        <f t="shared" si="13"/>
        <v>1.2757000000000001</v>
      </c>
      <c r="S32" s="238" t="e">
        <f t="shared" si="14"/>
        <v>#REF!</v>
      </c>
      <c r="T32" s="239" t="e">
        <f t="shared" si="15"/>
        <v>#REF!</v>
      </c>
    </row>
    <row r="33" spans="1:20" ht="39.950000000000003" customHeight="1">
      <c r="A33" s="63" t="str">
        <f t="shared" si="9"/>
        <v>SIURB INFRA2006001</v>
      </c>
      <c r="B33" s="233" t="s">
        <v>86</v>
      </c>
      <c r="C33" s="249">
        <v>2006001</v>
      </c>
      <c r="D33" s="234">
        <f t="shared" si="16"/>
        <v>2</v>
      </c>
      <c r="E33" s="377" t="s">
        <v>22</v>
      </c>
      <c r="F33" s="377">
        <f t="shared" si="17"/>
        <v>4</v>
      </c>
      <c r="G33" s="377"/>
      <c r="H33" s="377"/>
      <c r="I33" s="235" t="e">
        <f>INDEX(#REF!,MATCH(A33,#REF!,0),0)</f>
        <v>#REF!</v>
      </c>
      <c r="J33" s="236" t="e">
        <f>INDEX(#REF!,MATCH(A33,#REF!,0),0)</f>
        <v>#REF!</v>
      </c>
      <c r="K33" s="237">
        <v>75</v>
      </c>
      <c r="L33" s="256" t="e">
        <f>INDEX(#REF!,MATCH(A33,#REF!,0),0)</f>
        <v>#REF!</v>
      </c>
      <c r="M33" s="257">
        <f t="shared" si="10"/>
        <v>1.25</v>
      </c>
      <c r="N33" s="238" t="e">
        <f t="shared" si="11"/>
        <v>#REF!</v>
      </c>
      <c r="O33" s="263" t="e">
        <f t="shared" si="12"/>
        <v>#REF!</v>
      </c>
      <c r="P33" s="274"/>
      <c r="Q33" s="283" t="e">
        <f>INDEX(#REF!,MATCH(A33,#REF!,0),0)</f>
        <v>#REF!</v>
      </c>
      <c r="R33" s="257">
        <f t="shared" si="13"/>
        <v>1.2757000000000001</v>
      </c>
      <c r="S33" s="238" t="e">
        <f t="shared" si="14"/>
        <v>#REF!</v>
      </c>
      <c r="T33" s="239" t="e">
        <f t="shared" si="15"/>
        <v>#REF!</v>
      </c>
    </row>
    <row r="34" spans="1:20" ht="39.950000000000003" customHeight="1">
      <c r="A34" s="63" t="str">
        <f t="shared" si="9"/>
        <v>SIURB INFRA2006002</v>
      </c>
      <c r="B34" s="233" t="s">
        <v>86</v>
      </c>
      <c r="C34" s="249">
        <v>2006002</v>
      </c>
      <c r="D34" s="234">
        <f t="shared" si="16"/>
        <v>2</v>
      </c>
      <c r="E34" s="377" t="s">
        <v>22</v>
      </c>
      <c r="F34" s="377">
        <f t="shared" si="17"/>
        <v>5</v>
      </c>
      <c r="G34" s="377"/>
      <c r="H34" s="377"/>
      <c r="I34" s="235" t="e">
        <f>INDEX(#REF!,MATCH(A34,#REF!,0),0)</f>
        <v>#REF!</v>
      </c>
      <c r="J34" s="236" t="e">
        <f>INDEX(#REF!,MATCH(A34,#REF!,0),0)</f>
        <v>#REF!</v>
      </c>
      <c r="K34" s="237">
        <v>75</v>
      </c>
      <c r="L34" s="256" t="e">
        <f>INDEX(#REF!,MATCH(A34,#REF!,0),0)</f>
        <v>#REF!</v>
      </c>
      <c r="M34" s="257">
        <f t="shared" si="10"/>
        <v>1.25</v>
      </c>
      <c r="N34" s="238" t="e">
        <f t="shared" si="11"/>
        <v>#REF!</v>
      </c>
      <c r="O34" s="263" t="e">
        <f t="shared" si="12"/>
        <v>#REF!</v>
      </c>
      <c r="P34" s="274"/>
      <c r="Q34" s="283" t="e">
        <f>INDEX(#REF!,MATCH(A34,#REF!,0),0)</f>
        <v>#REF!</v>
      </c>
      <c r="R34" s="257">
        <f t="shared" si="13"/>
        <v>1.2757000000000001</v>
      </c>
      <c r="S34" s="238" t="e">
        <f t="shared" si="14"/>
        <v>#REF!</v>
      </c>
      <c r="T34" s="239" t="e">
        <f t="shared" si="15"/>
        <v>#REF!</v>
      </c>
    </row>
    <row r="35" spans="1:20" s="209" customFormat="1" ht="39.950000000000003" customHeight="1">
      <c r="A35" s="205" t="str">
        <f t="shared" si="9"/>
        <v>SIURB INFRA2006003</v>
      </c>
      <c r="B35" s="233" t="s">
        <v>86</v>
      </c>
      <c r="C35" s="399">
        <v>2006003</v>
      </c>
      <c r="D35" s="245">
        <f t="shared" si="16"/>
        <v>2</v>
      </c>
      <c r="E35" s="386" t="s">
        <v>22</v>
      </c>
      <c r="F35" s="377">
        <f t="shared" si="17"/>
        <v>6</v>
      </c>
      <c r="G35" s="386"/>
      <c r="H35" s="386"/>
      <c r="I35" s="246" t="e">
        <f>INDEX(#REF!,MATCH(A35,#REF!,0),0)</f>
        <v>#REF!</v>
      </c>
      <c r="J35" s="247" t="e">
        <f>INDEX(#REF!,MATCH(A35,#REF!,0),0)</f>
        <v>#REF!</v>
      </c>
      <c r="K35" s="237">
        <v>75</v>
      </c>
      <c r="L35" s="260" t="e">
        <f>INDEX(#REF!,MATCH(A35,#REF!,0),0)</f>
        <v>#REF!</v>
      </c>
      <c r="M35" s="261">
        <f t="shared" si="10"/>
        <v>1.25</v>
      </c>
      <c r="N35" s="248" t="e">
        <f t="shared" si="11"/>
        <v>#REF!</v>
      </c>
      <c r="O35" s="266" t="e">
        <f t="shared" si="12"/>
        <v>#REF!</v>
      </c>
      <c r="P35" s="275"/>
      <c r="Q35" s="288" t="e">
        <f>INDEX(#REF!,MATCH(A35,#REF!,0),0)</f>
        <v>#REF!</v>
      </c>
      <c r="R35" s="261">
        <f t="shared" si="13"/>
        <v>1.2757000000000001</v>
      </c>
      <c r="S35" s="238" t="e">
        <f t="shared" si="14"/>
        <v>#REF!</v>
      </c>
      <c r="T35" s="239" t="e">
        <f t="shared" si="15"/>
        <v>#REF!</v>
      </c>
    </row>
    <row r="36" spans="1:20" ht="39.950000000000003" customHeight="1">
      <c r="A36" s="63" t="str">
        <f t="shared" si="9"/>
        <v>SIURB INFRA2006004</v>
      </c>
      <c r="B36" s="233" t="s">
        <v>86</v>
      </c>
      <c r="C36" s="371">
        <v>2006004</v>
      </c>
      <c r="D36" s="234">
        <f t="shared" si="16"/>
        <v>2</v>
      </c>
      <c r="E36" s="377" t="s">
        <v>22</v>
      </c>
      <c r="F36" s="377">
        <f t="shared" si="17"/>
        <v>7</v>
      </c>
      <c r="G36" s="377"/>
      <c r="H36" s="377"/>
      <c r="I36" s="235" t="e">
        <f>INDEX(#REF!,MATCH(A36,#REF!,0),0)</f>
        <v>#REF!</v>
      </c>
      <c r="J36" s="236" t="e">
        <f>INDEX(#REF!,MATCH(A36,#REF!,0),0)</f>
        <v>#REF!</v>
      </c>
      <c r="K36" s="237">
        <v>75</v>
      </c>
      <c r="L36" s="256" t="e">
        <f>INDEX(#REF!,MATCH(A36,#REF!,0),0)</f>
        <v>#REF!</v>
      </c>
      <c r="M36" s="257">
        <f t="shared" si="10"/>
        <v>1.25</v>
      </c>
      <c r="N36" s="238" t="e">
        <f t="shared" si="11"/>
        <v>#REF!</v>
      </c>
      <c r="O36" s="263" t="e">
        <f t="shared" si="12"/>
        <v>#REF!</v>
      </c>
      <c r="P36" s="274"/>
      <c r="Q36" s="283" t="e">
        <f>INDEX(#REF!,MATCH(A36,#REF!,0),0)</f>
        <v>#REF!</v>
      </c>
      <c r="R36" s="257">
        <f t="shared" si="13"/>
        <v>1.2757000000000001</v>
      </c>
      <c r="S36" s="238" t="e">
        <f t="shared" si="14"/>
        <v>#REF!</v>
      </c>
      <c r="T36" s="239" t="e">
        <f t="shared" si="15"/>
        <v>#REF!</v>
      </c>
    </row>
    <row r="37" spans="1:20" ht="39.950000000000003" customHeight="1">
      <c r="A37" s="63" t="str">
        <f t="shared" si="9"/>
        <v>SIURB INFRA2006005</v>
      </c>
      <c r="B37" s="233" t="s">
        <v>86</v>
      </c>
      <c r="C37" s="371">
        <v>2006005</v>
      </c>
      <c r="D37" s="234">
        <f t="shared" si="16"/>
        <v>2</v>
      </c>
      <c r="E37" s="377" t="s">
        <v>22</v>
      </c>
      <c r="F37" s="377">
        <f t="shared" si="17"/>
        <v>8</v>
      </c>
      <c r="G37" s="377"/>
      <c r="H37" s="377"/>
      <c r="I37" s="235" t="e">
        <f>INDEX(#REF!,MATCH(A37,#REF!,0),0)</f>
        <v>#REF!</v>
      </c>
      <c r="J37" s="236" t="e">
        <f>INDEX(#REF!,MATCH(A37,#REF!,0),0)</f>
        <v>#REF!</v>
      </c>
      <c r="K37" s="237">
        <v>75</v>
      </c>
      <c r="L37" s="256" t="e">
        <f>INDEX(#REF!,MATCH(A37,#REF!,0),0)</f>
        <v>#REF!</v>
      </c>
      <c r="M37" s="257">
        <f t="shared" si="10"/>
        <v>1.25</v>
      </c>
      <c r="N37" s="238" t="e">
        <f t="shared" si="11"/>
        <v>#REF!</v>
      </c>
      <c r="O37" s="263" t="e">
        <f t="shared" si="12"/>
        <v>#REF!</v>
      </c>
      <c r="P37" s="276"/>
      <c r="Q37" s="283" t="e">
        <f>INDEX(#REF!,MATCH(A37,#REF!,0),0)</f>
        <v>#REF!</v>
      </c>
      <c r="R37" s="257">
        <f t="shared" si="13"/>
        <v>1.2757000000000001</v>
      </c>
      <c r="S37" s="238" t="e">
        <f t="shared" si="14"/>
        <v>#REF!</v>
      </c>
      <c r="T37" s="239" t="e">
        <f t="shared" si="15"/>
        <v>#REF!</v>
      </c>
    </row>
    <row r="38" spans="1:20" ht="39.950000000000003" customHeight="1">
      <c r="A38" s="63" t="str">
        <f t="shared" si="9"/>
        <v>SIURB INFRA2006006</v>
      </c>
      <c r="B38" s="233" t="s">
        <v>86</v>
      </c>
      <c r="C38" s="371">
        <v>2006006</v>
      </c>
      <c r="D38" s="234">
        <f t="shared" si="16"/>
        <v>2</v>
      </c>
      <c r="E38" s="377" t="s">
        <v>22</v>
      </c>
      <c r="F38" s="377">
        <f t="shared" si="17"/>
        <v>9</v>
      </c>
      <c r="G38" s="377"/>
      <c r="H38" s="377"/>
      <c r="I38" s="235" t="e">
        <f>INDEX(#REF!,MATCH(A38,#REF!,0),0)</f>
        <v>#REF!</v>
      </c>
      <c r="J38" s="236" t="e">
        <f>INDEX(#REF!,MATCH(A38,#REF!,0),0)</f>
        <v>#REF!</v>
      </c>
      <c r="K38" s="237">
        <v>75</v>
      </c>
      <c r="L38" s="256" t="e">
        <f>INDEX(#REF!,MATCH(A38,#REF!,0),0)</f>
        <v>#REF!</v>
      </c>
      <c r="M38" s="257">
        <f t="shared" si="10"/>
        <v>1.25</v>
      </c>
      <c r="N38" s="238" t="e">
        <f t="shared" si="11"/>
        <v>#REF!</v>
      </c>
      <c r="O38" s="263" t="e">
        <f t="shared" si="12"/>
        <v>#REF!</v>
      </c>
      <c r="P38" s="274"/>
      <c r="Q38" s="283" t="e">
        <f>INDEX(#REF!,MATCH(A38,#REF!,0),0)</f>
        <v>#REF!</v>
      </c>
      <c r="R38" s="257">
        <f t="shared" si="13"/>
        <v>1.2757000000000001</v>
      </c>
      <c r="S38" s="238" t="e">
        <f t="shared" si="14"/>
        <v>#REF!</v>
      </c>
      <c r="T38" s="239" t="e">
        <f t="shared" si="15"/>
        <v>#REF!</v>
      </c>
    </row>
    <row r="39" spans="1:20" s="209" customFormat="1" ht="39.950000000000003" customHeight="1">
      <c r="A39" s="205" t="str">
        <f t="shared" si="9"/>
        <v>SIURB INFRA2006007</v>
      </c>
      <c r="B39" s="233" t="s">
        <v>86</v>
      </c>
      <c r="C39" s="371">
        <v>2006007</v>
      </c>
      <c r="D39" s="245">
        <f t="shared" si="16"/>
        <v>2</v>
      </c>
      <c r="E39" s="386" t="s">
        <v>22</v>
      </c>
      <c r="F39" s="377">
        <f t="shared" si="17"/>
        <v>10</v>
      </c>
      <c r="G39" s="386"/>
      <c r="H39" s="386"/>
      <c r="I39" s="246" t="e">
        <f>INDEX(#REF!,MATCH(A39,#REF!,0),0)</f>
        <v>#REF!</v>
      </c>
      <c r="J39" s="247" t="e">
        <f>INDEX(#REF!,MATCH(A39,#REF!,0),0)</f>
        <v>#REF!</v>
      </c>
      <c r="K39" s="237">
        <v>75</v>
      </c>
      <c r="L39" s="260" t="e">
        <f>INDEX(#REF!,MATCH(A39,#REF!,0),0)</f>
        <v>#REF!</v>
      </c>
      <c r="M39" s="261">
        <f t="shared" si="10"/>
        <v>1.25</v>
      </c>
      <c r="N39" s="248" t="e">
        <f t="shared" si="11"/>
        <v>#REF!</v>
      </c>
      <c r="O39" s="266" t="e">
        <f t="shared" si="12"/>
        <v>#REF!</v>
      </c>
      <c r="P39" s="275"/>
      <c r="Q39" s="288" t="e">
        <f>INDEX(#REF!,MATCH(A39,#REF!,0),0)</f>
        <v>#REF!</v>
      </c>
      <c r="R39" s="261">
        <f t="shared" si="13"/>
        <v>1.2757000000000001</v>
      </c>
      <c r="S39" s="238" t="e">
        <f t="shared" si="14"/>
        <v>#REF!</v>
      </c>
      <c r="T39" s="239" t="e">
        <f t="shared" si="15"/>
        <v>#REF!</v>
      </c>
    </row>
    <row r="40" spans="1:20" ht="39.950000000000003" customHeight="1">
      <c r="A40" s="63" t="str">
        <f t="shared" si="9"/>
        <v>SIURB INFRA2006008</v>
      </c>
      <c r="B40" s="233" t="s">
        <v>86</v>
      </c>
      <c r="C40" s="371">
        <v>2006008</v>
      </c>
      <c r="D40" s="234">
        <f t="shared" si="16"/>
        <v>2</v>
      </c>
      <c r="E40" s="377" t="s">
        <v>22</v>
      </c>
      <c r="F40" s="377">
        <f t="shared" si="17"/>
        <v>11</v>
      </c>
      <c r="G40" s="377"/>
      <c r="H40" s="377"/>
      <c r="I40" s="235" t="e">
        <f>INDEX(#REF!,MATCH(A40,#REF!,0),0)</f>
        <v>#REF!</v>
      </c>
      <c r="J40" s="236" t="e">
        <f>INDEX(#REF!,MATCH(A40,#REF!,0),0)</f>
        <v>#REF!</v>
      </c>
      <c r="K40" s="237">
        <v>75</v>
      </c>
      <c r="L40" s="256" t="e">
        <f>INDEX(#REF!,MATCH(A40,#REF!,0),0)</f>
        <v>#REF!</v>
      </c>
      <c r="M40" s="257">
        <f t="shared" si="10"/>
        <v>1.25</v>
      </c>
      <c r="N40" s="238" t="e">
        <f t="shared" si="11"/>
        <v>#REF!</v>
      </c>
      <c r="O40" s="263" t="e">
        <f t="shared" si="12"/>
        <v>#REF!</v>
      </c>
      <c r="P40" s="274"/>
      <c r="Q40" s="283" t="e">
        <f>INDEX(#REF!,MATCH(A40,#REF!,0),0)</f>
        <v>#REF!</v>
      </c>
      <c r="R40" s="257">
        <f t="shared" si="13"/>
        <v>1.2757000000000001</v>
      </c>
      <c r="S40" s="238" t="e">
        <f t="shared" si="14"/>
        <v>#REF!</v>
      </c>
      <c r="T40" s="239" t="e">
        <f t="shared" si="15"/>
        <v>#REF!</v>
      </c>
    </row>
    <row r="41" spans="1:20" ht="39.950000000000003" customHeight="1">
      <c r="A41" s="63" t="str">
        <f t="shared" si="9"/>
        <v>SIURB INFRA2006009</v>
      </c>
      <c r="B41" s="233" t="s">
        <v>86</v>
      </c>
      <c r="C41" s="371">
        <v>2006009</v>
      </c>
      <c r="D41" s="234">
        <f t="shared" si="16"/>
        <v>2</v>
      </c>
      <c r="E41" s="377" t="s">
        <v>22</v>
      </c>
      <c r="F41" s="377">
        <f t="shared" si="17"/>
        <v>12</v>
      </c>
      <c r="G41" s="377"/>
      <c r="H41" s="377"/>
      <c r="I41" s="235" t="e">
        <f>INDEX(#REF!,MATCH(A41,#REF!,0),0)</f>
        <v>#REF!</v>
      </c>
      <c r="J41" s="236" t="e">
        <f>INDEX(#REF!,MATCH(A41,#REF!,0),0)</f>
        <v>#REF!</v>
      </c>
      <c r="K41" s="237">
        <v>50</v>
      </c>
      <c r="L41" s="256" t="e">
        <f>INDEX(#REF!,MATCH(A41,#REF!,0),0)</f>
        <v>#REF!</v>
      </c>
      <c r="M41" s="257">
        <f t="shared" si="10"/>
        <v>1.25</v>
      </c>
      <c r="N41" s="238" t="e">
        <f t="shared" si="11"/>
        <v>#REF!</v>
      </c>
      <c r="O41" s="263" t="e">
        <f t="shared" si="12"/>
        <v>#REF!</v>
      </c>
      <c r="P41" s="276"/>
      <c r="Q41" s="283" t="e">
        <f>INDEX(#REF!,MATCH(A41,#REF!,0),0)</f>
        <v>#REF!</v>
      </c>
      <c r="R41" s="257">
        <f t="shared" si="13"/>
        <v>1.2757000000000001</v>
      </c>
      <c r="S41" s="238" t="e">
        <f t="shared" si="14"/>
        <v>#REF!</v>
      </c>
      <c r="T41" s="239" t="e">
        <f t="shared" si="15"/>
        <v>#REF!</v>
      </c>
    </row>
    <row r="42" spans="1:20" ht="39.950000000000003" customHeight="1">
      <c r="A42" s="63" t="str">
        <f t="shared" si="9"/>
        <v>SIURB INFRA2006010</v>
      </c>
      <c r="B42" s="233" t="s">
        <v>86</v>
      </c>
      <c r="C42" s="371">
        <v>2006010</v>
      </c>
      <c r="D42" s="234">
        <f t="shared" si="16"/>
        <v>2</v>
      </c>
      <c r="E42" s="377" t="s">
        <v>22</v>
      </c>
      <c r="F42" s="377">
        <f t="shared" si="17"/>
        <v>13</v>
      </c>
      <c r="G42" s="377"/>
      <c r="H42" s="377"/>
      <c r="I42" s="235" t="e">
        <f>INDEX(#REF!,MATCH(A42,#REF!,0),0)</f>
        <v>#REF!</v>
      </c>
      <c r="J42" s="236" t="e">
        <f>INDEX(#REF!,MATCH(A42,#REF!,0),0)</f>
        <v>#REF!</v>
      </c>
      <c r="K42" s="237">
        <v>50</v>
      </c>
      <c r="L42" s="256" t="e">
        <f>INDEX(#REF!,MATCH(A42,#REF!,0),0)</f>
        <v>#REF!</v>
      </c>
      <c r="M42" s="257">
        <f t="shared" si="10"/>
        <v>1.25</v>
      </c>
      <c r="N42" s="238" t="e">
        <f t="shared" si="11"/>
        <v>#REF!</v>
      </c>
      <c r="O42" s="263" t="e">
        <f t="shared" si="12"/>
        <v>#REF!</v>
      </c>
      <c r="P42" s="274"/>
      <c r="Q42" s="283" t="e">
        <f>INDEX(#REF!,MATCH(A42,#REF!,0),0)</f>
        <v>#REF!</v>
      </c>
      <c r="R42" s="257">
        <f t="shared" si="13"/>
        <v>1.2757000000000001</v>
      </c>
      <c r="S42" s="238" t="e">
        <f t="shared" si="14"/>
        <v>#REF!</v>
      </c>
      <c r="T42" s="239" t="e">
        <f t="shared" si="15"/>
        <v>#REF!</v>
      </c>
    </row>
    <row r="43" spans="1:20" ht="39.950000000000003" customHeight="1">
      <c r="A43" s="63" t="str">
        <f t="shared" si="9"/>
        <v>SIURB INFRA2006021</v>
      </c>
      <c r="B43" s="233" t="s">
        <v>86</v>
      </c>
      <c r="C43" s="371">
        <v>2006021</v>
      </c>
      <c r="D43" s="234">
        <f t="shared" si="16"/>
        <v>2</v>
      </c>
      <c r="E43" s="377" t="s">
        <v>22</v>
      </c>
      <c r="F43" s="377">
        <f t="shared" si="17"/>
        <v>14</v>
      </c>
      <c r="G43" s="377"/>
      <c r="H43" s="377"/>
      <c r="I43" s="235" t="e">
        <f>INDEX(#REF!,MATCH(A43,#REF!,0),0)</f>
        <v>#REF!</v>
      </c>
      <c r="J43" s="236" t="e">
        <f>INDEX(#REF!,MATCH(A43,#REF!,0),0)</f>
        <v>#REF!</v>
      </c>
      <c r="K43" s="237">
        <v>150</v>
      </c>
      <c r="L43" s="256" t="e">
        <f>INDEX(#REF!,MATCH(A43,#REF!,0),0)</f>
        <v>#REF!</v>
      </c>
      <c r="M43" s="257">
        <f t="shared" si="10"/>
        <v>1.25</v>
      </c>
      <c r="N43" s="238" t="e">
        <f t="shared" si="11"/>
        <v>#REF!</v>
      </c>
      <c r="O43" s="263" t="e">
        <f t="shared" si="12"/>
        <v>#REF!</v>
      </c>
      <c r="P43" s="274"/>
      <c r="Q43" s="283" t="e">
        <f>INDEX(#REF!,MATCH(A43,#REF!,0),0)</f>
        <v>#REF!</v>
      </c>
      <c r="R43" s="257">
        <f t="shared" si="13"/>
        <v>1.2757000000000001</v>
      </c>
      <c r="S43" s="238" t="e">
        <f t="shared" si="14"/>
        <v>#REF!</v>
      </c>
      <c r="T43" s="239" t="e">
        <f t="shared" si="15"/>
        <v>#REF!</v>
      </c>
    </row>
    <row r="44" spans="1:20" s="209" customFormat="1" ht="39.950000000000003" customHeight="1">
      <c r="A44" s="205" t="str">
        <f t="shared" si="9"/>
        <v>SIURB INFRA2006022</v>
      </c>
      <c r="B44" s="233" t="s">
        <v>86</v>
      </c>
      <c r="C44" s="371">
        <v>2006022</v>
      </c>
      <c r="D44" s="245">
        <f t="shared" si="16"/>
        <v>2</v>
      </c>
      <c r="E44" s="386" t="s">
        <v>22</v>
      </c>
      <c r="F44" s="377">
        <f t="shared" si="17"/>
        <v>15</v>
      </c>
      <c r="G44" s="386"/>
      <c r="H44" s="386"/>
      <c r="I44" s="246" t="e">
        <f>INDEX(#REF!,MATCH(A44,#REF!,0),0)</f>
        <v>#REF!</v>
      </c>
      <c r="J44" s="247" t="e">
        <f>INDEX(#REF!,MATCH(A44,#REF!,0),0)</f>
        <v>#REF!</v>
      </c>
      <c r="K44" s="237">
        <v>192</v>
      </c>
      <c r="L44" s="260" t="e">
        <f>INDEX(#REF!,MATCH(A44,#REF!,0),0)</f>
        <v>#REF!</v>
      </c>
      <c r="M44" s="261">
        <f t="shared" si="10"/>
        <v>1.25</v>
      </c>
      <c r="N44" s="248" t="e">
        <f t="shared" si="11"/>
        <v>#REF!</v>
      </c>
      <c r="O44" s="266" t="e">
        <f t="shared" si="12"/>
        <v>#REF!</v>
      </c>
      <c r="P44" s="275"/>
      <c r="Q44" s="288" t="e">
        <f>INDEX(#REF!,MATCH(A44,#REF!,0),0)</f>
        <v>#REF!</v>
      </c>
      <c r="R44" s="261">
        <f t="shared" si="13"/>
        <v>1.2757000000000001</v>
      </c>
      <c r="S44" s="238" t="e">
        <f t="shared" si="14"/>
        <v>#REF!</v>
      </c>
      <c r="T44" s="239" t="e">
        <f t="shared" si="15"/>
        <v>#REF!</v>
      </c>
    </row>
    <row r="45" spans="1:20" ht="39.950000000000003" customHeight="1">
      <c r="A45" s="63" t="str">
        <f t="shared" si="9"/>
        <v>SIURB INFRA2006101</v>
      </c>
      <c r="B45" s="233" t="s">
        <v>86</v>
      </c>
      <c r="C45" s="371">
        <v>2006101</v>
      </c>
      <c r="D45" s="234">
        <f t="shared" si="16"/>
        <v>2</v>
      </c>
      <c r="E45" s="377" t="s">
        <v>22</v>
      </c>
      <c r="F45" s="377">
        <f t="shared" si="17"/>
        <v>16</v>
      </c>
      <c r="G45" s="377"/>
      <c r="H45" s="377"/>
      <c r="I45" s="235" t="e">
        <f>INDEX(#REF!,MATCH(A45,#REF!,0),0)</f>
        <v>#REF!</v>
      </c>
      <c r="J45" s="236" t="e">
        <f>INDEX(#REF!,MATCH(A45,#REF!,0),0)</f>
        <v>#REF!</v>
      </c>
      <c r="K45" s="237">
        <v>5</v>
      </c>
      <c r="L45" s="256" t="e">
        <f>INDEX(#REF!,MATCH(A45,#REF!,0),0)</f>
        <v>#REF!</v>
      </c>
      <c r="M45" s="257">
        <f t="shared" si="10"/>
        <v>1.25</v>
      </c>
      <c r="N45" s="238" t="e">
        <f t="shared" si="11"/>
        <v>#REF!</v>
      </c>
      <c r="O45" s="263" t="e">
        <f t="shared" si="12"/>
        <v>#REF!</v>
      </c>
      <c r="P45" s="274"/>
      <c r="Q45" s="283" t="e">
        <f>INDEX(#REF!,MATCH(A45,#REF!,0),0)</f>
        <v>#REF!</v>
      </c>
      <c r="R45" s="257">
        <f t="shared" si="13"/>
        <v>1.2757000000000001</v>
      </c>
      <c r="S45" s="238" t="e">
        <f t="shared" si="14"/>
        <v>#REF!</v>
      </c>
      <c r="T45" s="239" t="e">
        <f t="shared" si="15"/>
        <v>#REF!</v>
      </c>
    </row>
    <row r="46" spans="1:20" s="210" customFormat="1" ht="15.75">
      <c r="A46" s="214" t="str">
        <f t="shared" si="9"/>
        <v/>
      </c>
      <c r="B46" s="230"/>
      <c r="C46" s="390"/>
      <c r="D46" s="240"/>
      <c r="E46" s="394"/>
      <c r="F46" s="394"/>
      <c r="G46" s="394"/>
      <c r="H46" s="394"/>
      <c r="I46" s="395"/>
      <c r="J46" s="395"/>
      <c r="K46" s="395"/>
      <c r="L46" s="395"/>
      <c r="M46" s="395"/>
      <c r="N46" s="396" t="s">
        <v>25</v>
      </c>
      <c r="O46" s="264" t="e">
        <f>SUM(O29:O45)</f>
        <v>#REF!</v>
      </c>
      <c r="P46" s="276"/>
      <c r="Q46" s="284"/>
      <c r="R46" s="285"/>
      <c r="S46" s="286"/>
      <c r="T46" s="241" t="e">
        <f>SUM(T29:T45)</f>
        <v>#REF!</v>
      </c>
    </row>
    <row r="47" spans="1:20" ht="11.25" customHeight="1">
      <c r="B47" s="233"/>
      <c r="C47" s="371"/>
      <c r="D47" s="242"/>
      <c r="E47" s="228"/>
      <c r="F47" s="228"/>
      <c r="G47" s="228"/>
      <c r="H47" s="228"/>
      <c r="I47" s="228"/>
      <c r="J47" s="228"/>
      <c r="K47" s="243"/>
      <c r="L47" s="229"/>
      <c r="M47" s="229"/>
      <c r="N47" s="229"/>
      <c r="O47" s="265"/>
      <c r="P47" s="274"/>
      <c r="Q47" s="287"/>
      <c r="R47" s="229"/>
      <c r="S47" s="229"/>
      <c r="T47" s="244"/>
    </row>
    <row r="48" spans="1:20" s="210" customFormat="1" ht="19.5" customHeight="1">
      <c r="A48" s="214" t="str">
        <f t="shared" ref="A48:A59" si="18">B48&amp;C48</f>
        <v/>
      </c>
      <c r="B48" s="230"/>
      <c r="C48" s="390"/>
      <c r="D48" s="240">
        <v>3</v>
      </c>
      <c r="E48" s="394" t="s">
        <v>22</v>
      </c>
      <c r="F48" s="394">
        <v>0</v>
      </c>
      <c r="G48" s="394"/>
      <c r="H48" s="394"/>
      <c r="I48" s="397" t="s">
        <v>127</v>
      </c>
      <c r="J48" s="394"/>
      <c r="K48" s="398"/>
      <c r="L48" s="398"/>
      <c r="M48" s="285"/>
      <c r="N48" s="286"/>
      <c r="O48" s="264"/>
      <c r="P48" s="274"/>
      <c r="Q48" s="284"/>
      <c r="R48" s="285"/>
      <c r="S48" s="286"/>
      <c r="T48" s="241"/>
    </row>
    <row r="49" spans="1:20" ht="39.950000000000003" customHeight="1">
      <c r="A49" s="63" t="str">
        <f t="shared" si="18"/>
        <v>SIURB EDIF20003060</v>
      </c>
      <c r="B49" s="233" t="s">
        <v>24</v>
      </c>
      <c r="C49" s="259">
        <v>20003060</v>
      </c>
      <c r="D49" s="234">
        <f>$D$48</f>
        <v>3</v>
      </c>
      <c r="E49" s="377" t="s">
        <v>22</v>
      </c>
      <c r="F49" s="377">
        <f>F48+1</f>
        <v>1</v>
      </c>
      <c r="G49" s="377"/>
      <c r="H49" s="377"/>
      <c r="I49" s="235" t="e">
        <f>INDEX(#REF!,MATCH(A49,#REF!,0),0)</f>
        <v>#REF!</v>
      </c>
      <c r="J49" s="236" t="e">
        <f>INDEX(#REF!,MATCH(A49,#REF!,0),0)</f>
        <v>#REF!</v>
      </c>
      <c r="K49" s="237">
        <v>200</v>
      </c>
      <c r="L49" s="256" t="e">
        <f>INDEX(#REF!,MATCH(A49,#REF!,0),0)</f>
        <v>#REF!</v>
      </c>
      <c r="M49" s="257">
        <f t="shared" ref="M49:M58" si="19">1+$O$11</f>
        <v>1.25</v>
      </c>
      <c r="N49" s="238" t="e">
        <f t="shared" ref="N49:N58" si="20">ROUND(L49*M49,2)</f>
        <v>#REF!</v>
      </c>
      <c r="O49" s="263" t="e">
        <f t="shared" ref="O49:O58" si="21">ROUND(K49*N49,2)</f>
        <v>#REF!</v>
      </c>
      <c r="P49" s="276"/>
      <c r="Q49" s="283" t="e">
        <f>INDEX(#REF!,MATCH(A49,#REF!,0),0)</f>
        <v>#REF!</v>
      </c>
      <c r="R49" s="257">
        <f t="shared" ref="R49:R58" si="22">1+$T$11</f>
        <v>1.2757000000000001</v>
      </c>
      <c r="S49" s="238" t="e">
        <f t="shared" ref="S49:S58" si="23">Q49*R49</f>
        <v>#REF!</v>
      </c>
      <c r="T49" s="239" t="e">
        <f t="shared" ref="T49:T58" si="24">ROUND(S49*K49,2)</f>
        <v>#REF!</v>
      </c>
    </row>
    <row r="50" spans="1:20" ht="39.950000000000003" customHeight="1">
      <c r="A50" s="63" t="str">
        <f t="shared" si="18"/>
        <v>SIURB EDIF20003061</v>
      </c>
      <c r="B50" s="233" t="s">
        <v>24</v>
      </c>
      <c r="C50" s="259">
        <v>20003061</v>
      </c>
      <c r="D50" s="234">
        <f t="shared" ref="D50:D58" si="25">$D$48</f>
        <v>3</v>
      </c>
      <c r="E50" s="377" t="s">
        <v>22</v>
      </c>
      <c r="F50" s="377">
        <f t="shared" ref="F50:F58" si="26">F49+1</f>
        <v>2</v>
      </c>
      <c r="G50" s="377"/>
      <c r="H50" s="377"/>
      <c r="I50" s="235" t="e">
        <f>INDEX(#REF!,MATCH(A50,#REF!,0),0)</f>
        <v>#REF!</v>
      </c>
      <c r="J50" s="236" t="e">
        <f>INDEX(#REF!,MATCH(A50,#REF!,0),0)</f>
        <v>#REF!</v>
      </c>
      <c r="K50" s="237">
        <v>600</v>
      </c>
      <c r="L50" s="256" t="e">
        <f>INDEX(#REF!,MATCH(A50,#REF!,0),0)</f>
        <v>#REF!</v>
      </c>
      <c r="M50" s="257">
        <f t="shared" si="19"/>
        <v>1.25</v>
      </c>
      <c r="N50" s="238" t="e">
        <f t="shared" si="20"/>
        <v>#REF!</v>
      </c>
      <c r="O50" s="263" t="e">
        <f t="shared" si="21"/>
        <v>#REF!</v>
      </c>
      <c r="P50" s="276"/>
      <c r="Q50" s="283" t="e">
        <f>INDEX(#REF!,MATCH(A50,#REF!,0),0)</f>
        <v>#REF!</v>
      </c>
      <c r="R50" s="257">
        <f t="shared" si="22"/>
        <v>1.2757000000000001</v>
      </c>
      <c r="S50" s="238" t="e">
        <f t="shared" si="23"/>
        <v>#REF!</v>
      </c>
      <c r="T50" s="239" t="e">
        <f t="shared" si="24"/>
        <v>#REF!</v>
      </c>
    </row>
    <row r="51" spans="1:20" ht="60" customHeight="1">
      <c r="A51" s="63" t="str">
        <f t="shared" si="18"/>
        <v>SIURB EDIF20005033</v>
      </c>
      <c r="B51" s="233" t="s">
        <v>24</v>
      </c>
      <c r="C51" s="259">
        <v>20005033</v>
      </c>
      <c r="D51" s="234">
        <f t="shared" si="25"/>
        <v>3</v>
      </c>
      <c r="E51" s="377" t="s">
        <v>22</v>
      </c>
      <c r="F51" s="377">
        <f t="shared" si="26"/>
        <v>3</v>
      </c>
      <c r="G51" s="377"/>
      <c r="H51" s="377"/>
      <c r="I51" s="235" t="e">
        <f>INDEX(#REF!,MATCH(A51,#REF!,0),0)</f>
        <v>#REF!</v>
      </c>
      <c r="J51" s="236" t="e">
        <f>INDEX(#REF!,MATCH(A51,#REF!,0),0)</f>
        <v>#REF!</v>
      </c>
      <c r="K51" s="237"/>
      <c r="L51" s="256" t="e">
        <f>INDEX(#REF!,MATCH(A51,#REF!,0),0)</f>
        <v>#REF!</v>
      </c>
      <c r="M51" s="257">
        <f t="shared" si="19"/>
        <v>1.25</v>
      </c>
      <c r="N51" s="238" t="e">
        <f t="shared" si="20"/>
        <v>#REF!</v>
      </c>
      <c r="O51" s="263" t="e">
        <f t="shared" si="21"/>
        <v>#REF!</v>
      </c>
      <c r="P51" s="276"/>
      <c r="Q51" s="283" t="e">
        <f>INDEX(#REF!,MATCH(A51,#REF!,0),0)</f>
        <v>#REF!</v>
      </c>
      <c r="R51" s="257">
        <f t="shared" si="22"/>
        <v>1.2757000000000001</v>
      </c>
      <c r="S51" s="238" t="e">
        <f t="shared" si="23"/>
        <v>#REF!</v>
      </c>
      <c r="T51" s="239" t="e">
        <f t="shared" si="24"/>
        <v>#REF!</v>
      </c>
    </row>
    <row r="52" spans="1:20" ht="60" customHeight="1">
      <c r="A52" s="63" t="str">
        <f t="shared" si="18"/>
        <v>SIURB EDIF20005034</v>
      </c>
      <c r="B52" s="233" t="s">
        <v>24</v>
      </c>
      <c r="C52" s="259">
        <v>20005034</v>
      </c>
      <c r="D52" s="234">
        <f t="shared" si="25"/>
        <v>3</v>
      </c>
      <c r="E52" s="377" t="s">
        <v>22</v>
      </c>
      <c r="F52" s="377">
        <f t="shared" si="26"/>
        <v>4</v>
      </c>
      <c r="G52" s="377"/>
      <c r="H52" s="377"/>
      <c r="I52" s="235" t="e">
        <f>INDEX(#REF!,MATCH(A52,#REF!,0),0)</f>
        <v>#REF!</v>
      </c>
      <c r="J52" s="236" t="e">
        <f>INDEX(#REF!,MATCH(A52,#REF!,0),0)</f>
        <v>#REF!</v>
      </c>
      <c r="K52" s="237"/>
      <c r="L52" s="256" t="e">
        <f>INDEX(#REF!,MATCH(A52,#REF!,0),0)</f>
        <v>#REF!</v>
      </c>
      <c r="M52" s="257">
        <f t="shared" si="19"/>
        <v>1.25</v>
      </c>
      <c r="N52" s="238" t="e">
        <f t="shared" si="20"/>
        <v>#REF!</v>
      </c>
      <c r="O52" s="263" t="e">
        <f t="shared" si="21"/>
        <v>#REF!</v>
      </c>
      <c r="P52" s="276"/>
      <c r="Q52" s="283" t="e">
        <f>INDEX(#REF!,MATCH(A52,#REF!,0),0)</f>
        <v>#REF!</v>
      </c>
      <c r="R52" s="257">
        <f t="shared" si="22"/>
        <v>1.2757000000000001</v>
      </c>
      <c r="S52" s="238" t="e">
        <f t="shared" si="23"/>
        <v>#REF!</v>
      </c>
      <c r="T52" s="239" t="e">
        <f t="shared" si="24"/>
        <v>#REF!</v>
      </c>
    </row>
    <row r="53" spans="1:20" ht="60" customHeight="1">
      <c r="A53" s="63" t="str">
        <f t="shared" si="18"/>
        <v>SIURB EDIF20005035</v>
      </c>
      <c r="B53" s="233" t="s">
        <v>24</v>
      </c>
      <c r="C53" s="259">
        <v>20005035</v>
      </c>
      <c r="D53" s="234">
        <f t="shared" si="25"/>
        <v>3</v>
      </c>
      <c r="E53" s="377" t="s">
        <v>22</v>
      </c>
      <c r="F53" s="377">
        <f t="shared" si="26"/>
        <v>5</v>
      </c>
      <c r="G53" s="377"/>
      <c r="H53" s="377"/>
      <c r="I53" s="235" t="e">
        <f>INDEX(#REF!,MATCH(A53,#REF!,0),0)</f>
        <v>#REF!</v>
      </c>
      <c r="J53" s="236" t="e">
        <f>INDEX(#REF!,MATCH(A53,#REF!,0),0)</f>
        <v>#REF!</v>
      </c>
      <c r="K53" s="237"/>
      <c r="L53" s="256" t="e">
        <f>INDEX(#REF!,MATCH(A53,#REF!,0),0)</f>
        <v>#REF!</v>
      </c>
      <c r="M53" s="257">
        <f t="shared" si="19"/>
        <v>1.25</v>
      </c>
      <c r="N53" s="238" t="e">
        <f t="shared" si="20"/>
        <v>#REF!</v>
      </c>
      <c r="O53" s="263" t="e">
        <f t="shared" si="21"/>
        <v>#REF!</v>
      </c>
      <c r="P53" s="276"/>
      <c r="Q53" s="283" t="e">
        <f>INDEX(#REF!,MATCH(A53,#REF!,0),0)</f>
        <v>#REF!</v>
      </c>
      <c r="R53" s="257">
        <f t="shared" si="22"/>
        <v>1.2757000000000001</v>
      </c>
      <c r="S53" s="238" t="e">
        <f t="shared" si="23"/>
        <v>#REF!</v>
      </c>
      <c r="T53" s="239" t="e">
        <f t="shared" si="24"/>
        <v>#REF!</v>
      </c>
    </row>
    <row r="54" spans="1:20" ht="39.950000000000003" customHeight="1">
      <c r="A54" s="63" t="str">
        <f t="shared" si="18"/>
        <v>SIURB EDIF20005036</v>
      </c>
      <c r="B54" s="233" t="s">
        <v>24</v>
      </c>
      <c r="C54" s="259">
        <v>20005036</v>
      </c>
      <c r="D54" s="234">
        <f t="shared" si="25"/>
        <v>3</v>
      </c>
      <c r="E54" s="377" t="s">
        <v>22</v>
      </c>
      <c r="F54" s="377">
        <f t="shared" si="26"/>
        <v>6</v>
      </c>
      <c r="G54" s="377"/>
      <c r="H54" s="377"/>
      <c r="I54" s="235" t="e">
        <f>INDEX(#REF!,MATCH(A54,#REF!,0),0)</f>
        <v>#REF!</v>
      </c>
      <c r="J54" s="236" t="e">
        <f>INDEX(#REF!,MATCH(A54,#REF!,0),0)</f>
        <v>#REF!</v>
      </c>
      <c r="K54" s="237">
        <v>70</v>
      </c>
      <c r="L54" s="256" t="e">
        <f>INDEX(#REF!,MATCH(A54,#REF!,0),0)</f>
        <v>#REF!</v>
      </c>
      <c r="M54" s="257">
        <f t="shared" si="19"/>
        <v>1.25</v>
      </c>
      <c r="N54" s="238" t="e">
        <f t="shared" si="20"/>
        <v>#REF!</v>
      </c>
      <c r="O54" s="263" t="e">
        <f t="shared" si="21"/>
        <v>#REF!</v>
      </c>
      <c r="P54" s="276"/>
      <c r="Q54" s="283" t="e">
        <f>INDEX(#REF!,MATCH(A54,#REF!,0),0)</f>
        <v>#REF!</v>
      </c>
      <c r="R54" s="257">
        <f t="shared" si="22"/>
        <v>1.2757000000000001</v>
      </c>
      <c r="S54" s="238" t="e">
        <f t="shared" si="23"/>
        <v>#REF!</v>
      </c>
      <c r="T54" s="239" t="e">
        <f t="shared" si="24"/>
        <v>#REF!</v>
      </c>
    </row>
    <row r="55" spans="1:20" ht="39.950000000000003" customHeight="1">
      <c r="A55" s="63" t="str">
        <f t="shared" si="18"/>
        <v>SIURB EDIF20005037</v>
      </c>
      <c r="B55" s="233" t="s">
        <v>24</v>
      </c>
      <c r="C55" s="259">
        <v>20005037</v>
      </c>
      <c r="D55" s="234">
        <f t="shared" si="25"/>
        <v>3</v>
      </c>
      <c r="E55" s="377" t="s">
        <v>22</v>
      </c>
      <c r="F55" s="377">
        <f t="shared" si="26"/>
        <v>7</v>
      </c>
      <c r="G55" s="377"/>
      <c r="H55" s="377"/>
      <c r="I55" s="235" t="e">
        <f>INDEX(#REF!,MATCH(A55,#REF!,0),0)</f>
        <v>#REF!</v>
      </c>
      <c r="J55" s="236" t="e">
        <f>INDEX(#REF!,MATCH(A55,#REF!,0),0)</f>
        <v>#REF!</v>
      </c>
      <c r="K55" s="237">
        <v>50</v>
      </c>
      <c r="L55" s="256" t="e">
        <f>INDEX(#REF!,MATCH(A55,#REF!,0),0)</f>
        <v>#REF!</v>
      </c>
      <c r="M55" s="257">
        <f t="shared" si="19"/>
        <v>1.25</v>
      </c>
      <c r="N55" s="238" t="e">
        <f t="shared" si="20"/>
        <v>#REF!</v>
      </c>
      <c r="O55" s="263" t="e">
        <f t="shared" si="21"/>
        <v>#REF!</v>
      </c>
      <c r="P55" s="276"/>
      <c r="Q55" s="283" t="e">
        <f>INDEX(#REF!,MATCH(A55,#REF!,0),0)</f>
        <v>#REF!</v>
      </c>
      <c r="R55" s="257">
        <f t="shared" si="22"/>
        <v>1.2757000000000001</v>
      </c>
      <c r="S55" s="238" t="e">
        <f t="shared" si="23"/>
        <v>#REF!</v>
      </c>
      <c r="T55" s="239" t="e">
        <f t="shared" si="24"/>
        <v>#REF!</v>
      </c>
    </row>
    <row r="56" spans="1:20" ht="39.950000000000003" customHeight="1">
      <c r="A56" s="63" t="str">
        <f t="shared" si="18"/>
        <v>SIURB EDIF20005038</v>
      </c>
      <c r="B56" s="233" t="s">
        <v>24</v>
      </c>
      <c r="C56" s="259">
        <v>20005038</v>
      </c>
      <c r="D56" s="234">
        <f t="shared" si="25"/>
        <v>3</v>
      </c>
      <c r="E56" s="377" t="s">
        <v>22</v>
      </c>
      <c r="F56" s="377">
        <f t="shared" si="26"/>
        <v>8</v>
      </c>
      <c r="G56" s="377"/>
      <c r="H56" s="377"/>
      <c r="I56" s="235" t="e">
        <f>INDEX(#REF!,MATCH(A56,#REF!,0),0)</f>
        <v>#REF!</v>
      </c>
      <c r="J56" s="236" t="e">
        <f>INDEX(#REF!,MATCH(A56,#REF!,0),0)</f>
        <v>#REF!</v>
      </c>
      <c r="K56" s="237">
        <v>5</v>
      </c>
      <c r="L56" s="256" t="e">
        <f>INDEX(#REF!,MATCH(A56,#REF!,0),0)</f>
        <v>#REF!</v>
      </c>
      <c r="M56" s="257">
        <f t="shared" si="19"/>
        <v>1.25</v>
      </c>
      <c r="N56" s="238" t="e">
        <f t="shared" si="20"/>
        <v>#REF!</v>
      </c>
      <c r="O56" s="263" t="e">
        <f t="shared" si="21"/>
        <v>#REF!</v>
      </c>
      <c r="P56" s="276"/>
      <c r="Q56" s="283" t="e">
        <f>INDEX(#REF!,MATCH(A56,#REF!,0),0)</f>
        <v>#REF!</v>
      </c>
      <c r="R56" s="257">
        <f t="shared" si="22"/>
        <v>1.2757000000000001</v>
      </c>
      <c r="S56" s="238" t="e">
        <f t="shared" si="23"/>
        <v>#REF!</v>
      </c>
      <c r="T56" s="239" t="e">
        <f t="shared" si="24"/>
        <v>#REF!</v>
      </c>
    </row>
    <row r="57" spans="1:20" ht="60" customHeight="1">
      <c r="A57" s="63" t="str">
        <f t="shared" si="18"/>
        <v>CDHU01.06.021</v>
      </c>
      <c r="B57" s="233" t="s">
        <v>29</v>
      </c>
      <c r="C57" s="371" t="s">
        <v>128</v>
      </c>
      <c r="D57" s="234">
        <f t="shared" si="25"/>
        <v>3</v>
      </c>
      <c r="E57" s="377" t="s">
        <v>22</v>
      </c>
      <c r="F57" s="377">
        <f t="shared" si="26"/>
        <v>9</v>
      </c>
      <c r="G57" s="377"/>
      <c r="H57" s="377"/>
      <c r="I57" s="235" t="e">
        <f>INDEX(#REF!,MATCH(A57,#REF!,0),0)</f>
        <v>#REF!</v>
      </c>
      <c r="J57" s="236" t="e">
        <f>INDEX(#REF!,MATCH(A57,#REF!,0),0)</f>
        <v>#REF!</v>
      </c>
      <c r="K57" s="237">
        <v>6</v>
      </c>
      <c r="L57" s="256" t="e">
        <f>INDEX(#REF!,MATCH(A57,#REF!,0),0)</f>
        <v>#REF!</v>
      </c>
      <c r="M57" s="257">
        <f t="shared" si="19"/>
        <v>1.25</v>
      </c>
      <c r="N57" s="238" t="e">
        <f t="shared" si="20"/>
        <v>#REF!</v>
      </c>
      <c r="O57" s="263" t="e">
        <f t="shared" si="21"/>
        <v>#REF!</v>
      </c>
      <c r="P57" s="276"/>
      <c r="Q57" s="283" t="e">
        <f>INDEX(#REF!,MATCH(A57,#REF!,0),0)</f>
        <v>#REF!</v>
      </c>
      <c r="R57" s="257">
        <f t="shared" si="22"/>
        <v>1.2757000000000001</v>
      </c>
      <c r="S57" s="238" t="e">
        <f t="shared" si="23"/>
        <v>#REF!</v>
      </c>
      <c r="T57" s="239" t="e">
        <f t="shared" si="24"/>
        <v>#REF!</v>
      </c>
    </row>
    <row r="58" spans="1:20" ht="60" customHeight="1">
      <c r="A58" s="63" t="str">
        <f t="shared" si="18"/>
        <v>CDHU01.06.031</v>
      </c>
      <c r="B58" s="233" t="s">
        <v>29</v>
      </c>
      <c r="C58" s="371" t="s">
        <v>109</v>
      </c>
      <c r="D58" s="234">
        <f t="shared" si="25"/>
        <v>3</v>
      </c>
      <c r="E58" s="377" t="s">
        <v>22</v>
      </c>
      <c r="F58" s="377">
        <f t="shared" si="26"/>
        <v>10</v>
      </c>
      <c r="G58" s="377"/>
      <c r="H58" s="377"/>
      <c r="I58" s="235" t="e">
        <f>INDEX(#REF!,MATCH(A58,#REF!,0),0)</f>
        <v>#REF!</v>
      </c>
      <c r="J58" s="236" t="e">
        <f>INDEX(#REF!,MATCH(A58,#REF!,0),0)</f>
        <v>#REF!</v>
      </c>
      <c r="K58" s="237">
        <v>3</v>
      </c>
      <c r="L58" s="256" t="e">
        <f>INDEX(#REF!,MATCH(A58,#REF!,0),0)</f>
        <v>#REF!</v>
      </c>
      <c r="M58" s="257">
        <f t="shared" si="19"/>
        <v>1.25</v>
      </c>
      <c r="N58" s="238" t="e">
        <f t="shared" si="20"/>
        <v>#REF!</v>
      </c>
      <c r="O58" s="263" t="e">
        <f t="shared" si="21"/>
        <v>#REF!</v>
      </c>
      <c r="P58" s="276"/>
      <c r="Q58" s="283" t="e">
        <f>INDEX(#REF!,MATCH(A58,#REF!,0),0)</f>
        <v>#REF!</v>
      </c>
      <c r="R58" s="257">
        <f t="shared" si="22"/>
        <v>1.2757000000000001</v>
      </c>
      <c r="S58" s="238" t="e">
        <f t="shared" si="23"/>
        <v>#REF!</v>
      </c>
      <c r="T58" s="239" t="e">
        <f t="shared" si="24"/>
        <v>#REF!</v>
      </c>
    </row>
    <row r="59" spans="1:20" s="210" customFormat="1" ht="15.75">
      <c r="A59" s="214" t="str">
        <f t="shared" si="18"/>
        <v/>
      </c>
      <c r="B59" s="230"/>
      <c r="C59" s="390"/>
      <c r="D59" s="240"/>
      <c r="E59" s="394"/>
      <c r="F59" s="394"/>
      <c r="G59" s="394"/>
      <c r="H59" s="394"/>
      <c r="I59" s="395"/>
      <c r="J59" s="395"/>
      <c r="K59" s="395"/>
      <c r="L59" s="395"/>
      <c r="M59" s="395"/>
      <c r="N59" s="395" t="s">
        <v>25</v>
      </c>
      <c r="O59" s="264" t="e">
        <f>SUM(O49:O58)</f>
        <v>#REF!</v>
      </c>
      <c r="P59" s="274"/>
      <c r="Q59" s="284"/>
      <c r="R59" s="285"/>
      <c r="S59" s="286"/>
      <c r="T59" s="241" t="e">
        <f>SUM(T49:T58)</f>
        <v>#REF!</v>
      </c>
    </row>
    <row r="60" spans="1:20" ht="11.25" customHeight="1">
      <c r="B60" s="233"/>
      <c r="C60" s="371"/>
      <c r="D60" s="242"/>
      <c r="E60" s="228"/>
      <c r="F60" s="228"/>
      <c r="G60" s="228"/>
      <c r="H60" s="228"/>
      <c r="I60" s="228"/>
      <c r="J60" s="228"/>
      <c r="K60" s="243"/>
      <c r="L60" s="229"/>
      <c r="M60" s="229"/>
      <c r="N60" s="229"/>
      <c r="O60" s="265"/>
      <c r="P60" s="274"/>
      <c r="Q60" s="287"/>
      <c r="R60" s="229"/>
      <c r="S60" s="229"/>
      <c r="T60" s="244"/>
    </row>
    <row r="61" spans="1:20" s="213" customFormat="1" ht="30" customHeight="1" thickBot="1">
      <c r="A61" s="212"/>
      <c r="B61" s="223"/>
      <c r="C61" s="224"/>
      <c r="D61" s="252"/>
      <c r="E61" s="253"/>
      <c r="F61" s="253"/>
      <c r="G61" s="253"/>
      <c r="H61" s="253"/>
      <c r="I61" s="225" t="s">
        <v>129</v>
      </c>
      <c r="J61" s="253"/>
      <c r="K61" s="254"/>
      <c r="L61" s="255"/>
      <c r="M61" s="255"/>
      <c r="N61" s="255"/>
      <c r="O61" s="267" t="e">
        <f>O26+O46+O59</f>
        <v>#REF!</v>
      </c>
      <c r="P61" s="277"/>
      <c r="Q61" s="289"/>
      <c r="R61" s="253"/>
      <c r="S61" s="253"/>
      <c r="T61" s="226" t="e">
        <f>T26+T46+T59</f>
        <v>#REF!</v>
      </c>
    </row>
    <row r="62" spans="1:20" ht="30" customHeight="1">
      <c r="B62" s="175"/>
      <c r="C62" s="175"/>
      <c r="D62" s="175"/>
      <c r="E62" s="175"/>
      <c r="F62" s="175"/>
      <c r="G62" s="175"/>
      <c r="H62" s="175"/>
      <c r="I62" s="65"/>
      <c r="J62" s="175"/>
      <c r="K62" s="176" t="s">
        <v>74</v>
      </c>
      <c r="L62" s="177"/>
      <c r="M62" s="177"/>
      <c r="N62" s="177"/>
      <c r="O62" s="177"/>
      <c r="P62" s="177"/>
      <c r="Q62" s="177"/>
      <c r="R62" s="177"/>
      <c r="S62" s="177"/>
      <c r="T62" s="177"/>
    </row>
    <row r="63" spans="1:20" ht="30" customHeight="1">
      <c r="B63" s="175"/>
      <c r="C63" s="175"/>
      <c r="D63" s="175"/>
      <c r="E63" s="175"/>
      <c r="F63" s="175"/>
      <c r="G63" s="175"/>
      <c r="H63" s="175"/>
      <c r="I63" s="65"/>
      <c r="J63" s="175"/>
      <c r="K63" s="176"/>
      <c r="L63" s="177"/>
      <c r="M63" s="177"/>
      <c r="N63" s="177"/>
      <c r="O63" s="177"/>
      <c r="P63" s="177"/>
      <c r="Q63" s="177"/>
      <c r="R63" s="177"/>
      <c r="S63" s="177"/>
      <c r="T63" s="177"/>
    </row>
    <row r="64" spans="1:20" ht="30" customHeight="1">
      <c r="B64" s="175"/>
      <c r="C64" s="175"/>
      <c r="D64" s="175"/>
      <c r="E64" s="175"/>
      <c r="F64" s="175"/>
      <c r="G64" s="175"/>
      <c r="H64" s="175"/>
      <c r="I64" s="175"/>
      <c r="J64" s="175"/>
      <c r="K64" s="176"/>
      <c r="L64" s="175"/>
      <c r="M64" s="175"/>
      <c r="N64" s="177"/>
      <c r="O64" s="177"/>
      <c r="P64" s="177"/>
      <c r="Q64" s="177"/>
      <c r="R64" s="177"/>
      <c r="S64" s="177"/>
      <c r="T64" s="177"/>
    </row>
    <row r="65" spans="1:20" ht="12" customHeight="1">
      <c r="B65" s="175"/>
      <c r="C65" s="175"/>
      <c r="D65" s="175"/>
      <c r="E65" s="175"/>
      <c r="F65" s="181" t="s">
        <v>66</v>
      </c>
      <c r="G65" s="179"/>
      <c r="H65" s="179"/>
      <c r="I65" s="179"/>
      <c r="J65" s="47" t="s">
        <v>83</v>
      </c>
      <c r="K65" s="180"/>
      <c r="L65" s="181"/>
      <c r="M65" s="181"/>
      <c r="N65" s="177"/>
      <c r="O65" s="177"/>
      <c r="P65" s="177"/>
      <c r="Q65" s="177"/>
      <c r="R65" s="177"/>
      <c r="S65" s="177"/>
      <c r="T65" s="177"/>
    </row>
    <row r="66" spans="1:20" s="182" customFormat="1" ht="12.75" customHeight="1">
      <c r="A66" s="63"/>
      <c r="B66" s="175"/>
      <c r="C66" s="175"/>
      <c r="D66" s="175"/>
      <c r="E66" s="175"/>
      <c r="F66" s="175"/>
      <c r="G66" s="175"/>
      <c r="I66" s="183" t="s">
        <v>68</v>
      </c>
      <c r="J66" s="45" t="s">
        <v>84</v>
      </c>
      <c r="K66" s="176"/>
      <c r="L66" s="175"/>
      <c r="M66" s="175"/>
      <c r="N66" s="177"/>
      <c r="O66" s="177"/>
      <c r="P66" s="177"/>
      <c r="Q66" s="177"/>
      <c r="R66" s="177"/>
      <c r="S66" s="177"/>
      <c r="T66" s="177"/>
    </row>
    <row r="67" spans="1:20" s="182" customFormat="1" ht="12.75" customHeight="1">
      <c r="A67" s="63"/>
      <c r="B67" s="175"/>
      <c r="C67" s="175"/>
      <c r="D67" s="175"/>
      <c r="E67" s="175"/>
      <c r="F67" s="175"/>
      <c r="G67" s="175"/>
      <c r="I67" s="175"/>
      <c r="J67" s="47"/>
      <c r="K67" s="40"/>
      <c r="L67" s="47"/>
      <c r="M67" s="47"/>
      <c r="N67" s="177"/>
      <c r="O67" s="177"/>
      <c r="P67" s="177"/>
      <c r="Q67" s="177"/>
      <c r="R67" s="177"/>
      <c r="S67" s="177"/>
      <c r="T67" s="177"/>
    </row>
    <row r="68" spans="1:20" s="182" customFormat="1" ht="12.75" customHeight="1">
      <c r="A68" s="63"/>
      <c r="B68" s="175"/>
      <c r="C68" s="175"/>
      <c r="D68" s="175"/>
      <c r="E68" s="175"/>
      <c r="F68" s="175"/>
      <c r="G68" s="175"/>
      <c r="H68" s="175"/>
      <c r="I68" s="175"/>
      <c r="J68" s="47"/>
      <c r="K68" s="40"/>
      <c r="L68" s="47"/>
      <c r="M68" s="47"/>
      <c r="N68" s="177"/>
      <c r="O68" s="177"/>
      <c r="P68" s="177"/>
      <c r="Q68" s="177"/>
      <c r="R68" s="177"/>
      <c r="S68" s="177"/>
      <c r="T68" s="177"/>
    </row>
    <row r="69" spans="1:20" ht="30" customHeight="1">
      <c r="C69" s="341"/>
      <c r="D69" s="175"/>
      <c r="E69" s="175"/>
      <c r="F69" s="175"/>
      <c r="G69" s="175"/>
      <c r="H69" s="175"/>
    </row>
    <row r="84" spans="9:9" ht="30" customHeight="1">
      <c r="I84" s="165" t="s">
        <v>85</v>
      </c>
    </row>
  </sheetData>
  <mergeCells count="6">
    <mergeCell ref="Q2:T6"/>
    <mergeCell ref="B6:O6"/>
    <mergeCell ref="B8:C8"/>
    <mergeCell ref="D8:I8"/>
    <mergeCell ref="B9:C9"/>
    <mergeCell ref="D9:L9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U369"/>
  <sheetViews>
    <sheetView topLeftCell="A328" zoomScale="85" zoomScaleNormal="85" workbookViewId="0">
      <selection activeCell="I336" sqref="I336"/>
    </sheetView>
  </sheetViews>
  <sheetFormatPr defaultRowHeight="12.75"/>
  <cols>
    <col min="1" max="1" width="3.85546875" style="73" customWidth="1"/>
    <col min="2" max="2" width="34.7109375" style="73" customWidth="1"/>
    <col min="3" max="3" width="22.140625" style="73" bestFit="1" customWidth="1"/>
    <col min="4" max="4" width="19.28515625" style="73" customWidth="1"/>
    <col min="5" max="5" width="25" style="73" customWidth="1"/>
    <col min="6" max="6" width="20.85546875" style="73" customWidth="1"/>
    <col min="7" max="7" width="19.5703125" style="73" bestFit="1" customWidth="1"/>
    <col min="8" max="8" width="22.7109375" style="73" customWidth="1"/>
    <col min="9" max="9" width="19.85546875" style="73" customWidth="1"/>
    <col min="10" max="10" width="15" style="73" customWidth="1"/>
    <col min="11" max="11" width="16.5703125" style="73" customWidth="1"/>
    <col min="12" max="12" width="19.140625" style="73" customWidth="1"/>
    <col min="13" max="13" width="20.5703125" style="73" customWidth="1"/>
    <col min="14" max="14" width="13.28515625" style="73" customWidth="1"/>
    <col min="15" max="15" width="14.5703125" style="73" customWidth="1"/>
    <col min="16" max="16" width="12.42578125" style="73" customWidth="1"/>
    <col min="17" max="17" width="13.85546875" style="73" customWidth="1"/>
    <col min="18" max="18" width="13" style="73" customWidth="1"/>
    <col min="19" max="19" width="13.7109375" style="73" customWidth="1"/>
    <col min="20" max="16384" width="9.140625" style="73"/>
  </cols>
  <sheetData>
    <row r="2" spans="1:255" s="69" customFormat="1" ht="30" customHeight="1">
      <c r="A2" s="67"/>
      <c r="B2" s="68" t="s">
        <v>130</v>
      </c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70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0"/>
      <c r="FP2" s="70"/>
      <c r="FQ2" s="70"/>
      <c r="FR2" s="70"/>
      <c r="FS2" s="70"/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0"/>
      <c r="GW2" s="70"/>
      <c r="GX2" s="70"/>
      <c r="GY2" s="70"/>
      <c r="GZ2" s="70"/>
      <c r="HA2" s="70"/>
      <c r="HB2" s="70"/>
      <c r="HC2" s="70"/>
      <c r="HD2" s="70"/>
      <c r="HE2" s="70"/>
      <c r="HF2" s="70"/>
      <c r="HG2" s="70"/>
      <c r="HH2" s="70"/>
      <c r="HI2" s="70"/>
      <c r="HJ2" s="70"/>
      <c r="HK2" s="70"/>
      <c r="HL2" s="70"/>
      <c r="HM2" s="70"/>
      <c r="HN2" s="70"/>
      <c r="HO2" s="70"/>
      <c r="HP2" s="70"/>
      <c r="HQ2" s="70"/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0"/>
      <c r="ID2" s="70"/>
      <c r="IE2" s="70"/>
      <c r="IF2" s="70"/>
      <c r="IG2" s="70"/>
      <c r="IH2" s="70"/>
      <c r="II2" s="70"/>
      <c r="IJ2" s="70"/>
      <c r="IK2" s="70"/>
      <c r="IL2" s="70"/>
      <c r="IM2" s="70"/>
      <c r="IN2" s="70"/>
      <c r="IO2" s="70"/>
      <c r="IP2" s="70"/>
      <c r="IQ2" s="70"/>
      <c r="IR2" s="70"/>
      <c r="IS2" s="70"/>
      <c r="IT2" s="70"/>
      <c r="IU2" s="70"/>
    </row>
    <row r="3" spans="1:255" s="69" customFormat="1" ht="30" customHeight="1">
      <c r="A3" s="67"/>
      <c r="B3" s="480" t="s">
        <v>131</v>
      </c>
      <c r="C3" s="481"/>
      <c r="D3" s="481"/>
      <c r="E3" s="482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0"/>
      <c r="DT3" s="70"/>
      <c r="DU3" s="70"/>
      <c r="DV3" s="70"/>
      <c r="DW3" s="70"/>
      <c r="DX3" s="70"/>
      <c r="DY3" s="70"/>
      <c r="DZ3" s="70"/>
      <c r="EA3" s="70"/>
      <c r="EB3" s="70"/>
      <c r="EC3" s="70"/>
      <c r="ED3" s="70"/>
      <c r="EE3" s="70"/>
      <c r="EF3" s="70"/>
      <c r="EG3" s="70"/>
      <c r="EH3" s="70"/>
      <c r="EI3" s="70"/>
      <c r="EJ3" s="70"/>
      <c r="EK3" s="70"/>
      <c r="EL3" s="70"/>
      <c r="EM3" s="70"/>
      <c r="EN3" s="70"/>
      <c r="EO3" s="70"/>
      <c r="EP3" s="70"/>
      <c r="EQ3" s="70"/>
      <c r="ER3" s="70"/>
      <c r="ES3" s="70"/>
      <c r="ET3" s="70"/>
      <c r="EU3" s="70"/>
      <c r="EV3" s="70"/>
      <c r="EW3" s="70"/>
      <c r="EX3" s="70"/>
      <c r="EY3" s="70"/>
      <c r="EZ3" s="70"/>
      <c r="FA3" s="70"/>
      <c r="FB3" s="70"/>
      <c r="FC3" s="70"/>
      <c r="FD3" s="70"/>
      <c r="FE3" s="70"/>
      <c r="FF3" s="70"/>
      <c r="FG3" s="70"/>
      <c r="FH3" s="70"/>
      <c r="FI3" s="70"/>
      <c r="FJ3" s="70"/>
      <c r="FK3" s="70"/>
      <c r="FL3" s="70"/>
      <c r="FM3" s="70"/>
      <c r="FN3" s="70"/>
      <c r="FO3" s="70"/>
      <c r="FP3" s="70"/>
      <c r="FQ3" s="70"/>
      <c r="FR3" s="70"/>
      <c r="FS3" s="70"/>
      <c r="FT3" s="70"/>
      <c r="FU3" s="70"/>
      <c r="FV3" s="70"/>
      <c r="FW3" s="70"/>
      <c r="FX3" s="70"/>
      <c r="FY3" s="70"/>
      <c r="FZ3" s="70"/>
      <c r="GA3" s="70"/>
      <c r="GB3" s="70"/>
      <c r="GC3" s="70"/>
      <c r="GD3" s="70"/>
      <c r="GE3" s="70"/>
      <c r="GF3" s="70"/>
      <c r="GG3" s="70"/>
      <c r="GH3" s="70"/>
      <c r="GI3" s="70"/>
      <c r="GJ3" s="70"/>
      <c r="GK3" s="70"/>
      <c r="GL3" s="70"/>
      <c r="GM3" s="70"/>
      <c r="GN3" s="70"/>
      <c r="GO3" s="70"/>
      <c r="GP3" s="70"/>
      <c r="GQ3" s="70"/>
      <c r="GR3" s="70"/>
      <c r="GS3" s="70"/>
      <c r="GT3" s="70"/>
      <c r="GU3" s="70"/>
      <c r="GV3" s="70"/>
      <c r="GW3" s="70"/>
      <c r="GX3" s="70"/>
      <c r="GY3" s="70"/>
      <c r="GZ3" s="70"/>
      <c r="HA3" s="70"/>
      <c r="HB3" s="70"/>
      <c r="HC3" s="70"/>
      <c r="HD3" s="70"/>
      <c r="HE3" s="70"/>
      <c r="HF3" s="70"/>
      <c r="HG3" s="70"/>
      <c r="HH3" s="70"/>
      <c r="HI3" s="70"/>
      <c r="HJ3" s="70"/>
      <c r="HK3" s="70"/>
      <c r="HL3" s="70"/>
      <c r="HM3" s="70"/>
      <c r="HN3" s="70"/>
      <c r="HO3" s="70"/>
      <c r="HP3" s="70"/>
      <c r="HQ3" s="70"/>
      <c r="HR3" s="70"/>
      <c r="HS3" s="70"/>
      <c r="HT3" s="70"/>
      <c r="HU3" s="70"/>
      <c r="HV3" s="70"/>
      <c r="HW3" s="70"/>
      <c r="HX3" s="70"/>
      <c r="HY3" s="70"/>
      <c r="HZ3" s="70"/>
      <c r="IA3" s="70"/>
      <c r="IB3" s="70"/>
      <c r="IC3" s="70"/>
      <c r="ID3" s="70"/>
      <c r="IE3" s="70"/>
      <c r="IF3" s="70"/>
      <c r="IG3" s="70"/>
      <c r="IH3" s="70"/>
      <c r="II3" s="70"/>
      <c r="IJ3" s="70"/>
      <c r="IK3" s="70"/>
      <c r="IL3" s="70"/>
      <c r="IM3" s="70"/>
      <c r="IN3" s="70"/>
      <c r="IO3" s="70"/>
      <c r="IP3" s="70"/>
      <c r="IQ3" s="70"/>
      <c r="IR3" s="70"/>
      <c r="IS3" s="70"/>
      <c r="IT3" s="70"/>
      <c r="IU3" s="70"/>
    </row>
    <row r="4" spans="1:255" s="69" customFormat="1">
      <c r="A4" s="67"/>
      <c r="B4" s="400" t="s">
        <v>132</v>
      </c>
      <c r="C4" s="400" t="s">
        <v>133</v>
      </c>
      <c r="D4" s="401" t="s">
        <v>134</v>
      </c>
      <c r="E4" s="400" t="s">
        <v>135</v>
      </c>
      <c r="F4" s="71"/>
      <c r="G4" s="72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70"/>
      <c r="GT4" s="70"/>
      <c r="GU4" s="70"/>
      <c r="GV4" s="70"/>
      <c r="GW4" s="70"/>
      <c r="GX4" s="70"/>
      <c r="GY4" s="70"/>
      <c r="GZ4" s="70"/>
      <c r="HA4" s="70"/>
      <c r="HB4" s="70"/>
      <c r="HC4" s="70"/>
      <c r="HD4" s="70"/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0"/>
      <c r="HQ4" s="70"/>
      <c r="HR4" s="70"/>
      <c r="HS4" s="70"/>
      <c r="HT4" s="70"/>
      <c r="HU4" s="70"/>
      <c r="HV4" s="70"/>
      <c r="HW4" s="70"/>
      <c r="HX4" s="70"/>
      <c r="HY4" s="70"/>
      <c r="HZ4" s="70"/>
      <c r="IA4" s="70"/>
      <c r="IB4" s="70"/>
      <c r="IC4" s="70"/>
      <c r="ID4" s="70"/>
      <c r="IE4" s="70"/>
      <c r="IF4" s="70"/>
      <c r="IG4" s="70"/>
      <c r="IH4" s="70"/>
      <c r="II4" s="70"/>
      <c r="IJ4" s="70"/>
      <c r="IK4" s="70"/>
      <c r="IL4" s="70"/>
      <c r="IM4" s="70"/>
      <c r="IN4" s="70"/>
      <c r="IO4" s="70"/>
      <c r="IP4" s="70"/>
      <c r="IQ4" s="70"/>
      <c r="IR4" s="70"/>
      <c r="IS4" s="70"/>
      <c r="IT4" s="70"/>
      <c r="IU4" s="70"/>
    </row>
    <row r="5" spans="1:255" ht="31.5" customHeight="1">
      <c r="B5" s="74" t="s">
        <v>136</v>
      </c>
      <c r="C5" s="74">
        <v>2.6</v>
      </c>
      <c r="D5" s="74">
        <v>1.3</v>
      </c>
      <c r="E5" s="74">
        <f>C5*D5</f>
        <v>3.3800000000000003</v>
      </c>
      <c r="F5" s="70"/>
    </row>
    <row r="6" spans="1:255">
      <c r="B6" s="70"/>
      <c r="C6" s="75"/>
      <c r="D6" s="76"/>
      <c r="E6" s="132">
        <f>SUM(E5:E5)</f>
        <v>3.3800000000000003</v>
      </c>
      <c r="F6" s="75" t="s">
        <v>137</v>
      </c>
    </row>
    <row r="8" spans="1:255" s="69" customFormat="1" ht="30" customHeight="1">
      <c r="A8" s="67"/>
      <c r="B8" s="480" t="s">
        <v>138</v>
      </c>
      <c r="C8" s="481"/>
      <c r="D8" s="481"/>
      <c r="E8" s="482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  <c r="DT8" s="70"/>
      <c r="DU8" s="70"/>
      <c r="DV8" s="70"/>
      <c r="DW8" s="70"/>
      <c r="DX8" s="70"/>
      <c r="DY8" s="70"/>
      <c r="DZ8" s="70"/>
      <c r="EA8" s="70"/>
      <c r="EB8" s="70"/>
      <c r="EC8" s="70"/>
      <c r="ED8" s="70"/>
      <c r="EE8" s="70"/>
      <c r="EF8" s="70"/>
      <c r="EG8" s="70"/>
      <c r="EH8" s="70"/>
      <c r="EI8" s="70"/>
      <c r="EJ8" s="70"/>
      <c r="EK8" s="70"/>
      <c r="EL8" s="70"/>
      <c r="EM8" s="70"/>
      <c r="EN8" s="70"/>
      <c r="EO8" s="70"/>
      <c r="EP8" s="70"/>
      <c r="EQ8" s="70"/>
      <c r="ER8" s="70"/>
      <c r="ES8" s="70"/>
      <c r="ET8" s="70"/>
      <c r="EU8" s="70"/>
      <c r="EV8" s="70"/>
      <c r="EW8" s="70"/>
      <c r="EX8" s="70"/>
      <c r="EY8" s="70"/>
      <c r="EZ8" s="70"/>
      <c r="FA8" s="70"/>
      <c r="FB8" s="70"/>
      <c r="FC8" s="70"/>
      <c r="FD8" s="70"/>
      <c r="FE8" s="70"/>
      <c r="FF8" s="70"/>
      <c r="FG8" s="70"/>
      <c r="FH8" s="70"/>
      <c r="FI8" s="70"/>
      <c r="FJ8" s="70"/>
      <c r="FK8" s="70"/>
      <c r="FL8" s="70"/>
      <c r="FM8" s="70"/>
      <c r="FN8" s="70"/>
      <c r="FO8" s="70"/>
      <c r="FP8" s="70"/>
      <c r="FQ8" s="70"/>
      <c r="FR8" s="70"/>
      <c r="FS8" s="70"/>
      <c r="FT8" s="70"/>
      <c r="FU8" s="70"/>
      <c r="FV8" s="70"/>
      <c r="FW8" s="70"/>
      <c r="FX8" s="70"/>
      <c r="FY8" s="70"/>
      <c r="FZ8" s="70"/>
      <c r="GA8" s="70"/>
      <c r="GB8" s="70"/>
      <c r="GC8" s="70"/>
      <c r="GD8" s="70"/>
      <c r="GE8" s="70"/>
      <c r="GF8" s="70"/>
      <c r="GG8" s="70"/>
      <c r="GH8" s="70"/>
      <c r="GI8" s="70"/>
      <c r="GJ8" s="70"/>
      <c r="GK8" s="70"/>
      <c r="GL8" s="70"/>
      <c r="GM8" s="70"/>
      <c r="GN8" s="70"/>
      <c r="GO8" s="70"/>
      <c r="GP8" s="70"/>
      <c r="GQ8" s="70"/>
      <c r="GR8" s="70"/>
      <c r="GS8" s="70"/>
      <c r="GT8" s="70"/>
      <c r="GU8" s="70"/>
      <c r="GV8" s="70"/>
      <c r="GW8" s="70"/>
      <c r="GX8" s="70"/>
      <c r="GY8" s="70"/>
      <c r="GZ8" s="70"/>
      <c r="HA8" s="70"/>
      <c r="HB8" s="70"/>
      <c r="HC8" s="70"/>
      <c r="HD8" s="70"/>
      <c r="HE8" s="70"/>
      <c r="HF8" s="70"/>
      <c r="HG8" s="70"/>
      <c r="HH8" s="70"/>
      <c r="HI8" s="70"/>
      <c r="HJ8" s="70"/>
      <c r="HK8" s="70"/>
      <c r="HL8" s="70"/>
      <c r="HM8" s="70"/>
      <c r="HN8" s="70"/>
      <c r="HO8" s="70"/>
      <c r="HP8" s="70"/>
      <c r="HQ8" s="70"/>
      <c r="HR8" s="70"/>
      <c r="HS8" s="70"/>
      <c r="HT8" s="70"/>
      <c r="HU8" s="70"/>
      <c r="HV8" s="70"/>
      <c r="HW8" s="70"/>
      <c r="HX8" s="70"/>
      <c r="HY8" s="70"/>
      <c r="HZ8" s="70"/>
      <c r="IA8" s="70"/>
      <c r="IB8" s="70"/>
      <c r="IC8" s="70"/>
      <c r="ID8" s="70"/>
      <c r="IE8" s="70"/>
      <c r="IF8" s="70"/>
      <c r="IG8" s="70"/>
      <c r="IH8" s="70"/>
      <c r="II8" s="70"/>
      <c r="IJ8" s="70"/>
      <c r="IK8" s="70"/>
      <c r="IL8" s="70"/>
      <c r="IM8" s="70"/>
      <c r="IN8" s="70"/>
      <c r="IO8" s="70"/>
      <c r="IP8" s="70"/>
      <c r="IQ8" s="70"/>
      <c r="IR8" s="70"/>
      <c r="IS8" s="70"/>
      <c r="IT8" s="70"/>
      <c r="IU8" s="70"/>
    </row>
    <row r="9" spans="1:255" s="69" customFormat="1">
      <c r="A9" s="67"/>
      <c r="B9" s="400" t="s">
        <v>133</v>
      </c>
      <c r="C9" s="400" t="s">
        <v>139</v>
      </c>
      <c r="D9" s="401" t="s">
        <v>134</v>
      </c>
      <c r="E9" s="400" t="s">
        <v>140</v>
      </c>
      <c r="F9" s="71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70"/>
      <c r="DP9" s="70"/>
      <c r="DQ9" s="70"/>
      <c r="DR9" s="70"/>
      <c r="DS9" s="70"/>
      <c r="DT9" s="70"/>
      <c r="DU9" s="70"/>
      <c r="DV9" s="70"/>
      <c r="DW9" s="70"/>
      <c r="DX9" s="70"/>
      <c r="DY9" s="70"/>
      <c r="DZ9" s="70"/>
      <c r="EA9" s="70"/>
      <c r="EB9" s="70"/>
      <c r="EC9" s="70"/>
      <c r="ED9" s="70"/>
      <c r="EE9" s="70"/>
      <c r="EF9" s="70"/>
      <c r="EG9" s="70"/>
      <c r="EH9" s="70"/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0"/>
      <c r="FM9" s="70"/>
      <c r="FN9" s="70"/>
      <c r="FO9" s="70"/>
      <c r="FP9" s="70"/>
      <c r="FQ9" s="70"/>
      <c r="FR9" s="70"/>
      <c r="FS9" s="70"/>
      <c r="FT9" s="70"/>
      <c r="FU9" s="70"/>
      <c r="FV9" s="70"/>
      <c r="FW9" s="70"/>
      <c r="FX9" s="70"/>
      <c r="FY9" s="70"/>
      <c r="FZ9" s="70"/>
      <c r="GA9" s="70"/>
      <c r="GB9" s="70"/>
      <c r="GC9" s="70"/>
      <c r="GD9" s="70"/>
      <c r="GE9" s="70"/>
      <c r="GF9" s="70"/>
      <c r="GG9" s="70"/>
      <c r="GH9" s="70"/>
      <c r="GI9" s="70"/>
      <c r="GJ9" s="70"/>
      <c r="GK9" s="70"/>
      <c r="GL9" s="70"/>
      <c r="GM9" s="70"/>
      <c r="GN9" s="70"/>
      <c r="GO9" s="70"/>
      <c r="GP9" s="70"/>
      <c r="GQ9" s="70"/>
      <c r="GR9" s="70"/>
      <c r="GS9" s="70"/>
      <c r="GT9" s="70"/>
      <c r="GU9" s="70"/>
      <c r="GV9" s="70"/>
      <c r="GW9" s="70"/>
      <c r="GX9" s="70"/>
      <c r="GY9" s="70"/>
      <c r="GZ9" s="70"/>
      <c r="HA9" s="70"/>
      <c r="HB9" s="70"/>
      <c r="HC9" s="70"/>
      <c r="HD9" s="70"/>
      <c r="HE9" s="70"/>
      <c r="HF9" s="70"/>
      <c r="HG9" s="70"/>
      <c r="HH9" s="70"/>
      <c r="HI9" s="70"/>
      <c r="HJ9" s="70"/>
      <c r="HK9" s="70"/>
      <c r="HL9" s="70"/>
      <c r="HM9" s="70"/>
      <c r="HN9" s="70"/>
      <c r="HO9" s="70"/>
      <c r="HP9" s="70"/>
      <c r="HQ9" s="70"/>
      <c r="HR9" s="70"/>
      <c r="HS9" s="70"/>
      <c r="HT9" s="70"/>
      <c r="HU9" s="70"/>
      <c r="HV9" s="70"/>
      <c r="HW9" s="70"/>
      <c r="HX9" s="70"/>
      <c r="HY9" s="70"/>
      <c r="HZ9" s="70"/>
      <c r="IA9" s="70"/>
      <c r="IB9" s="70"/>
      <c r="IC9" s="70"/>
      <c r="ID9" s="70"/>
      <c r="IE9" s="70"/>
      <c r="IF9" s="70"/>
      <c r="IG9" s="70"/>
      <c r="IH9" s="70"/>
      <c r="II9" s="70"/>
      <c r="IJ9" s="70"/>
      <c r="IK9" s="70"/>
      <c r="IL9" s="70"/>
      <c r="IM9" s="70"/>
      <c r="IN9" s="70"/>
      <c r="IO9" s="70"/>
      <c r="IP9" s="70"/>
      <c r="IQ9" s="70"/>
      <c r="IR9" s="70"/>
      <c r="IS9" s="70"/>
      <c r="IT9" s="70"/>
      <c r="IU9" s="70"/>
    </row>
    <row r="10" spans="1:255" s="69" customFormat="1" ht="30" customHeight="1">
      <c r="A10" s="67"/>
      <c r="B10" s="74">
        <v>22</v>
      </c>
      <c r="C10" s="74">
        <v>1.5</v>
      </c>
      <c r="D10" s="74">
        <v>3</v>
      </c>
      <c r="E10" s="140">
        <f>B10*C10*D10</f>
        <v>99</v>
      </c>
      <c r="F10" s="75"/>
      <c r="G10" s="70"/>
      <c r="H10" s="70" t="s">
        <v>22</v>
      </c>
      <c r="I10" s="70" t="s">
        <v>74</v>
      </c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O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  <c r="HB10" s="70"/>
      <c r="HC10" s="70"/>
      <c r="HD10" s="70"/>
      <c r="HE10" s="70"/>
      <c r="HF10" s="70"/>
      <c r="HG10" s="70"/>
      <c r="HH10" s="70"/>
      <c r="HI10" s="70"/>
      <c r="HJ10" s="70"/>
      <c r="HK10" s="70"/>
      <c r="HL10" s="70"/>
      <c r="HM10" s="70"/>
      <c r="HN10" s="70"/>
      <c r="HO10" s="70"/>
      <c r="HP10" s="70"/>
      <c r="HQ10" s="70"/>
      <c r="HR10" s="70"/>
      <c r="HS10" s="70"/>
      <c r="HT10" s="70"/>
      <c r="HU10" s="70"/>
      <c r="HV10" s="70"/>
      <c r="HW10" s="70"/>
      <c r="HX10" s="70"/>
      <c r="HY10" s="70"/>
      <c r="HZ10" s="70"/>
      <c r="IA10" s="70"/>
      <c r="IB10" s="70"/>
      <c r="IC10" s="70"/>
      <c r="ID10" s="70"/>
      <c r="IE10" s="70"/>
      <c r="IF10" s="70"/>
      <c r="IG10" s="70"/>
      <c r="IH10" s="70"/>
      <c r="II10" s="70"/>
      <c r="IJ10" s="70"/>
      <c r="IK10" s="70"/>
      <c r="IL10" s="70"/>
      <c r="IM10" s="70"/>
      <c r="IN10" s="70"/>
      <c r="IO10" s="70"/>
      <c r="IP10" s="70"/>
      <c r="IQ10" s="70"/>
      <c r="IR10" s="70"/>
      <c r="IS10" s="70"/>
      <c r="IT10" s="70"/>
      <c r="IU10" s="70"/>
    </row>
    <row r="11" spans="1:255" s="69" customFormat="1" ht="30" customHeight="1">
      <c r="A11" s="67"/>
      <c r="B11" s="74">
        <v>13</v>
      </c>
      <c r="C11" s="74">
        <v>1.5</v>
      </c>
      <c r="D11" s="74">
        <v>3</v>
      </c>
      <c r="E11" s="402">
        <f>B11*C11*D11</f>
        <v>58.5</v>
      </c>
      <c r="F11" s="75"/>
      <c r="G11" s="70"/>
      <c r="H11" s="70"/>
      <c r="I11" s="70" t="s">
        <v>74</v>
      </c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  <c r="DE11" s="70"/>
      <c r="DF11" s="70"/>
      <c r="DG11" s="70"/>
      <c r="DH11" s="70"/>
      <c r="DI11" s="70"/>
      <c r="DJ11" s="70"/>
      <c r="DK11" s="70"/>
      <c r="DL11" s="70"/>
      <c r="DM11" s="70"/>
      <c r="DN11" s="70"/>
      <c r="DO11" s="70"/>
      <c r="DP11" s="70"/>
      <c r="DQ11" s="70"/>
      <c r="DR11" s="70"/>
      <c r="DS11" s="70"/>
      <c r="DT11" s="70"/>
      <c r="DU11" s="70"/>
      <c r="DV11" s="70"/>
      <c r="DW11" s="70"/>
      <c r="DX11" s="70"/>
      <c r="DY11" s="70"/>
      <c r="DZ11" s="70"/>
      <c r="EA11" s="70"/>
      <c r="EB11" s="70"/>
      <c r="EC11" s="70"/>
      <c r="ED11" s="70"/>
      <c r="EE11" s="70"/>
      <c r="EF11" s="70"/>
      <c r="EG11" s="70"/>
      <c r="EH11" s="70"/>
      <c r="EI11" s="70"/>
      <c r="EJ11" s="70"/>
      <c r="EK11" s="70"/>
      <c r="EL11" s="70"/>
      <c r="EM11" s="70"/>
      <c r="EN11" s="70"/>
      <c r="EO11" s="70"/>
      <c r="EP11" s="70"/>
      <c r="EQ11" s="70"/>
      <c r="ER11" s="70"/>
      <c r="ES11" s="70"/>
      <c r="ET11" s="70"/>
      <c r="EU11" s="70"/>
      <c r="EV11" s="70"/>
      <c r="EW11" s="70"/>
      <c r="EX11" s="70"/>
      <c r="EY11" s="70"/>
      <c r="EZ11" s="70"/>
      <c r="FA11" s="70"/>
      <c r="FB11" s="70"/>
      <c r="FC11" s="70"/>
      <c r="FD11" s="70"/>
      <c r="FE11" s="70"/>
      <c r="FF11" s="70"/>
      <c r="FG11" s="70"/>
      <c r="FH11" s="70"/>
      <c r="FI11" s="70"/>
      <c r="FJ11" s="70"/>
      <c r="FK11" s="70"/>
      <c r="FL11" s="70"/>
      <c r="FM11" s="70"/>
      <c r="FN11" s="70"/>
      <c r="FO11" s="70"/>
      <c r="FP11" s="70"/>
      <c r="FQ11" s="70"/>
      <c r="FR11" s="70"/>
      <c r="FS11" s="70"/>
      <c r="FT11" s="70"/>
      <c r="FU11" s="70"/>
      <c r="FV11" s="70"/>
      <c r="FW11" s="70"/>
      <c r="FX11" s="70"/>
      <c r="FY11" s="70"/>
      <c r="FZ11" s="70"/>
      <c r="GA11" s="70"/>
      <c r="GB11" s="70"/>
      <c r="GC11" s="70"/>
      <c r="GD11" s="70"/>
      <c r="GE11" s="70"/>
      <c r="GF11" s="70"/>
      <c r="GG11" s="70"/>
      <c r="GH11" s="70"/>
      <c r="GI11" s="70"/>
      <c r="GJ11" s="70"/>
      <c r="GK11" s="70"/>
      <c r="GL11" s="70"/>
      <c r="GM11" s="70"/>
      <c r="GN11" s="70"/>
      <c r="GO11" s="70"/>
      <c r="GP11" s="70"/>
      <c r="GQ11" s="70"/>
      <c r="GR11" s="70"/>
      <c r="GS11" s="70"/>
      <c r="GT11" s="70"/>
      <c r="GU11" s="70"/>
      <c r="GV11" s="70"/>
      <c r="GW11" s="70"/>
      <c r="GX11" s="70"/>
      <c r="GY11" s="70"/>
      <c r="GZ11" s="70"/>
      <c r="HA11" s="70"/>
      <c r="HB11" s="70"/>
      <c r="HC11" s="70"/>
      <c r="HD11" s="70"/>
      <c r="HE11" s="70"/>
      <c r="HF11" s="70"/>
      <c r="HG11" s="70"/>
      <c r="HH11" s="70"/>
      <c r="HI11" s="70"/>
      <c r="HJ11" s="70"/>
      <c r="HK11" s="70"/>
      <c r="HL11" s="70"/>
      <c r="HM11" s="70"/>
      <c r="HN11" s="70"/>
      <c r="HO11" s="70"/>
      <c r="HP11" s="70"/>
      <c r="HQ11" s="70"/>
      <c r="HR11" s="70"/>
      <c r="HS11" s="70"/>
      <c r="HT11" s="70"/>
      <c r="HU11" s="70"/>
      <c r="HV11" s="70"/>
      <c r="HW11" s="70"/>
      <c r="HX11" s="70"/>
      <c r="HY11" s="70"/>
      <c r="HZ11" s="70"/>
      <c r="IA11" s="70"/>
      <c r="IB11" s="70"/>
      <c r="IC11" s="70"/>
      <c r="ID11" s="70"/>
      <c r="IE11" s="70"/>
      <c r="IF11" s="70"/>
      <c r="IG11" s="70"/>
      <c r="IH11" s="70"/>
      <c r="II11" s="70"/>
      <c r="IJ11" s="70"/>
      <c r="IK11" s="70"/>
      <c r="IL11" s="70"/>
      <c r="IM11" s="70"/>
      <c r="IN11" s="70"/>
      <c r="IO11" s="70"/>
      <c r="IP11" s="70"/>
      <c r="IQ11" s="70"/>
      <c r="IR11" s="70"/>
      <c r="IS11" s="70"/>
      <c r="IT11" s="70"/>
      <c r="IU11" s="70"/>
    </row>
    <row r="12" spans="1:255" s="69" customFormat="1" ht="30" customHeight="1">
      <c r="A12" s="67"/>
      <c r="B12" s="77"/>
      <c r="C12" s="77"/>
      <c r="D12" s="77"/>
      <c r="E12" s="78">
        <f>SUM(E10:E11)</f>
        <v>157.5</v>
      </c>
      <c r="F12" s="75" t="s">
        <v>141</v>
      </c>
      <c r="G12" s="72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  <c r="DE12" s="70"/>
      <c r="DF12" s="70"/>
      <c r="DG12" s="70"/>
      <c r="DH12" s="70"/>
      <c r="DI12" s="70"/>
      <c r="DJ12" s="70"/>
      <c r="DK12" s="70"/>
      <c r="DL12" s="70"/>
      <c r="DM12" s="70"/>
      <c r="DN12" s="70"/>
      <c r="DO12" s="70"/>
      <c r="DP12" s="70"/>
      <c r="DQ12" s="70"/>
      <c r="DR12" s="70"/>
      <c r="DS12" s="70"/>
      <c r="DT12" s="70"/>
      <c r="DU12" s="70"/>
      <c r="DV12" s="70"/>
      <c r="DW12" s="70"/>
      <c r="DX12" s="70"/>
      <c r="DY12" s="70"/>
      <c r="DZ12" s="70"/>
      <c r="EA12" s="70"/>
      <c r="EB12" s="70"/>
      <c r="EC12" s="70"/>
      <c r="ED12" s="70"/>
      <c r="EE12" s="70"/>
      <c r="EF12" s="70"/>
      <c r="EG12" s="70"/>
      <c r="EH12" s="70"/>
      <c r="EI12" s="70"/>
      <c r="EJ12" s="70"/>
      <c r="EK12" s="70"/>
      <c r="EL12" s="70"/>
      <c r="EM12" s="70"/>
      <c r="EN12" s="70"/>
      <c r="EO12" s="70"/>
      <c r="EP12" s="70"/>
      <c r="EQ12" s="70"/>
      <c r="ER12" s="70"/>
      <c r="ES12" s="70"/>
      <c r="ET12" s="70"/>
      <c r="EU12" s="70"/>
      <c r="EV12" s="70"/>
      <c r="EW12" s="70"/>
      <c r="EX12" s="70"/>
      <c r="EY12" s="70"/>
      <c r="EZ12" s="70"/>
      <c r="FA12" s="70"/>
      <c r="FB12" s="70"/>
      <c r="FC12" s="70"/>
      <c r="FD12" s="70"/>
      <c r="FE12" s="70"/>
      <c r="FF12" s="70"/>
      <c r="FG12" s="70"/>
      <c r="FH12" s="70"/>
      <c r="FI12" s="70"/>
      <c r="FJ12" s="70"/>
      <c r="FK12" s="70"/>
      <c r="FL12" s="70"/>
      <c r="FM12" s="70"/>
      <c r="FN12" s="70"/>
      <c r="FO12" s="70"/>
      <c r="FP12" s="70"/>
      <c r="FQ12" s="70"/>
      <c r="FR12" s="70"/>
      <c r="FS12" s="70"/>
      <c r="FT12" s="70"/>
      <c r="FU12" s="70"/>
      <c r="FV12" s="70"/>
      <c r="FW12" s="70"/>
      <c r="FX12" s="70"/>
      <c r="FY12" s="70"/>
      <c r="FZ12" s="70"/>
      <c r="GA12" s="70"/>
      <c r="GB12" s="70"/>
      <c r="GC12" s="70"/>
      <c r="GD12" s="70"/>
      <c r="GE12" s="70"/>
      <c r="GF12" s="70"/>
      <c r="GG12" s="70"/>
      <c r="GH12" s="70"/>
      <c r="GI12" s="70"/>
      <c r="GJ12" s="70"/>
      <c r="GK12" s="70"/>
      <c r="GL12" s="70"/>
      <c r="GM12" s="70"/>
      <c r="GN12" s="70"/>
      <c r="GO12" s="70"/>
      <c r="GP12" s="70"/>
      <c r="GQ12" s="70"/>
      <c r="GR12" s="70"/>
      <c r="GS12" s="70"/>
      <c r="GT12" s="70"/>
      <c r="GU12" s="70"/>
      <c r="GV12" s="70"/>
      <c r="GW12" s="70"/>
      <c r="GX12" s="70"/>
      <c r="GY12" s="70"/>
      <c r="GZ12" s="70"/>
      <c r="HA12" s="70"/>
      <c r="HB12" s="70"/>
      <c r="HC12" s="70"/>
      <c r="HD12" s="70"/>
      <c r="HE12" s="70"/>
      <c r="HF12" s="70"/>
      <c r="HG12" s="70"/>
      <c r="HH12" s="70"/>
      <c r="HI12" s="70"/>
      <c r="HJ12" s="70"/>
      <c r="HK12" s="70"/>
      <c r="HL12" s="70"/>
      <c r="HM12" s="70"/>
      <c r="HN12" s="70"/>
      <c r="HO12" s="70"/>
      <c r="HP12" s="70"/>
      <c r="HQ12" s="70"/>
      <c r="HR12" s="70"/>
      <c r="HS12" s="70"/>
      <c r="HT12" s="70"/>
      <c r="HU12" s="70"/>
      <c r="HV12" s="70"/>
      <c r="HW12" s="70"/>
      <c r="HX12" s="70"/>
      <c r="HY12" s="70"/>
      <c r="HZ12" s="70"/>
      <c r="IA12" s="70"/>
      <c r="IB12" s="70"/>
      <c r="IC12" s="70"/>
      <c r="ID12" s="70"/>
      <c r="IE12" s="70"/>
      <c r="IF12" s="70"/>
      <c r="IG12" s="70"/>
      <c r="IH12" s="70"/>
      <c r="II12" s="70"/>
      <c r="IJ12" s="70"/>
      <c r="IK12" s="70"/>
      <c r="IL12" s="70"/>
      <c r="IM12" s="70"/>
      <c r="IN12" s="70"/>
      <c r="IO12" s="70"/>
      <c r="IP12" s="70"/>
      <c r="IQ12" s="70"/>
      <c r="IR12" s="70"/>
      <c r="IS12" s="70"/>
      <c r="IT12" s="70"/>
      <c r="IU12" s="70"/>
    </row>
    <row r="13" spans="1:255" s="69" customFormat="1" ht="30" customHeight="1">
      <c r="A13" s="67"/>
      <c r="B13" s="77"/>
      <c r="C13" s="77"/>
      <c r="D13" s="77"/>
      <c r="E13" s="72"/>
      <c r="F13" s="75"/>
      <c r="G13" s="72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B13" s="70"/>
      <c r="GC13" s="70"/>
      <c r="GD13" s="70"/>
      <c r="GE13" s="70"/>
      <c r="GF13" s="70"/>
      <c r="GG13" s="70"/>
      <c r="GH13" s="70"/>
      <c r="GI13" s="70"/>
      <c r="GJ13" s="70"/>
      <c r="GK13" s="70"/>
      <c r="GL13" s="70"/>
      <c r="GM13" s="70"/>
      <c r="GN13" s="70"/>
      <c r="GO13" s="70"/>
      <c r="GP13" s="70"/>
      <c r="GQ13" s="70"/>
      <c r="GR13" s="70"/>
      <c r="GS13" s="70"/>
      <c r="GT13" s="70"/>
      <c r="GU13" s="70"/>
      <c r="GV13" s="70"/>
      <c r="GW13" s="70"/>
      <c r="GX13" s="70"/>
      <c r="GY13" s="70"/>
      <c r="GZ13" s="70"/>
      <c r="HA13" s="70"/>
      <c r="HB13" s="70"/>
      <c r="HC13" s="70"/>
      <c r="HD13" s="70"/>
      <c r="HE13" s="70"/>
      <c r="HF13" s="70"/>
      <c r="HG13" s="70"/>
      <c r="HH13" s="70"/>
      <c r="HI13" s="70"/>
      <c r="HJ13" s="70"/>
      <c r="HK13" s="70"/>
      <c r="HL13" s="70"/>
      <c r="HM13" s="70"/>
      <c r="HN13" s="70"/>
      <c r="HO13" s="70"/>
      <c r="HP13" s="70"/>
      <c r="HQ13" s="70"/>
      <c r="HR13" s="70"/>
      <c r="HS13" s="70"/>
      <c r="HT13" s="70"/>
      <c r="HU13" s="70"/>
      <c r="HV13" s="70"/>
      <c r="HW13" s="70"/>
      <c r="HX13" s="70"/>
      <c r="HY13" s="70"/>
      <c r="HZ13" s="70"/>
      <c r="IA13" s="70"/>
      <c r="IB13" s="70"/>
      <c r="IC13" s="70"/>
      <c r="ID13" s="70"/>
      <c r="IE13" s="70"/>
      <c r="IF13" s="70"/>
      <c r="IG13" s="70"/>
      <c r="IH13" s="70"/>
      <c r="II13" s="70"/>
      <c r="IJ13" s="70"/>
      <c r="IK13" s="70"/>
      <c r="IL13" s="70"/>
      <c r="IM13" s="70"/>
      <c r="IN13" s="70"/>
      <c r="IO13" s="70"/>
      <c r="IP13" s="70"/>
      <c r="IQ13" s="70"/>
      <c r="IR13" s="70"/>
      <c r="IS13" s="70"/>
      <c r="IT13" s="70"/>
      <c r="IU13" s="70"/>
    </row>
    <row r="14" spans="1:255" s="69" customFormat="1" ht="23.25" customHeight="1">
      <c r="A14" s="67"/>
      <c r="B14" s="462" t="s">
        <v>142</v>
      </c>
      <c r="C14" s="462"/>
      <c r="D14" s="462"/>
      <c r="E14" s="462"/>
      <c r="F14" s="462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O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B14" s="70"/>
      <c r="GC14" s="70"/>
      <c r="GD14" s="70"/>
      <c r="GE14" s="70"/>
      <c r="GF14" s="70"/>
      <c r="GG14" s="70"/>
      <c r="GH14" s="70"/>
      <c r="GI14" s="70"/>
      <c r="GJ14" s="70"/>
      <c r="GK14" s="70"/>
      <c r="GL14" s="70"/>
      <c r="GM14" s="70"/>
      <c r="GN14" s="70"/>
      <c r="GO14" s="70"/>
      <c r="GP14" s="70"/>
      <c r="GQ14" s="70"/>
      <c r="GR14" s="70"/>
      <c r="GS14" s="70"/>
      <c r="GT14" s="70"/>
      <c r="GU14" s="70"/>
      <c r="GV14" s="70"/>
      <c r="GW14" s="70"/>
      <c r="GX14" s="70"/>
      <c r="GY14" s="70"/>
      <c r="GZ14" s="70"/>
      <c r="HA14" s="70"/>
      <c r="HB14" s="70"/>
      <c r="HC14" s="70"/>
      <c r="HD14" s="70"/>
      <c r="HE14" s="70"/>
      <c r="HF14" s="70"/>
      <c r="HG14" s="70"/>
      <c r="HH14" s="70"/>
      <c r="HI14" s="70"/>
      <c r="HJ14" s="70"/>
      <c r="HK14" s="70"/>
      <c r="HL14" s="70"/>
      <c r="HM14" s="70"/>
      <c r="HN14" s="70"/>
      <c r="HO14" s="70"/>
      <c r="HP14" s="70"/>
      <c r="HQ14" s="70"/>
      <c r="HR14" s="70"/>
      <c r="HS14" s="70"/>
      <c r="HT14" s="70"/>
      <c r="HU14" s="70"/>
      <c r="HV14" s="70"/>
      <c r="HW14" s="70"/>
      <c r="HX14" s="70"/>
      <c r="HY14" s="70"/>
      <c r="HZ14" s="70"/>
      <c r="IA14" s="70"/>
      <c r="IB14" s="70"/>
      <c r="IC14" s="70"/>
      <c r="ID14" s="70"/>
      <c r="IE14" s="70"/>
      <c r="IF14" s="70"/>
      <c r="IG14" s="70"/>
      <c r="IH14" s="70"/>
      <c r="II14" s="70"/>
      <c r="IJ14" s="70"/>
      <c r="IK14" s="70"/>
      <c r="IL14" s="70"/>
      <c r="IM14" s="70"/>
      <c r="IN14" s="70"/>
      <c r="IO14" s="70"/>
      <c r="IP14" s="70"/>
      <c r="IQ14" s="70"/>
      <c r="IR14" s="70"/>
      <c r="IS14" s="70"/>
      <c r="IT14" s="70"/>
      <c r="IU14" s="70"/>
    </row>
    <row r="15" spans="1:255" s="69" customFormat="1" ht="30" customHeight="1">
      <c r="A15" s="67"/>
      <c r="B15" s="400" t="s">
        <v>133</v>
      </c>
      <c r="C15" s="79" t="s">
        <v>139</v>
      </c>
      <c r="D15" s="80" t="s">
        <v>134</v>
      </c>
      <c r="E15" s="403" t="s">
        <v>143</v>
      </c>
      <c r="F15" s="81" t="s">
        <v>140</v>
      </c>
      <c r="G15" s="71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O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  <c r="HB15" s="70"/>
      <c r="HC15" s="70"/>
      <c r="HD15" s="70"/>
      <c r="HE15" s="70"/>
      <c r="HF15" s="70"/>
      <c r="HG15" s="70"/>
      <c r="HH15" s="70"/>
      <c r="HI15" s="70"/>
      <c r="HJ15" s="70"/>
      <c r="HK15" s="70"/>
      <c r="HL15" s="70"/>
      <c r="HM15" s="70"/>
      <c r="HN15" s="70"/>
      <c r="HO15" s="70"/>
      <c r="HP15" s="70"/>
      <c r="HQ15" s="70"/>
      <c r="HR15" s="70"/>
      <c r="HS15" s="70"/>
      <c r="HT15" s="70"/>
      <c r="HU15" s="70"/>
      <c r="HV15" s="70"/>
      <c r="HW15" s="70"/>
      <c r="HX15" s="70"/>
      <c r="HY15" s="70"/>
      <c r="HZ15" s="70"/>
      <c r="IA15" s="70"/>
      <c r="IB15" s="70"/>
      <c r="IC15" s="70"/>
      <c r="ID15" s="70"/>
      <c r="IE15" s="70"/>
      <c r="IF15" s="70"/>
      <c r="IG15" s="70"/>
      <c r="IH15" s="70"/>
      <c r="II15" s="70"/>
      <c r="IJ15" s="70"/>
      <c r="IK15" s="70"/>
      <c r="IL15" s="70"/>
      <c r="IM15" s="70"/>
      <c r="IN15" s="70"/>
      <c r="IO15" s="70"/>
      <c r="IP15" s="70"/>
      <c r="IQ15" s="70"/>
      <c r="IR15" s="70"/>
      <c r="IS15" s="70"/>
      <c r="IT15" s="70"/>
      <c r="IU15" s="70"/>
    </row>
    <row r="16" spans="1:255" s="69" customFormat="1" ht="30" customHeight="1">
      <c r="A16" s="67"/>
      <c r="B16" s="74">
        <f t="shared" ref="B16:D17" si="0">B10</f>
        <v>22</v>
      </c>
      <c r="C16" s="74">
        <f t="shared" si="0"/>
        <v>1.5</v>
      </c>
      <c r="D16" s="82">
        <f t="shared" si="0"/>
        <v>3</v>
      </c>
      <c r="E16" s="83">
        <v>2</v>
      </c>
      <c r="F16" s="141">
        <f>ROUND(B16*C16*D16*E16,2)</f>
        <v>198</v>
      </c>
      <c r="G16" s="75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O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B16" s="70"/>
      <c r="GC16" s="70"/>
      <c r="GD16" s="70"/>
      <c r="GE16" s="70"/>
      <c r="GF16" s="70"/>
      <c r="GG16" s="70"/>
      <c r="GH16" s="70"/>
      <c r="GI16" s="70"/>
      <c r="GJ16" s="70"/>
      <c r="GK16" s="70"/>
      <c r="GL16" s="70"/>
      <c r="GM16" s="70"/>
      <c r="GN16" s="70"/>
      <c r="GO16" s="70"/>
      <c r="GP16" s="70"/>
      <c r="GQ16" s="70"/>
      <c r="GR16" s="70"/>
      <c r="GS16" s="70"/>
      <c r="GT16" s="70"/>
      <c r="GU16" s="70"/>
      <c r="GV16" s="70"/>
      <c r="GW16" s="70"/>
      <c r="GX16" s="70"/>
      <c r="GY16" s="70"/>
      <c r="GZ16" s="70"/>
      <c r="HA16" s="70"/>
      <c r="HB16" s="70"/>
      <c r="HC16" s="70"/>
      <c r="HD16" s="70"/>
      <c r="HE16" s="70"/>
      <c r="HF16" s="70"/>
      <c r="HG16" s="70"/>
      <c r="HH16" s="70"/>
      <c r="HI16" s="70"/>
      <c r="HJ16" s="70"/>
      <c r="HK16" s="70"/>
      <c r="HL16" s="70"/>
      <c r="HM16" s="70"/>
      <c r="HN16" s="70"/>
      <c r="HO16" s="70"/>
      <c r="HP16" s="70"/>
      <c r="HQ16" s="70"/>
      <c r="HR16" s="70"/>
      <c r="HS16" s="70"/>
      <c r="HT16" s="70"/>
      <c r="HU16" s="70"/>
      <c r="HV16" s="70"/>
      <c r="HW16" s="70"/>
      <c r="HX16" s="70"/>
      <c r="HY16" s="70"/>
      <c r="HZ16" s="70"/>
      <c r="IA16" s="70"/>
      <c r="IB16" s="70"/>
      <c r="IC16" s="70"/>
      <c r="ID16" s="70"/>
      <c r="IE16" s="70"/>
      <c r="IF16" s="70"/>
      <c r="IG16" s="70"/>
      <c r="IH16" s="70"/>
      <c r="II16" s="70"/>
      <c r="IJ16" s="70"/>
      <c r="IK16" s="70"/>
      <c r="IL16" s="70"/>
      <c r="IM16" s="70"/>
      <c r="IN16" s="70"/>
      <c r="IO16" s="70"/>
      <c r="IP16" s="70"/>
      <c r="IQ16" s="70"/>
      <c r="IR16" s="70"/>
      <c r="IS16" s="70"/>
      <c r="IT16" s="70"/>
      <c r="IU16" s="70"/>
    </row>
    <row r="17" spans="1:255" s="69" customFormat="1" ht="30" customHeight="1">
      <c r="A17" s="67"/>
      <c r="B17" s="74">
        <f t="shared" si="0"/>
        <v>13</v>
      </c>
      <c r="C17" s="74">
        <f t="shared" si="0"/>
        <v>1.5</v>
      </c>
      <c r="D17" s="82">
        <f t="shared" si="0"/>
        <v>3</v>
      </c>
      <c r="E17" s="83">
        <v>2</v>
      </c>
      <c r="F17" s="141">
        <f>ROUND(B17*C17*D17*E17,2)</f>
        <v>117</v>
      </c>
      <c r="G17" s="75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B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B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O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  <c r="HB17" s="70"/>
      <c r="HC17" s="70"/>
      <c r="HD17" s="70"/>
      <c r="HE17" s="70"/>
      <c r="HF17" s="70"/>
      <c r="HG17" s="70"/>
      <c r="HH17" s="70"/>
      <c r="HI17" s="70"/>
      <c r="HJ17" s="70"/>
      <c r="HK17" s="70"/>
      <c r="HL17" s="70"/>
      <c r="HM17" s="70"/>
      <c r="HN17" s="70"/>
      <c r="HO17" s="70"/>
      <c r="HP17" s="70"/>
      <c r="HQ17" s="70"/>
      <c r="HR17" s="70"/>
      <c r="HS17" s="70"/>
      <c r="HT17" s="70"/>
      <c r="HU17" s="70"/>
      <c r="HV17" s="70"/>
      <c r="HW17" s="70"/>
      <c r="HX17" s="70"/>
      <c r="HY17" s="70"/>
      <c r="HZ17" s="70"/>
      <c r="IA17" s="70"/>
      <c r="IB17" s="70"/>
      <c r="IC17" s="70"/>
      <c r="ID17" s="70"/>
      <c r="IE17" s="70"/>
      <c r="IF17" s="70"/>
      <c r="IG17" s="70"/>
      <c r="IH17" s="70"/>
      <c r="II17" s="70"/>
      <c r="IJ17" s="70"/>
      <c r="IK17" s="70"/>
      <c r="IL17" s="70"/>
      <c r="IM17" s="70"/>
      <c r="IN17" s="70"/>
      <c r="IO17" s="70"/>
      <c r="IP17" s="70"/>
      <c r="IQ17" s="70"/>
      <c r="IR17" s="70"/>
      <c r="IS17" s="70"/>
      <c r="IT17" s="70"/>
      <c r="IU17" s="70"/>
    </row>
    <row r="18" spans="1:255" s="69" customFormat="1" ht="30" customHeight="1">
      <c r="A18" s="67"/>
      <c r="B18" s="77"/>
      <c r="C18" s="77"/>
      <c r="D18" s="77"/>
      <c r="F18" s="78">
        <f>SUM(F16:F17)</f>
        <v>315</v>
      </c>
      <c r="G18" s="75" t="s">
        <v>144</v>
      </c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</row>
    <row r="20" spans="1:255" ht="31.5" customHeight="1">
      <c r="B20" s="462" t="s">
        <v>145</v>
      </c>
      <c r="C20" s="462"/>
      <c r="D20" s="462"/>
      <c r="E20" s="84"/>
      <c r="F20" s="70"/>
    </row>
    <row r="21" spans="1:255">
      <c r="B21" s="483" t="s">
        <v>146</v>
      </c>
      <c r="C21" s="484" t="s">
        <v>147</v>
      </c>
      <c r="D21" s="483" t="s">
        <v>148</v>
      </c>
      <c r="E21" s="70"/>
    </row>
    <row r="22" spans="1:255">
      <c r="B22" s="461"/>
      <c r="C22" s="469"/>
      <c r="D22" s="461"/>
      <c r="E22" s="70"/>
    </row>
    <row r="23" spans="1:255" ht="22.5" customHeight="1">
      <c r="B23" s="17"/>
      <c r="C23" s="85">
        <v>1</v>
      </c>
      <c r="D23" s="86">
        <f>C23</f>
        <v>1</v>
      </c>
      <c r="E23" s="70"/>
    </row>
    <row r="24" spans="1:255" ht="19.5" customHeight="1">
      <c r="B24" s="67"/>
      <c r="C24" s="87" t="s">
        <v>149</v>
      </c>
      <c r="D24" s="78">
        <f>SUM(D23:D23)</f>
        <v>1</v>
      </c>
      <c r="E24" s="75" t="s">
        <v>150</v>
      </c>
    </row>
    <row r="26" spans="1:255">
      <c r="B26" s="88" t="s">
        <v>151</v>
      </c>
    </row>
    <row r="27" spans="1:255">
      <c r="B27" s="138" t="s">
        <v>27</v>
      </c>
    </row>
    <row r="28" spans="1:255" s="70" customFormat="1" ht="30" customHeight="1">
      <c r="A28" s="67"/>
      <c r="B28" s="457" t="s">
        <v>152</v>
      </c>
      <c r="C28" s="458"/>
      <c r="D28" s="458"/>
      <c r="E28" s="458"/>
      <c r="F28" s="459"/>
    </row>
    <row r="29" spans="1:255" s="70" customFormat="1">
      <c r="B29" s="460" t="s">
        <v>146</v>
      </c>
      <c r="C29" s="67" t="s">
        <v>133</v>
      </c>
      <c r="D29" s="89" t="s">
        <v>139</v>
      </c>
      <c r="E29" s="89" t="s">
        <v>153</v>
      </c>
      <c r="F29" s="89" t="s">
        <v>154</v>
      </c>
    </row>
    <row r="30" spans="1:255" s="70" customFormat="1" ht="30" customHeight="1">
      <c r="B30" s="461"/>
      <c r="C30" s="89" t="s">
        <v>155</v>
      </c>
      <c r="D30" s="89" t="s">
        <v>155</v>
      </c>
      <c r="E30" s="89" t="s">
        <v>155</v>
      </c>
      <c r="F30" s="89" t="s">
        <v>144</v>
      </c>
    </row>
    <row r="31" spans="1:255" s="70" customFormat="1" ht="30" customHeight="1">
      <c r="B31" s="17" t="str">
        <f>B27</f>
        <v>RECEPÇÃO</v>
      </c>
      <c r="C31" s="85">
        <v>1</v>
      </c>
      <c r="D31" s="85">
        <v>0.35</v>
      </c>
      <c r="E31" s="85">
        <v>0.2</v>
      </c>
      <c r="F31" s="85">
        <f>ROUND(C31*D31*E31,2)</f>
        <v>7.0000000000000007E-2</v>
      </c>
    </row>
    <row r="32" spans="1:255" s="70" customFormat="1" ht="30" customHeight="1">
      <c r="B32" s="67"/>
      <c r="E32" s="87" t="s">
        <v>149</v>
      </c>
      <c r="F32" s="90">
        <f>SUM(F31:F31)</f>
        <v>7.0000000000000007E-2</v>
      </c>
      <c r="G32" s="75" t="s">
        <v>144</v>
      </c>
    </row>
    <row r="33" spans="1:9" s="70" customFormat="1" ht="30" customHeight="1">
      <c r="B33" s="67"/>
      <c r="E33" s="87"/>
      <c r="F33" s="87"/>
      <c r="G33" s="75"/>
    </row>
    <row r="34" spans="1:9" s="70" customFormat="1" ht="30" customHeight="1">
      <c r="A34" s="67"/>
      <c r="B34" s="462" t="s">
        <v>156</v>
      </c>
      <c r="C34" s="462"/>
      <c r="D34" s="462"/>
      <c r="E34" s="462"/>
      <c r="F34" s="462"/>
    </row>
    <row r="35" spans="1:9" s="70" customFormat="1">
      <c r="B35" s="460" t="s">
        <v>146</v>
      </c>
      <c r="C35" s="67" t="s">
        <v>133</v>
      </c>
      <c r="D35" s="89" t="s">
        <v>139</v>
      </c>
      <c r="E35" s="89" t="s">
        <v>153</v>
      </c>
      <c r="F35" s="89" t="s">
        <v>157</v>
      </c>
    </row>
    <row r="36" spans="1:9" s="70" customFormat="1" ht="30" customHeight="1">
      <c r="B36" s="461"/>
      <c r="C36" s="89" t="s">
        <v>155</v>
      </c>
      <c r="D36" s="89" t="s">
        <v>155</v>
      </c>
      <c r="E36" s="89" t="s">
        <v>155</v>
      </c>
      <c r="F36" s="89" t="s">
        <v>144</v>
      </c>
    </row>
    <row r="37" spans="1:9" s="70" customFormat="1" ht="30" customHeight="1">
      <c r="B37" s="17" t="str">
        <f>B31</f>
        <v>RECEPÇÃO</v>
      </c>
      <c r="C37" s="85">
        <v>2</v>
      </c>
      <c r="D37" s="85">
        <v>0.35</v>
      </c>
      <c r="E37" s="85">
        <v>0.1</v>
      </c>
      <c r="F37" s="85">
        <f>ROUND(C37*D37*E37,2)</f>
        <v>7.0000000000000007E-2</v>
      </c>
    </row>
    <row r="38" spans="1:9" s="70" customFormat="1" ht="30" customHeight="1">
      <c r="B38" s="67"/>
      <c r="E38" s="87" t="s">
        <v>149</v>
      </c>
      <c r="F38" s="90">
        <f>SUM(F37:F37)</f>
        <v>7.0000000000000007E-2</v>
      </c>
      <c r="G38" s="75" t="s">
        <v>144</v>
      </c>
    </row>
    <row r="39" spans="1:9">
      <c r="B39" s="88"/>
      <c r="I39" s="185">
        <f>1*0.35*0.2</f>
        <v>6.9999999999999993E-2</v>
      </c>
    </row>
    <row r="40" spans="1:9" ht="21" customHeight="1">
      <c r="B40" s="463" t="s">
        <v>158</v>
      </c>
      <c r="C40" s="464"/>
      <c r="D40" s="464"/>
      <c r="E40" s="465"/>
      <c r="F40" s="108"/>
    </row>
    <row r="41" spans="1:9" ht="24.75" customHeight="1">
      <c r="B41" s="91" t="s">
        <v>146</v>
      </c>
      <c r="C41" s="91" t="s">
        <v>133</v>
      </c>
      <c r="D41" s="91" t="s">
        <v>134</v>
      </c>
      <c r="E41" s="91" t="s">
        <v>157</v>
      </c>
    </row>
    <row r="42" spans="1:9" ht="27" customHeight="1">
      <c r="B42" s="92" t="str">
        <f>B37</f>
        <v>RECEPÇÃO</v>
      </c>
      <c r="C42" s="93">
        <v>2</v>
      </c>
      <c r="D42" s="93">
        <v>1</v>
      </c>
      <c r="E42" s="93">
        <f>ROUND(C42*D42,2)</f>
        <v>2</v>
      </c>
    </row>
    <row r="43" spans="1:9">
      <c r="B43" s="88"/>
      <c r="D43" s="95" t="s">
        <v>149</v>
      </c>
      <c r="E43" s="96">
        <f>E42</f>
        <v>2</v>
      </c>
      <c r="F43" s="94" t="s">
        <v>137</v>
      </c>
    </row>
    <row r="44" spans="1:9">
      <c r="B44" s="88"/>
    </row>
    <row r="45" spans="1:9">
      <c r="B45" s="138" t="s">
        <v>31</v>
      </c>
    </row>
    <row r="46" spans="1:9" s="70" customFormat="1" ht="30" customHeight="1">
      <c r="A46" s="67"/>
      <c r="B46" s="457" t="s">
        <v>152</v>
      </c>
      <c r="C46" s="458"/>
      <c r="D46" s="458"/>
      <c r="E46" s="458"/>
      <c r="F46" s="459"/>
    </row>
    <row r="47" spans="1:9" s="70" customFormat="1">
      <c r="B47" s="460" t="s">
        <v>146</v>
      </c>
      <c r="C47" s="67" t="s">
        <v>133</v>
      </c>
      <c r="D47" s="89" t="s">
        <v>139</v>
      </c>
      <c r="E47" s="89" t="s">
        <v>153</v>
      </c>
      <c r="F47" s="89" t="s">
        <v>154</v>
      </c>
    </row>
    <row r="48" spans="1:9" s="70" customFormat="1" ht="30" customHeight="1">
      <c r="B48" s="461"/>
      <c r="C48" s="89" t="s">
        <v>155</v>
      </c>
      <c r="D48" s="89" t="s">
        <v>155</v>
      </c>
      <c r="E48" s="89" t="s">
        <v>155</v>
      </c>
      <c r="F48" s="89" t="s">
        <v>144</v>
      </c>
    </row>
    <row r="49" spans="1:7" s="70" customFormat="1" ht="30" customHeight="1">
      <c r="B49" s="17" t="str">
        <f>B45</f>
        <v>FARMÁCIA</v>
      </c>
      <c r="C49" s="85">
        <v>1</v>
      </c>
      <c r="D49" s="85">
        <v>0.35</v>
      </c>
      <c r="E49" s="85">
        <v>0.2</v>
      </c>
      <c r="F49" s="85">
        <f>ROUND(C49*D49*E49,2)</f>
        <v>7.0000000000000007E-2</v>
      </c>
    </row>
    <row r="50" spans="1:7" s="70" customFormat="1" ht="30" customHeight="1">
      <c r="B50" s="67"/>
      <c r="E50" s="87" t="s">
        <v>149</v>
      </c>
      <c r="F50" s="90">
        <f>SUM(F49:F49)</f>
        <v>7.0000000000000007E-2</v>
      </c>
      <c r="G50" s="75" t="s">
        <v>144</v>
      </c>
    </row>
    <row r="51" spans="1:7" s="70" customFormat="1" ht="30" customHeight="1">
      <c r="B51" s="67"/>
      <c r="E51" s="87"/>
      <c r="F51" s="87"/>
      <c r="G51" s="75"/>
    </row>
    <row r="52" spans="1:7" s="70" customFormat="1" ht="30" customHeight="1">
      <c r="A52" s="67"/>
      <c r="B52" s="462" t="s">
        <v>156</v>
      </c>
      <c r="C52" s="462"/>
      <c r="D52" s="462"/>
      <c r="E52" s="462"/>
      <c r="F52" s="462"/>
    </row>
    <row r="53" spans="1:7" s="70" customFormat="1">
      <c r="B53" s="460" t="s">
        <v>146</v>
      </c>
      <c r="C53" s="67" t="s">
        <v>133</v>
      </c>
      <c r="D53" s="89" t="s">
        <v>139</v>
      </c>
      <c r="E53" s="89" t="s">
        <v>153</v>
      </c>
      <c r="F53" s="89" t="s">
        <v>157</v>
      </c>
    </row>
    <row r="54" spans="1:7" s="70" customFormat="1" ht="30" customHeight="1">
      <c r="B54" s="461"/>
      <c r="C54" s="89" t="s">
        <v>155</v>
      </c>
      <c r="D54" s="89" t="s">
        <v>155</v>
      </c>
      <c r="E54" s="89" t="s">
        <v>155</v>
      </c>
      <c r="F54" s="89" t="s">
        <v>144</v>
      </c>
    </row>
    <row r="55" spans="1:7" s="70" customFormat="1" ht="30" customHeight="1">
      <c r="B55" s="17" t="str">
        <f>B49</f>
        <v>FARMÁCIA</v>
      </c>
      <c r="C55" s="85">
        <v>1</v>
      </c>
      <c r="D55" s="85">
        <v>0.35</v>
      </c>
      <c r="E55" s="85">
        <v>0.1</v>
      </c>
      <c r="F55" s="85">
        <f>ROUND(C55*D55*E55,2)</f>
        <v>0.04</v>
      </c>
    </row>
    <row r="56" spans="1:7" s="70" customFormat="1" ht="30" customHeight="1">
      <c r="B56" s="67"/>
      <c r="E56" s="87" t="s">
        <v>149</v>
      </c>
      <c r="F56" s="90">
        <f>SUM(F55)</f>
        <v>0.04</v>
      </c>
      <c r="G56" s="75" t="s">
        <v>144</v>
      </c>
    </row>
    <row r="57" spans="1:7">
      <c r="B57" s="88"/>
    </row>
    <row r="58" spans="1:7" ht="21" customHeight="1">
      <c r="B58" s="463" t="s">
        <v>158</v>
      </c>
      <c r="C58" s="464"/>
      <c r="D58" s="464"/>
      <c r="E58" s="465"/>
      <c r="F58" s="108"/>
    </row>
    <row r="59" spans="1:7" ht="24.75" customHeight="1">
      <c r="B59" s="91" t="s">
        <v>146</v>
      </c>
      <c r="C59" s="91" t="s">
        <v>133</v>
      </c>
      <c r="D59" s="91" t="s">
        <v>134</v>
      </c>
      <c r="E59" s="91" t="s">
        <v>157</v>
      </c>
    </row>
    <row r="60" spans="1:7" ht="27" customHeight="1">
      <c r="B60" s="92" t="str">
        <f>B55</f>
        <v>FARMÁCIA</v>
      </c>
      <c r="C60" s="93">
        <v>1</v>
      </c>
      <c r="D60" s="93">
        <v>1</v>
      </c>
      <c r="E60" s="93">
        <f>ROUND(C60*D60,2)</f>
        <v>1</v>
      </c>
    </row>
    <row r="61" spans="1:7">
      <c r="B61" s="88"/>
      <c r="D61" s="95" t="s">
        <v>149</v>
      </c>
      <c r="E61" s="96">
        <f>E60</f>
        <v>1</v>
      </c>
      <c r="F61" s="94" t="s">
        <v>137</v>
      </c>
    </row>
    <row r="62" spans="1:7" ht="15" customHeight="1"/>
    <row r="63" spans="1:7" ht="15" customHeight="1">
      <c r="B63" s="107" t="s">
        <v>32</v>
      </c>
    </row>
    <row r="64" spans="1:7" s="70" customFormat="1" ht="30" customHeight="1">
      <c r="A64" s="67"/>
      <c r="B64" s="462" t="s">
        <v>159</v>
      </c>
      <c r="C64" s="462"/>
      <c r="D64" s="462"/>
      <c r="E64" s="462"/>
      <c r="F64" s="84"/>
    </row>
    <row r="65" spans="1:7" s="70" customFormat="1">
      <c r="B65" s="460" t="s">
        <v>146</v>
      </c>
      <c r="C65" s="67" t="s">
        <v>133</v>
      </c>
      <c r="D65" s="89" t="s">
        <v>134</v>
      </c>
      <c r="E65" s="89" t="s">
        <v>157</v>
      </c>
    </row>
    <row r="66" spans="1:7" s="70" customFormat="1" ht="30" customHeight="1">
      <c r="B66" s="461"/>
      <c r="C66" s="89" t="s">
        <v>155</v>
      </c>
      <c r="D66" s="89" t="s">
        <v>155</v>
      </c>
      <c r="E66" s="89" t="s">
        <v>144</v>
      </c>
    </row>
    <row r="67" spans="1:7" s="70" customFormat="1" ht="30" customHeight="1">
      <c r="B67" s="17" t="str">
        <f>B63</f>
        <v>COLETA</v>
      </c>
      <c r="C67" s="85">
        <v>3.1</v>
      </c>
      <c r="D67" s="85">
        <v>2.1</v>
      </c>
      <c r="E67" s="85">
        <f>ROUND(C67*D67,2)</f>
        <v>6.51</v>
      </c>
    </row>
    <row r="68" spans="1:7" s="70" customFormat="1" ht="30" customHeight="1">
      <c r="B68" s="67"/>
      <c r="D68" s="87" t="s">
        <v>149</v>
      </c>
      <c r="E68" s="90">
        <f>SUM(E67:E67)</f>
        <v>6.51</v>
      </c>
      <c r="F68" s="75" t="s">
        <v>137</v>
      </c>
    </row>
    <row r="69" spans="1:7" s="70" customFormat="1" ht="30" customHeight="1">
      <c r="B69" s="67"/>
      <c r="D69" s="87"/>
      <c r="E69" s="72"/>
      <c r="F69" s="75"/>
      <c r="G69" s="70" t="s">
        <v>74</v>
      </c>
    </row>
    <row r="70" spans="1:7" ht="15" customHeight="1">
      <c r="B70" s="107" t="s">
        <v>34</v>
      </c>
    </row>
    <row r="71" spans="1:7" s="70" customFormat="1" ht="30" customHeight="1">
      <c r="A71" s="67"/>
      <c r="B71" s="462" t="s">
        <v>159</v>
      </c>
      <c r="C71" s="462"/>
      <c r="D71" s="462"/>
      <c r="E71" s="462"/>
      <c r="F71" s="84"/>
    </row>
    <row r="72" spans="1:7" s="70" customFormat="1">
      <c r="B72" s="460" t="s">
        <v>146</v>
      </c>
      <c r="C72" s="67" t="s">
        <v>133</v>
      </c>
      <c r="D72" s="89" t="s">
        <v>134</v>
      </c>
      <c r="E72" s="89" t="s">
        <v>157</v>
      </c>
    </row>
    <row r="73" spans="1:7" s="70" customFormat="1" ht="30" customHeight="1">
      <c r="B73" s="461"/>
      <c r="C73" s="89" t="s">
        <v>155</v>
      </c>
      <c r="D73" s="89" t="s">
        <v>155</v>
      </c>
      <c r="E73" s="89" t="s">
        <v>144</v>
      </c>
    </row>
    <row r="74" spans="1:7" s="70" customFormat="1" ht="30" customHeight="1">
      <c r="B74" s="17" t="str">
        <f>B70</f>
        <v>CIRCULAÇÃO (ACESSO RESTRITO)</v>
      </c>
      <c r="C74" s="85">
        <v>3</v>
      </c>
      <c r="D74" s="85">
        <v>2.1</v>
      </c>
      <c r="E74" s="85">
        <f>ROUND(C74*D74,2)</f>
        <v>6.3</v>
      </c>
    </row>
    <row r="75" spans="1:7" s="70" customFormat="1" ht="30" customHeight="1">
      <c r="B75" s="67"/>
      <c r="D75" s="87" t="s">
        <v>149</v>
      </c>
      <c r="E75" s="90">
        <f>SUM(E74:E74)</f>
        <v>6.3</v>
      </c>
      <c r="F75" s="75" t="s">
        <v>137</v>
      </c>
    </row>
    <row r="76" spans="1:7" s="70" customFormat="1" ht="30" customHeight="1">
      <c r="B76" s="67"/>
      <c r="D76" s="87"/>
      <c r="E76" s="72"/>
      <c r="F76" s="75"/>
    </row>
    <row r="77" spans="1:7" ht="15" customHeight="1">
      <c r="B77" s="107" t="s">
        <v>160</v>
      </c>
    </row>
    <row r="78" spans="1:7" s="70" customFormat="1" ht="30" customHeight="1">
      <c r="A78" s="67"/>
      <c r="B78" s="462" t="s">
        <v>161</v>
      </c>
      <c r="C78" s="462"/>
      <c r="D78" s="462"/>
      <c r="E78" s="462"/>
      <c r="F78" s="84"/>
    </row>
    <row r="79" spans="1:7" s="70" customFormat="1">
      <c r="B79" s="460" t="s">
        <v>146</v>
      </c>
      <c r="C79" s="67" t="s">
        <v>133</v>
      </c>
      <c r="D79" s="89" t="s">
        <v>134</v>
      </c>
      <c r="E79" s="89" t="s">
        <v>157</v>
      </c>
    </row>
    <row r="80" spans="1:7" s="70" customFormat="1" ht="30" customHeight="1">
      <c r="B80" s="461"/>
      <c r="C80" s="89" t="s">
        <v>155</v>
      </c>
      <c r="D80" s="89" t="s">
        <v>155</v>
      </c>
      <c r="E80" s="89" t="s">
        <v>144</v>
      </c>
    </row>
    <row r="81" spans="1:6" s="70" customFormat="1" ht="30" customHeight="1">
      <c r="B81" s="17" t="str">
        <f>B77</f>
        <v>ÁREA EXTERNA</v>
      </c>
      <c r="C81" s="85">
        <v>24.85</v>
      </c>
      <c r="D81" s="85">
        <v>1</v>
      </c>
      <c r="E81" s="85">
        <f>ROUND(C81*D81,2)</f>
        <v>24.85</v>
      </c>
    </row>
    <row r="82" spans="1:6" s="70" customFormat="1" ht="30" customHeight="1">
      <c r="B82" s="67"/>
      <c r="D82" s="87" t="s">
        <v>149</v>
      </c>
      <c r="E82" s="90">
        <f>SUM(E81:E81)</f>
        <v>24.85</v>
      </c>
      <c r="F82" s="75" t="s">
        <v>137</v>
      </c>
    </row>
    <row r="83" spans="1:6" s="70" customFormat="1" ht="30" customHeight="1">
      <c r="B83" s="67"/>
      <c r="D83" s="87"/>
      <c r="E83" s="72"/>
      <c r="F83" s="75"/>
    </row>
    <row r="84" spans="1:6" ht="15" customHeight="1">
      <c r="B84" s="107" t="s">
        <v>36</v>
      </c>
    </row>
    <row r="85" spans="1:6" s="70" customFormat="1" ht="30" customHeight="1">
      <c r="A85" s="67"/>
      <c r="B85" s="462" t="s">
        <v>162</v>
      </c>
      <c r="C85" s="462"/>
      <c r="D85" s="462"/>
      <c r="E85" s="462"/>
      <c r="F85" s="84"/>
    </row>
    <row r="86" spans="1:6" s="70" customFormat="1">
      <c r="B86" s="460" t="s">
        <v>146</v>
      </c>
      <c r="C86" s="67" t="s">
        <v>163</v>
      </c>
      <c r="D86" s="89" t="s">
        <v>134</v>
      </c>
      <c r="E86" s="89" t="s">
        <v>154</v>
      </c>
    </row>
    <row r="87" spans="1:6" s="70" customFormat="1" ht="30" customHeight="1">
      <c r="B87" s="461"/>
      <c r="C87" s="89" t="s">
        <v>137</v>
      </c>
      <c r="D87" s="89" t="s">
        <v>155</v>
      </c>
      <c r="E87" s="89" t="s">
        <v>144</v>
      </c>
    </row>
    <row r="88" spans="1:6" s="70" customFormat="1" ht="30" customHeight="1">
      <c r="B88" s="17" t="s">
        <v>164</v>
      </c>
      <c r="C88" s="85">
        <v>44.08</v>
      </c>
      <c r="D88" s="85">
        <v>7.0000000000000007E-2</v>
      </c>
      <c r="E88" s="85">
        <f>ROUND(C88*D88,2)</f>
        <v>3.09</v>
      </c>
    </row>
    <row r="89" spans="1:6" s="70" customFormat="1" ht="30" customHeight="1">
      <c r="B89" s="17" t="s">
        <v>165</v>
      </c>
      <c r="C89" s="85">
        <v>96.52</v>
      </c>
      <c r="D89" s="85">
        <v>7.0000000000000007E-2</v>
      </c>
      <c r="E89" s="85">
        <f>ROUND(C89*D89,2)</f>
        <v>6.76</v>
      </c>
    </row>
    <row r="90" spans="1:6" s="70" customFormat="1" ht="30" customHeight="1">
      <c r="B90" s="67"/>
      <c r="D90" s="87" t="s">
        <v>149</v>
      </c>
      <c r="E90" s="90">
        <f>SUM(E88:E89)</f>
        <v>9.85</v>
      </c>
      <c r="F90" s="75" t="s">
        <v>144</v>
      </c>
    </row>
    <row r="91" spans="1:6" s="70" customFormat="1" ht="30" customHeight="1">
      <c r="B91" s="67"/>
      <c r="D91" s="87"/>
      <c r="E91" s="72"/>
      <c r="F91" s="75"/>
    </row>
    <row r="92" spans="1:6" ht="15" customHeight="1">
      <c r="B92" s="107" t="s">
        <v>166</v>
      </c>
    </row>
    <row r="93" spans="1:6" s="70" customFormat="1" ht="30" customHeight="1">
      <c r="A93" s="67"/>
      <c r="B93" s="462" t="s">
        <v>167</v>
      </c>
      <c r="C93" s="462"/>
      <c r="D93" s="462"/>
      <c r="E93" s="462"/>
      <c r="F93" s="84"/>
    </row>
    <row r="94" spans="1:6" s="70" customFormat="1">
      <c r="B94" s="460" t="s">
        <v>146</v>
      </c>
      <c r="C94" s="466" t="s">
        <v>147</v>
      </c>
      <c r="D94" s="467"/>
      <c r="E94" s="468"/>
    </row>
    <row r="95" spans="1:6" s="70" customFormat="1" ht="30" customHeight="1">
      <c r="B95" s="461"/>
      <c r="C95" s="469"/>
      <c r="D95" s="470"/>
      <c r="E95" s="471"/>
    </row>
    <row r="96" spans="1:6" s="70" customFormat="1" ht="30" customHeight="1">
      <c r="B96" s="17" t="str">
        <f>B92</f>
        <v>RESERVATORIOS</v>
      </c>
      <c r="C96" s="472">
        <v>3</v>
      </c>
      <c r="D96" s="473"/>
      <c r="E96" s="474"/>
    </row>
    <row r="97" spans="2:7" s="70" customFormat="1" ht="30" customHeight="1">
      <c r="B97" s="67"/>
      <c r="D97" s="87" t="s">
        <v>149</v>
      </c>
      <c r="E97" s="90">
        <f>C96</f>
        <v>3</v>
      </c>
      <c r="F97" s="75" t="s">
        <v>168</v>
      </c>
    </row>
    <row r="98" spans="2:7" s="70" customFormat="1" ht="30" customHeight="1">
      <c r="B98" s="67"/>
      <c r="D98" s="87"/>
      <c r="E98" s="72"/>
      <c r="F98" s="75"/>
    </row>
    <row r="99" spans="2:7" ht="23.25" customHeight="1">
      <c r="B99" s="475" t="s">
        <v>169</v>
      </c>
      <c r="C99" s="476"/>
      <c r="D99" s="476"/>
      <c r="E99" s="476"/>
      <c r="F99" s="477"/>
    </row>
    <row r="100" spans="2:7">
      <c r="B100" s="478" t="s">
        <v>170</v>
      </c>
      <c r="C100" s="478" t="s">
        <v>157</v>
      </c>
      <c r="D100" s="478" t="s">
        <v>17</v>
      </c>
      <c r="E100" s="478" t="s">
        <v>171</v>
      </c>
      <c r="F100" s="404" t="s">
        <v>140</v>
      </c>
    </row>
    <row r="101" spans="2:7">
      <c r="B101" s="479"/>
      <c r="C101" s="479"/>
      <c r="D101" s="479"/>
      <c r="E101" s="479"/>
      <c r="F101" s="97" t="s">
        <v>144</v>
      </c>
    </row>
    <row r="102" spans="2:7">
      <c r="B102" s="92" t="str">
        <f>B28</f>
        <v>DEMOLIÇÃO DE ALVENARIA</v>
      </c>
      <c r="C102" s="93"/>
      <c r="D102" s="102"/>
      <c r="E102" s="102">
        <f>F32+F50</f>
        <v>0.14000000000000001</v>
      </c>
      <c r="F102" s="102">
        <f>E102</f>
        <v>0.14000000000000001</v>
      </c>
    </row>
    <row r="103" spans="2:7">
      <c r="B103" s="92" t="str">
        <f>B34</f>
        <v>RETIRADA DE BALCÃO</v>
      </c>
      <c r="C103" s="93"/>
      <c r="D103" s="102"/>
      <c r="E103" s="102">
        <f>F38+F56</f>
        <v>0.11000000000000001</v>
      </c>
      <c r="F103" s="102">
        <f>E103</f>
        <v>0.11000000000000001</v>
      </c>
    </row>
    <row r="104" spans="2:7" ht="25.5">
      <c r="B104" s="93" t="str">
        <f>B40</f>
        <v>RETIRADA DE ESQUADRIA EM VIDRO</v>
      </c>
      <c r="C104" s="93">
        <f>E43+E61</f>
        <v>3</v>
      </c>
      <c r="D104" s="102">
        <v>1</v>
      </c>
      <c r="E104" s="102">
        <v>0.03</v>
      </c>
      <c r="F104" s="102">
        <f>E104*D104*C104</f>
        <v>0.09</v>
      </c>
    </row>
    <row r="105" spans="2:7">
      <c r="B105" s="93" t="str">
        <f>B64</f>
        <v>RETIRADA DE DIVISÓRIA</v>
      </c>
      <c r="C105" s="93">
        <f>E68+E75</f>
        <v>12.809999999999999</v>
      </c>
      <c r="D105" s="102">
        <v>1</v>
      </c>
      <c r="E105" s="102">
        <v>0.03</v>
      </c>
      <c r="F105" s="102">
        <f>E105*D105*C105</f>
        <v>0.38429999999999997</v>
      </c>
    </row>
    <row r="106" spans="2:7">
      <c r="B106" s="93" t="str">
        <f>B78</f>
        <v>DEMOLIÇÃO DE ALAMBRADO</v>
      </c>
      <c r="C106" s="93">
        <f>E82</f>
        <v>24.85</v>
      </c>
      <c r="D106" s="102">
        <v>1</v>
      </c>
      <c r="E106" s="102">
        <v>0.03</v>
      </c>
      <c r="F106" s="102">
        <f>E106*D106*C106</f>
        <v>0.74550000000000005</v>
      </c>
    </row>
    <row r="107" spans="2:7">
      <c r="B107" s="93" t="str">
        <f>B85</f>
        <v>DEMOLIÇÃO DE PISO</v>
      </c>
      <c r="C107" s="93"/>
      <c r="D107" s="102"/>
      <c r="E107" s="102">
        <f>E90</f>
        <v>9.85</v>
      </c>
      <c r="F107" s="102">
        <f>E107</f>
        <v>9.85</v>
      </c>
    </row>
    <row r="108" spans="2:7">
      <c r="B108" s="93" t="str">
        <f>B93</f>
        <v>DEMOLIÇÃO DE CAIXAS D'AGUA</v>
      </c>
      <c r="C108" s="93">
        <v>1</v>
      </c>
      <c r="D108" s="102">
        <f>E97</f>
        <v>3</v>
      </c>
      <c r="E108" s="102">
        <v>0.01</v>
      </c>
      <c r="F108" s="102">
        <f>E108</f>
        <v>0.01</v>
      </c>
    </row>
    <row r="109" spans="2:7">
      <c r="B109" s="93" t="s">
        <v>172</v>
      </c>
      <c r="C109" s="93">
        <v>1</v>
      </c>
      <c r="D109" s="102">
        <f>E98</f>
        <v>0</v>
      </c>
      <c r="E109" s="102">
        <f>I226+I251</f>
        <v>1.6442000000000001</v>
      </c>
      <c r="F109" s="102">
        <f>E109</f>
        <v>1.6442000000000001</v>
      </c>
    </row>
    <row r="110" spans="2:7" s="70" customFormat="1" ht="23.25" customHeight="1">
      <c r="B110" s="104"/>
      <c r="C110" s="104"/>
      <c r="D110" s="104"/>
      <c r="E110" s="104"/>
      <c r="F110" s="405">
        <f>SUM(F102:F109)</f>
        <v>12.973999999999998</v>
      </c>
      <c r="G110" s="73"/>
    </row>
    <row r="111" spans="2:7" s="70" customFormat="1" ht="21.75" customHeight="1">
      <c r="B111" s="104"/>
      <c r="C111" s="104"/>
      <c r="D111" s="99"/>
      <c r="E111" s="98"/>
      <c r="F111" s="105">
        <v>1.3</v>
      </c>
      <c r="G111" s="106"/>
    </row>
    <row r="112" spans="2:7" s="70" customFormat="1" ht="21.75" customHeight="1">
      <c r="B112" s="104"/>
      <c r="C112" s="104"/>
      <c r="D112" s="99"/>
      <c r="E112" s="98"/>
      <c r="F112" s="105">
        <f>ROUND(F110*F111,2)</f>
        <v>16.87</v>
      </c>
      <c r="G112" s="107" t="s">
        <v>144</v>
      </c>
    </row>
    <row r="113" spans="2:7">
      <c r="B113" s="104"/>
      <c r="C113" s="104"/>
      <c r="D113" s="99"/>
      <c r="E113" s="98"/>
      <c r="F113" s="104"/>
      <c r="G113" s="107"/>
    </row>
    <row r="114" spans="2:7" ht="15" customHeight="1">
      <c r="B114" s="88" t="s">
        <v>41</v>
      </c>
    </row>
    <row r="115" spans="2:7" ht="15" customHeight="1">
      <c r="B115" s="138" t="s">
        <v>27</v>
      </c>
    </row>
    <row r="116" spans="2:7" ht="43.5" customHeight="1">
      <c r="B116" s="485" t="s">
        <v>173</v>
      </c>
      <c r="C116" s="485"/>
      <c r="D116" s="485"/>
      <c r="E116" s="485"/>
      <c r="F116" s="108"/>
    </row>
    <row r="117" spans="2:7" ht="24.75" customHeight="1">
      <c r="B117" s="91" t="s">
        <v>146</v>
      </c>
      <c r="C117" s="91" t="s">
        <v>133</v>
      </c>
      <c r="D117" s="91" t="s">
        <v>139</v>
      </c>
      <c r="E117" s="91" t="s">
        <v>157</v>
      </c>
    </row>
    <row r="118" spans="2:7" ht="27" customHeight="1">
      <c r="B118" s="92" t="str">
        <f>B115</f>
        <v>RECEPÇÃO</v>
      </c>
      <c r="C118" s="93">
        <v>2</v>
      </c>
      <c r="D118" s="93">
        <v>0.6</v>
      </c>
      <c r="E118" s="93">
        <f>ROUND(C118*D118,2)</f>
        <v>1.2</v>
      </c>
    </row>
    <row r="119" spans="2:7">
      <c r="D119" s="95" t="s">
        <v>149</v>
      </c>
      <c r="E119" s="96">
        <f>SUM(E118:E118)</f>
        <v>1.2</v>
      </c>
      <c r="F119" s="94" t="s">
        <v>137</v>
      </c>
    </row>
    <row r="120" spans="2:7" ht="15" customHeight="1">
      <c r="B120" s="88"/>
    </row>
    <row r="121" spans="2:7" ht="43.5" customHeight="1">
      <c r="B121" s="485" t="s">
        <v>174</v>
      </c>
      <c r="C121" s="485"/>
      <c r="D121" s="485"/>
      <c r="E121" s="485"/>
      <c r="F121" s="108"/>
    </row>
    <row r="122" spans="2:7" ht="24.75" customHeight="1">
      <c r="B122" s="91" t="s">
        <v>146</v>
      </c>
      <c r="C122" s="91" t="s">
        <v>163</v>
      </c>
      <c r="D122" s="91" t="s">
        <v>175</v>
      </c>
      <c r="E122" s="91" t="s">
        <v>175</v>
      </c>
    </row>
    <row r="123" spans="2:7" ht="27" customHeight="1">
      <c r="B123" s="92" t="str">
        <f>B115</f>
        <v>RECEPÇÃO</v>
      </c>
      <c r="C123" s="93">
        <f>E43</f>
        <v>2</v>
      </c>
      <c r="D123" s="93">
        <v>1</v>
      </c>
      <c r="E123" s="93">
        <f>C123*D123</f>
        <v>2</v>
      </c>
    </row>
    <row r="124" spans="2:7">
      <c r="D124" s="95" t="s">
        <v>149</v>
      </c>
      <c r="E124" s="96">
        <f>SUM(E123:E123)</f>
        <v>2</v>
      </c>
      <c r="F124" s="94" t="s">
        <v>137</v>
      </c>
    </row>
    <row r="125" spans="2:7" ht="15" customHeight="1">
      <c r="B125" s="88"/>
    </row>
    <row r="126" spans="2:7" ht="43.5" customHeight="1">
      <c r="B126" s="485" t="s">
        <v>176</v>
      </c>
      <c r="C126" s="485"/>
      <c r="D126" s="485"/>
      <c r="E126" s="485"/>
      <c r="F126" s="108"/>
    </row>
    <row r="127" spans="2:7" ht="24.75" customHeight="1">
      <c r="B127" s="91" t="s">
        <v>146</v>
      </c>
      <c r="C127" s="91" t="s">
        <v>163</v>
      </c>
      <c r="D127" s="91" t="s">
        <v>175</v>
      </c>
      <c r="E127" s="91" t="s">
        <v>175</v>
      </c>
    </row>
    <row r="128" spans="2:7" ht="27" customHeight="1">
      <c r="B128" s="92" t="str">
        <f>B115</f>
        <v>RECEPÇÃO</v>
      </c>
      <c r="C128" s="93">
        <v>0.9</v>
      </c>
      <c r="D128" s="93">
        <v>1</v>
      </c>
      <c r="E128" s="93">
        <f>C128*D128</f>
        <v>0.9</v>
      </c>
    </row>
    <row r="129" spans="2:6">
      <c r="D129" s="95" t="s">
        <v>149</v>
      </c>
      <c r="E129" s="96">
        <f>SUM(E128:E128)</f>
        <v>0.9</v>
      </c>
      <c r="F129" s="94" t="s">
        <v>137</v>
      </c>
    </row>
    <row r="130" spans="2:6">
      <c r="D130" s="95"/>
      <c r="E130" s="99"/>
      <c r="F130" s="94"/>
    </row>
    <row r="131" spans="2:6" ht="15" customHeight="1">
      <c r="B131" s="138" t="s">
        <v>177</v>
      </c>
    </row>
    <row r="132" spans="2:6" ht="43.5" customHeight="1">
      <c r="B132" s="485" t="s">
        <v>173</v>
      </c>
      <c r="C132" s="485"/>
      <c r="D132" s="485"/>
      <c r="E132" s="485"/>
      <c r="F132" s="108"/>
    </row>
    <row r="133" spans="2:6" ht="24.75" customHeight="1">
      <c r="B133" s="91" t="s">
        <v>146</v>
      </c>
      <c r="C133" s="91" t="s">
        <v>133</v>
      </c>
      <c r="D133" s="91" t="s">
        <v>139</v>
      </c>
      <c r="E133" s="91" t="s">
        <v>157</v>
      </c>
    </row>
    <row r="134" spans="2:6" ht="27" customHeight="1">
      <c r="B134" s="92" t="str">
        <f>B131</f>
        <v>FARMACIA</v>
      </c>
      <c r="C134" s="93">
        <v>2</v>
      </c>
      <c r="D134" s="93">
        <v>0.6</v>
      </c>
      <c r="E134" s="93">
        <f>ROUND(C134*D134,2)</f>
        <v>1.2</v>
      </c>
    </row>
    <row r="135" spans="2:6">
      <c r="D135" s="95" t="s">
        <v>149</v>
      </c>
      <c r="E135" s="96">
        <f>SUM(E134:E134)</f>
        <v>1.2</v>
      </c>
      <c r="F135" s="94" t="s">
        <v>137</v>
      </c>
    </row>
    <row r="136" spans="2:6" ht="15" customHeight="1">
      <c r="B136" s="88"/>
    </row>
    <row r="137" spans="2:6" ht="43.5" customHeight="1">
      <c r="B137" s="485" t="s">
        <v>174</v>
      </c>
      <c r="C137" s="485"/>
      <c r="D137" s="485"/>
      <c r="E137" s="485"/>
      <c r="F137" s="108"/>
    </row>
    <row r="138" spans="2:6" ht="24.75" customHeight="1">
      <c r="B138" s="91" t="s">
        <v>146</v>
      </c>
      <c r="C138" s="91" t="s">
        <v>163</v>
      </c>
      <c r="D138" s="91" t="s">
        <v>175</v>
      </c>
      <c r="E138" s="91" t="s">
        <v>175</v>
      </c>
    </row>
    <row r="139" spans="2:6" ht="27" customHeight="1">
      <c r="B139" s="92" t="str">
        <f>B131</f>
        <v>FARMACIA</v>
      </c>
      <c r="C139" s="93">
        <f>E61</f>
        <v>1</v>
      </c>
      <c r="D139" s="93">
        <v>1</v>
      </c>
      <c r="E139" s="93">
        <f>C139*D139</f>
        <v>1</v>
      </c>
    </row>
    <row r="140" spans="2:6">
      <c r="D140" s="95" t="s">
        <v>149</v>
      </c>
      <c r="E140" s="96">
        <f>SUM(E139:E139)</f>
        <v>1</v>
      </c>
      <c r="F140" s="94" t="s">
        <v>137</v>
      </c>
    </row>
    <row r="141" spans="2:6" ht="15" customHeight="1">
      <c r="B141" s="88"/>
    </row>
    <row r="142" spans="2:6" ht="43.5" customHeight="1">
      <c r="B142" s="485" t="s">
        <v>176</v>
      </c>
      <c r="C142" s="485"/>
      <c r="D142" s="485"/>
      <c r="E142" s="485"/>
      <c r="F142" s="108"/>
    </row>
    <row r="143" spans="2:6" ht="24.75" customHeight="1">
      <c r="B143" s="91" t="s">
        <v>146</v>
      </c>
      <c r="C143" s="91" t="s">
        <v>163</v>
      </c>
      <c r="D143" s="91" t="s">
        <v>175</v>
      </c>
      <c r="E143" s="91" t="s">
        <v>175</v>
      </c>
    </row>
    <row r="144" spans="2:6" ht="27" customHeight="1">
      <c r="B144" s="92" t="str">
        <f>B131</f>
        <v>FARMACIA</v>
      </c>
      <c r="C144" s="93">
        <v>0.76</v>
      </c>
      <c r="D144" s="93">
        <v>1</v>
      </c>
      <c r="E144" s="93">
        <f>C144*D144</f>
        <v>0.76</v>
      </c>
    </row>
    <row r="145" spans="2:11">
      <c r="D145" s="95" t="s">
        <v>149</v>
      </c>
      <c r="E145" s="96">
        <f>SUM(E144:E144)</f>
        <v>0.76</v>
      </c>
      <c r="F145" s="94" t="s">
        <v>137</v>
      </c>
    </row>
    <row r="146" spans="2:11">
      <c r="D146" s="95"/>
      <c r="E146" s="99"/>
      <c r="F146" s="94"/>
    </row>
    <row r="147" spans="2:11" ht="15" customHeight="1">
      <c r="B147" s="138" t="s">
        <v>32</v>
      </c>
    </row>
    <row r="148" spans="2:11" ht="43.5" customHeight="1">
      <c r="B148" s="485" t="s">
        <v>178</v>
      </c>
      <c r="C148" s="485"/>
      <c r="D148" s="485"/>
      <c r="E148" s="485"/>
      <c r="F148" s="108"/>
      <c r="G148" s="485" t="s">
        <v>179</v>
      </c>
      <c r="H148" s="485"/>
      <c r="I148" s="485"/>
      <c r="J148" s="485"/>
      <c r="K148" s="108"/>
    </row>
    <row r="149" spans="2:11" ht="24.75" customHeight="1">
      <c r="B149" s="91" t="s">
        <v>146</v>
      </c>
      <c r="C149" s="91" t="s">
        <v>133</v>
      </c>
      <c r="D149" s="91" t="s">
        <v>134</v>
      </c>
      <c r="E149" s="91" t="s">
        <v>157</v>
      </c>
      <c r="G149" s="91" t="s">
        <v>146</v>
      </c>
      <c r="H149" s="91" t="s">
        <v>133</v>
      </c>
      <c r="I149" s="91" t="s">
        <v>180</v>
      </c>
      <c r="J149" s="91" t="s">
        <v>149</v>
      </c>
    </row>
    <row r="150" spans="2:11" ht="27" customHeight="1">
      <c r="B150" s="92" t="str">
        <f>B147</f>
        <v>COLETA</v>
      </c>
      <c r="C150" s="93">
        <f>2.6+2.3+0.94</f>
        <v>5.84</v>
      </c>
      <c r="D150" s="93">
        <v>0.2</v>
      </c>
      <c r="E150" s="93">
        <f>ROUND(C150*D150,2)</f>
        <v>1.17</v>
      </c>
      <c r="G150" s="92" t="str">
        <f>B166</f>
        <v>COLETA</v>
      </c>
      <c r="H150" s="93">
        <f>C150</f>
        <v>5.84</v>
      </c>
      <c r="I150" s="93">
        <v>2</v>
      </c>
      <c r="J150" s="93">
        <f>ROUND(H150*I150,2)</f>
        <v>11.68</v>
      </c>
    </row>
    <row r="151" spans="2:11">
      <c r="D151" s="95" t="s">
        <v>149</v>
      </c>
      <c r="E151" s="96">
        <f>SUM(E150:E150)</f>
        <v>1.17</v>
      </c>
      <c r="F151" s="94" t="s">
        <v>137</v>
      </c>
      <c r="I151" s="95" t="s">
        <v>149</v>
      </c>
      <c r="J151" s="96">
        <f>SUM(J150)</f>
        <v>11.68</v>
      </c>
      <c r="K151" s="94" t="s">
        <v>155</v>
      </c>
    </row>
    <row r="152" spans="2:11" ht="15" customHeight="1">
      <c r="B152" s="88"/>
    </row>
    <row r="153" spans="2:11" ht="43.5" customHeight="1">
      <c r="B153" s="485" t="s">
        <v>181</v>
      </c>
      <c r="C153" s="485"/>
      <c r="D153" s="485"/>
      <c r="E153" s="485"/>
      <c r="F153" s="485"/>
    </row>
    <row r="154" spans="2:11" ht="24.75" customHeight="1">
      <c r="B154" s="91" t="s">
        <v>146</v>
      </c>
      <c r="C154" s="91" t="s">
        <v>133</v>
      </c>
      <c r="D154" s="91" t="s">
        <v>134</v>
      </c>
      <c r="E154" s="91" t="s">
        <v>180</v>
      </c>
      <c r="F154" s="91" t="s">
        <v>157</v>
      </c>
    </row>
    <row r="155" spans="2:11" ht="27" customHeight="1">
      <c r="B155" s="92" t="str">
        <f>B147</f>
        <v>COLETA</v>
      </c>
      <c r="C155" s="93">
        <f>C150</f>
        <v>5.84</v>
      </c>
      <c r="D155" s="93">
        <f>D150</f>
        <v>0.2</v>
      </c>
      <c r="E155" s="93">
        <v>3</v>
      </c>
      <c r="F155" s="93">
        <f>ROUND(C155*D155*E155,2)</f>
        <v>3.5</v>
      </c>
    </row>
    <row r="156" spans="2:11">
      <c r="E156" s="95" t="s">
        <v>149</v>
      </c>
      <c r="F156" s="96">
        <f>SUM(F155:F155)</f>
        <v>3.5</v>
      </c>
      <c r="G156" s="94" t="s">
        <v>137</v>
      </c>
    </row>
    <row r="157" spans="2:11" ht="15" customHeight="1">
      <c r="B157" s="88"/>
    </row>
    <row r="158" spans="2:11" ht="43.5" customHeight="1">
      <c r="B158" s="485" t="s">
        <v>182</v>
      </c>
      <c r="C158" s="485"/>
      <c r="D158" s="485"/>
      <c r="E158" s="485"/>
      <c r="F158" s="485"/>
    </row>
    <row r="159" spans="2:11" ht="24.75" customHeight="1">
      <c r="B159" s="91" t="s">
        <v>146</v>
      </c>
      <c r="C159" s="91" t="s">
        <v>133</v>
      </c>
      <c r="D159" s="91" t="s">
        <v>134</v>
      </c>
      <c r="E159" s="91" t="s">
        <v>180</v>
      </c>
      <c r="F159" s="91" t="s">
        <v>157</v>
      </c>
    </row>
    <row r="160" spans="2:11" ht="27" customHeight="1">
      <c r="B160" s="92" t="str">
        <f>B147</f>
        <v>COLETA</v>
      </c>
      <c r="C160" s="93">
        <f>C150</f>
        <v>5.84</v>
      </c>
      <c r="D160" s="93">
        <f>D150</f>
        <v>0.2</v>
      </c>
      <c r="E160" s="93">
        <v>3</v>
      </c>
      <c r="F160" s="93">
        <f>ROUND(C160*D160*E160,2)</f>
        <v>3.5</v>
      </c>
    </row>
    <row r="161" spans="2:11">
      <c r="E161" s="95" t="s">
        <v>149</v>
      </c>
      <c r="F161" s="96">
        <f>SUM(F160:F160)</f>
        <v>3.5</v>
      </c>
      <c r="G161" s="94" t="s">
        <v>137</v>
      </c>
    </row>
    <row r="162" spans="2:11" ht="15" customHeight="1">
      <c r="B162" s="88"/>
    </row>
    <row r="163" spans="2:11" ht="15" customHeight="1">
      <c r="B163" s="88"/>
    </row>
    <row r="164" spans="2:11" ht="43.5" customHeight="1">
      <c r="B164" s="485" t="s">
        <v>183</v>
      </c>
      <c r="C164" s="485"/>
      <c r="D164" s="485"/>
      <c r="E164" s="485"/>
      <c r="F164" s="108"/>
    </row>
    <row r="165" spans="2:11" ht="24.75" customHeight="1">
      <c r="B165" s="91" t="s">
        <v>146</v>
      </c>
      <c r="C165" s="91" t="s">
        <v>133</v>
      </c>
      <c r="D165" s="91" t="s">
        <v>134</v>
      </c>
      <c r="E165" s="91" t="s">
        <v>157</v>
      </c>
    </row>
    <row r="166" spans="2:11" ht="27" customHeight="1">
      <c r="B166" s="92" t="str">
        <f>B150</f>
        <v>COLETA</v>
      </c>
      <c r="C166" s="93">
        <f>C150+0.82</f>
        <v>6.66</v>
      </c>
      <c r="D166" s="93">
        <v>2</v>
      </c>
      <c r="E166" s="93">
        <f>ROUND(C166*D166,2)</f>
        <v>13.32</v>
      </c>
    </row>
    <row r="167" spans="2:11">
      <c r="D167" s="95" t="s">
        <v>149</v>
      </c>
      <c r="E167" s="96">
        <f>SUM(E166)</f>
        <v>13.32</v>
      </c>
      <c r="F167" s="94" t="s">
        <v>137</v>
      </c>
    </row>
    <row r="168" spans="2:11" ht="15" customHeight="1">
      <c r="B168" s="88"/>
    </row>
    <row r="169" spans="2:11" ht="43.5" customHeight="1">
      <c r="B169" s="485" t="s">
        <v>184</v>
      </c>
      <c r="C169" s="485"/>
      <c r="D169" s="108"/>
      <c r="E169" s="108"/>
      <c r="F169" s="108"/>
    </row>
    <row r="170" spans="2:11" ht="24.75" customHeight="1">
      <c r="B170" s="91" t="s">
        <v>146</v>
      </c>
      <c r="C170" s="91" t="s">
        <v>147</v>
      </c>
    </row>
    <row r="171" spans="2:11" ht="27" customHeight="1">
      <c r="B171" s="92" t="str">
        <f>B147</f>
        <v>COLETA</v>
      </c>
      <c r="C171" s="93">
        <v>1</v>
      </c>
    </row>
    <row r="172" spans="2:11">
      <c r="B172" s="95" t="s">
        <v>149</v>
      </c>
      <c r="C172" s="96">
        <f>SUM(C171)</f>
        <v>1</v>
      </c>
      <c r="D172" s="94" t="s">
        <v>185</v>
      </c>
    </row>
    <row r="173" spans="2:11" ht="15" customHeight="1">
      <c r="B173" s="88"/>
    </row>
    <row r="174" spans="2:11" ht="15" customHeight="1">
      <c r="B174" s="138" t="s">
        <v>44</v>
      </c>
    </row>
    <row r="175" spans="2:11" ht="43.5" customHeight="1">
      <c r="B175" s="485" t="s">
        <v>178</v>
      </c>
      <c r="C175" s="485"/>
      <c r="D175" s="485"/>
      <c r="E175" s="485"/>
      <c r="F175" s="108"/>
      <c r="G175" s="485" t="s">
        <v>179</v>
      </c>
      <c r="H175" s="485"/>
      <c r="I175" s="485"/>
      <c r="J175" s="485"/>
      <c r="K175" s="108"/>
    </row>
    <row r="176" spans="2:11" ht="24.75" customHeight="1">
      <c r="B176" s="91" t="s">
        <v>146</v>
      </c>
      <c r="C176" s="91" t="s">
        <v>133</v>
      </c>
      <c r="D176" s="91" t="s">
        <v>134</v>
      </c>
      <c r="E176" s="91" t="s">
        <v>157</v>
      </c>
      <c r="G176" s="91" t="s">
        <v>146</v>
      </c>
      <c r="H176" s="91" t="s">
        <v>133</v>
      </c>
      <c r="I176" s="91" t="s">
        <v>180</v>
      </c>
      <c r="J176" s="91" t="s">
        <v>149</v>
      </c>
    </row>
    <row r="177" spans="2:11" ht="27" customHeight="1">
      <c r="B177" s="92" t="str">
        <f>B174</f>
        <v>CIRCULAÇÃO</v>
      </c>
      <c r="C177" s="93">
        <v>2.65</v>
      </c>
      <c r="D177" s="93">
        <v>0.2</v>
      </c>
      <c r="E177" s="93">
        <f>ROUND(C177*D177,2)</f>
        <v>0.53</v>
      </c>
      <c r="G177" s="92" t="str">
        <f>B193</f>
        <v>CIRCULAÇÃO</v>
      </c>
      <c r="H177" s="93">
        <f>C177</f>
        <v>2.65</v>
      </c>
      <c r="I177" s="93">
        <v>2</v>
      </c>
      <c r="J177" s="93">
        <f>ROUND(H177*I177,2)</f>
        <v>5.3</v>
      </c>
    </row>
    <row r="178" spans="2:11">
      <c r="D178" s="95" t="s">
        <v>149</v>
      </c>
      <c r="E178" s="96">
        <f>SUM(E177:E177)</f>
        <v>0.53</v>
      </c>
      <c r="F178" s="94" t="s">
        <v>137</v>
      </c>
      <c r="I178" s="95" t="s">
        <v>149</v>
      </c>
      <c r="J178" s="96">
        <f>SUM(J177)</f>
        <v>5.3</v>
      </c>
      <c r="K178" s="94" t="s">
        <v>155</v>
      </c>
    </row>
    <row r="179" spans="2:11" ht="15" customHeight="1">
      <c r="B179" s="88"/>
    </row>
    <row r="180" spans="2:11" ht="43.5" customHeight="1">
      <c r="B180" s="485" t="s">
        <v>181</v>
      </c>
      <c r="C180" s="485"/>
      <c r="D180" s="485"/>
      <c r="E180" s="485"/>
      <c r="F180" s="485"/>
    </row>
    <row r="181" spans="2:11" ht="24.75" customHeight="1">
      <c r="B181" s="91" t="s">
        <v>146</v>
      </c>
      <c r="C181" s="91" t="s">
        <v>133</v>
      </c>
      <c r="D181" s="91" t="s">
        <v>134</v>
      </c>
      <c r="E181" s="91" t="s">
        <v>180</v>
      </c>
      <c r="F181" s="91" t="s">
        <v>157</v>
      </c>
    </row>
    <row r="182" spans="2:11" ht="27" customHeight="1">
      <c r="B182" s="92" t="str">
        <f>B174</f>
        <v>CIRCULAÇÃO</v>
      </c>
      <c r="C182" s="93">
        <f>C177</f>
        <v>2.65</v>
      </c>
      <c r="D182" s="93">
        <f>D177</f>
        <v>0.2</v>
      </c>
      <c r="E182" s="93">
        <v>3</v>
      </c>
      <c r="F182" s="93">
        <f>ROUND(C182*D182*E182,2)</f>
        <v>1.59</v>
      </c>
    </row>
    <row r="183" spans="2:11">
      <c r="E183" s="95" t="s">
        <v>149</v>
      </c>
      <c r="F183" s="96">
        <f>SUM(F182:F182)</f>
        <v>1.59</v>
      </c>
      <c r="G183" s="94" t="s">
        <v>137</v>
      </c>
    </row>
    <row r="184" spans="2:11" ht="15" customHeight="1">
      <c r="B184" s="88"/>
    </row>
    <row r="185" spans="2:11" ht="43.5" customHeight="1">
      <c r="B185" s="485" t="s">
        <v>182</v>
      </c>
      <c r="C185" s="485"/>
      <c r="D185" s="485"/>
      <c r="E185" s="485"/>
      <c r="F185" s="485"/>
    </row>
    <row r="186" spans="2:11" ht="24.75" customHeight="1">
      <c r="B186" s="91" t="s">
        <v>146</v>
      </c>
      <c r="C186" s="91" t="s">
        <v>133</v>
      </c>
      <c r="D186" s="91" t="s">
        <v>134</v>
      </c>
      <c r="E186" s="91" t="s">
        <v>180</v>
      </c>
      <c r="F186" s="91" t="s">
        <v>157</v>
      </c>
    </row>
    <row r="187" spans="2:11" ht="27" customHeight="1">
      <c r="B187" s="92" t="str">
        <f>B174</f>
        <v>CIRCULAÇÃO</v>
      </c>
      <c r="C187" s="93">
        <f>C177</f>
        <v>2.65</v>
      </c>
      <c r="D187" s="93">
        <f>D177</f>
        <v>0.2</v>
      </c>
      <c r="E187" s="93">
        <v>3</v>
      </c>
      <c r="F187" s="93">
        <f>ROUND(C187*D187*E187,2)</f>
        <v>1.59</v>
      </c>
    </row>
    <row r="188" spans="2:11">
      <c r="E188" s="95" t="s">
        <v>149</v>
      </c>
      <c r="F188" s="96">
        <f>SUM(F187:F187)</f>
        <v>1.59</v>
      </c>
      <c r="G188" s="94" t="s">
        <v>137</v>
      </c>
    </row>
    <row r="189" spans="2:11" ht="15" customHeight="1">
      <c r="B189" s="88"/>
    </row>
    <row r="190" spans="2:11" ht="15" customHeight="1">
      <c r="B190" s="88"/>
    </row>
    <row r="191" spans="2:11" ht="43.5" customHeight="1">
      <c r="B191" s="485" t="s">
        <v>183</v>
      </c>
      <c r="C191" s="485"/>
      <c r="D191" s="485"/>
      <c r="E191" s="485"/>
      <c r="F191" s="108"/>
    </row>
    <row r="192" spans="2:11" ht="24.75" customHeight="1">
      <c r="B192" s="91" t="s">
        <v>146</v>
      </c>
      <c r="C192" s="91" t="s">
        <v>133</v>
      </c>
      <c r="D192" s="91" t="s">
        <v>134</v>
      </c>
      <c r="E192" s="91" t="s">
        <v>157</v>
      </c>
    </row>
    <row r="193" spans="2:11" ht="27" customHeight="1">
      <c r="B193" s="92" t="str">
        <f>B177</f>
        <v>CIRCULAÇÃO</v>
      </c>
      <c r="C193" s="93">
        <f>C177</f>
        <v>2.65</v>
      </c>
      <c r="D193" s="93">
        <v>2</v>
      </c>
      <c r="E193" s="93">
        <f>ROUND(C193*D193,2)</f>
        <v>5.3</v>
      </c>
    </row>
    <row r="194" spans="2:11">
      <c r="D194" s="95" t="s">
        <v>149</v>
      </c>
      <c r="E194" s="96">
        <f>SUM(E193)</f>
        <v>5.3</v>
      </c>
      <c r="F194" s="94" t="s">
        <v>137</v>
      </c>
    </row>
    <row r="195" spans="2:11" ht="15" customHeight="1">
      <c r="B195" s="88"/>
    </row>
    <row r="196" spans="2:11" ht="15" customHeight="1">
      <c r="B196" s="138" t="s">
        <v>186</v>
      </c>
    </row>
    <row r="197" spans="2:11" ht="43.5" customHeight="1">
      <c r="B197" s="485" t="s">
        <v>178</v>
      </c>
      <c r="C197" s="485"/>
      <c r="D197" s="485"/>
      <c r="E197" s="485"/>
      <c r="F197" s="108"/>
      <c r="G197" s="485" t="s">
        <v>179</v>
      </c>
      <c r="H197" s="485"/>
      <c r="I197" s="485"/>
      <c r="J197" s="485"/>
      <c r="K197" s="108"/>
    </row>
    <row r="198" spans="2:11" ht="24.75" customHeight="1">
      <c r="B198" s="91" t="s">
        <v>146</v>
      </c>
      <c r="C198" s="91" t="s">
        <v>133</v>
      </c>
      <c r="D198" s="91" t="s">
        <v>134</v>
      </c>
      <c r="E198" s="91" t="s">
        <v>157</v>
      </c>
      <c r="G198" s="91" t="s">
        <v>146</v>
      </c>
      <c r="H198" s="91" t="s">
        <v>133</v>
      </c>
      <c r="I198" s="91" t="s">
        <v>180</v>
      </c>
      <c r="J198" s="91" t="s">
        <v>149</v>
      </c>
    </row>
    <row r="199" spans="2:11" ht="27" customHeight="1">
      <c r="B199" s="92" t="str">
        <f>B196</f>
        <v>CIRCULAÇÃO (AREA RESTRITA)</v>
      </c>
      <c r="C199" s="93">
        <f>3-0.92</f>
        <v>2.08</v>
      </c>
      <c r="D199" s="93">
        <v>0.2</v>
      </c>
      <c r="E199" s="93">
        <f>ROUND(C199*D199,2)</f>
        <v>0.42</v>
      </c>
      <c r="G199" s="92" t="str">
        <f>B199</f>
        <v>CIRCULAÇÃO (AREA RESTRITA)</v>
      </c>
      <c r="H199" s="93">
        <f>C199</f>
        <v>2.08</v>
      </c>
      <c r="I199" s="93">
        <v>2</v>
      </c>
      <c r="J199" s="93">
        <f>ROUND(H199*I199,2)</f>
        <v>4.16</v>
      </c>
    </row>
    <row r="200" spans="2:11">
      <c r="D200" s="95" t="s">
        <v>149</v>
      </c>
      <c r="E200" s="96">
        <f>SUM(E199:E199)</f>
        <v>0.42</v>
      </c>
      <c r="F200" s="94" t="s">
        <v>137</v>
      </c>
      <c r="I200" s="95" t="s">
        <v>149</v>
      </c>
      <c r="J200" s="96">
        <f>SUM(J199)</f>
        <v>4.16</v>
      </c>
      <c r="K200" s="94" t="s">
        <v>155</v>
      </c>
    </row>
    <row r="201" spans="2:11" ht="15" customHeight="1">
      <c r="B201" s="88"/>
    </row>
    <row r="202" spans="2:11" ht="43.5" customHeight="1">
      <c r="B202" s="485" t="s">
        <v>181</v>
      </c>
      <c r="C202" s="485"/>
      <c r="D202" s="485"/>
      <c r="E202" s="485"/>
      <c r="F202" s="485"/>
    </row>
    <row r="203" spans="2:11" ht="24.75" customHeight="1">
      <c r="B203" s="91" t="s">
        <v>146</v>
      </c>
      <c r="C203" s="91" t="s">
        <v>133</v>
      </c>
      <c r="D203" s="91" t="s">
        <v>134</v>
      </c>
      <c r="E203" s="91" t="s">
        <v>180</v>
      </c>
      <c r="F203" s="91" t="s">
        <v>157</v>
      </c>
    </row>
    <row r="204" spans="2:11" ht="27" customHeight="1">
      <c r="B204" s="92" t="str">
        <f>B196</f>
        <v>CIRCULAÇÃO (AREA RESTRITA)</v>
      </c>
      <c r="C204" s="93">
        <f>C199</f>
        <v>2.08</v>
      </c>
      <c r="D204" s="93">
        <f>D199</f>
        <v>0.2</v>
      </c>
      <c r="E204" s="93">
        <v>3</v>
      </c>
      <c r="F204" s="93">
        <f>ROUND(C204*D204*E204,2)</f>
        <v>1.25</v>
      </c>
    </row>
    <row r="205" spans="2:11">
      <c r="E205" s="95" t="s">
        <v>149</v>
      </c>
      <c r="F205" s="96">
        <f>SUM(F204:F204)</f>
        <v>1.25</v>
      </c>
      <c r="G205" s="94" t="s">
        <v>137</v>
      </c>
    </row>
    <row r="206" spans="2:11" ht="15" customHeight="1">
      <c r="B206" s="88"/>
    </row>
    <row r="207" spans="2:11" ht="43.5" customHeight="1">
      <c r="B207" s="485" t="s">
        <v>182</v>
      </c>
      <c r="C207" s="485"/>
      <c r="D207" s="485"/>
      <c r="E207" s="485"/>
      <c r="F207" s="485"/>
    </row>
    <row r="208" spans="2:11" ht="24.75" customHeight="1">
      <c r="B208" s="91" t="s">
        <v>146</v>
      </c>
      <c r="C208" s="91" t="s">
        <v>133</v>
      </c>
      <c r="D208" s="91" t="s">
        <v>134</v>
      </c>
      <c r="E208" s="91" t="s">
        <v>180</v>
      </c>
      <c r="F208" s="91" t="s">
        <v>157</v>
      </c>
    </row>
    <row r="209" spans="1:19" ht="27" customHeight="1">
      <c r="B209" s="92" t="str">
        <f>B196</f>
        <v>CIRCULAÇÃO (AREA RESTRITA)</v>
      </c>
      <c r="C209" s="93">
        <f>C199</f>
        <v>2.08</v>
      </c>
      <c r="D209" s="93">
        <f>D199</f>
        <v>0.2</v>
      </c>
      <c r="E209" s="93">
        <v>3</v>
      </c>
      <c r="F209" s="93">
        <f>ROUND(C209*D209*E209,2)</f>
        <v>1.25</v>
      </c>
    </row>
    <row r="210" spans="1:19">
      <c r="E210" s="95" t="s">
        <v>149</v>
      </c>
      <c r="F210" s="96">
        <f>SUM(F209:F209)</f>
        <v>1.25</v>
      </c>
      <c r="G210" s="94" t="s">
        <v>137</v>
      </c>
    </row>
    <row r="211" spans="1:19" ht="15" customHeight="1">
      <c r="B211" s="88"/>
    </row>
    <row r="212" spans="1:19" ht="15" customHeight="1">
      <c r="B212" s="88"/>
    </row>
    <row r="213" spans="1:19" ht="43.5" customHeight="1">
      <c r="B213" s="485" t="s">
        <v>183</v>
      </c>
      <c r="C213" s="485"/>
      <c r="D213" s="485"/>
      <c r="E213" s="485"/>
      <c r="F213" s="108"/>
    </row>
    <row r="214" spans="1:19" ht="24.75" customHeight="1">
      <c r="B214" s="91" t="s">
        <v>146</v>
      </c>
      <c r="C214" s="91" t="s">
        <v>133</v>
      </c>
      <c r="D214" s="91" t="s">
        <v>134</v>
      </c>
      <c r="E214" s="91" t="s">
        <v>157</v>
      </c>
    </row>
    <row r="215" spans="1:19" ht="27" customHeight="1">
      <c r="B215" s="92" t="str">
        <f>B199</f>
        <v>CIRCULAÇÃO (AREA RESTRITA)</v>
      </c>
      <c r="C215" s="93">
        <v>3.2</v>
      </c>
      <c r="D215" s="93">
        <v>2.8</v>
      </c>
      <c r="E215" s="93">
        <f>ROUND(C215*D215,2)</f>
        <v>8.9600000000000009</v>
      </c>
    </row>
    <row r="216" spans="1:19">
      <c r="D216" s="95" t="s">
        <v>149</v>
      </c>
      <c r="E216" s="96">
        <f>SUM(E215)</f>
        <v>8.9600000000000009</v>
      </c>
      <c r="F216" s="94" t="s">
        <v>137</v>
      </c>
    </row>
    <row r="217" spans="1:19" ht="15" customHeight="1">
      <c r="B217" s="88"/>
    </row>
    <row r="218" spans="1:19" ht="43.5" customHeight="1">
      <c r="B218" s="485" t="s">
        <v>184</v>
      </c>
      <c r="C218" s="485"/>
      <c r="D218" s="108"/>
      <c r="E218" s="108"/>
      <c r="F218" s="108"/>
    </row>
    <row r="219" spans="1:19" ht="24.75" customHeight="1">
      <c r="B219" s="91" t="s">
        <v>146</v>
      </c>
      <c r="C219" s="91" t="s">
        <v>147</v>
      </c>
    </row>
    <row r="220" spans="1:19" ht="27" customHeight="1">
      <c r="B220" s="92" t="str">
        <f>B196</f>
        <v>CIRCULAÇÃO (AREA RESTRITA)</v>
      </c>
      <c r="C220" s="93">
        <v>1</v>
      </c>
    </row>
    <row r="221" spans="1:19">
      <c r="B221" s="95" t="s">
        <v>149</v>
      </c>
      <c r="C221" s="96">
        <f>SUM(C220)</f>
        <v>1</v>
      </c>
      <c r="D221" s="94" t="s">
        <v>185</v>
      </c>
    </row>
    <row r="222" spans="1:19">
      <c r="A222" s="109"/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3"/>
    </row>
    <row r="223" spans="1:19" ht="43.5" customHeight="1">
      <c r="B223" s="485" t="s">
        <v>187</v>
      </c>
      <c r="C223" s="485"/>
      <c r="D223" s="485"/>
      <c r="E223" s="485"/>
      <c r="F223" s="108"/>
      <c r="G223" s="485" t="s">
        <v>40</v>
      </c>
      <c r="H223" s="485"/>
      <c r="I223" s="485"/>
    </row>
    <row r="224" spans="1:19" ht="34.5" customHeight="1">
      <c r="B224" s="91" t="s">
        <v>188</v>
      </c>
      <c r="C224" s="91" t="s">
        <v>189</v>
      </c>
      <c r="D224" s="91" t="s">
        <v>190</v>
      </c>
      <c r="E224" s="91" t="s">
        <v>157</v>
      </c>
      <c r="G224" s="406" t="s">
        <v>157</v>
      </c>
      <c r="H224" s="406" t="s">
        <v>153</v>
      </c>
      <c r="I224" s="406" t="s">
        <v>140</v>
      </c>
      <c r="J224" s="108"/>
    </row>
    <row r="225" spans="1:19" ht="27" customHeight="1">
      <c r="B225" s="92">
        <v>0.9</v>
      </c>
      <c r="C225" s="93">
        <v>0.3</v>
      </c>
      <c r="D225" s="93">
        <v>2</v>
      </c>
      <c r="E225" s="93">
        <f>ROUND(B225*C225*D225,2)</f>
        <v>0.54</v>
      </c>
      <c r="F225" s="94" t="s">
        <v>137</v>
      </c>
      <c r="G225" s="92">
        <f>E225</f>
        <v>0.54</v>
      </c>
      <c r="H225" s="92">
        <v>0.01</v>
      </c>
      <c r="I225" s="92">
        <f>G225*H225</f>
        <v>5.4000000000000003E-3</v>
      </c>
    </row>
    <row r="226" spans="1:19" ht="39" customHeight="1">
      <c r="B226" s="91" t="s">
        <v>191</v>
      </c>
      <c r="C226" s="91" t="s">
        <v>192</v>
      </c>
      <c r="D226" s="91" t="s">
        <v>193</v>
      </c>
      <c r="E226" s="91" t="s">
        <v>194</v>
      </c>
      <c r="I226" s="407">
        <f>SUM(I219:I225)</f>
        <v>5.4000000000000003E-3</v>
      </c>
    </row>
    <row r="227" spans="1:19" ht="21" customHeight="1">
      <c r="B227" s="139"/>
      <c r="C227" s="93">
        <f>E225</f>
        <v>0.54</v>
      </c>
      <c r="D227" s="93">
        <v>15.2</v>
      </c>
      <c r="E227" s="93">
        <f>ROUND(C227*D227,2)</f>
        <v>8.2100000000000009</v>
      </c>
      <c r="F227" s="94" t="s">
        <v>195</v>
      </c>
      <c r="I227" s="105">
        <v>1.3</v>
      </c>
      <c r="J227" s="106"/>
    </row>
    <row r="228" spans="1:19" ht="33" customHeight="1">
      <c r="B228" s="408" t="s">
        <v>196</v>
      </c>
      <c r="C228" s="91" t="s">
        <v>17</v>
      </c>
      <c r="D228" s="91" t="s">
        <v>197</v>
      </c>
      <c r="E228" s="91" t="s">
        <v>194</v>
      </c>
      <c r="I228" s="186">
        <f>ROUND(I226*I227,2)</f>
        <v>0.01</v>
      </c>
      <c r="J228" s="107" t="s">
        <v>144</v>
      </c>
    </row>
    <row r="229" spans="1:19" ht="21" customHeight="1">
      <c r="B229" s="93">
        <f>C225+C225+B225</f>
        <v>1.5</v>
      </c>
      <c r="C229" s="409">
        <v>2</v>
      </c>
      <c r="D229" s="93">
        <v>2.67</v>
      </c>
      <c r="E229" s="93">
        <f>ROUND(B229*C229*D229,2)</f>
        <v>8.01</v>
      </c>
      <c r="F229" s="94" t="s">
        <v>195</v>
      </c>
    </row>
    <row r="230" spans="1:19" ht="33" customHeight="1">
      <c r="B230" s="91" t="s">
        <v>198</v>
      </c>
      <c r="C230" s="91" t="s">
        <v>191</v>
      </c>
      <c r="D230" s="91" t="s">
        <v>199</v>
      </c>
      <c r="E230" s="91" t="s">
        <v>194</v>
      </c>
    </row>
    <row r="231" spans="1:19" ht="21" customHeight="1">
      <c r="B231" s="139"/>
      <c r="C231" s="409">
        <f>E227</f>
        <v>8.2100000000000009</v>
      </c>
      <c r="D231" s="93">
        <f>E229</f>
        <v>8.01</v>
      </c>
      <c r="E231" s="93">
        <f>ROUND(C231+D231,2)</f>
        <v>16.22</v>
      </c>
      <c r="F231" s="94" t="s">
        <v>195</v>
      </c>
    </row>
    <row r="232" spans="1:19">
      <c r="A232" s="109"/>
      <c r="B232" s="88"/>
      <c r="C232" s="112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3"/>
    </row>
    <row r="233" spans="1:19" ht="15" customHeight="1">
      <c r="B233" s="107" t="s">
        <v>160</v>
      </c>
      <c r="H233" s="70"/>
    </row>
    <row r="234" spans="1:19" s="70" customFormat="1" ht="30" customHeight="1">
      <c r="A234" s="67"/>
      <c r="B234" s="462" t="s">
        <v>200</v>
      </c>
      <c r="C234" s="462"/>
      <c r="D234" s="462"/>
      <c r="E234" s="462"/>
      <c r="F234" s="84"/>
    </row>
    <row r="235" spans="1:19" s="70" customFormat="1">
      <c r="B235" s="460" t="s">
        <v>146</v>
      </c>
      <c r="C235" s="67" t="s">
        <v>133</v>
      </c>
      <c r="D235" s="89" t="s">
        <v>134</v>
      </c>
      <c r="E235" s="89" t="s">
        <v>157</v>
      </c>
    </row>
    <row r="236" spans="1:19" s="70" customFormat="1" ht="30" customHeight="1">
      <c r="B236" s="461"/>
      <c r="C236" s="89" t="s">
        <v>155</v>
      </c>
      <c r="D236" s="89" t="s">
        <v>155</v>
      </c>
      <c r="E236" s="89" t="s">
        <v>144</v>
      </c>
    </row>
    <row r="237" spans="1:19" s="70" customFormat="1" ht="30" customHeight="1">
      <c r="B237" s="17" t="str">
        <f>B233</f>
        <v>ÁREA EXTERNA</v>
      </c>
      <c r="C237" s="85">
        <f>C81</f>
        <v>24.85</v>
      </c>
      <c r="D237" s="85">
        <v>1</v>
      </c>
      <c r="E237" s="85">
        <f>ROUND(C237*D237,2)</f>
        <v>24.85</v>
      </c>
      <c r="H237" s="70" t="s">
        <v>201</v>
      </c>
    </row>
    <row r="238" spans="1:19" s="70" customFormat="1" ht="30" customHeight="1">
      <c r="B238" s="67"/>
      <c r="D238" s="87" t="s">
        <v>149</v>
      </c>
      <c r="E238" s="90">
        <f>SUM(E237:E237)</f>
        <v>24.85</v>
      </c>
      <c r="F238" s="75" t="s">
        <v>137</v>
      </c>
    </row>
    <row r="239" spans="1:19">
      <c r="D239" s="95"/>
      <c r="E239" s="99"/>
      <c r="F239" s="94"/>
    </row>
    <row r="240" spans="1:19" ht="15" customHeight="1">
      <c r="B240" s="107" t="s">
        <v>36</v>
      </c>
    </row>
    <row r="241" spans="1:11" s="70" customFormat="1" ht="30" customHeight="1">
      <c r="A241" s="67"/>
      <c r="B241" s="462" t="s">
        <v>202</v>
      </c>
      <c r="C241" s="462"/>
      <c r="D241" s="462"/>
      <c r="E241" s="462"/>
      <c r="F241" s="84"/>
      <c r="G241" s="462" t="s">
        <v>203</v>
      </c>
      <c r="H241" s="462"/>
      <c r="I241" s="462"/>
      <c r="J241" s="462"/>
      <c r="K241" s="84"/>
    </row>
    <row r="242" spans="1:11" s="70" customFormat="1">
      <c r="B242" s="460" t="s">
        <v>146</v>
      </c>
      <c r="C242" s="67" t="s">
        <v>163</v>
      </c>
      <c r="D242" s="89" t="s">
        <v>134</v>
      </c>
      <c r="E242" s="89" t="s">
        <v>154</v>
      </c>
      <c r="G242" s="460" t="s">
        <v>146</v>
      </c>
      <c r="H242" s="67" t="s">
        <v>204</v>
      </c>
      <c r="I242" s="89" t="s">
        <v>205</v>
      </c>
      <c r="J242" s="89" t="s">
        <v>206</v>
      </c>
    </row>
    <row r="243" spans="1:11" s="70" customFormat="1" ht="30" customHeight="1">
      <c r="B243" s="461"/>
      <c r="C243" s="89" t="s">
        <v>137</v>
      </c>
      <c r="D243" s="89" t="s">
        <v>155</v>
      </c>
      <c r="E243" s="89" t="s">
        <v>144</v>
      </c>
      <c r="G243" s="461"/>
      <c r="H243" s="89" t="s">
        <v>137</v>
      </c>
      <c r="I243" s="89" t="s">
        <v>207</v>
      </c>
      <c r="J243" s="89" t="s">
        <v>194</v>
      </c>
    </row>
    <row r="244" spans="1:11" s="70" customFormat="1" ht="30" customHeight="1">
      <c r="B244" s="17" t="s">
        <v>164</v>
      </c>
      <c r="C244" s="85">
        <f>C88</f>
        <v>44.08</v>
      </c>
      <c r="D244" s="85">
        <v>7.0000000000000007E-2</v>
      </c>
      <c r="E244" s="85">
        <f>ROUND(C244*D244,2)</f>
        <v>3.09</v>
      </c>
      <c r="G244" s="17" t="s">
        <v>164</v>
      </c>
      <c r="H244" s="85">
        <f>SUM(C244:C245)</f>
        <v>140.6</v>
      </c>
      <c r="I244" s="85">
        <f>1.48*1.1</f>
        <v>1.6280000000000001</v>
      </c>
      <c r="J244" s="85">
        <f>ROUND(H244*I244,2)</f>
        <v>228.9</v>
      </c>
    </row>
    <row r="245" spans="1:11" s="70" customFormat="1" ht="30" customHeight="1">
      <c r="B245" s="17" t="s">
        <v>165</v>
      </c>
      <c r="C245" s="85">
        <f>C89</f>
        <v>96.52</v>
      </c>
      <c r="D245" s="85">
        <v>7.0000000000000007E-2</v>
      </c>
      <c r="E245" s="85">
        <f>ROUND(C245*D245,2)</f>
        <v>6.76</v>
      </c>
      <c r="G245" s="67"/>
      <c r="I245" s="87" t="s">
        <v>149</v>
      </c>
      <c r="J245" s="90">
        <f>SUM(J244:J244)</f>
        <v>228.9</v>
      </c>
      <c r="K245" s="75" t="s">
        <v>195</v>
      </c>
    </row>
    <row r="246" spans="1:11" s="70" customFormat="1" ht="30" customHeight="1">
      <c r="B246" s="67"/>
      <c r="D246" s="87" t="s">
        <v>149</v>
      </c>
      <c r="E246" s="90">
        <f>SUM(E244:E245)</f>
        <v>9.85</v>
      </c>
      <c r="F246" s="75" t="s">
        <v>144</v>
      </c>
      <c r="G246" s="73"/>
      <c r="H246" s="73"/>
      <c r="I246" s="73"/>
      <c r="J246" s="73"/>
    </row>
    <row r="247" spans="1:11" ht="15" customHeight="1">
      <c r="B247" s="88"/>
    </row>
    <row r="248" spans="1:11" ht="43.5" customHeight="1">
      <c r="B248" s="485" t="s">
        <v>187</v>
      </c>
      <c r="C248" s="485"/>
      <c r="D248" s="485"/>
      <c r="E248" s="485"/>
      <c r="F248" s="108"/>
      <c r="G248" s="485" t="s">
        <v>40</v>
      </c>
      <c r="H248" s="485"/>
      <c r="I248" s="485"/>
    </row>
    <row r="249" spans="1:11" ht="34.5" customHeight="1">
      <c r="B249" s="91" t="s">
        <v>188</v>
      </c>
      <c r="C249" s="91" t="s">
        <v>189</v>
      </c>
      <c r="D249" s="91" t="s">
        <v>190</v>
      </c>
      <c r="E249" s="91" t="s">
        <v>157</v>
      </c>
      <c r="G249" s="406" t="s">
        <v>157</v>
      </c>
      <c r="H249" s="406" t="s">
        <v>153</v>
      </c>
      <c r="I249" s="406" t="s">
        <v>140</v>
      </c>
      <c r="J249" s="108"/>
    </row>
    <row r="250" spans="1:11" ht="27" customHeight="1">
      <c r="B250" s="92">
        <v>1.8</v>
      </c>
      <c r="C250" s="93">
        <v>0.3</v>
      </c>
      <c r="D250" s="93">
        <v>2</v>
      </c>
      <c r="E250" s="93">
        <f>ROUND(B250*C250*D250,2)</f>
        <v>1.08</v>
      </c>
      <c r="F250" s="94" t="s">
        <v>137</v>
      </c>
      <c r="G250" s="92">
        <f>E250</f>
        <v>1.08</v>
      </c>
      <c r="H250" s="92">
        <v>0.01</v>
      </c>
      <c r="I250" s="92">
        <f>G250*H250</f>
        <v>1.0800000000000001E-2</v>
      </c>
    </row>
    <row r="251" spans="1:11" ht="39" customHeight="1">
      <c r="B251" s="91" t="s">
        <v>191</v>
      </c>
      <c r="C251" s="91" t="s">
        <v>192</v>
      </c>
      <c r="D251" s="91" t="s">
        <v>193</v>
      </c>
      <c r="E251" s="91" t="s">
        <v>194</v>
      </c>
      <c r="I251" s="407">
        <f>SUM(I243:I250)</f>
        <v>1.6388</v>
      </c>
    </row>
    <row r="252" spans="1:11" ht="21" customHeight="1">
      <c r="B252" s="139"/>
      <c r="C252" s="93">
        <f>E250</f>
        <v>1.08</v>
      </c>
      <c r="D252" s="93">
        <v>15.2</v>
      </c>
      <c r="E252" s="93">
        <f>ROUND(C252*D252,2)</f>
        <v>16.420000000000002</v>
      </c>
      <c r="F252" s="94" t="s">
        <v>195</v>
      </c>
      <c r="I252" s="105">
        <v>1.3</v>
      </c>
      <c r="J252" s="106"/>
    </row>
    <row r="253" spans="1:11" ht="33" customHeight="1">
      <c r="B253" s="408" t="s">
        <v>196</v>
      </c>
      <c r="C253" s="91" t="s">
        <v>17</v>
      </c>
      <c r="D253" s="91" t="s">
        <v>197</v>
      </c>
      <c r="E253" s="91" t="s">
        <v>194</v>
      </c>
      <c r="I253" s="186">
        <f>ROUND(I251*I252,2)</f>
        <v>2.13</v>
      </c>
      <c r="J253" s="107" t="s">
        <v>144</v>
      </c>
    </row>
    <row r="254" spans="1:11" ht="21" customHeight="1">
      <c r="B254" s="93">
        <f>C250+C250+B250</f>
        <v>2.4</v>
      </c>
      <c r="C254" s="409">
        <v>2</v>
      </c>
      <c r="D254" s="93">
        <v>2.67</v>
      </c>
      <c r="E254" s="93">
        <f>ROUND(B254*C254*D254,2)</f>
        <v>12.82</v>
      </c>
      <c r="F254" s="94" t="s">
        <v>195</v>
      </c>
    </row>
    <row r="255" spans="1:11" ht="33" customHeight="1">
      <c r="B255" s="91" t="s">
        <v>198</v>
      </c>
      <c r="C255" s="91" t="s">
        <v>191</v>
      </c>
      <c r="D255" s="91" t="s">
        <v>199</v>
      </c>
      <c r="E255" s="91" t="s">
        <v>194</v>
      </c>
    </row>
    <row r="256" spans="1:11" ht="21" customHeight="1">
      <c r="B256" s="139"/>
      <c r="C256" s="409">
        <f>E252</f>
        <v>16.420000000000002</v>
      </c>
      <c r="D256" s="93">
        <f>E254</f>
        <v>12.82</v>
      </c>
      <c r="E256" s="93">
        <f>ROUND(C256+D256,2)</f>
        <v>29.24</v>
      </c>
      <c r="F256" s="94" t="s">
        <v>195</v>
      </c>
      <c r="G256" s="112"/>
      <c r="H256" s="112"/>
      <c r="I256" s="112"/>
      <c r="J256" s="112"/>
    </row>
    <row r="257" spans="1:19">
      <c r="A257" s="109"/>
      <c r="B257" s="88"/>
      <c r="C257" s="112"/>
      <c r="D257" s="112"/>
      <c r="E257" s="112"/>
      <c r="F257" s="112"/>
      <c r="K257" s="112"/>
      <c r="L257" s="112"/>
      <c r="M257" s="112"/>
      <c r="N257" s="112"/>
      <c r="O257" s="112"/>
      <c r="P257" s="112"/>
      <c r="Q257" s="112"/>
      <c r="R257" s="112"/>
      <c r="S257" s="113"/>
    </row>
    <row r="258" spans="1:19" ht="15" customHeight="1">
      <c r="B258" s="107" t="s">
        <v>166</v>
      </c>
      <c r="G258" s="70"/>
      <c r="H258" s="70"/>
      <c r="I258" s="70"/>
      <c r="J258" s="70"/>
    </row>
    <row r="259" spans="1:19" s="70" customFormat="1" ht="30" customHeight="1">
      <c r="A259" s="67"/>
      <c r="B259" s="462" t="s">
        <v>208</v>
      </c>
      <c r="C259" s="462"/>
      <c r="D259" s="462"/>
      <c r="E259" s="462"/>
      <c r="F259" s="84"/>
    </row>
    <row r="260" spans="1:19" s="70" customFormat="1">
      <c r="B260" s="460" t="s">
        <v>146</v>
      </c>
      <c r="C260" s="486" t="s">
        <v>209</v>
      </c>
      <c r="D260" s="486" t="s">
        <v>210</v>
      </c>
      <c r="E260" s="487"/>
    </row>
    <row r="261" spans="1:19" s="70" customFormat="1" ht="30" customHeight="1">
      <c r="B261" s="461"/>
      <c r="C261" s="486"/>
      <c r="D261" s="486"/>
      <c r="E261" s="488"/>
    </row>
    <row r="262" spans="1:19" s="70" customFormat="1" ht="30" customHeight="1">
      <c r="B262" s="17" t="str">
        <f>B258</f>
        <v>RESERVATORIOS</v>
      </c>
      <c r="C262" s="85"/>
      <c r="D262" s="85"/>
    </row>
    <row r="263" spans="1:19" s="70" customFormat="1" ht="30" customHeight="1">
      <c r="B263" s="67"/>
      <c r="D263" s="87" t="s">
        <v>149</v>
      </c>
      <c r="E263" s="90" t="e">
        <f>#REF!</f>
        <v>#REF!</v>
      </c>
      <c r="F263" s="75" t="s">
        <v>168</v>
      </c>
      <c r="G263" s="73"/>
      <c r="H263" s="73"/>
      <c r="I263" s="73"/>
      <c r="J263" s="73"/>
    </row>
    <row r="264" spans="1:19" ht="15" customHeight="1">
      <c r="B264" s="88"/>
      <c r="G264" s="112"/>
      <c r="H264" s="112"/>
      <c r="I264" s="112"/>
      <c r="J264" s="112"/>
    </row>
    <row r="265" spans="1:19">
      <c r="A265" s="109"/>
      <c r="C265" s="112"/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3"/>
    </row>
    <row r="266" spans="1:19">
      <c r="A266" s="109"/>
      <c r="B266" s="88" t="s">
        <v>52</v>
      </c>
      <c r="C266" s="112"/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3"/>
    </row>
    <row r="267" spans="1:19">
      <c r="A267" s="109"/>
      <c r="B267" s="88"/>
      <c r="C267" s="112"/>
      <c r="D267" s="112"/>
      <c r="E267" s="112"/>
      <c r="F267" s="112"/>
      <c r="G267" s="122"/>
      <c r="H267" s="122"/>
      <c r="I267" s="122"/>
      <c r="J267" s="84"/>
      <c r="K267" s="112"/>
      <c r="L267" s="112"/>
      <c r="M267" s="112"/>
      <c r="N267" s="112"/>
      <c r="O267" s="112"/>
      <c r="P267" s="112"/>
      <c r="Q267" s="112"/>
      <c r="R267" s="112"/>
      <c r="S267" s="113"/>
    </row>
    <row r="268" spans="1:19" ht="12.75" customHeight="1">
      <c r="A268" s="67"/>
      <c r="B268" s="410" t="s">
        <v>211</v>
      </c>
      <c r="C268" s="122"/>
      <c r="D268" s="122"/>
      <c r="E268" s="122"/>
      <c r="F268" s="122"/>
      <c r="K268" s="84"/>
      <c r="L268" s="84"/>
      <c r="M268" s="84"/>
      <c r="N268" s="84"/>
      <c r="O268" s="84"/>
      <c r="P268" s="84"/>
      <c r="Q268" s="84"/>
      <c r="R268" s="84"/>
      <c r="S268" s="84"/>
    </row>
    <row r="269" spans="1:19" ht="15" customHeight="1">
      <c r="A269" s="67"/>
      <c r="B269" s="491" t="s">
        <v>212</v>
      </c>
      <c r="C269" s="491" t="s">
        <v>134</v>
      </c>
      <c r="D269" s="491" t="s">
        <v>133</v>
      </c>
      <c r="E269" s="491" t="s">
        <v>213</v>
      </c>
      <c r="F269" s="491" t="s">
        <v>135</v>
      </c>
      <c r="H269" s="491" t="s">
        <v>214</v>
      </c>
      <c r="I269" s="489" t="s">
        <v>134</v>
      </c>
      <c r="J269" s="491" t="s">
        <v>163</v>
      </c>
      <c r="L269" s="491" t="s">
        <v>214</v>
      </c>
      <c r="M269" s="491" t="s">
        <v>215</v>
      </c>
    </row>
    <row r="270" spans="1:19" ht="36" customHeight="1">
      <c r="A270" s="67"/>
      <c r="B270" s="492"/>
      <c r="C270" s="493"/>
      <c r="D270" s="493"/>
      <c r="E270" s="493"/>
      <c r="F270" s="493"/>
      <c r="H270" s="492"/>
      <c r="I270" s="490"/>
      <c r="J270" s="492"/>
      <c r="L270" s="492"/>
      <c r="M270" s="492"/>
    </row>
    <row r="271" spans="1:19" ht="30" customHeight="1">
      <c r="A271" s="67"/>
      <c r="B271" s="493"/>
      <c r="C271" s="114" t="s">
        <v>155</v>
      </c>
      <c r="D271" s="114" t="s">
        <v>155</v>
      </c>
      <c r="E271" s="115" t="s">
        <v>137</v>
      </c>
      <c r="F271" s="114" t="s">
        <v>137</v>
      </c>
      <c r="H271" s="116">
        <f>SUM(D272:D295)</f>
        <v>247.19000000000003</v>
      </c>
      <c r="I271" s="116">
        <v>1.6</v>
      </c>
      <c r="J271" s="116">
        <f>H271*I271</f>
        <v>395.50400000000008</v>
      </c>
      <c r="L271" s="116">
        <f>D272+D276+D277+D278+D279+D280+D281+D282+D283+D284+D285+D286+D287+D288+D289+D292+D293+D294+D295</f>
        <v>207.51000000000002</v>
      </c>
      <c r="M271" s="116">
        <v>1.4</v>
      </c>
    </row>
    <row r="272" spans="1:19" ht="20.25" customHeight="1">
      <c r="A272" s="100"/>
      <c r="B272" s="412" t="s">
        <v>216</v>
      </c>
      <c r="C272" s="83">
        <v>3</v>
      </c>
      <c r="D272" s="116">
        <f>3.64+6+5.71+1.55</f>
        <v>16.900000000000002</v>
      </c>
      <c r="E272" s="117">
        <v>31.05</v>
      </c>
      <c r="F272" s="116">
        <f t="shared" ref="F272:F295" si="1">SUM(D272*C272)+E272</f>
        <v>81.75</v>
      </c>
      <c r="H272" s="116"/>
      <c r="I272" s="116"/>
      <c r="J272" s="116">
        <f>SUM(E272:E295)</f>
        <v>196.84</v>
      </c>
      <c r="K272" s="121"/>
      <c r="L272" s="190"/>
      <c r="M272" s="121"/>
      <c r="N272" s="121"/>
      <c r="O272" s="121"/>
    </row>
    <row r="273" spans="1:16" ht="29.25" customHeight="1">
      <c r="A273" s="100"/>
      <c r="B273" s="412" t="s">
        <v>217</v>
      </c>
      <c r="C273" s="83">
        <f>3-1.6</f>
        <v>1.4</v>
      </c>
      <c r="D273" s="116">
        <f>3.15+3.15+1.2</f>
        <v>7.5</v>
      </c>
      <c r="E273" s="117">
        <v>3.71</v>
      </c>
      <c r="F273" s="116">
        <f t="shared" si="1"/>
        <v>14.21</v>
      </c>
      <c r="H273" s="462" t="s">
        <v>218</v>
      </c>
      <c r="I273" s="189"/>
      <c r="J273" s="77"/>
      <c r="K273" s="121"/>
      <c r="L273" s="462" t="s">
        <v>219</v>
      </c>
      <c r="M273" s="121"/>
      <c r="N273" s="121"/>
      <c r="O273" s="121"/>
    </row>
    <row r="274" spans="1:16" ht="24" customHeight="1">
      <c r="A274" s="100"/>
      <c r="B274" s="412" t="s">
        <v>220</v>
      </c>
      <c r="C274" s="83">
        <f t="shared" ref="C274:C275" si="2">3-1.6</f>
        <v>1.4</v>
      </c>
      <c r="D274" s="116">
        <f>3.15+3.15+1.2</f>
        <v>7.5</v>
      </c>
      <c r="E274" s="117">
        <v>3.71</v>
      </c>
      <c r="F274" s="116">
        <f t="shared" si="1"/>
        <v>14.21</v>
      </c>
      <c r="H274" s="462"/>
      <c r="I274" s="189"/>
      <c r="J274" s="77"/>
      <c r="K274" s="121"/>
      <c r="L274" s="462"/>
      <c r="M274" s="121"/>
      <c r="N274" s="121"/>
      <c r="O274" s="121"/>
    </row>
    <row r="275" spans="1:16" ht="26.25" customHeight="1">
      <c r="A275" s="100"/>
      <c r="B275" s="412" t="s">
        <v>221</v>
      </c>
      <c r="C275" s="83">
        <f t="shared" si="2"/>
        <v>1.4</v>
      </c>
      <c r="D275" s="116">
        <f>3+3+1.84+1.84</f>
        <v>9.68</v>
      </c>
      <c r="E275" s="117">
        <v>8.1</v>
      </c>
      <c r="F275" s="116">
        <f t="shared" si="1"/>
        <v>21.652000000000001</v>
      </c>
      <c r="H275" s="83">
        <f>SUM(J271:J272)</f>
        <v>592.34400000000005</v>
      </c>
      <c r="I275" s="189"/>
      <c r="J275" s="77"/>
      <c r="K275" s="121"/>
      <c r="L275" s="85">
        <f>L271*M271</f>
        <v>290.51400000000001</v>
      </c>
      <c r="M275" s="121"/>
      <c r="N275" s="121"/>
      <c r="O275" s="121"/>
    </row>
    <row r="276" spans="1:16" ht="31.5" customHeight="1">
      <c r="A276" s="100"/>
      <c r="B276" s="412" t="s">
        <v>222</v>
      </c>
      <c r="C276" s="83">
        <v>3</v>
      </c>
      <c r="D276" s="116">
        <f>2.7+3+2.7+3</f>
        <v>11.4</v>
      </c>
      <c r="E276" s="117">
        <v>8.1</v>
      </c>
      <c r="F276" s="116">
        <f t="shared" si="1"/>
        <v>42.300000000000004</v>
      </c>
      <c r="H276" s="71"/>
      <c r="I276" s="189"/>
      <c r="J276" s="77"/>
      <c r="K276" s="121"/>
      <c r="L276" s="190"/>
      <c r="M276" s="121"/>
      <c r="N276" s="121"/>
      <c r="O276" s="121"/>
    </row>
    <row r="277" spans="1:16" ht="31.5" customHeight="1">
      <c r="A277" s="100"/>
      <c r="B277" s="412" t="s">
        <v>32</v>
      </c>
      <c r="C277" s="83">
        <v>3</v>
      </c>
      <c r="D277" s="116">
        <f>3.1+1.68</f>
        <v>4.78</v>
      </c>
      <c r="E277" s="117">
        <v>5.05</v>
      </c>
      <c r="F277" s="116">
        <f t="shared" si="1"/>
        <v>19.39</v>
      </c>
      <c r="G277" s="191"/>
      <c r="H277" s="71"/>
      <c r="I277" s="189"/>
      <c r="J277" s="77"/>
      <c r="K277" s="121"/>
      <c r="L277" s="190"/>
      <c r="M277" s="121"/>
      <c r="N277" s="121"/>
      <c r="O277" s="121"/>
      <c r="P277" s="191"/>
    </row>
    <row r="278" spans="1:16" ht="37.5" customHeight="1">
      <c r="A278" s="100"/>
      <c r="B278" s="412" t="s">
        <v>27</v>
      </c>
      <c r="C278" s="83">
        <v>3</v>
      </c>
      <c r="D278" s="116">
        <f>3+3+3+2.08</f>
        <v>11.08</v>
      </c>
      <c r="E278" s="117">
        <v>9.1199999999999992</v>
      </c>
      <c r="F278" s="116">
        <f t="shared" si="1"/>
        <v>42.36</v>
      </c>
      <c r="G278" s="191"/>
      <c r="H278" s="187" t="s">
        <v>223</v>
      </c>
      <c r="I278" s="187"/>
      <c r="J278" s="187"/>
      <c r="K278" s="187"/>
      <c r="L278" s="187"/>
    </row>
    <row r="279" spans="1:16" ht="27.75" customHeight="1">
      <c r="A279" s="100"/>
      <c r="B279" s="412" t="s">
        <v>177</v>
      </c>
      <c r="C279" s="83">
        <v>3</v>
      </c>
      <c r="D279" s="116">
        <f>3+1.35+1.35+2.08</f>
        <v>7.7799999999999994</v>
      </c>
      <c r="E279" s="117">
        <v>4.05</v>
      </c>
      <c r="F279" s="116">
        <f t="shared" si="1"/>
        <v>27.389999999999997</v>
      </c>
      <c r="G279" s="191"/>
      <c r="H279" s="498" t="s">
        <v>224</v>
      </c>
      <c r="I279" s="501" t="s">
        <v>225</v>
      </c>
      <c r="J279" s="498" t="s">
        <v>134</v>
      </c>
      <c r="K279" s="498" t="s">
        <v>226</v>
      </c>
      <c r="L279" s="498" t="s">
        <v>135</v>
      </c>
      <c r="M279" s="498" t="s">
        <v>17</v>
      </c>
      <c r="N279" s="489" t="s">
        <v>227</v>
      </c>
      <c r="O279" s="489" t="s">
        <v>228</v>
      </c>
      <c r="P279" s="119"/>
    </row>
    <row r="280" spans="1:16" ht="29.25" customHeight="1">
      <c r="A280" s="100"/>
      <c r="B280" s="412" t="s">
        <v>229</v>
      </c>
      <c r="C280" s="83">
        <v>3</v>
      </c>
      <c r="D280" s="116">
        <f>3+3+1.5+1.5</f>
        <v>9</v>
      </c>
      <c r="E280" s="117">
        <v>4.5</v>
      </c>
      <c r="F280" s="116">
        <f t="shared" si="1"/>
        <v>31.5</v>
      </c>
      <c r="G280" s="191"/>
      <c r="H280" s="499"/>
      <c r="I280" s="502"/>
      <c r="J280" s="500"/>
      <c r="K280" s="500"/>
      <c r="L280" s="500"/>
      <c r="M280" s="500"/>
      <c r="N280" s="496"/>
      <c r="O280" s="496"/>
      <c r="P280" s="118"/>
    </row>
    <row r="281" spans="1:16" ht="24" customHeight="1">
      <c r="A281" s="100"/>
      <c r="B281" s="412" t="s">
        <v>230</v>
      </c>
      <c r="C281" s="83">
        <v>3</v>
      </c>
      <c r="D281" s="116">
        <f>3+3+3+3</f>
        <v>12</v>
      </c>
      <c r="E281" s="117">
        <v>9</v>
      </c>
      <c r="F281" s="116">
        <f t="shared" si="1"/>
        <v>45</v>
      </c>
      <c r="G281" s="191"/>
      <c r="H281" s="500"/>
      <c r="I281" s="414" t="s">
        <v>231</v>
      </c>
      <c r="J281" s="413" t="s">
        <v>155</v>
      </c>
      <c r="K281" s="413" t="s">
        <v>155</v>
      </c>
      <c r="L281" s="413" t="s">
        <v>137</v>
      </c>
      <c r="M281" s="413" t="s">
        <v>150</v>
      </c>
      <c r="N281" s="414" t="s">
        <v>137</v>
      </c>
      <c r="O281" s="414" t="s">
        <v>137</v>
      </c>
      <c r="P281" s="123"/>
    </row>
    <row r="282" spans="1:16" ht="27.75" customHeight="1">
      <c r="A282" s="100"/>
      <c r="B282" s="412" t="s">
        <v>232</v>
      </c>
      <c r="C282" s="83">
        <v>3</v>
      </c>
      <c r="D282" s="116">
        <f t="shared" ref="D282:D284" si="3">3+3+3+3</f>
        <v>12</v>
      </c>
      <c r="E282" s="117">
        <v>9</v>
      </c>
      <c r="F282" s="116">
        <f t="shared" si="1"/>
        <v>45</v>
      </c>
      <c r="G282" s="191"/>
      <c r="H282" s="415" t="s">
        <v>233</v>
      </c>
      <c r="I282" s="416" t="s">
        <v>234</v>
      </c>
      <c r="J282" s="417">
        <v>3</v>
      </c>
      <c r="K282" s="415">
        <v>75.95</v>
      </c>
      <c r="L282" s="116">
        <f>J282*K282</f>
        <v>227.85000000000002</v>
      </c>
      <c r="M282" s="83">
        <v>1</v>
      </c>
      <c r="N282" s="116">
        <f>L282*M282</f>
        <v>227.85000000000002</v>
      </c>
      <c r="O282" s="116">
        <f>IF(I282="E.S.",M282,IF(I282="L.A.",0))</f>
        <v>0</v>
      </c>
      <c r="P282" s="124"/>
    </row>
    <row r="283" spans="1:16" ht="30" customHeight="1">
      <c r="A283" s="100"/>
      <c r="B283" s="412" t="s">
        <v>235</v>
      </c>
      <c r="C283" s="83">
        <v>3</v>
      </c>
      <c r="D283" s="116">
        <f t="shared" si="3"/>
        <v>12</v>
      </c>
      <c r="E283" s="117">
        <v>9</v>
      </c>
      <c r="F283" s="116">
        <f t="shared" si="1"/>
        <v>45</v>
      </c>
      <c r="G283" s="191"/>
      <c r="H283" s="415" t="s">
        <v>36</v>
      </c>
      <c r="I283" s="116" t="s">
        <v>234</v>
      </c>
      <c r="J283" s="125" t="s">
        <v>175</v>
      </c>
      <c r="K283" s="83" t="s">
        <v>175</v>
      </c>
      <c r="L283" s="116">
        <f>I225</f>
        <v>5.4000000000000003E-3</v>
      </c>
      <c r="M283" s="83">
        <v>1</v>
      </c>
      <c r="N283" s="116">
        <f>L283*M283</f>
        <v>5.4000000000000003E-3</v>
      </c>
      <c r="O283" s="116">
        <f>IF(I283="E.S.",M283,IF(I283="L.A.",0))</f>
        <v>0</v>
      </c>
      <c r="P283" s="124"/>
    </row>
    <row r="284" spans="1:16" ht="29.25" customHeight="1">
      <c r="A284" s="100"/>
      <c r="B284" s="412" t="s">
        <v>236</v>
      </c>
      <c r="C284" s="83">
        <v>3</v>
      </c>
      <c r="D284" s="116">
        <f t="shared" si="3"/>
        <v>12</v>
      </c>
      <c r="E284" s="117">
        <v>9</v>
      </c>
      <c r="F284" s="116">
        <f t="shared" si="1"/>
        <v>45</v>
      </c>
      <c r="G284" s="191"/>
      <c r="H284" s="103" t="s">
        <v>237</v>
      </c>
      <c r="I284" s="116" t="s">
        <v>234</v>
      </c>
      <c r="J284" s="125">
        <v>2</v>
      </c>
      <c r="K284" s="83">
        <f>55.17+2.5+42.7+3.12</f>
        <v>103.49000000000001</v>
      </c>
      <c r="L284" s="116">
        <f t="shared" ref="L284:L285" si="4">J284*K284</f>
        <v>206.98000000000002</v>
      </c>
      <c r="M284" s="83">
        <v>1</v>
      </c>
      <c r="N284" s="116">
        <f>L284*M284</f>
        <v>206.98000000000002</v>
      </c>
      <c r="O284" s="116">
        <f>IF(I284="E.S.",M284,IF(I284="L.A.",0))</f>
        <v>0</v>
      </c>
      <c r="P284" s="124"/>
    </row>
    <row r="285" spans="1:16" ht="24" customHeight="1">
      <c r="A285" s="100"/>
      <c r="B285" s="412" t="s">
        <v>238</v>
      </c>
      <c r="C285" s="83">
        <v>3</v>
      </c>
      <c r="D285" s="116">
        <f>1.8+1.8+2.2+2.2</f>
        <v>8</v>
      </c>
      <c r="E285" s="117">
        <v>3.96</v>
      </c>
      <c r="F285" s="116">
        <f t="shared" si="1"/>
        <v>27.96</v>
      </c>
      <c r="G285" s="191"/>
      <c r="H285" s="103" t="s">
        <v>239</v>
      </c>
      <c r="I285" s="116" t="s">
        <v>234</v>
      </c>
      <c r="J285" s="125">
        <v>2.46</v>
      </c>
      <c r="K285" s="83">
        <f>0.24+0.24+0.255+0.255</f>
        <v>0.99</v>
      </c>
      <c r="L285" s="116">
        <f t="shared" si="4"/>
        <v>2.4354</v>
      </c>
      <c r="M285" s="83">
        <v>10</v>
      </c>
      <c r="N285" s="116">
        <f>L285*M285</f>
        <v>24.353999999999999</v>
      </c>
      <c r="O285" s="116">
        <f>IF(I285="E.S.",M285,IF(I285="L.A.",0))</f>
        <v>0</v>
      </c>
      <c r="P285" s="124"/>
    </row>
    <row r="286" spans="1:16" ht="27.75" customHeight="1">
      <c r="A286" s="100"/>
      <c r="B286" s="412" t="s">
        <v>240</v>
      </c>
      <c r="C286" s="83">
        <v>3</v>
      </c>
      <c r="D286" s="116">
        <f>1.5+1.5+3+3</f>
        <v>9</v>
      </c>
      <c r="E286" s="117">
        <v>4.5</v>
      </c>
      <c r="F286" s="116">
        <f t="shared" si="1"/>
        <v>31.5</v>
      </c>
      <c r="G286" s="191"/>
      <c r="H286" s="70"/>
      <c r="I286" s="70"/>
      <c r="J286" s="71"/>
      <c r="K286" s="70"/>
      <c r="L286" s="70"/>
      <c r="M286" s="118" t="s">
        <v>241</v>
      </c>
      <c r="N286" s="418">
        <f>SUM(N282:N285)</f>
        <v>459.18940000000003</v>
      </c>
      <c r="O286" s="418">
        <f>SUM(O283:O283)</f>
        <v>0</v>
      </c>
      <c r="P286" s="110" t="s">
        <v>137</v>
      </c>
    </row>
    <row r="287" spans="1:16" ht="22.5" customHeight="1">
      <c r="A287" s="100"/>
      <c r="B287" s="412" t="s">
        <v>44</v>
      </c>
      <c r="C287" s="83">
        <v>3</v>
      </c>
      <c r="D287" s="116">
        <f>3.3+1.25+3.05+3.48+1.2+2.2+8.95</f>
        <v>23.43</v>
      </c>
      <c r="E287" s="117">
        <v>32.71</v>
      </c>
      <c r="F287" s="116">
        <f t="shared" si="1"/>
        <v>103</v>
      </c>
      <c r="G287" s="191"/>
      <c r="H287" s="71"/>
      <c r="I287" s="189"/>
      <c r="J287" s="77"/>
      <c r="K287" s="121"/>
      <c r="L287" s="190"/>
      <c r="M287" s="121"/>
      <c r="N287" s="121"/>
      <c r="O287" s="121"/>
      <c r="P287" s="191"/>
    </row>
    <row r="288" spans="1:16" ht="28.5" customHeight="1">
      <c r="A288" s="100"/>
      <c r="B288" s="412" t="s">
        <v>242</v>
      </c>
      <c r="C288" s="83">
        <v>3</v>
      </c>
      <c r="D288" s="116">
        <f>3+3+2.4+2.4</f>
        <v>10.8</v>
      </c>
      <c r="E288" s="117">
        <v>7.2</v>
      </c>
      <c r="F288" s="116">
        <f t="shared" si="1"/>
        <v>39.600000000000009</v>
      </c>
      <c r="G288" s="191"/>
      <c r="H288" s="489" t="s">
        <v>243</v>
      </c>
      <c r="I288" s="489" t="s">
        <v>244</v>
      </c>
      <c r="J288" s="77"/>
      <c r="K288" s="121"/>
      <c r="L288" s="190"/>
      <c r="M288" s="121"/>
      <c r="N288" s="121"/>
      <c r="O288" s="121"/>
      <c r="P288" s="191"/>
    </row>
    <row r="289" spans="1:19" ht="28.5" customHeight="1">
      <c r="A289" s="100"/>
      <c r="B289" s="412" t="s">
        <v>245</v>
      </c>
      <c r="C289" s="83">
        <v>3</v>
      </c>
      <c r="D289" s="116">
        <f>3+3+2.7+2.7</f>
        <v>11.399999999999999</v>
      </c>
      <c r="E289" s="117">
        <v>8.1</v>
      </c>
      <c r="F289" s="116">
        <f t="shared" si="1"/>
        <v>42.3</v>
      </c>
      <c r="G289" s="191"/>
      <c r="H289" s="490"/>
      <c r="I289" s="490"/>
      <c r="J289" s="77"/>
      <c r="K289" s="121"/>
      <c r="L289" s="190"/>
      <c r="M289" s="121"/>
      <c r="N289" s="121"/>
      <c r="O289" s="121"/>
      <c r="P289" s="191"/>
    </row>
    <row r="290" spans="1:19" ht="28.5" customHeight="1">
      <c r="A290" s="100"/>
      <c r="B290" s="412" t="s">
        <v>246</v>
      </c>
      <c r="C290" s="83">
        <f>3-1.6</f>
        <v>1.4</v>
      </c>
      <c r="D290" s="116">
        <f>3.15+3.15+1.2</f>
        <v>7.5</v>
      </c>
      <c r="E290" s="117">
        <v>3.71</v>
      </c>
      <c r="F290" s="116">
        <f t="shared" si="1"/>
        <v>14.21</v>
      </c>
      <c r="G290" s="191"/>
      <c r="H290" s="496"/>
      <c r="I290" s="496"/>
      <c r="J290" s="77"/>
      <c r="K290" s="121"/>
      <c r="L290" s="190"/>
      <c r="M290" s="121"/>
      <c r="N290" s="121"/>
      <c r="O290" s="121"/>
      <c r="P290" s="191"/>
    </row>
    <row r="291" spans="1:19" ht="28.5" customHeight="1">
      <c r="A291" s="100"/>
      <c r="B291" s="412" t="s">
        <v>247</v>
      </c>
      <c r="C291" s="83">
        <f>3-1.6</f>
        <v>1.4</v>
      </c>
      <c r="D291" s="116">
        <f>3.15+3.15+1.2</f>
        <v>7.5</v>
      </c>
      <c r="E291" s="117">
        <v>3.71</v>
      </c>
      <c r="F291" s="116">
        <f t="shared" si="1"/>
        <v>14.21</v>
      </c>
      <c r="G291" s="191"/>
      <c r="H291" s="193">
        <f>H275+N286</f>
        <v>1051.5334</v>
      </c>
      <c r="I291" s="194">
        <f>L275</f>
        <v>290.51400000000001</v>
      </c>
      <c r="J291" s="77"/>
      <c r="K291" s="121"/>
      <c r="L291" s="190"/>
      <c r="M291" s="121"/>
      <c r="N291" s="121"/>
      <c r="O291" s="121"/>
      <c r="P291" s="191"/>
    </row>
    <row r="292" spans="1:19" ht="42" customHeight="1">
      <c r="A292" s="100"/>
      <c r="B292" s="412" t="s">
        <v>34</v>
      </c>
      <c r="C292" s="83">
        <v>3</v>
      </c>
      <c r="D292" s="116">
        <f>3.77+1.27</f>
        <v>5.04</v>
      </c>
      <c r="E292" s="117">
        <v>11.4</v>
      </c>
      <c r="F292" s="116">
        <f t="shared" si="1"/>
        <v>26.520000000000003</v>
      </c>
      <c r="G292" s="191"/>
      <c r="H292" s="71"/>
      <c r="I292" s="189"/>
      <c r="J292" s="77"/>
      <c r="K292" s="121"/>
      <c r="L292" s="190"/>
      <c r="M292" s="121"/>
      <c r="N292" s="121"/>
      <c r="O292" s="121"/>
      <c r="P292" s="191"/>
    </row>
    <row r="293" spans="1:19" ht="25.5" customHeight="1">
      <c r="A293" s="100"/>
      <c r="B293" s="412" t="s">
        <v>248</v>
      </c>
      <c r="C293" s="83">
        <v>3</v>
      </c>
      <c r="D293" s="116">
        <f>2.4+2.4+1.9+1.9</f>
        <v>8.6</v>
      </c>
      <c r="E293" s="117">
        <v>4.5599999999999996</v>
      </c>
      <c r="F293" s="116">
        <f t="shared" si="1"/>
        <v>30.359999999999996</v>
      </c>
      <c r="H293" s="71"/>
      <c r="I293" s="189"/>
      <c r="J293" s="77"/>
      <c r="K293" s="121"/>
      <c r="L293" s="190"/>
      <c r="M293" s="121"/>
      <c r="N293" s="121"/>
      <c r="O293" s="121"/>
    </row>
    <row r="294" spans="1:19" ht="25.5" customHeight="1">
      <c r="A294" s="100"/>
      <c r="B294" s="17" t="s">
        <v>249</v>
      </c>
      <c r="C294" s="83">
        <v>3</v>
      </c>
      <c r="D294" s="116">
        <f>2.4+2.4+1.5+1.5</f>
        <v>7.8</v>
      </c>
      <c r="E294" s="117">
        <v>3.6</v>
      </c>
      <c r="F294" s="116">
        <f t="shared" si="1"/>
        <v>27</v>
      </c>
      <c r="H294" s="71"/>
      <c r="I294" s="189"/>
      <c r="J294" s="77"/>
      <c r="K294" s="121"/>
      <c r="L294" s="190"/>
      <c r="M294" s="121"/>
      <c r="N294" s="121"/>
      <c r="O294" s="121"/>
    </row>
    <row r="295" spans="1:19" ht="25.5" customHeight="1">
      <c r="A295" s="100"/>
      <c r="B295" s="17" t="s">
        <v>250</v>
      </c>
      <c r="C295" s="83">
        <v>3</v>
      </c>
      <c r="D295" s="116">
        <f>5.35+1.9+1.9+5.35</f>
        <v>14.5</v>
      </c>
      <c r="E295" s="117">
        <v>0</v>
      </c>
      <c r="F295" s="116">
        <f t="shared" si="1"/>
        <v>43.5</v>
      </c>
      <c r="H295" s="71"/>
      <c r="I295" s="189"/>
      <c r="J295" s="77"/>
      <c r="K295" s="121"/>
      <c r="L295" s="190"/>
      <c r="M295" s="121"/>
      <c r="N295" s="121"/>
      <c r="O295" s="121"/>
    </row>
    <row r="296" spans="1:19">
      <c r="A296" s="67"/>
      <c r="B296" s="71"/>
      <c r="C296" s="70"/>
      <c r="D296" s="71"/>
      <c r="E296" s="70"/>
      <c r="F296" s="70"/>
      <c r="G296" s="118"/>
      <c r="H296" s="127"/>
      <c r="I296" s="71"/>
      <c r="J296" s="70"/>
      <c r="K296" s="71"/>
      <c r="L296" s="70"/>
      <c r="M296" s="70"/>
      <c r="N296" s="118"/>
      <c r="O296" s="118"/>
      <c r="P296" s="118"/>
      <c r="Q296" s="192"/>
    </row>
    <row r="297" spans="1:19">
      <c r="A297" s="67"/>
      <c r="B297" s="70"/>
      <c r="C297" s="70"/>
      <c r="D297" s="71"/>
      <c r="E297" s="70"/>
      <c r="F297" s="70"/>
      <c r="G297" s="187"/>
      <c r="H297" s="187"/>
      <c r="I297" s="187"/>
      <c r="J297" s="75"/>
      <c r="K297" s="120"/>
      <c r="L297" s="120"/>
      <c r="M297" s="120"/>
      <c r="N297" s="120"/>
      <c r="O297" s="120"/>
      <c r="Q297" s="121"/>
      <c r="R297" s="71"/>
      <c r="S297" s="71"/>
    </row>
    <row r="298" spans="1:19" ht="12.75" customHeight="1">
      <c r="A298" s="67"/>
      <c r="B298" s="187" t="s">
        <v>223</v>
      </c>
      <c r="C298" s="187"/>
      <c r="D298" s="187"/>
      <c r="E298" s="187"/>
      <c r="F298" s="187"/>
      <c r="K298" s="75"/>
      <c r="L298" s="75"/>
      <c r="M298" s="187"/>
      <c r="N298" s="187"/>
      <c r="O298" s="187"/>
      <c r="P298" s="75"/>
      <c r="Q298" s="121"/>
      <c r="R298" s="71"/>
      <c r="S298" s="71"/>
    </row>
    <row r="299" spans="1:19" ht="14.25" customHeight="1">
      <c r="A299" s="67"/>
      <c r="B299" s="498" t="s">
        <v>224</v>
      </c>
      <c r="C299" s="501" t="s">
        <v>225</v>
      </c>
      <c r="D299" s="498" t="s">
        <v>134</v>
      </c>
      <c r="E299" s="498" t="s">
        <v>226</v>
      </c>
      <c r="F299" s="498" t="s">
        <v>135</v>
      </c>
      <c r="G299" s="498" t="s">
        <v>17</v>
      </c>
      <c r="H299" s="489" t="s">
        <v>227</v>
      </c>
      <c r="I299" s="489" t="s">
        <v>228</v>
      </c>
      <c r="J299" s="119"/>
      <c r="K299" s="497" t="s">
        <v>251</v>
      </c>
      <c r="L299" s="497"/>
      <c r="M299" s="497"/>
      <c r="N299" s="497"/>
      <c r="O299" s="497"/>
    </row>
    <row r="300" spans="1:19" ht="23.25" customHeight="1">
      <c r="A300" s="67"/>
      <c r="B300" s="499"/>
      <c r="C300" s="502"/>
      <c r="D300" s="500"/>
      <c r="E300" s="500"/>
      <c r="F300" s="500"/>
      <c r="G300" s="500"/>
      <c r="H300" s="496"/>
      <c r="I300" s="496"/>
      <c r="J300" s="118"/>
      <c r="K300" s="497"/>
      <c r="L300" s="497"/>
      <c r="M300" s="497"/>
      <c r="N300" s="497"/>
      <c r="O300" s="497"/>
    </row>
    <row r="301" spans="1:19" ht="25.5" customHeight="1">
      <c r="A301" s="67"/>
      <c r="B301" s="500"/>
      <c r="C301" s="414" t="s">
        <v>231</v>
      </c>
      <c r="D301" s="413" t="s">
        <v>155</v>
      </c>
      <c r="E301" s="413" t="s">
        <v>155</v>
      </c>
      <c r="F301" s="413" t="s">
        <v>137</v>
      </c>
      <c r="G301" s="413" t="s">
        <v>150</v>
      </c>
      <c r="H301" s="414" t="s">
        <v>137</v>
      </c>
      <c r="I301" s="414" t="s">
        <v>137</v>
      </c>
      <c r="J301" s="123"/>
      <c r="K301" s="411" t="s">
        <v>146</v>
      </c>
      <c r="L301" s="78" t="s">
        <v>133</v>
      </c>
      <c r="M301" s="78" t="s">
        <v>134</v>
      </c>
      <c r="N301" s="497" t="s">
        <v>252</v>
      </c>
      <c r="O301" s="497"/>
    </row>
    <row r="302" spans="1:19" ht="15" customHeight="1">
      <c r="A302" s="67"/>
      <c r="B302" s="415" t="s">
        <v>233</v>
      </c>
      <c r="C302" s="416" t="s">
        <v>234</v>
      </c>
      <c r="D302" s="417">
        <v>3</v>
      </c>
      <c r="E302" s="415">
        <v>75.95</v>
      </c>
      <c r="F302" s="116">
        <f>D302*E302</f>
        <v>227.85000000000002</v>
      </c>
      <c r="G302" s="83">
        <v>1</v>
      </c>
      <c r="H302" s="116">
        <f>F302*G302</f>
        <v>227.85000000000002</v>
      </c>
      <c r="I302" s="116">
        <f>IF(C302="E.S.",G302,IF(C302="L.A.",0))</f>
        <v>0</v>
      </c>
      <c r="J302" s="124"/>
      <c r="K302" s="504" t="s">
        <v>253</v>
      </c>
      <c r="L302" s="449" t="s">
        <v>175</v>
      </c>
      <c r="M302" s="449" t="s">
        <v>175</v>
      </c>
      <c r="N302" s="451">
        <f>SUM(E272:E294)+9.04</f>
        <v>205.88</v>
      </c>
      <c r="O302" s="452"/>
    </row>
    <row r="303" spans="1:19" ht="23.25" customHeight="1">
      <c r="A303" s="100"/>
      <c r="B303" s="415" t="s">
        <v>36</v>
      </c>
      <c r="C303" s="116" t="s">
        <v>234</v>
      </c>
      <c r="D303" s="125" t="s">
        <v>175</v>
      </c>
      <c r="E303" s="83" t="s">
        <v>175</v>
      </c>
      <c r="F303" s="116">
        <f>C245</f>
        <v>96.52</v>
      </c>
      <c r="G303" s="83">
        <v>1</v>
      </c>
      <c r="H303" s="116">
        <f>F303*G303</f>
        <v>96.52</v>
      </c>
      <c r="I303" s="116">
        <f>IF(C303="E.S.",G303,IF(C303="L.A.",0))</f>
        <v>0</v>
      </c>
      <c r="J303" s="124"/>
      <c r="K303" s="504"/>
      <c r="L303" s="450"/>
      <c r="M303" s="450"/>
      <c r="N303" s="453"/>
      <c r="O303" s="454"/>
    </row>
    <row r="304" spans="1:19" ht="20.25" customHeight="1">
      <c r="A304" s="100"/>
      <c r="B304" s="103" t="s">
        <v>237</v>
      </c>
      <c r="C304" s="116" t="s">
        <v>234</v>
      </c>
      <c r="D304" s="125">
        <v>2</v>
      </c>
      <c r="E304" s="83">
        <f>55.17+2.5+42.7+3.12</f>
        <v>103.49000000000001</v>
      </c>
      <c r="F304" s="116">
        <f t="shared" ref="F304:F305" si="5">D304*E304</f>
        <v>206.98000000000002</v>
      </c>
      <c r="G304" s="83">
        <v>1</v>
      </c>
      <c r="H304" s="116">
        <f>F304*G304</f>
        <v>206.98000000000002</v>
      </c>
      <c r="I304" s="116">
        <f>IF(C304="E.S.",G304,IF(C304="L.A.",0))</f>
        <v>0</v>
      </c>
      <c r="J304" s="124"/>
      <c r="K304" s="449" t="s">
        <v>179</v>
      </c>
      <c r="L304" s="449">
        <f>J200+J178+J151</f>
        <v>21.14</v>
      </c>
      <c r="M304" s="449">
        <v>0.1</v>
      </c>
      <c r="N304" s="451">
        <f>L304*M304</f>
        <v>2.1140000000000003</v>
      </c>
      <c r="O304" s="452"/>
    </row>
    <row r="305" spans="1:19" ht="20.25" customHeight="1">
      <c r="A305" s="100"/>
      <c r="B305" s="103" t="s">
        <v>239</v>
      </c>
      <c r="C305" s="116" t="s">
        <v>234</v>
      </c>
      <c r="D305" s="125">
        <v>2.46</v>
      </c>
      <c r="E305" s="83">
        <f>0.24+0.24+0.255+0.255</f>
        <v>0.99</v>
      </c>
      <c r="F305" s="116">
        <f t="shared" si="5"/>
        <v>2.4354</v>
      </c>
      <c r="G305" s="83">
        <v>10</v>
      </c>
      <c r="H305" s="116">
        <f>F305*G305</f>
        <v>24.353999999999999</v>
      </c>
      <c r="I305" s="116">
        <f>IF(C305="E.S.",G305,IF(C305="L.A.",0))</f>
        <v>0</v>
      </c>
      <c r="J305" s="124"/>
      <c r="K305" s="450"/>
      <c r="L305" s="450"/>
      <c r="M305" s="450"/>
      <c r="N305" s="453"/>
      <c r="O305" s="454"/>
    </row>
    <row r="306" spans="1:19" ht="25.5" customHeight="1">
      <c r="A306" s="67"/>
      <c r="B306" s="70"/>
      <c r="C306" s="70"/>
      <c r="D306" s="71"/>
      <c r="E306" s="70"/>
      <c r="F306" s="70"/>
      <c r="G306" s="118" t="s">
        <v>241</v>
      </c>
      <c r="H306" s="418">
        <f>SUM(H302:H305)</f>
        <v>555.70400000000006</v>
      </c>
      <c r="I306" s="418">
        <f>SUM(I303:I303)</f>
        <v>0</v>
      </c>
      <c r="J306" s="110" t="s">
        <v>137</v>
      </c>
      <c r="K306" s="77"/>
      <c r="L306" s="77"/>
      <c r="M306" s="118" t="s">
        <v>149</v>
      </c>
      <c r="N306" s="455">
        <f>SUM(N302:O305)</f>
        <v>207.994</v>
      </c>
      <c r="O306" s="456"/>
      <c r="P306" s="110" t="s">
        <v>137</v>
      </c>
      <c r="R306" s="71"/>
      <c r="S306" s="71"/>
    </row>
    <row r="307" spans="1:19" ht="25.5" customHeight="1">
      <c r="A307" s="67"/>
      <c r="B307" s="70"/>
      <c r="C307" s="70"/>
      <c r="D307" s="71"/>
      <c r="E307" s="70"/>
      <c r="F307" s="70"/>
      <c r="G307" s="70"/>
      <c r="H307" s="118"/>
      <c r="I307" s="127"/>
      <c r="J307" s="118"/>
      <c r="K307" s="118"/>
      <c r="L307" s="118"/>
      <c r="M307" s="118"/>
      <c r="N307" s="118"/>
      <c r="O307" s="118"/>
      <c r="P307" s="118"/>
      <c r="Q307" s="110"/>
      <c r="R307" s="71"/>
      <c r="S307" s="71"/>
    </row>
    <row r="308" spans="1:19" ht="25.5" customHeight="1">
      <c r="A308" s="67"/>
      <c r="B308" s="70"/>
      <c r="C308" s="70"/>
      <c r="D308" s="71"/>
      <c r="E308" s="70"/>
      <c r="F308" s="70"/>
      <c r="G308" s="122"/>
      <c r="H308" s="84"/>
      <c r="I308" s="127"/>
      <c r="J308" s="118"/>
      <c r="K308" s="118"/>
      <c r="L308" s="118"/>
      <c r="M308" s="118"/>
      <c r="N308" s="118"/>
      <c r="O308" s="118"/>
      <c r="P308" s="118"/>
      <c r="Q308" s="110"/>
      <c r="R308" s="71"/>
      <c r="S308" s="71"/>
    </row>
    <row r="309" spans="1:19">
      <c r="A309" s="67"/>
      <c r="B309" s="122" t="s">
        <v>254</v>
      </c>
      <c r="C309" s="122"/>
      <c r="D309" s="122"/>
      <c r="E309" s="122"/>
      <c r="F309" s="122"/>
      <c r="H309" s="84"/>
      <c r="I309" s="84"/>
      <c r="J309" s="84"/>
      <c r="K309" s="84"/>
      <c r="L309" s="84"/>
      <c r="M309" s="84"/>
      <c r="N309" s="84"/>
      <c r="O309" s="84"/>
      <c r="P309" s="84"/>
      <c r="Q309" s="119"/>
      <c r="R309" s="119"/>
      <c r="S309" s="71"/>
    </row>
    <row r="310" spans="1:19" ht="15" customHeight="1">
      <c r="A310" s="128"/>
      <c r="B310" s="503" t="s">
        <v>255</v>
      </c>
      <c r="C310" s="458"/>
      <c r="D310" s="458"/>
      <c r="E310" s="458"/>
      <c r="F310" s="458"/>
      <c r="G310" s="459"/>
      <c r="H310" s="70"/>
      <c r="I310" s="70"/>
      <c r="J310" s="70"/>
      <c r="K310" s="84"/>
      <c r="L310" s="188"/>
      <c r="M310" s="70"/>
      <c r="N310" s="70"/>
      <c r="O310" s="70"/>
      <c r="P310" s="70"/>
      <c r="Q310" s="71"/>
      <c r="R310" s="71"/>
      <c r="S310" s="71"/>
    </row>
    <row r="311" spans="1:19" ht="25.5">
      <c r="A311" s="67"/>
      <c r="B311" s="129" t="s">
        <v>146</v>
      </c>
      <c r="C311" s="129" t="s">
        <v>17</v>
      </c>
      <c r="D311" s="129" t="s">
        <v>139</v>
      </c>
      <c r="E311" s="130" t="s">
        <v>134</v>
      </c>
      <c r="F311" s="129" t="s">
        <v>256</v>
      </c>
      <c r="G311" s="130" t="s">
        <v>135</v>
      </c>
      <c r="H311" s="113"/>
      <c r="I311" s="70"/>
      <c r="J311" s="70"/>
      <c r="K311" s="70"/>
      <c r="L311" s="70"/>
      <c r="M311" s="70"/>
      <c r="N311" s="70"/>
      <c r="O311" s="70"/>
      <c r="P311" s="71"/>
      <c r="Q311" s="71"/>
      <c r="R311" s="71"/>
    </row>
    <row r="312" spans="1:19">
      <c r="A312" s="67"/>
      <c r="B312" s="412" t="s">
        <v>217</v>
      </c>
      <c r="C312" s="83">
        <v>1</v>
      </c>
      <c r="D312" s="83">
        <v>0.72</v>
      </c>
      <c r="E312" s="83">
        <v>2.1</v>
      </c>
      <c r="F312" s="83">
        <v>3</v>
      </c>
      <c r="G312" s="83">
        <f>C312*D312*E312*F312</f>
        <v>4.5359999999999996</v>
      </c>
      <c r="H312" s="113"/>
      <c r="I312" s="70"/>
      <c r="J312" s="70"/>
      <c r="K312" s="70"/>
      <c r="L312" s="70"/>
      <c r="M312" s="70"/>
      <c r="N312" s="70"/>
      <c r="O312" s="70"/>
      <c r="P312" s="70"/>
      <c r="Q312" s="71"/>
      <c r="R312" s="71"/>
    </row>
    <row r="313" spans="1:19">
      <c r="A313" s="67"/>
      <c r="B313" s="412" t="s">
        <v>220</v>
      </c>
      <c r="C313" s="83">
        <v>1</v>
      </c>
      <c r="D313" s="83">
        <v>0.72</v>
      </c>
      <c r="E313" s="83">
        <v>2.1</v>
      </c>
      <c r="F313" s="83">
        <v>3</v>
      </c>
      <c r="G313" s="83">
        <f>C313*D313*E313*F313</f>
        <v>4.5359999999999996</v>
      </c>
      <c r="H313" s="113"/>
      <c r="I313" s="70"/>
      <c r="J313" s="70"/>
      <c r="K313" s="70"/>
      <c r="L313" s="70"/>
      <c r="M313" s="70"/>
      <c r="N313" s="70"/>
      <c r="O313" s="70"/>
      <c r="P313" s="70"/>
      <c r="Q313" s="120"/>
      <c r="R313" s="71"/>
    </row>
    <row r="314" spans="1:19">
      <c r="A314" s="67"/>
      <c r="B314" s="412" t="s">
        <v>221</v>
      </c>
      <c r="C314" s="83">
        <v>1</v>
      </c>
      <c r="D314" s="83">
        <v>0.92</v>
      </c>
      <c r="E314" s="83">
        <v>2.1</v>
      </c>
      <c r="F314" s="83">
        <v>3</v>
      </c>
      <c r="G314" s="83">
        <f>D314*E314*F314*C314</f>
        <v>5.7960000000000003</v>
      </c>
      <c r="H314" s="113"/>
      <c r="I314" s="70"/>
      <c r="J314" s="70"/>
      <c r="K314" s="70"/>
      <c r="L314" s="70"/>
      <c r="M314" s="70"/>
      <c r="N314" s="70"/>
      <c r="O314" s="70"/>
      <c r="P314" s="70"/>
      <c r="Q314" s="120"/>
      <c r="R314" s="71"/>
    </row>
    <row r="315" spans="1:19">
      <c r="A315" s="67"/>
      <c r="B315" s="412" t="s">
        <v>222</v>
      </c>
      <c r="C315" s="83">
        <v>1</v>
      </c>
      <c r="D315" s="83">
        <v>0.92</v>
      </c>
      <c r="E315" s="83">
        <v>2.1</v>
      </c>
      <c r="F315" s="83">
        <v>3</v>
      </c>
      <c r="G315" s="83">
        <f>C315*D315*E315*F315</f>
        <v>5.7960000000000003</v>
      </c>
      <c r="H315" s="113"/>
      <c r="I315" s="70"/>
      <c r="J315" s="70"/>
      <c r="K315" s="70"/>
      <c r="L315" s="70"/>
      <c r="M315" s="70"/>
      <c r="N315" s="70"/>
      <c r="O315" s="70"/>
      <c r="P315" s="71"/>
      <c r="Q315" s="120"/>
      <c r="R315" s="119"/>
    </row>
    <row r="316" spans="1:19">
      <c r="A316" s="67"/>
      <c r="B316" s="412" t="s">
        <v>32</v>
      </c>
      <c r="C316" s="83">
        <v>1</v>
      </c>
      <c r="D316" s="83">
        <v>0.92</v>
      </c>
      <c r="E316" s="83">
        <v>2.1</v>
      </c>
      <c r="F316" s="83">
        <v>3</v>
      </c>
      <c r="G316" s="83">
        <f>C316*D316*E316*F316</f>
        <v>5.7960000000000003</v>
      </c>
      <c r="H316" s="113"/>
      <c r="I316" s="70"/>
      <c r="J316" s="70"/>
      <c r="K316" s="70"/>
      <c r="L316" s="70"/>
      <c r="M316" s="70"/>
      <c r="N316" s="70"/>
      <c r="O316" s="70"/>
      <c r="P316" s="71"/>
      <c r="Q316" s="120"/>
      <c r="R316" s="119"/>
    </row>
    <row r="317" spans="1:19">
      <c r="A317" s="67"/>
      <c r="B317" s="412" t="s">
        <v>27</v>
      </c>
      <c r="C317" s="83">
        <v>1</v>
      </c>
      <c r="D317" s="83">
        <v>0.92</v>
      </c>
      <c r="E317" s="83">
        <v>2.1</v>
      </c>
      <c r="F317" s="83">
        <v>3</v>
      </c>
      <c r="G317" s="83">
        <f>C317*D317*E317*F317</f>
        <v>5.7960000000000003</v>
      </c>
      <c r="H317" s="113"/>
      <c r="I317" s="70"/>
      <c r="J317" s="70"/>
      <c r="K317" s="70"/>
      <c r="L317" s="70"/>
      <c r="M317" s="70"/>
      <c r="N317" s="70"/>
      <c r="O317" s="70"/>
      <c r="P317" s="70"/>
      <c r="Q317" s="71"/>
      <c r="R317" s="71"/>
    </row>
    <row r="318" spans="1:19">
      <c r="A318" s="67"/>
      <c r="B318" s="412" t="s">
        <v>229</v>
      </c>
      <c r="C318" s="83">
        <v>1</v>
      </c>
      <c r="D318" s="83">
        <v>0.92</v>
      </c>
      <c r="E318" s="83">
        <v>2.1</v>
      </c>
      <c r="F318" s="83">
        <v>3</v>
      </c>
      <c r="G318" s="83">
        <f>D318*E318*F318*C318</f>
        <v>5.7960000000000003</v>
      </c>
      <c r="H318" s="113"/>
      <c r="I318" s="70"/>
      <c r="J318" s="70"/>
      <c r="K318" s="70"/>
      <c r="L318" s="70"/>
      <c r="M318" s="70"/>
      <c r="N318" s="70"/>
      <c r="O318" s="70"/>
      <c r="P318" s="70"/>
      <c r="Q318" s="120"/>
      <c r="R318" s="71"/>
    </row>
    <row r="319" spans="1:19">
      <c r="A319" s="67"/>
      <c r="B319" s="412" t="s">
        <v>230</v>
      </c>
      <c r="C319" s="83">
        <v>1</v>
      </c>
      <c r="D319" s="83">
        <v>0.92</v>
      </c>
      <c r="E319" s="83">
        <v>2.1</v>
      </c>
      <c r="F319" s="83">
        <v>3</v>
      </c>
      <c r="G319" s="83">
        <f>C319*D319*E319*F319</f>
        <v>5.7960000000000003</v>
      </c>
      <c r="H319" s="113"/>
      <c r="I319" s="70"/>
      <c r="J319" s="70"/>
      <c r="K319" s="70"/>
      <c r="L319" s="70"/>
      <c r="M319" s="70"/>
      <c r="N319" s="70"/>
      <c r="O319" s="70"/>
      <c r="P319" s="70"/>
      <c r="Q319" s="71"/>
      <c r="R319" s="71"/>
    </row>
    <row r="320" spans="1:19">
      <c r="A320" s="67"/>
      <c r="B320" s="412" t="s">
        <v>232</v>
      </c>
      <c r="C320" s="83">
        <v>1</v>
      </c>
      <c r="D320" s="83">
        <v>0.92</v>
      </c>
      <c r="E320" s="83">
        <v>2.1</v>
      </c>
      <c r="F320" s="83">
        <v>3</v>
      </c>
      <c r="G320" s="83">
        <f>C320*D320*E320*F320</f>
        <v>5.7960000000000003</v>
      </c>
      <c r="H320" s="113"/>
      <c r="I320" s="70"/>
      <c r="J320" s="70"/>
      <c r="K320" s="70"/>
      <c r="L320" s="70"/>
      <c r="M320" s="70"/>
      <c r="N320" s="70"/>
      <c r="O320" s="70"/>
      <c r="P320" s="70"/>
      <c r="Q320" s="120"/>
      <c r="R320" s="71"/>
    </row>
    <row r="321" spans="1:19">
      <c r="A321" s="67"/>
      <c r="B321" s="412" t="s">
        <v>235</v>
      </c>
      <c r="C321" s="83">
        <v>1</v>
      </c>
      <c r="D321" s="83">
        <v>0.92</v>
      </c>
      <c r="E321" s="83">
        <v>2.1</v>
      </c>
      <c r="F321" s="83">
        <v>3</v>
      </c>
      <c r="G321" s="83">
        <f>D321*E321*F321*C321</f>
        <v>5.7960000000000003</v>
      </c>
      <c r="H321" s="113"/>
      <c r="I321" s="70"/>
      <c r="J321" s="70"/>
      <c r="K321" s="70"/>
      <c r="L321" s="70"/>
      <c r="M321" s="70"/>
      <c r="N321" s="70"/>
      <c r="O321" s="70"/>
      <c r="P321" s="70"/>
      <c r="Q321" s="120"/>
      <c r="R321" s="71"/>
    </row>
    <row r="322" spans="1:19">
      <c r="A322" s="67"/>
      <c r="B322" s="412" t="s">
        <v>236</v>
      </c>
      <c r="C322" s="83">
        <v>1</v>
      </c>
      <c r="D322" s="83">
        <v>0.92</v>
      </c>
      <c r="E322" s="83">
        <v>2.1</v>
      </c>
      <c r="F322" s="83">
        <v>3</v>
      </c>
      <c r="G322" s="83">
        <f t="shared" ref="G322:G330" si="6">C322*D322*E322*F322</f>
        <v>5.7960000000000003</v>
      </c>
      <c r="H322" s="113"/>
      <c r="I322" s="70"/>
      <c r="J322" s="70"/>
      <c r="K322" s="70"/>
      <c r="L322" s="70"/>
      <c r="M322" s="70"/>
      <c r="N322" s="70"/>
      <c r="O322" s="70"/>
      <c r="P322" s="71"/>
      <c r="Q322" s="120"/>
      <c r="R322" s="119"/>
    </row>
    <row r="323" spans="1:19">
      <c r="A323" s="67"/>
      <c r="B323" s="412" t="s">
        <v>238</v>
      </c>
      <c r="C323" s="83">
        <v>1</v>
      </c>
      <c r="D323" s="83">
        <v>0.92</v>
      </c>
      <c r="E323" s="83">
        <v>2.1</v>
      </c>
      <c r="F323" s="83">
        <v>3</v>
      </c>
      <c r="G323" s="83">
        <f t="shared" si="6"/>
        <v>5.7960000000000003</v>
      </c>
      <c r="H323" s="113"/>
      <c r="I323" s="70"/>
      <c r="J323" s="70"/>
      <c r="K323" s="70"/>
      <c r="L323" s="70"/>
      <c r="M323" s="70"/>
      <c r="N323" s="70"/>
      <c r="O323" s="70"/>
      <c r="P323" s="70"/>
      <c r="Q323" s="71"/>
      <c r="R323" s="71"/>
    </row>
    <row r="324" spans="1:19">
      <c r="A324" s="67"/>
      <c r="B324" s="412" t="s">
        <v>240</v>
      </c>
      <c r="C324" s="83">
        <v>1</v>
      </c>
      <c r="D324" s="83">
        <v>0.92</v>
      </c>
      <c r="E324" s="83">
        <v>2.1</v>
      </c>
      <c r="F324" s="83">
        <v>3</v>
      </c>
      <c r="G324" s="83">
        <f t="shared" si="6"/>
        <v>5.7960000000000003</v>
      </c>
      <c r="H324" s="113"/>
      <c r="I324" s="70"/>
      <c r="J324" s="70"/>
      <c r="K324" s="70"/>
      <c r="L324" s="70"/>
      <c r="M324" s="70"/>
      <c r="N324" s="70"/>
      <c r="O324" s="70"/>
      <c r="P324" s="70"/>
      <c r="Q324" s="120"/>
      <c r="R324" s="71"/>
    </row>
    <row r="325" spans="1:19">
      <c r="A325" s="67"/>
      <c r="B325" s="412" t="s">
        <v>242</v>
      </c>
      <c r="C325" s="83">
        <v>1</v>
      </c>
      <c r="D325" s="83">
        <v>0.92</v>
      </c>
      <c r="E325" s="83">
        <v>2.1</v>
      </c>
      <c r="F325" s="83">
        <v>3</v>
      </c>
      <c r="G325" s="83">
        <f t="shared" si="6"/>
        <v>5.7960000000000003</v>
      </c>
      <c r="H325" s="113"/>
      <c r="I325" s="70"/>
      <c r="J325" s="70"/>
      <c r="K325" s="70"/>
      <c r="L325" s="70"/>
      <c r="M325" s="70"/>
      <c r="N325" s="70"/>
      <c r="O325" s="70"/>
      <c r="P325" s="71"/>
      <c r="Q325" s="120"/>
      <c r="R325" s="119"/>
    </row>
    <row r="326" spans="1:19">
      <c r="A326" s="67"/>
      <c r="B326" s="412" t="s">
        <v>245</v>
      </c>
      <c r="C326" s="83">
        <v>1</v>
      </c>
      <c r="D326" s="83">
        <v>0.92</v>
      </c>
      <c r="E326" s="83">
        <v>2.1</v>
      </c>
      <c r="F326" s="83">
        <v>3</v>
      </c>
      <c r="G326" s="83">
        <f t="shared" si="6"/>
        <v>5.7960000000000003</v>
      </c>
      <c r="H326" s="113"/>
      <c r="I326" s="70"/>
      <c r="J326" s="70"/>
      <c r="K326" s="70"/>
      <c r="L326" s="70"/>
      <c r="M326" s="70"/>
      <c r="N326" s="70"/>
      <c r="O326" s="70"/>
      <c r="P326" s="71"/>
      <c r="Q326" s="120"/>
      <c r="R326" s="119"/>
    </row>
    <row r="327" spans="1:19">
      <c r="A327" s="67"/>
      <c r="B327" s="412" t="s">
        <v>246</v>
      </c>
      <c r="C327" s="83">
        <v>1</v>
      </c>
      <c r="D327" s="83">
        <v>0.72</v>
      </c>
      <c r="E327" s="83">
        <v>2.1</v>
      </c>
      <c r="F327" s="83">
        <v>3</v>
      </c>
      <c r="G327" s="83">
        <f t="shared" si="6"/>
        <v>4.5359999999999996</v>
      </c>
      <c r="H327" s="113"/>
      <c r="I327" s="70"/>
      <c r="J327" s="70"/>
      <c r="K327" s="70"/>
      <c r="L327" s="70"/>
      <c r="M327" s="70"/>
      <c r="N327" s="70"/>
      <c r="O327" s="70"/>
      <c r="P327" s="70"/>
      <c r="Q327" s="71"/>
      <c r="R327" s="71"/>
    </row>
    <row r="328" spans="1:19">
      <c r="A328" s="67"/>
      <c r="B328" s="412" t="s">
        <v>247</v>
      </c>
      <c r="C328" s="83">
        <v>1</v>
      </c>
      <c r="D328" s="83">
        <v>0.72</v>
      </c>
      <c r="E328" s="83">
        <v>2.1</v>
      </c>
      <c r="F328" s="83">
        <v>3</v>
      </c>
      <c r="G328" s="83">
        <f t="shared" si="6"/>
        <v>4.5359999999999996</v>
      </c>
      <c r="H328" s="113"/>
      <c r="I328" s="70"/>
      <c r="J328" s="70"/>
      <c r="K328" s="70"/>
      <c r="L328" s="70"/>
      <c r="M328" s="70"/>
      <c r="N328" s="70"/>
      <c r="O328" s="70"/>
      <c r="P328" s="70"/>
      <c r="Q328" s="120"/>
      <c r="R328" s="71"/>
    </row>
    <row r="329" spans="1:19">
      <c r="A329" s="67"/>
      <c r="B329" s="412" t="s">
        <v>248</v>
      </c>
      <c r="C329" s="83">
        <v>1</v>
      </c>
      <c r="D329" s="83">
        <v>0.92</v>
      </c>
      <c r="E329" s="83">
        <v>2.1</v>
      </c>
      <c r="F329" s="83">
        <v>3</v>
      </c>
      <c r="G329" s="83">
        <f t="shared" si="6"/>
        <v>5.7960000000000003</v>
      </c>
      <c r="H329" s="113"/>
      <c r="I329" s="70"/>
      <c r="J329" s="70"/>
      <c r="K329" s="70"/>
      <c r="L329" s="70"/>
      <c r="M329" s="70"/>
      <c r="N329" s="70"/>
      <c r="O329" s="70"/>
      <c r="P329" s="70"/>
      <c r="Q329" s="71"/>
      <c r="R329" s="71"/>
    </row>
    <row r="330" spans="1:19">
      <c r="A330" s="67"/>
      <c r="B330" s="17" t="s">
        <v>249</v>
      </c>
      <c r="C330" s="83">
        <v>1</v>
      </c>
      <c r="D330" s="83">
        <v>0.92</v>
      </c>
      <c r="E330" s="83">
        <v>2.1</v>
      </c>
      <c r="F330" s="83">
        <v>3</v>
      </c>
      <c r="G330" s="83">
        <f t="shared" si="6"/>
        <v>5.7960000000000003</v>
      </c>
      <c r="H330" s="113"/>
      <c r="I330" s="70"/>
      <c r="J330" s="70"/>
      <c r="K330" s="70"/>
      <c r="L330" s="70"/>
      <c r="M330" s="70"/>
      <c r="N330" s="70"/>
      <c r="O330" s="70"/>
      <c r="P330" s="70"/>
      <c r="Q330" s="120"/>
      <c r="R330" s="71"/>
    </row>
    <row r="331" spans="1:19">
      <c r="A331" s="67"/>
      <c r="B331" s="17" t="s">
        <v>250</v>
      </c>
      <c r="C331" s="83">
        <v>1</v>
      </c>
      <c r="D331" s="83">
        <v>0.82</v>
      </c>
      <c r="E331" s="83">
        <v>2.1</v>
      </c>
      <c r="F331" s="83">
        <v>3</v>
      </c>
      <c r="G331" s="83">
        <f>D331*E331*F331*C331</f>
        <v>5.1660000000000004</v>
      </c>
      <c r="I331" s="107"/>
      <c r="J331" s="111"/>
      <c r="K331" s="70"/>
      <c r="L331" s="70"/>
      <c r="M331" s="70"/>
      <c r="N331" s="70"/>
      <c r="O331" s="70"/>
      <c r="P331" s="70"/>
      <c r="Q331" s="120"/>
      <c r="R331" s="71"/>
    </row>
    <row r="332" spans="1:19">
      <c r="A332" s="111"/>
      <c r="B332" s="71"/>
      <c r="C332" s="111"/>
      <c r="D332" s="111"/>
      <c r="E332" s="111"/>
      <c r="F332" s="87" t="s">
        <v>149</v>
      </c>
      <c r="G332" s="419">
        <f>SUM(G312:G331)</f>
        <v>110.25000000000003</v>
      </c>
      <c r="H332" s="75" t="s">
        <v>137</v>
      </c>
      <c r="I332" s="111"/>
      <c r="J332" s="111"/>
      <c r="K332" s="111"/>
      <c r="L332" s="111"/>
      <c r="M332" s="111"/>
      <c r="N332" s="71"/>
      <c r="O332" s="111"/>
      <c r="P332" s="111"/>
      <c r="Q332" s="70"/>
      <c r="R332" s="70"/>
      <c r="S332" s="71"/>
    </row>
    <row r="333" spans="1:19">
      <c r="A333" s="111"/>
      <c r="B333" s="71"/>
      <c r="C333" s="111"/>
      <c r="D333" s="111"/>
      <c r="E333" s="111"/>
      <c r="F333" s="111"/>
      <c r="H333" s="84"/>
      <c r="I333" s="84"/>
      <c r="J333" s="70"/>
      <c r="K333" s="111"/>
      <c r="L333" s="111"/>
      <c r="M333" s="111"/>
      <c r="N333" s="111"/>
      <c r="O333" s="111"/>
      <c r="P333" s="111"/>
      <c r="Q333" s="70"/>
      <c r="R333" s="70"/>
      <c r="S333" s="71"/>
    </row>
    <row r="334" spans="1:19" ht="15" customHeight="1">
      <c r="A334" s="128"/>
      <c r="B334" s="503" t="s">
        <v>257</v>
      </c>
      <c r="C334" s="458"/>
      <c r="D334" s="458"/>
      <c r="E334" s="458"/>
      <c r="F334" s="458"/>
      <c r="G334" s="459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1"/>
    </row>
    <row r="335" spans="1:19" ht="25.5">
      <c r="A335" s="67"/>
      <c r="B335" s="420" t="s">
        <v>146</v>
      </c>
      <c r="C335" s="420" t="s">
        <v>17</v>
      </c>
      <c r="D335" s="420" t="s">
        <v>139</v>
      </c>
      <c r="E335" s="81" t="s">
        <v>134</v>
      </c>
      <c r="F335" s="420" t="s">
        <v>256</v>
      </c>
      <c r="G335" s="130" t="s">
        <v>135</v>
      </c>
      <c r="H335" s="113"/>
      <c r="I335" s="111"/>
      <c r="J335" s="111"/>
      <c r="K335" s="70"/>
      <c r="L335" s="70"/>
      <c r="M335" s="70"/>
      <c r="N335" s="70"/>
      <c r="O335" s="70"/>
      <c r="P335" s="111"/>
      <c r="Q335" s="70"/>
      <c r="R335" s="71"/>
    </row>
    <row r="336" spans="1:19" ht="25.5" customHeight="1">
      <c r="A336" s="111"/>
      <c r="B336" s="412" t="s">
        <v>36</v>
      </c>
      <c r="C336" s="83">
        <v>1</v>
      </c>
      <c r="D336" s="83">
        <v>0.92</v>
      </c>
      <c r="E336" s="83">
        <v>2.1</v>
      </c>
      <c r="F336" s="83">
        <v>2</v>
      </c>
      <c r="G336" s="83">
        <f t="shared" ref="G336:G358" si="7">(C336*D336*E336*F336)</f>
        <v>3.8640000000000003</v>
      </c>
      <c r="H336" s="113"/>
      <c r="I336" s="111"/>
      <c r="J336" s="111"/>
      <c r="K336" s="111"/>
      <c r="L336" s="111"/>
      <c r="M336" s="111"/>
      <c r="N336" s="111"/>
      <c r="O336" s="111"/>
      <c r="P336" s="70"/>
      <c r="Q336" s="70"/>
      <c r="R336" s="71"/>
    </row>
    <row r="337" spans="1:19" ht="25.5" customHeight="1">
      <c r="A337" s="111"/>
      <c r="B337" s="412" t="s">
        <v>35</v>
      </c>
      <c r="C337" s="83">
        <v>2</v>
      </c>
      <c r="D337" s="83">
        <v>0.92</v>
      </c>
      <c r="E337" s="83">
        <v>2.1</v>
      </c>
      <c r="F337" s="83">
        <v>2</v>
      </c>
      <c r="G337" s="83">
        <f t="shared" si="7"/>
        <v>7.7280000000000006</v>
      </c>
      <c r="H337" s="113"/>
      <c r="I337" s="111"/>
      <c r="J337" s="111"/>
      <c r="K337" s="111"/>
      <c r="L337" s="111"/>
      <c r="M337" s="111"/>
      <c r="N337" s="111"/>
      <c r="O337" s="111"/>
      <c r="P337" s="70"/>
      <c r="Q337" s="70"/>
      <c r="R337" s="71"/>
    </row>
    <row r="338" spans="1:19">
      <c r="A338" s="111"/>
      <c r="B338" s="412" t="s">
        <v>239</v>
      </c>
      <c r="C338" s="83">
        <v>2</v>
      </c>
      <c r="D338" s="83">
        <v>1.8</v>
      </c>
      <c r="E338" s="83">
        <v>2.1</v>
      </c>
      <c r="F338" s="83">
        <v>2</v>
      </c>
      <c r="G338" s="83">
        <f t="shared" si="7"/>
        <v>15.120000000000001</v>
      </c>
      <c r="H338" s="70"/>
      <c r="I338" s="70"/>
      <c r="J338" s="70"/>
      <c r="K338" s="111"/>
      <c r="L338" s="111"/>
      <c r="M338" s="111"/>
      <c r="N338" s="111"/>
      <c r="O338" s="111"/>
      <c r="P338" s="70"/>
      <c r="Q338" s="70"/>
      <c r="R338" s="71"/>
    </row>
    <row r="339" spans="1:19">
      <c r="A339" s="67"/>
      <c r="B339" s="412" t="s">
        <v>258</v>
      </c>
      <c r="C339" s="83">
        <v>2</v>
      </c>
      <c r="D339" s="83">
        <v>1</v>
      </c>
      <c r="E339" s="83">
        <v>2.1</v>
      </c>
      <c r="F339" s="83">
        <v>2</v>
      </c>
      <c r="G339" s="83">
        <f t="shared" si="7"/>
        <v>8.4</v>
      </c>
      <c r="H339" s="70"/>
      <c r="I339" s="70"/>
      <c r="J339" s="70"/>
      <c r="K339" s="70"/>
      <c r="L339" s="70"/>
      <c r="M339" s="70"/>
      <c r="N339" s="70"/>
      <c r="O339" s="70"/>
      <c r="P339" s="111"/>
      <c r="Q339" s="70"/>
      <c r="R339" s="70"/>
    </row>
    <row r="340" spans="1:19">
      <c r="A340" s="67"/>
      <c r="B340" s="412" t="s">
        <v>216</v>
      </c>
      <c r="C340" s="83">
        <v>2</v>
      </c>
      <c r="D340" s="83">
        <v>1.8</v>
      </c>
      <c r="E340" s="83">
        <v>1</v>
      </c>
      <c r="F340" s="83">
        <v>4</v>
      </c>
      <c r="G340" s="83">
        <f t="shared" si="7"/>
        <v>14.4</v>
      </c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</row>
    <row r="341" spans="1:19">
      <c r="A341" s="67"/>
      <c r="B341" s="412" t="s">
        <v>217</v>
      </c>
      <c r="C341" s="83">
        <v>1</v>
      </c>
      <c r="D341" s="83">
        <v>0.9</v>
      </c>
      <c r="E341" s="83">
        <v>1</v>
      </c>
      <c r="F341" s="83">
        <v>4</v>
      </c>
      <c r="G341" s="83">
        <f t="shared" si="7"/>
        <v>3.6</v>
      </c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</row>
    <row r="342" spans="1:19">
      <c r="A342" s="67"/>
      <c r="B342" s="412" t="s">
        <v>220</v>
      </c>
      <c r="C342" s="83">
        <v>1</v>
      </c>
      <c r="D342" s="83">
        <v>0.9</v>
      </c>
      <c r="E342" s="83">
        <v>1</v>
      </c>
      <c r="F342" s="83">
        <v>4</v>
      </c>
      <c r="G342" s="83">
        <f t="shared" si="7"/>
        <v>3.6</v>
      </c>
      <c r="H342" s="84"/>
      <c r="I342" s="111"/>
      <c r="J342" s="111"/>
      <c r="K342" s="70"/>
      <c r="L342" s="70"/>
      <c r="M342" s="70"/>
      <c r="N342" s="70"/>
      <c r="O342" s="70"/>
      <c r="P342" s="70"/>
      <c r="Q342" s="70"/>
      <c r="R342" s="70"/>
    </row>
    <row r="343" spans="1:19">
      <c r="A343" s="67"/>
      <c r="B343" s="412" t="s">
        <v>221</v>
      </c>
      <c r="C343" s="421">
        <v>1</v>
      </c>
      <c r="D343" s="83">
        <v>0.9</v>
      </c>
      <c r="E343" s="83">
        <v>1</v>
      </c>
      <c r="F343" s="83">
        <v>4</v>
      </c>
      <c r="G343" s="83">
        <f t="shared" si="7"/>
        <v>3.6</v>
      </c>
      <c r="H343" s="70"/>
      <c r="I343" s="101"/>
      <c r="J343" s="70"/>
      <c r="K343" s="111"/>
      <c r="L343" s="111"/>
      <c r="M343" s="111"/>
      <c r="N343" s="111"/>
      <c r="O343" s="111"/>
      <c r="P343" s="70"/>
      <c r="Q343" s="70"/>
      <c r="R343" s="70"/>
    </row>
    <row r="344" spans="1:19">
      <c r="A344" s="131"/>
      <c r="B344" s="412" t="s">
        <v>222</v>
      </c>
      <c r="C344" s="83">
        <v>1</v>
      </c>
      <c r="D344" s="83">
        <v>1.8</v>
      </c>
      <c r="E344" s="83">
        <v>1</v>
      </c>
      <c r="F344" s="83">
        <v>4</v>
      </c>
      <c r="G344" s="83">
        <f t="shared" si="7"/>
        <v>7.2</v>
      </c>
      <c r="H344" s="70"/>
      <c r="I344" s="101"/>
      <c r="J344" s="70"/>
      <c r="K344" s="70"/>
      <c r="L344" s="70"/>
      <c r="M344" s="70"/>
      <c r="N344" s="70"/>
      <c r="O344" s="70"/>
      <c r="P344" s="70"/>
      <c r="Q344" s="70"/>
      <c r="R344" s="71"/>
    </row>
    <row r="345" spans="1:19">
      <c r="A345" s="131"/>
      <c r="B345" s="412" t="s">
        <v>27</v>
      </c>
      <c r="C345" s="83">
        <v>1</v>
      </c>
      <c r="D345" s="83">
        <v>1.8</v>
      </c>
      <c r="E345" s="83">
        <v>1</v>
      </c>
      <c r="F345" s="83">
        <v>4</v>
      </c>
      <c r="G345" s="83">
        <f t="shared" si="7"/>
        <v>7.2</v>
      </c>
      <c r="H345" s="70"/>
      <c r="I345" s="101"/>
      <c r="J345" s="70"/>
      <c r="K345" s="70"/>
      <c r="L345" s="70"/>
      <c r="M345" s="70"/>
      <c r="N345" s="70"/>
      <c r="O345" s="70"/>
      <c r="P345" s="70"/>
      <c r="Q345" s="70"/>
      <c r="R345" s="71"/>
    </row>
    <row r="346" spans="1:19">
      <c r="A346" s="131"/>
      <c r="B346" s="412" t="s">
        <v>177</v>
      </c>
      <c r="C346" s="83">
        <v>1</v>
      </c>
      <c r="D346" s="83">
        <v>0.9</v>
      </c>
      <c r="E346" s="83">
        <v>1</v>
      </c>
      <c r="F346" s="83">
        <v>4</v>
      </c>
      <c r="G346" s="83">
        <f t="shared" si="7"/>
        <v>3.6</v>
      </c>
      <c r="H346" s="70"/>
      <c r="I346" s="101"/>
      <c r="J346" s="70"/>
      <c r="K346" s="70"/>
      <c r="L346" s="70"/>
      <c r="M346" s="70"/>
      <c r="N346" s="70"/>
      <c r="O346" s="70"/>
      <c r="P346" s="70"/>
      <c r="Q346" s="70"/>
      <c r="R346" s="71"/>
    </row>
    <row r="347" spans="1:19">
      <c r="A347" s="131"/>
      <c r="B347" s="412" t="s">
        <v>229</v>
      </c>
      <c r="C347" s="83">
        <v>1</v>
      </c>
      <c r="D347" s="83">
        <v>0.9</v>
      </c>
      <c r="E347" s="83">
        <v>1</v>
      </c>
      <c r="F347" s="83">
        <v>4</v>
      </c>
      <c r="G347" s="83">
        <f t="shared" si="7"/>
        <v>3.6</v>
      </c>
      <c r="H347" s="70"/>
      <c r="I347" s="101"/>
      <c r="J347" s="70"/>
      <c r="K347" s="70"/>
      <c r="L347" s="70"/>
      <c r="M347" s="70"/>
      <c r="N347" s="70"/>
      <c r="O347" s="70"/>
      <c r="P347" s="70"/>
      <c r="Q347" s="70"/>
      <c r="R347" s="71"/>
    </row>
    <row r="348" spans="1:19">
      <c r="A348" s="131"/>
      <c r="B348" s="412" t="s">
        <v>230</v>
      </c>
      <c r="C348" s="83">
        <v>1</v>
      </c>
      <c r="D348" s="83">
        <v>1.8</v>
      </c>
      <c r="E348" s="83">
        <v>1</v>
      </c>
      <c r="F348" s="83">
        <v>4</v>
      </c>
      <c r="G348" s="83">
        <f t="shared" si="7"/>
        <v>7.2</v>
      </c>
      <c r="J348" s="70"/>
      <c r="K348" s="70"/>
      <c r="L348" s="70"/>
      <c r="M348" s="70"/>
      <c r="N348" s="70"/>
      <c r="O348" s="70"/>
      <c r="P348" s="70"/>
      <c r="Q348" s="70"/>
      <c r="R348" s="71"/>
    </row>
    <row r="349" spans="1:19">
      <c r="A349" s="70"/>
      <c r="B349" s="412" t="s">
        <v>232</v>
      </c>
      <c r="C349" s="83">
        <v>1</v>
      </c>
      <c r="D349" s="83">
        <v>1.8</v>
      </c>
      <c r="E349" s="83">
        <v>1</v>
      </c>
      <c r="F349" s="83">
        <v>4</v>
      </c>
      <c r="G349" s="83">
        <f t="shared" si="7"/>
        <v>7.2</v>
      </c>
      <c r="H349" s="111"/>
      <c r="I349" s="111"/>
      <c r="J349" s="70"/>
      <c r="K349" s="70"/>
      <c r="L349" s="70"/>
      <c r="M349" s="70"/>
      <c r="N349" s="70"/>
      <c r="O349" s="70"/>
      <c r="P349" s="70"/>
      <c r="Q349" s="70"/>
      <c r="R349" s="70"/>
      <c r="S349" s="70"/>
    </row>
    <row r="350" spans="1:19">
      <c r="A350" s="70"/>
      <c r="B350" s="412" t="s">
        <v>235</v>
      </c>
      <c r="C350" s="83">
        <v>1</v>
      </c>
      <c r="D350" s="83">
        <v>1.8</v>
      </c>
      <c r="E350" s="83">
        <v>1</v>
      </c>
      <c r="F350" s="83">
        <v>4</v>
      </c>
      <c r="G350" s="83">
        <f t="shared" si="7"/>
        <v>7.2</v>
      </c>
      <c r="H350" s="119"/>
      <c r="I350" s="119"/>
      <c r="J350" s="119"/>
      <c r="K350" s="70"/>
      <c r="L350" s="70"/>
      <c r="M350" s="70"/>
      <c r="N350" s="70"/>
      <c r="O350" s="70"/>
      <c r="P350" s="70"/>
      <c r="Q350" s="111"/>
      <c r="R350" s="111"/>
      <c r="S350" s="70"/>
    </row>
    <row r="351" spans="1:19">
      <c r="A351" s="119"/>
      <c r="B351" s="412" t="s">
        <v>236</v>
      </c>
      <c r="C351" s="83">
        <v>1</v>
      </c>
      <c r="D351" s="83">
        <v>1.8</v>
      </c>
      <c r="E351" s="83">
        <v>1</v>
      </c>
      <c r="F351" s="83">
        <v>4</v>
      </c>
      <c r="G351" s="83">
        <f t="shared" si="7"/>
        <v>7.2</v>
      </c>
      <c r="K351" s="119"/>
      <c r="L351" s="119"/>
      <c r="M351" s="119"/>
      <c r="N351" s="119"/>
      <c r="O351" s="119"/>
      <c r="P351" s="119"/>
      <c r="Q351" s="70"/>
      <c r="R351" s="70"/>
      <c r="S351" s="70"/>
    </row>
    <row r="352" spans="1:19">
      <c r="B352" s="412" t="s">
        <v>238</v>
      </c>
      <c r="C352" s="83">
        <v>1</v>
      </c>
      <c r="D352" s="83">
        <v>0.9</v>
      </c>
      <c r="E352" s="83">
        <v>1</v>
      </c>
      <c r="F352" s="83">
        <v>4</v>
      </c>
      <c r="G352" s="83">
        <f t="shared" si="7"/>
        <v>3.6</v>
      </c>
    </row>
    <row r="353" spans="1:18">
      <c r="B353" s="412" t="s">
        <v>240</v>
      </c>
      <c r="C353" s="83">
        <v>1</v>
      </c>
      <c r="D353" s="83">
        <v>0.9</v>
      </c>
      <c r="E353" s="83">
        <v>1</v>
      </c>
      <c r="F353" s="83">
        <v>4</v>
      </c>
      <c r="G353" s="83">
        <f t="shared" si="7"/>
        <v>3.6</v>
      </c>
    </row>
    <row r="354" spans="1:18">
      <c r="B354" s="412" t="s">
        <v>242</v>
      </c>
      <c r="C354" s="83">
        <v>1</v>
      </c>
      <c r="D354" s="83">
        <v>0.9</v>
      </c>
      <c r="E354" s="83">
        <v>1</v>
      </c>
      <c r="F354" s="83">
        <v>4</v>
      </c>
      <c r="G354" s="83">
        <f t="shared" si="7"/>
        <v>3.6</v>
      </c>
    </row>
    <row r="355" spans="1:18">
      <c r="B355" s="412" t="s">
        <v>245</v>
      </c>
      <c r="C355" s="83">
        <v>1</v>
      </c>
      <c r="D355" s="83">
        <v>1.8</v>
      </c>
      <c r="E355" s="83">
        <v>1</v>
      </c>
      <c r="F355" s="83">
        <v>4</v>
      </c>
      <c r="G355" s="83">
        <f t="shared" si="7"/>
        <v>7.2</v>
      </c>
    </row>
    <row r="356" spans="1:18">
      <c r="B356" s="412" t="s">
        <v>246</v>
      </c>
      <c r="C356" s="83">
        <v>1</v>
      </c>
      <c r="D356" s="83">
        <v>0.9</v>
      </c>
      <c r="E356" s="83">
        <v>1</v>
      </c>
      <c r="F356" s="83">
        <v>4</v>
      </c>
      <c r="G356" s="83">
        <f t="shared" si="7"/>
        <v>3.6</v>
      </c>
    </row>
    <row r="357" spans="1:18">
      <c r="B357" s="412" t="s">
        <v>247</v>
      </c>
      <c r="C357" s="83">
        <v>1</v>
      </c>
      <c r="D357" s="83">
        <v>0.9</v>
      </c>
      <c r="E357" s="83">
        <v>1</v>
      </c>
      <c r="F357" s="83">
        <v>4</v>
      </c>
      <c r="G357" s="83">
        <f t="shared" si="7"/>
        <v>3.6</v>
      </c>
    </row>
    <row r="358" spans="1:18">
      <c r="B358" s="412" t="s">
        <v>34</v>
      </c>
      <c r="C358" s="83">
        <v>2</v>
      </c>
      <c r="D358" s="83">
        <v>0.9</v>
      </c>
      <c r="E358" s="83">
        <v>2.1</v>
      </c>
      <c r="F358" s="83">
        <v>2</v>
      </c>
      <c r="G358" s="83">
        <f t="shared" si="7"/>
        <v>7.5600000000000005</v>
      </c>
      <c r="H358" s="113"/>
      <c r="I358" s="70"/>
      <c r="J358" s="70"/>
    </row>
    <row r="359" spans="1:18">
      <c r="A359" s="67"/>
      <c r="B359" s="412" t="s">
        <v>34</v>
      </c>
      <c r="C359" s="83">
        <v>1</v>
      </c>
      <c r="D359" s="83">
        <v>0.92</v>
      </c>
      <c r="E359" s="83">
        <v>2.1</v>
      </c>
      <c r="F359" s="83">
        <v>2</v>
      </c>
      <c r="G359" s="83">
        <f>D359*E359*F359*C359</f>
        <v>3.8640000000000003</v>
      </c>
      <c r="K359" s="70"/>
      <c r="L359" s="70"/>
      <c r="M359" s="70"/>
      <c r="N359" s="70"/>
      <c r="O359" s="70"/>
      <c r="P359" s="70"/>
      <c r="Q359" s="120"/>
      <c r="R359" s="71"/>
    </row>
    <row r="360" spans="1:18">
      <c r="B360" s="412" t="s">
        <v>248</v>
      </c>
      <c r="C360" s="83">
        <v>1</v>
      </c>
      <c r="D360" s="83">
        <v>0.9</v>
      </c>
      <c r="E360" s="83">
        <v>1</v>
      </c>
      <c r="F360" s="83">
        <v>4</v>
      </c>
      <c r="G360" s="83">
        <f>(C360*D360*E360*F360)</f>
        <v>3.6</v>
      </c>
    </row>
    <row r="361" spans="1:18">
      <c r="B361" s="17" t="s">
        <v>249</v>
      </c>
      <c r="C361" s="83">
        <v>1</v>
      </c>
      <c r="D361" s="83">
        <v>0.9</v>
      </c>
      <c r="E361" s="83">
        <v>1</v>
      </c>
      <c r="F361" s="83">
        <v>4</v>
      </c>
      <c r="G361" s="83">
        <f>(C361*D361*E361*F361)</f>
        <v>3.6</v>
      </c>
      <c r="H361" s="75" t="s">
        <v>137</v>
      </c>
    </row>
    <row r="362" spans="1:18">
      <c r="G362" s="419">
        <f>SUM(G336:G361)</f>
        <v>154.53599999999997</v>
      </c>
    </row>
    <row r="365" spans="1:18">
      <c r="B365" s="88" t="s">
        <v>259</v>
      </c>
    </row>
    <row r="366" spans="1:18">
      <c r="B366" s="494" t="s">
        <v>260</v>
      </c>
      <c r="C366" s="495"/>
      <c r="D366" s="133"/>
    </row>
    <row r="367" spans="1:18">
      <c r="B367" s="134" t="s">
        <v>146</v>
      </c>
      <c r="C367" s="134" t="s">
        <v>135</v>
      </c>
      <c r="D367" s="133"/>
    </row>
    <row r="368" spans="1:18">
      <c r="B368" s="126" t="s">
        <v>261</v>
      </c>
      <c r="C368" s="135">
        <v>644.41</v>
      </c>
      <c r="D368" s="133"/>
    </row>
    <row r="369" spans="2:4">
      <c r="B369" s="136" t="s">
        <v>241</v>
      </c>
      <c r="C369" s="137">
        <f>SUM(C368:C368)</f>
        <v>644.41</v>
      </c>
      <c r="D369" s="110" t="s">
        <v>137</v>
      </c>
    </row>
  </sheetData>
  <mergeCells count="116">
    <mergeCell ref="B366:C366"/>
    <mergeCell ref="H299:H300"/>
    <mergeCell ref="I299:I300"/>
    <mergeCell ref="K299:O300"/>
    <mergeCell ref="N279:N280"/>
    <mergeCell ref="O279:O280"/>
    <mergeCell ref="H288:H290"/>
    <mergeCell ref="I288:I290"/>
    <mergeCell ref="B299:B301"/>
    <mergeCell ref="C299:C300"/>
    <mergeCell ref="D299:D300"/>
    <mergeCell ref="E299:E300"/>
    <mergeCell ref="F299:F300"/>
    <mergeCell ref="G299:G300"/>
    <mergeCell ref="H279:H281"/>
    <mergeCell ref="I279:I280"/>
    <mergeCell ref="J279:J280"/>
    <mergeCell ref="K279:K280"/>
    <mergeCell ref="L279:L280"/>
    <mergeCell ref="M279:M280"/>
    <mergeCell ref="N301:O301"/>
    <mergeCell ref="B310:G310"/>
    <mergeCell ref="B334:G334"/>
    <mergeCell ref="K302:K303"/>
    <mergeCell ref="I269:I270"/>
    <mergeCell ref="J269:J270"/>
    <mergeCell ref="L269:L270"/>
    <mergeCell ref="M269:M270"/>
    <mergeCell ref="H273:H274"/>
    <mergeCell ref="L273:L274"/>
    <mergeCell ref="B269:B271"/>
    <mergeCell ref="C269:C270"/>
    <mergeCell ref="D269:D270"/>
    <mergeCell ref="E269:E270"/>
    <mergeCell ref="F269:F270"/>
    <mergeCell ref="H269:H270"/>
    <mergeCell ref="B248:E248"/>
    <mergeCell ref="G248:I248"/>
    <mergeCell ref="B259:E259"/>
    <mergeCell ref="B260:B261"/>
    <mergeCell ref="C260:C261"/>
    <mergeCell ref="D260:D261"/>
    <mergeCell ref="E260:E261"/>
    <mergeCell ref="B234:E234"/>
    <mergeCell ref="B235:B236"/>
    <mergeCell ref="B241:E241"/>
    <mergeCell ref="G241:J241"/>
    <mergeCell ref="B242:B243"/>
    <mergeCell ref="G242:G243"/>
    <mergeCell ref="B202:F202"/>
    <mergeCell ref="B207:F207"/>
    <mergeCell ref="B213:E213"/>
    <mergeCell ref="B218:C218"/>
    <mergeCell ref="B223:E223"/>
    <mergeCell ref="G223:I223"/>
    <mergeCell ref="B175:E175"/>
    <mergeCell ref="G175:J175"/>
    <mergeCell ref="B180:F180"/>
    <mergeCell ref="B185:F185"/>
    <mergeCell ref="B191:E191"/>
    <mergeCell ref="B197:E197"/>
    <mergeCell ref="G197:J197"/>
    <mergeCell ref="C100:C101"/>
    <mergeCell ref="D100:D101"/>
    <mergeCell ref="E100:E101"/>
    <mergeCell ref="B148:E148"/>
    <mergeCell ref="G148:J148"/>
    <mergeCell ref="B153:F153"/>
    <mergeCell ref="B158:F158"/>
    <mergeCell ref="B164:E164"/>
    <mergeCell ref="B169:C169"/>
    <mergeCell ref="B116:E116"/>
    <mergeCell ref="B121:E121"/>
    <mergeCell ref="B126:E126"/>
    <mergeCell ref="B132:E132"/>
    <mergeCell ref="B137:E137"/>
    <mergeCell ref="B142:E142"/>
    <mergeCell ref="B3:E3"/>
    <mergeCell ref="B8:E8"/>
    <mergeCell ref="B14:F14"/>
    <mergeCell ref="B20:D20"/>
    <mergeCell ref="B21:B22"/>
    <mergeCell ref="C21:C22"/>
    <mergeCell ref="D21:D22"/>
    <mergeCell ref="B71:E71"/>
    <mergeCell ref="B72:B73"/>
    <mergeCell ref="B47:B48"/>
    <mergeCell ref="B52:F52"/>
    <mergeCell ref="B53:B54"/>
    <mergeCell ref="B58:E58"/>
    <mergeCell ref="B64:E64"/>
    <mergeCell ref="B65:B66"/>
    <mergeCell ref="L302:L303"/>
    <mergeCell ref="M302:M303"/>
    <mergeCell ref="N302:O303"/>
    <mergeCell ref="K304:K305"/>
    <mergeCell ref="L304:L305"/>
    <mergeCell ref="M304:M305"/>
    <mergeCell ref="N304:O305"/>
    <mergeCell ref="N306:O306"/>
    <mergeCell ref="B28:F28"/>
    <mergeCell ref="B29:B30"/>
    <mergeCell ref="B34:F34"/>
    <mergeCell ref="B35:B36"/>
    <mergeCell ref="B40:E40"/>
    <mergeCell ref="B46:F46"/>
    <mergeCell ref="B78:E78"/>
    <mergeCell ref="B79:B80"/>
    <mergeCell ref="B85:E85"/>
    <mergeCell ref="B86:B87"/>
    <mergeCell ref="B93:E93"/>
    <mergeCell ref="B94:B95"/>
    <mergeCell ref="C94:E95"/>
    <mergeCell ref="C96:E96"/>
    <mergeCell ref="B99:F99"/>
    <mergeCell ref="B100:B101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I49"/>
  <sheetViews>
    <sheetView view="pageBreakPreview" zoomScale="75" zoomScaleNormal="75" zoomScaleSheetLayoutView="75" zoomScalePageLayoutView="80" workbookViewId="0">
      <selection activeCell="G32" sqref="G32"/>
    </sheetView>
  </sheetViews>
  <sheetFormatPr defaultRowHeight="30" customHeight="1"/>
  <cols>
    <col min="1" max="1" width="11.42578125" style="20" customWidth="1"/>
    <col min="2" max="2" width="80.7109375" style="20" customWidth="1"/>
    <col min="3" max="3" width="12.7109375" style="19" customWidth="1"/>
    <col min="4" max="4" width="17.85546875" style="19" customWidth="1"/>
    <col min="5" max="8" width="20.7109375" style="19" customWidth="1"/>
    <col min="9" max="9" width="9.140625" style="20"/>
    <col min="10" max="10" width="16" style="20" customWidth="1"/>
    <col min="11" max="16384" width="9.140625" style="20"/>
  </cols>
  <sheetData>
    <row r="1" spans="1:113" s="1" customFormat="1" ht="15" customHeight="1">
      <c r="A1" s="48"/>
      <c r="B1" s="49"/>
      <c r="C1" s="50"/>
      <c r="D1" s="50"/>
      <c r="E1" s="48"/>
      <c r="F1" s="48"/>
      <c r="G1" s="48"/>
      <c r="H1" s="48"/>
      <c r="I1" s="50"/>
    </row>
    <row r="2" spans="1:113" s="1" customFormat="1" ht="15" customHeight="1">
      <c r="A2" s="48"/>
      <c r="B2" s="49"/>
      <c r="C2" s="50"/>
      <c r="D2" s="50"/>
      <c r="E2" s="48"/>
      <c r="F2" s="48"/>
      <c r="G2" s="48"/>
      <c r="H2" s="48"/>
      <c r="I2" s="50"/>
    </row>
    <row r="3" spans="1:113" s="1" customFormat="1" ht="20.25" customHeight="1">
      <c r="A3" s="48"/>
      <c r="B3" s="49"/>
      <c r="C3" s="50"/>
      <c r="D3" s="50"/>
      <c r="E3" s="48"/>
      <c r="F3" s="48"/>
      <c r="G3" s="48"/>
      <c r="H3" s="48"/>
      <c r="I3" s="50"/>
    </row>
    <row r="4" spans="1:113" s="1" customFormat="1" ht="20.25" customHeight="1">
      <c r="A4" s="48"/>
      <c r="B4" s="49"/>
      <c r="C4" s="50"/>
      <c r="D4" s="50"/>
      <c r="E4" s="48"/>
      <c r="F4" s="48"/>
      <c r="G4" s="48"/>
      <c r="H4" s="48"/>
      <c r="I4" s="50"/>
    </row>
    <row r="5" spans="1:113" s="1" customFormat="1" ht="6.75" customHeight="1">
      <c r="A5" s="48"/>
      <c r="B5" s="51"/>
      <c r="C5" s="50"/>
      <c r="D5" s="50"/>
      <c r="E5" s="48"/>
      <c r="F5" s="48"/>
      <c r="G5" s="48"/>
      <c r="H5" s="48"/>
      <c r="I5" s="50"/>
    </row>
    <row r="6" spans="1:113" s="1" customFormat="1" ht="6.75" customHeight="1">
      <c r="A6" s="52"/>
      <c r="B6" s="53"/>
      <c r="C6" s="53"/>
      <c r="D6" s="53"/>
      <c r="E6" s="48"/>
      <c r="F6" s="48"/>
      <c r="G6" s="48"/>
      <c r="H6" s="48"/>
      <c r="I6" s="50"/>
    </row>
    <row r="7" spans="1:113" s="2" customFormat="1" ht="33.75" customHeight="1">
      <c r="A7" s="54" t="s">
        <v>2</v>
      </c>
      <c r="B7" s="53" t="str">
        <f>'PQPU EUCATEX'!I8</f>
        <v>REFORMA UBS SANTO ANGELO</v>
      </c>
      <c r="C7" s="53"/>
      <c r="D7" s="53"/>
      <c r="E7" s="55"/>
      <c r="F7" s="55"/>
      <c r="G7" s="55"/>
      <c r="H7" s="55"/>
      <c r="I7" s="54"/>
    </row>
    <row r="8" spans="1:113" s="1" customFormat="1" ht="15" customHeight="1">
      <c r="A8" s="54" t="s">
        <v>4</v>
      </c>
      <c r="B8" s="53" t="str">
        <f>'PQPU EUCATEX'!I9</f>
        <v>RUA SÃO SIMÃO, 59 - CONJ. RES. SANTO ANGELO, MOGI DAS CRUZES - SP, 08763-240</v>
      </c>
      <c r="C8" s="53"/>
      <c r="D8" s="53"/>
      <c r="E8" s="48"/>
      <c r="F8" s="48"/>
      <c r="G8" s="48"/>
      <c r="H8" s="48"/>
      <c r="I8" s="50"/>
    </row>
    <row r="9" spans="1:113" s="18" customFormat="1" ht="15">
      <c r="A9" s="56"/>
      <c r="B9" s="57"/>
      <c r="C9" s="58" t="s">
        <v>6</v>
      </c>
      <c r="D9" s="35" t="s">
        <v>262</v>
      </c>
      <c r="E9" s="46"/>
      <c r="F9" s="46"/>
      <c r="G9" s="46"/>
      <c r="H9" s="46"/>
      <c r="I9" s="46"/>
    </row>
    <row r="10" spans="1:113" ht="15">
      <c r="A10" s="59"/>
      <c r="B10" s="60" t="s">
        <v>263</v>
      </c>
      <c r="C10" s="58" t="s">
        <v>10</v>
      </c>
      <c r="D10" s="61">
        <f>'PQPU EUCATEX'!O11</f>
        <v>0.25</v>
      </c>
      <c r="E10" s="37"/>
      <c r="F10" s="37"/>
      <c r="G10" s="37"/>
      <c r="H10" s="37"/>
      <c r="I10" s="36"/>
    </row>
    <row r="11" spans="1:113" ht="8.25" customHeight="1">
      <c r="A11" s="36"/>
      <c r="B11" s="36"/>
      <c r="C11" s="62"/>
      <c r="D11" s="62"/>
      <c r="E11" s="37"/>
      <c r="F11" s="37"/>
      <c r="G11" s="37"/>
      <c r="H11" s="37"/>
      <c r="I11" s="36"/>
    </row>
    <row r="12" spans="1:113" s="23" customFormat="1" ht="21.75" customHeight="1">
      <c r="A12" s="21"/>
      <c r="B12" s="21" t="s">
        <v>15</v>
      </c>
      <c r="C12" s="22"/>
      <c r="D12" s="22" t="s">
        <v>21</v>
      </c>
      <c r="E12" s="422" t="s">
        <v>264</v>
      </c>
      <c r="F12" s="422" t="s">
        <v>265</v>
      </c>
      <c r="G12" s="422" t="s">
        <v>266</v>
      </c>
      <c r="H12" s="423" t="s">
        <v>149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</row>
    <row r="13" spans="1:113" ht="8.1" customHeight="1">
      <c r="C13" s="24"/>
      <c r="D13" s="24"/>
      <c r="H13" s="25"/>
    </row>
    <row r="14" spans="1:113" s="28" customFormat="1" ht="22.5" customHeight="1">
      <c r="A14" s="424">
        <v>1</v>
      </c>
      <c r="B14" s="425" t="str">
        <f>'PQPU EUCATEX'!I14</f>
        <v xml:space="preserve">SERVIÇOS PRELIMINARES </v>
      </c>
      <c r="C14" s="426"/>
      <c r="D14" s="427" t="e">
        <f>'PQPU EUCATEX'!O19</f>
        <v>#REF!</v>
      </c>
      <c r="E14" s="26" t="e">
        <f>D14*E15</f>
        <v>#REF!</v>
      </c>
      <c r="F14" s="26" t="e">
        <f>D14*F15</f>
        <v>#REF!</v>
      </c>
      <c r="G14" s="26" t="e">
        <f>D14*G15</f>
        <v>#REF!</v>
      </c>
      <c r="H14" s="428" t="e">
        <f>E14+F14+G14</f>
        <v>#REF!</v>
      </c>
      <c r="I14" s="20"/>
      <c r="J14" s="27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</row>
    <row r="15" spans="1:113" ht="15">
      <c r="C15" s="24"/>
      <c r="D15" s="24"/>
      <c r="E15" s="29">
        <v>0.8</v>
      </c>
      <c r="F15" s="29">
        <v>0.1</v>
      </c>
      <c r="G15" s="29">
        <v>0.1</v>
      </c>
      <c r="H15" s="30">
        <f>SUM(E15:G15)</f>
        <v>1</v>
      </c>
    </row>
    <row r="16" spans="1:113" s="28" customFormat="1" ht="22.5" customHeight="1">
      <c r="A16" s="424">
        <v>2</v>
      </c>
      <c r="B16" s="425" t="str">
        <f>'PQPU EUCATEX'!I20</f>
        <v>DEMOLIÇÕES E RETIRADAS</v>
      </c>
      <c r="C16" s="426"/>
      <c r="D16" s="427" t="e">
        <f>'PQPU EUCATEX'!O39</f>
        <v>#REF!</v>
      </c>
      <c r="E16" s="26" t="e">
        <f>D16*E17</f>
        <v>#REF!</v>
      </c>
      <c r="F16" s="26"/>
      <c r="G16" s="26"/>
      <c r="H16" s="428" t="e">
        <f>E16+F16+G16</f>
        <v>#REF!</v>
      </c>
      <c r="I16" s="20"/>
      <c r="J16" s="27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</row>
    <row r="17" spans="1:113" ht="15">
      <c r="C17" s="24"/>
      <c r="D17" s="24"/>
      <c r="E17" s="29">
        <v>1</v>
      </c>
      <c r="F17" s="29" t="s">
        <v>175</v>
      </c>
      <c r="G17" s="29" t="s">
        <v>175</v>
      </c>
      <c r="H17" s="30">
        <f>SUM(E17:G17)</f>
        <v>1</v>
      </c>
    </row>
    <row r="18" spans="1:113" s="28" customFormat="1" ht="22.5" customHeight="1">
      <c r="A18" s="424">
        <v>3</v>
      </c>
      <c r="B18" s="425" t="str">
        <f>'PQPU EUCATEX'!I40</f>
        <v>CONSTRUÇÃO</v>
      </c>
      <c r="C18" s="426"/>
      <c r="D18" s="427" t="e">
        <f>'PQPU EUCATEX'!O80</f>
        <v>#REF!</v>
      </c>
      <c r="E18" s="26"/>
      <c r="F18" s="26" t="e">
        <f>D18*F19</f>
        <v>#REF!</v>
      </c>
      <c r="G18" s="26"/>
      <c r="H18" s="428" t="e">
        <f>E18+F18+G18</f>
        <v>#REF!</v>
      </c>
      <c r="I18" s="20"/>
      <c r="J18" s="27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</row>
    <row r="19" spans="1:113" ht="15">
      <c r="C19" s="24"/>
      <c r="D19" s="24"/>
      <c r="E19" s="29" t="s">
        <v>175</v>
      </c>
      <c r="F19" s="29">
        <v>1</v>
      </c>
      <c r="G19" s="29" t="s">
        <v>175</v>
      </c>
      <c r="H19" s="30">
        <f>SUM(E19:G19)</f>
        <v>1</v>
      </c>
    </row>
    <row r="20" spans="1:113" s="28" customFormat="1" ht="22.5" customHeight="1">
      <c r="A20" s="424">
        <v>4</v>
      </c>
      <c r="B20" s="425" t="str">
        <f>'PQPU EUCATEX'!I81</f>
        <v>PINTURA</v>
      </c>
      <c r="C20" s="426"/>
      <c r="D20" s="427" t="e">
        <f>'PQPU EUCATEX'!O89</f>
        <v>#REF!</v>
      </c>
      <c r="E20" s="26"/>
      <c r="F20" s="26"/>
      <c r="G20" s="26" t="e">
        <f>D20*G21</f>
        <v>#REF!</v>
      </c>
      <c r="H20" s="428" t="e">
        <f>E20+F20+G20</f>
        <v>#REF!</v>
      </c>
      <c r="I20" s="20"/>
      <c r="J20" s="27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</row>
    <row r="21" spans="1:113" ht="15">
      <c r="C21" s="24"/>
      <c r="D21" s="24"/>
      <c r="E21" s="29" t="s">
        <v>175</v>
      </c>
      <c r="F21" s="29" t="s">
        <v>175</v>
      </c>
      <c r="G21" s="29">
        <v>1</v>
      </c>
      <c r="H21" s="30">
        <f>SUM(E21:G21)</f>
        <v>1</v>
      </c>
    </row>
    <row r="22" spans="1:113" s="28" customFormat="1" ht="22.5" customHeight="1">
      <c r="A22" s="424">
        <v>5</v>
      </c>
      <c r="B22" s="425" t="str">
        <f>'PQPU EUCATEX'!I90</f>
        <v>LIMPEZA FINAL</v>
      </c>
      <c r="C22" s="426"/>
      <c r="D22" s="427" t="e">
        <f>'PQPU PAREDE DE GESSO'!O100</f>
        <v>#REF!</v>
      </c>
      <c r="E22" s="26"/>
      <c r="F22" s="26"/>
      <c r="G22" s="26" t="e">
        <f>D22*G23</f>
        <v>#REF!</v>
      </c>
      <c r="H22" s="428" t="e">
        <f>E22+F22+G22</f>
        <v>#REF!</v>
      </c>
      <c r="I22" s="20"/>
      <c r="J22" s="27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</row>
    <row r="23" spans="1:113" ht="15">
      <c r="C23" s="24"/>
      <c r="D23" s="24"/>
      <c r="E23" s="29" t="s">
        <v>175</v>
      </c>
      <c r="F23" s="29" t="s">
        <v>175</v>
      </c>
      <c r="G23" s="29">
        <v>1</v>
      </c>
      <c r="H23" s="30">
        <f>SUM(E23:G23)</f>
        <v>1</v>
      </c>
    </row>
    <row r="24" spans="1:113" s="28" customFormat="1" ht="22.5" customHeight="1">
      <c r="A24" s="424">
        <v>6</v>
      </c>
      <c r="B24" s="425" t="str">
        <f>'PQPU EUCATEX'!I95</f>
        <v xml:space="preserve">INSTALAÇÕES </v>
      </c>
      <c r="C24" s="426"/>
      <c r="D24" s="427" t="e">
        <f>'PQPU PAREDE DE GESSO'!O105</f>
        <v>#REF!</v>
      </c>
      <c r="E24" s="26"/>
      <c r="F24" s="26"/>
      <c r="G24" s="26" t="e">
        <f>D24*G25</f>
        <v>#REF!</v>
      </c>
      <c r="H24" s="428" t="e">
        <f>E24+F24+G24</f>
        <v>#REF!</v>
      </c>
      <c r="I24" s="20"/>
      <c r="J24" s="27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</row>
    <row r="25" spans="1:113" ht="15">
      <c r="C25" s="24"/>
      <c r="D25" s="24"/>
      <c r="E25" s="29" t="s">
        <v>175</v>
      </c>
      <c r="F25" s="29" t="s">
        <v>175</v>
      </c>
      <c r="G25" s="29">
        <v>1</v>
      </c>
      <c r="H25" s="30">
        <f>SUM(E25:G25)</f>
        <v>1</v>
      </c>
    </row>
    <row r="26" spans="1:113" ht="15" customHeight="1">
      <c r="C26" s="24"/>
      <c r="D26" s="24"/>
      <c r="E26"/>
      <c r="F26"/>
      <c r="G26"/>
      <c r="H26"/>
    </row>
    <row r="27" spans="1:113" s="23" customFormat="1" ht="15">
      <c r="A27" s="506"/>
      <c r="B27" s="507" t="s">
        <v>267</v>
      </c>
      <c r="C27" s="508"/>
      <c r="D27" s="509" t="e">
        <f>D14+D16+D18+D20+D22+D24</f>
        <v>#REF!</v>
      </c>
      <c r="E27" s="31" t="e">
        <f>E14+E16+E18+E20+E22+E24</f>
        <v>#REF!</v>
      </c>
      <c r="F27" s="31" t="e">
        <f>F14+F16+F18+F20+F22+F24</f>
        <v>#REF!</v>
      </c>
      <c r="G27" s="31" t="e">
        <f t="shared" ref="G27:H27" si="0">G14+G16+G18+G20+G22+G24</f>
        <v>#REF!</v>
      </c>
      <c r="H27" s="31" t="e">
        <f t="shared" si="0"/>
        <v>#REF!</v>
      </c>
      <c r="I27" s="20"/>
      <c r="J27" s="27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</row>
    <row r="28" spans="1:113" ht="20.100000000000001" customHeight="1">
      <c r="A28" s="506"/>
      <c r="B28" s="507"/>
      <c r="C28" s="508"/>
      <c r="D28" s="509"/>
      <c r="E28" s="32" t="e">
        <f>E27/$D$27*100%</f>
        <v>#REF!</v>
      </c>
      <c r="F28" s="32" t="e">
        <f>F27/$D$27*100%</f>
        <v>#REF!</v>
      </c>
      <c r="G28" s="32" t="e">
        <f>G27/$D$27*100%</f>
        <v>#REF!</v>
      </c>
      <c r="H28" s="33" t="e">
        <f>SUM(E28:G28)</f>
        <v>#REF!</v>
      </c>
    </row>
    <row r="29" spans="1:113" ht="17.25" customHeight="1">
      <c r="A29" s="36"/>
      <c r="B29" s="36"/>
      <c r="C29" s="37"/>
      <c r="D29" s="37"/>
      <c r="E29" s="38"/>
      <c r="F29" s="38"/>
      <c r="G29" s="38"/>
      <c r="H29" s="37"/>
      <c r="I29" s="36"/>
    </row>
    <row r="30" spans="1:113" ht="17.25" customHeight="1">
      <c r="A30" s="36"/>
      <c r="B30" s="36"/>
      <c r="C30" s="37"/>
      <c r="D30" s="37"/>
      <c r="E30" s="38"/>
      <c r="F30" s="38"/>
      <c r="G30" s="38"/>
      <c r="H30" s="37"/>
      <c r="I30" s="36"/>
    </row>
    <row r="31" spans="1:113" ht="30" customHeight="1">
      <c r="A31" s="36"/>
      <c r="B31" s="36"/>
      <c r="C31" s="37"/>
      <c r="D31" s="37"/>
      <c r="E31" s="37"/>
      <c r="F31" s="37"/>
      <c r="G31" s="37"/>
      <c r="H31" s="37"/>
      <c r="I31" s="36"/>
    </row>
    <row r="32" spans="1:113" s="34" customFormat="1" ht="12.75">
      <c r="A32" s="39"/>
      <c r="B32" s="40" t="s">
        <v>268</v>
      </c>
      <c r="C32" s="39"/>
      <c r="D32" s="41"/>
      <c r="E32" s="42"/>
      <c r="F32" s="40" t="s">
        <v>269</v>
      </c>
      <c r="G32" s="42"/>
      <c r="H32" s="42"/>
      <c r="I32" s="39"/>
    </row>
    <row r="33" spans="1:9" s="34" customFormat="1" ht="16.5" customHeight="1">
      <c r="A33" s="39"/>
      <c r="B33" s="43" t="s">
        <v>270</v>
      </c>
      <c r="C33" s="39"/>
      <c r="D33" s="44"/>
      <c r="E33" s="42"/>
      <c r="F33" s="43" t="s">
        <v>69</v>
      </c>
      <c r="G33" s="42"/>
      <c r="H33" s="42"/>
      <c r="I33" s="39"/>
    </row>
    <row r="34" spans="1:9" s="34" customFormat="1" ht="12.75">
      <c r="A34" s="43"/>
      <c r="B34" s="39"/>
      <c r="C34" s="39"/>
      <c r="D34" s="39"/>
      <c r="E34" s="42"/>
      <c r="F34" s="42"/>
      <c r="G34" s="42"/>
      <c r="H34" s="42"/>
      <c r="I34" s="39"/>
    </row>
    <row r="35" spans="1:9" s="34" customFormat="1" ht="12.75">
      <c r="A35" s="43"/>
      <c r="B35" s="39"/>
      <c r="C35" s="39"/>
      <c r="D35" s="39"/>
      <c r="E35" s="42"/>
      <c r="F35" s="42"/>
      <c r="G35" s="42"/>
      <c r="H35" s="42"/>
      <c r="I35" s="39"/>
    </row>
    <row r="36" spans="1:9" s="34" customFormat="1" ht="12.75">
      <c r="B36" s="47"/>
      <c r="C36" s="47"/>
      <c r="D36" s="47"/>
      <c r="E36" s="47"/>
      <c r="F36" s="47"/>
      <c r="G36" s="47"/>
      <c r="H36" s="47"/>
      <c r="I36" s="47"/>
    </row>
    <row r="37" spans="1:9" s="34" customFormat="1" ht="12.75">
      <c r="B37" s="45"/>
      <c r="C37" s="45"/>
      <c r="D37" s="45"/>
      <c r="E37" s="45"/>
      <c r="F37" s="45"/>
      <c r="G37" s="45"/>
      <c r="H37" s="45"/>
      <c r="I37" s="45"/>
    </row>
    <row r="38" spans="1:9" s="34" customFormat="1" ht="12.75">
      <c r="A38" s="510"/>
      <c r="B38" s="510"/>
      <c r="C38" s="510"/>
      <c r="D38" s="510"/>
      <c r="E38" s="510"/>
      <c r="F38" s="510"/>
      <c r="G38" s="510"/>
      <c r="H38" s="510"/>
      <c r="I38" s="510"/>
    </row>
    <row r="39" spans="1:9" s="34" customFormat="1" ht="12.75">
      <c r="A39" s="505"/>
      <c r="B39" s="505"/>
      <c r="C39" s="505"/>
      <c r="D39" s="505"/>
      <c r="E39" s="505"/>
      <c r="F39" s="505"/>
      <c r="G39" s="505"/>
      <c r="H39" s="505"/>
      <c r="I39" s="505"/>
    </row>
    <row r="40" spans="1:9" s="34" customFormat="1" ht="15">
      <c r="A40" s="36"/>
      <c r="B40" s="36"/>
      <c r="C40" s="39"/>
      <c r="D40" s="39"/>
      <c r="E40" s="42"/>
      <c r="F40" s="42"/>
      <c r="G40" s="42"/>
      <c r="H40" s="42"/>
      <c r="I40" s="39"/>
    </row>
    <row r="41" spans="1:9" s="34" customFormat="1" ht="15" customHeight="1">
      <c r="A41" s="39"/>
      <c r="B41" s="39"/>
      <c r="C41" s="39"/>
      <c r="D41" s="47"/>
      <c r="E41" s="39"/>
      <c r="F41" s="39"/>
      <c r="G41" s="39"/>
      <c r="H41" s="39"/>
      <c r="I41" s="39"/>
    </row>
    <row r="42" spans="1:9" ht="18" customHeight="1">
      <c r="A42" s="36"/>
      <c r="B42" s="37"/>
      <c r="C42" s="37"/>
      <c r="D42" s="43"/>
      <c r="E42" s="37"/>
      <c r="F42" s="37"/>
      <c r="G42" s="37"/>
      <c r="H42" s="37"/>
      <c r="I42" s="36"/>
    </row>
    <row r="43" spans="1:9" ht="30" customHeight="1">
      <c r="A43" s="36"/>
      <c r="B43" s="36"/>
      <c r="C43" s="37"/>
      <c r="D43" s="37"/>
      <c r="E43" s="37"/>
      <c r="F43" s="37"/>
      <c r="G43" s="37"/>
      <c r="H43" s="37"/>
      <c r="I43" s="36"/>
    </row>
    <row r="44" spans="1:9" ht="30" customHeight="1">
      <c r="A44" s="36"/>
      <c r="B44" s="36"/>
      <c r="C44" s="37"/>
      <c r="D44" s="40"/>
      <c r="E44" s="37"/>
      <c r="F44" s="37"/>
      <c r="G44" s="37"/>
      <c r="H44" s="37"/>
      <c r="I44" s="36"/>
    </row>
    <row r="45" spans="1:9" ht="30" customHeight="1">
      <c r="A45" s="36"/>
      <c r="B45" s="36"/>
      <c r="C45" s="37"/>
      <c r="D45" s="37"/>
      <c r="E45" s="37"/>
      <c r="F45" s="37"/>
      <c r="G45" s="37"/>
      <c r="H45" s="37"/>
      <c r="I45" s="36"/>
    </row>
    <row r="49" spans="2:2" ht="30" customHeight="1">
      <c r="B49" s="20" t="s">
        <v>271</v>
      </c>
    </row>
  </sheetData>
  <mergeCells count="6">
    <mergeCell ref="A39:I39"/>
    <mergeCell ref="A27:A28"/>
    <mergeCell ref="B27:B28"/>
    <mergeCell ref="C27:C28"/>
    <mergeCell ref="D27:D28"/>
    <mergeCell ref="A38:I38"/>
  </mergeCells>
  <pageMargins left="0.51181102362204722" right="0.51181102362204722" top="0.78740157480314965" bottom="0.78740157480314965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10</vt:i4>
      </vt:variant>
    </vt:vector>
  </HeadingPairs>
  <TitlesOfParts>
    <vt:vector size="18" baseType="lpstr">
      <vt:lpstr>Plan1</vt:lpstr>
      <vt:lpstr>PQPU PAREDE DE GESSO</vt:lpstr>
      <vt:lpstr>PQPU EUCATEX</vt:lpstr>
      <vt:lpstr>RESUMO</vt:lpstr>
      <vt:lpstr>PQPU PROJETOS PQ TOTAL</vt:lpstr>
      <vt:lpstr>PQPU VER 1</vt:lpstr>
      <vt:lpstr>MC SEM PAREDE GESSO</vt:lpstr>
      <vt:lpstr>CRONOGRAMA EUCATEX</vt:lpstr>
      <vt:lpstr>'CRONOGRAMA EUCATEX'!Area_de_impressao</vt:lpstr>
      <vt:lpstr>Plan1!Area_de_impressao</vt:lpstr>
      <vt:lpstr>'PQPU EUCATEX'!Area_de_impressao</vt:lpstr>
      <vt:lpstr>'PQPU PAREDE DE GESSO'!Area_de_impressao</vt:lpstr>
      <vt:lpstr>'PQPU PROJETOS PQ TOTAL'!Area_de_impressao</vt:lpstr>
      <vt:lpstr>RESUMO!Area_de_impressao</vt:lpstr>
      <vt:lpstr>'PQPU EUCATEX'!Titulos_de_impressao</vt:lpstr>
      <vt:lpstr>'PQPU PAREDE DE GESSO'!Titulos_de_impressao</vt:lpstr>
      <vt:lpstr>'PQPU PROJETOS PQ TOTAL'!Titulos_de_impressao</vt:lpstr>
      <vt:lpstr>RESUMO!Titulos_de_impressao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MATHEUS FERREIRA</dc:creator>
  <cp:keywords/>
  <dc:description/>
  <cp:lastModifiedBy>ALEXANDRE KOPPERSCHMIDT PIGNATON</cp:lastModifiedBy>
  <cp:revision/>
  <cp:lastPrinted>2026-03-06T17:33:27Z</cp:lastPrinted>
  <dcterms:created xsi:type="dcterms:W3CDTF">2020-07-07T20:21:29Z</dcterms:created>
  <dcterms:modified xsi:type="dcterms:W3CDTF">2026-03-06T17:33:31Z</dcterms:modified>
  <cp:category/>
  <cp:contentStatus/>
</cp:coreProperties>
</file>